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B26D99B4-5D38-4181-AD3D-EFB082FF8A22}"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106" i="18"/>
  <c r="E258" i="18"/>
  <c r="E256" i="18"/>
  <c r="E244" i="18"/>
  <c r="E240" i="18"/>
  <c r="E232" i="18"/>
  <c r="E225" i="18"/>
  <c r="E216" i="18"/>
  <c r="E181" i="18"/>
  <c r="E175" i="18"/>
  <c r="E167" i="18"/>
  <c r="E165" i="18"/>
  <c r="E149" i="18"/>
  <c r="E133"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C100" i="47" s="1"/>
  <c r="FF100" i="47" s="1"/>
  <c r="F100" i="47"/>
  <c r="G99" i="47"/>
  <c r="F99" i="47"/>
  <c r="G98" i="47"/>
  <c r="F98" i="47"/>
  <c r="G97" i="47"/>
  <c r="F97" i="47"/>
  <c r="G96" i="47"/>
  <c r="KP96" i="47" s="1"/>
  <c r="KQ96" i="47" s="1"/>
  <c r="KR96" i="47" s="1"/>
  <c r="F96" i="47"/>
  <c r="G95" i="47"/>
  <c r="F95" i="47"/>
  <c r="G94" i="47"/>
  <c r="F94" i="47"/>
  <c r="G93" i="47"/>
  <c r="F93" i="47"/>
  <c r="G92" i="47"/>
  <c r="KP92" i="47" s="1"/>
  <c r="KQ92" i="47" s="1"/>
  <c r="KR92" i="47" s="1"/>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G3" i="48" l="1"/>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O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BQ91" i="47"/>
  <c r="B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HS99"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I120" i="28" l="1"/>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AG23" i="33"/>
  <c r="Q24" i="68"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31" i="47"/>
  <c r="C31" i="28"/>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Z27" i="70"/>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C83" i="47"/>
  <c r="Z22" i="67"/>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Q8" i="69" l="1"/>
  <c r="AJ23" i="33"/>
  <c r="Q24" i="67" s="1"/>
  <c r="T24" i="67" s="1"/>
  <c r="V24" i="67" s="1"/>
  <c r="D17" i="68"/>
  <c r="D17" i="48"/>
  <c r="E63" i="48"/>
  <c r="E79" i="28"/>
  <c r="C35" i="28"/>
  <c r="GW35" i="28" s="1"/>
  <c r="Z29" i="72"/>
  <c r="Z23" i="72"/>
  <c r="C35" i="47"/>
  <c r="CJ35" i="47" s="1"/>
  <c r="C74" i="47"/>
  <c r="JW74" i="47" s="1"/>
  <c r="D16" i="69"/>
  <c r="Z33" i="70"/>
  <c r="Z28" i="67"/>
  <c r="C83" i="28"/>
  <c r="DJ83" i="28" s="1"/>
  <c r="E32" i="28"/>
  <c r="GL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EW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EL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Z24" i="67"/>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CW35" i="47"/>
  <c r="W35" i="47"/>
  <c r="LJ35"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LY43" i="47"/>
  <c r="KL43"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EY34" i="28"/>
  <c r="FL34" i="28"/>
  <c r="G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W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U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LW74" i="47"/>
  <c r="LJ74" i="47"/>
  <c r="GJ74" i="47"/>
  <c r="HW74" i="47"/>
  <c r="DJ74" i="47"/>
  <c r="CW74" i="47"/>
  <c r="J74" i="47"/>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JJ38" i="47"/>
  <c r="CW38" i="47"/>
  <c r="B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J86" i="28" l="1"/>
  <c r="AL31" i="28"/>
  <c r="E45" i="28"/>
  <c r="LY45" i="28" s="1"/>
  <c r="JW59" i="47"/>
  <c r="GY31" i="28"/>
  <c r="BL32" i="28"/>
  <c r="D36" i="47"/>
  <c r="HY31" i="28"/>
  <c r="KW86" i="28"/>
  <c r="DY36" i="47"/>
  <c r="HL32" i="28"/>
  <c r="KL31" i="28"/>
  <c r="AJ86" i="28"/>
  <c r="GL36" i="47"/>
  <c r="JY36" i="47"/>
  <c r="CJ86" i="28"/>
  <c r="N6" i="72"/>
  <c r="AY32" i="28"/>
  <c r="JJ59" i="47"/>
  <c r="HW59" i="47"/>
  <c r="AW83" i="28"/>
  <c r="JJ35" i="28"/>
  <c r="IW83" i="28"/>
  <c r="EJ35" i="28"/>
  <c r="V26" i="67"/>
  <c r="JJ83" i="28"/>
  <c r="J35" i="28"/>
  <c r="W83" i="28"/>
  <c r="DW38" i="47"/>
  <c r="FJ38" i="47"/>
  <c r="JW38" i="47"/>
  <c r="FL31" i="28"/>
  <c r="CY31" i="28"/>
  <c r="D31" i="28"/>
  <c r="LL31" i="28"/>
  <c r="LJ86" i="28"/>
  <c r="LW86" i="28"/>
  <c r="IW86" i="28"/>
  <c r="B86" i="28"/>
  <c r="LY36" i="47"/>
  <c r="EY36" i="47"/>
  <c r="HY36" i="47"/>
  <c r="KY36" i="47"/>
  <c r="EY32" i="28"/>
  <c r="HY32" i="28"/>
  <c r="D32" i="28"/>
  <c r="KJ59" i="47"/>
  <c r="AW59" i="47"/>
  <c r="CW59" i="47"/>
  <c r="HY34" i="28"/>
  <c r="GY34" i="28"/>
  <c r="IL34" i="28"/>
  <c r="Z22" i="72"/>
  <c r="DJ38" i="47"/>
  <c r="HW38" i="47"/>
  <c r="KJ38" i="47"/>
  <c r="FY31" i="28"/>
  <c r="DY31" i="28"/>
  <c r="JY31" i="28"/>
  <c r="LY31" i="28"/>
  <c r="EW86" i="28"/>
  <c r="GW86" i="28"/>
  <c r="IJ86" i="28"/>
  <c r="Y36" i="47"/>
  <c r="AL36" i="47"/>
  <c r="GY36" i="47"/>
  <c r="DL32" i="28"/>
  <c r="IL32" i="28"/>
  <c r="KL32" i="28"/>
  <c r="IJ59" i="47"/>
  <c r="GJ59" i="47"/>
  <c r="FJ59" i="47"/>
  <c r="LL34" i="28"/>
  <c r="CY34" i="28"/>
  <c r="IY34" i="28"/>
  <c r="KY34" i="28"/>
  <c r="Z30" i="72"/>
  <c r="Z24" i="72"/>
  <c r="EY31" i="28"/>
  <c r="EJ86" i="28"/>
  <c r="GJ86" i="28"/>
  <c r="JW86" i="28"/>
  <c r="BL36" i="47"/>
  <c r="CL36" i="47"/>
  <c r="HL36" i="47"/>
  <c r="CL32" i="28"/>
  <c r="FL32" i="28"/>
  <c r="JY32" i="28"/>
  <c r="LL32" i="28"/>
  <c r="DJ59" i="47"/>
  <c r="CJ59" i="47"/>
  <c r="AJ59" i="47"/>
  <c r="LY34" i="28"/>
  <c r="HL34" i="28"/>
  <c r="AL34" i="28"/>
  <c r="KL34" i="28"/>
  <c r="T24" i="72"/>
  <c r="AA24" i="72" s="1"/>
  <c r="GW38" i="47"/>
  <c r="L31" i="28"/>
  <c r="GL31" i="28"/>
  <c r="W38" i="47"/>
  <c r="J38" i="47"/>
  <c r="GJ38" i="47"/>
  <c r="KW38" i="47"/>
  <c r="Y31" i="28"/>
  <c r="BL31" i="28"/>
  <c r="HL31" i="28"/>
  <c r="DJ86" i="28"/>
  <c r="DW86" i="28"/>
  <c r="JJ86" i="28"/>
  <c r="DL36" i="47"/>
  <c r="EL36" i="47"/>
  <c r="IY36" i="47"/>
  <c r="Y32" i="28"/>
  <c r="BY32" i="28"/>
  <c r="GY32" i="28"/>
  <c r="LY32" i="28"/>
  <c r="LW59" i="47"/>
  <c r="EJ59" i="47"/>
  <c r="W59" i="47"/>
  <c r="HJ59" i="47"/>
  <c r="Y34" i="28"/>
  <c r="AY34" i="28"/>
  <c r="BY34" i="28"/>
  <c r="D34" i="28"/>
  <c r="Z28" i="72"/>
  <c r="LJ38" i="47"/>
  <c r="AW38" i="47"/>
  <c r="AJ38" i="47"/>
  <c r="HJ38" i="47"/>
  <c r="B38" i="47"/>
  <c r="AY31" i="28"/>
  <c r="CL31" i="28"/>
  <c r="IL31" i="28"/>
  <c r="KJ86" i="28"/>
  <c r="HW86" i="28"/>
  <c r="BW86" i="28"/>
  <c r="L36" i="47"/>
  <c r="CY36" i="47"/>
  <c r="FL36" i="47"/>
  <c r="L32" i="28"/>
  <c r="AL32" i="28"/>
  <c r="IY32" i="28"/>
  <c r="KY32" i="28"/>
  <c r="B59" i="47"/>
  <c r="FW59" i="47"/>
  <c r="DW59" i="47"/>
  <c r="IW59" i="47"/>
  <c r="JL34" i="28"/>
  <c r="CL34" i="28"/>
  <c r="JY34" i="28"/>
  <c r="FW38" i="47"/>
  <c r="EJ38" i="47"/>
  <c r="BY31" i="28"/>
  <c r="DL31" i="28"/>
  <c r="JL31" i="28"/>
  <c r="FW86" i="28"/>
  <c r="HJ86" i="28"/>
  <c r="BJ86" i="28"/>
  <c r="AY36" i="47"/>
  <c r="FY36" i="47"/>
  <c r="JL36" i="47"/>
  <c r="DY32" i="28"/>
  <c r="EL32" i="28"/>
  <c r="JL32" i="28"/>
  <c r="LJ59" i="47"/>
  <c r="J59" i="47"/>
  <c r="BJ59" i="47"/>
  <c r="KW59" i="47"/>
  <c r="L34" i="28"/>
  <c r="DY34" i="28"/>
  <c r="DL34" i="28"/>
  <c r="BJ38" i="47"/>
  <c r="IJ38" i="47"/>
  <c r="LW38" i="47"/>
  <c r="EW38" i="47"/>
  <c r="CJ38" i="47"/>
  <c r="IY31" i="28"/>
  <c r="EL31" i="28"/>
  <c r="CW86" i="28"/>
  <c r="FJ86" i="28"/>
  <c r="AW86" i="28"/>
  <c r="LL36" i="47"/>
  <c r="BY36" i="47"/>
  <c r="KL36" i="47"/>
  <c r="FY32" i="28"/>
  <c r="CY32" i="28"/>
  <c r="GW59" i="47"/>
  <c r="BW59" i="47"/>
  <c r="BL34" i="28"/>
  <c r="FY34" i="28"/>
  <c r="T22" i="72"/>
  <c r="AA28" i="72" s="1"/>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HJ35" i="28"/>
  <c r="HW35" i="28"/>
  <c r="KJ35" i="28"/>
  <c r="KW83" i="28"/>
  <c r="EW83" i="28"/>
  <c r="FJ83" i="28"/>
  <c r="J65" i="47"/>
  <c r="JY64" i="28"/>
  <c r="LW35" i="28"/>
  <c r="BJ35" i="28"/>
  <c r="AJ35" i="28"/>
  <c r="LJ35" i="28"/>
  <c r="JJ29" i="28"/>
  <c r="J83" i="28"/>
  <c r="DW83" i="28"/>
  <c r="EJ83" i="28"/>
  <c r="CJ65" i="47"/>
  <c r="GJ35" i="28"/>
  <c r="IW35" i="28"/>
  <c r="CW35" i="28"/>
  <c r="KW35" i="28"/>
  <c r="LJ83" i="28"/>
  <c r="B83" i="28"/>
  <c r="CW83" i="28"/>
  <c r="IW65" i="47"/>
  <c r="BW35" i="28"/>
  <c r="JW35" i="28"/>
  <c r="JW35" i="47"/>
  <c r="BJ35" i="47"/>
  <c r="FJ35" i="47"/>
  <c r="HJ35" i="47"/>
  <c r="DW35" i="47"/>
  <c r="J35" i="47"/>
  <c r="KW35" i="47"/>
  <c r="IJ35" i="47"/>
  <c r="GJ35" i="47"/>
  <c r="AW35" i="47"/>
  <c r="HW35" i="47"/>
  <c r="B35" i="47"/>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J5" i="67" s="1"/>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K6" i="72" s="1"/>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IL45" i="28"/>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L45" i="28"/>
  <c r="AJ22" i="28"/>
  <c r="HJ22" i="28"/>
  <c r="IW22" i="28"/>
  <c r="DL45" i="28"/>
  <c r="EW46" i="47"/>
  <c r="AW22" i="28"/>
  <c r="KL45"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Y45" i="28"/>
  <c r="BY45" i="28"/>
  <c r="IY45" i="28"/>
  <c r="KY45" i="28"/>
  <c r="DY45" i="28"/>
  <c r="AL45" i="28"/>
  <c r="JL45" i="28"/>
  <c r="D45" i="28"/>
  <c r="GK45" i="28" s="1"/>
  <c r="BL45" i="28"/>
  <c r="EL45" i="28"/>
  <c r="LL45" i="28"/>
  <c r="CL45" i="28"/>
  <c r="CY45" i="28"/>
  <c r="GY45" i="28"/>
  <c r="FL45" i="28"/>
  <c r="FY45" i="28"/>
  <c r="GL45" i="28"/>
  <c r="AY45" i="28"/>
  <c r="HY45" i="28"/>
  <c r="HL45" i="28"/>
  <c r="EY45" i="28"/>
  <c r="JY45" i="28"/>
  <c r="AA25" i="63"/>
  <c r="AA31" i="63"/>
  <c r="AA22" i="72"/>
  <c r="U22" i="72"/>
  <c r="V22" i="72"/>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V24" i="72"/>
  <c r="O7" i="62"/>
  <c r="I7" i="62"/>
  <c r="N8" i="62"/>
  <c r="O6" i="62"/>
  <c r="AA23" i="71"/>
  <c r="V23" i="71"/>
  <c r="U23" i="71"/>
  <c r="I5" i="62"/>
  <c r="O8" i="62"/>
  <c r="N5" i="62"/>
  <c r="N6" i="62"/>
  <c r="I6" i="62"/>
  <c r="H6" i="62"/>
  <c r="H7" i="62"/>
  <c r="N7" i="62"/>
  <c r="M5" i="62"/>
  <c r="O5" i="62"/>
  <c r="H5" i="62"/>
  <c r="M7" i="62"/>
  <c r="H8" i="62"/>
  <c r="U24" i="72"/>
  <c r="AA30" i="7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DX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JV16" i="28"/>
  <c r="HI16" i="28"/>
  <c r="V16" i="28"/>
  <c r="K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IV16" i="28" l="1"/>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DX45" i="28"/>
  <c r="KV23" i="47"/>
  <c r="EV23" i="47"/>
  <c r="BV23" i="47"/>
  <c r="CX45" i="28"/>
  <c r="BI23" i="47"/>
  <c r="II23" i="47"/>
  <c r="GV23" i="47"/>
  <c r="KK45" i="28"/>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E28" i="26"/>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K34" i="47" l="1"/>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T16" i="64" s="1"/>
  <c r="U16" i="64" s="1"/>
  <c r="P15" i="72"/>
  <c r="Q15" i="72" s="1"/>
  <c r="P15" i="71"/>
  <c r="Q15" i="71" s="1"/>
  <c r="P17" i="66"/>
  <c r="Q17" i="66" s="1"/>
  <c r="T16" i="65"/>
  <c r="U16" i="65" s="1"/>
  <c r="P14" i="66"/>
  <c r="Q14" i="66" s="1"/>
  <c r="T14" i="66" s="1"/>
  <c r="U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4"/>
  <c r="U17" i="64" s="1"/>
  <c r="T17" i="67"/>
  <c r="U17" i="67" s="1"/>
  <c r="T16" i="69"/>
  <c r="U16" i="69" s="1"/>
  <c r="T16" i="70" l="1"/>
  <c r="U16" i="70" s="1"/>
  <c r="T14" i="61"/>
  <c r="U14" i="61" s="1"/>
  <c r="T16" i="68"/>
  <c r="U16" i="68" s="1"/>
  <c r="T14" i="64"/>
  <c r="U14" i="64" s="1"/>
  <c r="T15" i="64"/>
  <c r="U15" i="64" s="1"/>
  <c r="AE14" i="64" s="1" a="1"/>
  <c r="AE14"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BK14" i="64" a="1"/>
  <c r="BK14" i="64" s="1"/>
  <c r="AE14" i="67" a="1"/>
  <c r="AE14" i="67" s="1"/>
  <c r="AE16" i="67" a="1"/>
  <c r="AE16" i="67" s="1"/>
  <c r="AE15" i="67" a="1"/>
  <c r="AE15" i="67" s="1"/>
  <c r="AA17" i="64" a="1"/>
  <c r="AA17" i="64" s="1"/>
  <c r="W14" i="67" a="1"/>
  <c r="W14" i="67" s="1"/>
  <c r="AA14" i="67" a="1"/>
  <c r="AA14" i="67" s="1"/>
  <c r="W15" i="67" a="1"/>
  <c r="W15" i="67" s="1"/>
  <c r="AA14" i="64" a="1"/>
  <c r="AA14" i="64" s="1"/>
  <c r="AA16" i="67" a="1"/>
  <c r="AA16" i="67" s="1"/>
  <c r="BK14" i="67" a="1"/>
  <c r="BK16" i="67" s="1"/>
  <c r="AA15" i="67" a="1"/>
  <c r="AA15" i="67" s="1"/>
  <c r="W16" i="67" a="1"/>
  <c r="W16" i="67" s="1"/>
  <c r="W17" i="67" a="1"/>
  <c r="W17" i="67" s="1"/>
  <c r="AA17" i="67" a="1"/>
  <c r="AA17" i="67" s="1"/>
  <c r="W16" i="64" a="1"/>
  <c r="W16" i="64" s="1"/>
  <c r="W15" i="64" a="1"/>
  <c r="W15" i="64" s="1"/>
  <c r="AA15" i="64" a="1"/>
  <c r="AA15" i="64" s="1"/>
  <c r="W14" i="64" a="1"/>
  <c r="W14" i="64" s="1"/>
  <c r="BK17" i="64" l="1"/>
  <c r="W17" i="64" a="1"/>
  <c r="W17" i="64" s="1"/>
  <c r="X16" i="64" s="1"/>
  <c r="Y16"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X14" i="64"/>
  <c r="Y14" i="64" s="1"/>
  <c r="BX14" i="64" a="1"/>
  <c r="BX14" i="64" s="1"/>
  <c r="BZ6" i="64" s="1"/>
  <c r="BL15" i="64" a="1"/>
  <c r="BL15" i="64" s="1"/>
  <c r="BJ14" i="64" s="1"/>
  <c r="BL14" i="64" s="1"/>
  <c r="BN7" i="64" s="1"/>
  <c r="X15" i="64"/>
  <c r="Y15" i="64" s="1"/>
  <c r="X17" i="64"/>
  <c r="Y17" i="64" s="1"/>
  <c r="BL15" i="65" l="1"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7" i="64"/>
  <c r="AC17" i="64" s="1"/>
  <c r="AB15" i="64"/>
  <c r="AC15" i="64" s="1"/>
  <c r="AB14" i="64"/>
  <c r="AC14" i="64" s="1"/>
  <c r="BL15" i="67" a="1"/>
  <c r="BL15" i="67" s="1"/>
  <c r="BJ14" i="67" s="1"/>
  <c r="BL14" i="67" s="1"/>
  <c r="BN8" i="67" s="1"/>
  <c r="BX14" i="67" a="1"/>
  <c r="BX14" i="67" s="1"/>
  <c r="BZ8" i="67" s="1"/>
  <c r="BZ7" i="64"/>
  <c r="BZ8" i="64"/>
  <c r="BZ5" i="64"/>
  <c r="BN8" i="64"/>
  <c r="BN5" i="64"/>
  <c r="BN6" i="64"/>
  <c r="BZ8" i="65" l="1"/>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AF17" i="66" s="1"/>
  <c r="AG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BN8" i="62" l="1"/>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I17" i="68" s="1"/>
  <c r="AJ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6" i="71" l="1"/>
  <c r="AJ16" i="71" s="1"/>
  <c r="AI17" i="63"/>
  <c r="AJ17" i="63" s="1"/>
  <c r="AI14" i="68"/>
  <c r="AJ14" i="68" s="1"/>
  <c r="AL14" i="68" s="1"/>
  <c r="AM14" i="68" s="1"/>
  <c r="AI16" i="68"/>
  <c r="AJ16" i="68" s="1"/>
  <c r="AL16" i="68" s="1"/>
  <c r="AM16" i="68" s="1"/>
  <c r="AO16" i="68" s="1"/>
  <c r="AP16" i="68" s="1"/>
  <c r="AI15" i="68"/>
  <c r="AJ15" i="68" s="1"/>
  <c r="AL15" i="68" s="1"/>
  <c r="AM15" i="68" s="1"/>
  <c r="AO15" i="68" s="1"/>
  <c r="AP15" i="68" s="1"/>
  <c r="AI16" i="66"/>
  <c r="AJ16" i="66" s="1"/>
  <c r="AL16" i="66" s="1"/>
  <c r="AM16" i="66" s="1"/>
  <c r="AL17" i="68"/>
  <c r="AM17" i="68" s="1"/>
  <c r="AO17" i="68" s="1"/>
  <c r="AP17" i="68"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5" i="72" l="1"/>
  <c r="AM15" i="72" s="1"/>
  <c r="AL15" i="71"/>
  <c r="AM15" i="71" s="1"/>
  <c r="AL16" i="71"/>
  <c r="AM16" i="71" s="1"/>
  <c r="AL15" i="63"/>
  <c r="AM15" i="63" s="1"/>
  <c r="AL14" i="63"/>
  <c r="AM14" i="63" s="1"/>
  <c r="AL17" i="63"/>
  <c r="AM17" i="63" s="1"/>
  <c r="AL16" i="61"/>
  <c r="AM16" i="61" s="1"/>
  <c r="AO14" i="68"/>
  <c r="AP14" i="68" s="1"/>
  <c r="AR15" i="68" s="1"/>
  <c r="AS15" i="68" s="1"/>
  <c r="G15" i="68" s="1"/>
  <c r="F15" i="68" s="1"/>
  <c r="AL17" i="66"/>
  <c r="AM17" i="66" s="1"/>
  <c r="AO17" i="66" s="1"/>
  <c r="AP17" i="66" s="1"/>
  <c r="AL14" i="66"/>
  <c r="AM14" i="66" s="1"/>
  <c r="AL15" i="66"/>
  <c r="AM15" i="66" s="1"/>
  <c r="AO15" i="66" s="1"/>
  <c r="AP15" i="66" s="1"/>
  <c r="AL16" i="63"/>
  <c r="AM16" i="63" s="1"/>
  <c r="AL17" i="61"/>
  <c r="AM17" i="61" s="1"/>
  <c r="AL17" i="71"/>
  <c r="AM17" i="71" s="1"/>
  <c r="AL15" i="61"/>
  <c r="AM15" i="61" s="1"/>
  <c r="AL15" i="70"/>
  <c r="AM15" i="70" s="1"/>
  <c r="AL17" i="72"/>
  <c r="AM17" i="72" s="1"/>
  <c r="AT6" i="72" s="1"/>
  <c r="AT15" i="72" s="1"/>
  <c r="AL17" i="70"/>
  <c r="AM17" i="70" s="1"/>
  <c r="AL14" i="70"/>
  <c r="AM14" i="70" s="1"/>
  <c r="AL16" i="70"/>
  <c r="AM16" i="70" s="1"/>
  <c r="AO15" i="67"/>
  <c r="AP15" i="67" s="1"/>
  <c r="AO17" i="67"/>
  <c r="AP17" i="67" s="1"/>
  <c r="AO16" i="67"/>
  <c r="AP16" i="67" s="1"/>
  <c r="AO14" i="67"/>
  <c r="AP14" i="67" s="1"/>
  <c r="AT5" i="67" a="1"/>
  <c r="AU5" i="68" a="1"/>
  <c r="AT8" i="68"/>
  <c r="AT17" i="68" s="1"/>
  <c r="AT7" i="68"/>
  <c r="AT16" i="68" s="1"/>
  <c r="AT6" i="68"/>
  <c r="AT15" i="68" s="1"/>
  <c r="AT5" i="68"/>
  <c r="AT14" i="68" s="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T7" i="71" l="1"/>
  <c r="AT16" i="71" s="1"/>
  <c r="AO16" i="63"/>
  <c r="AP16" i="63" s="1"/>
  <c r="AT6" i="63"/>
  <c r="AT15" i="63" s="1"/>
  <c r="AT8" i="63"/>
  <c r="AT17" i="63" s="1"/>
  <c r="AR16" i="68"/>
  <c r="AS16" i="68" s="1"/>
  <c r="G16" i="68" s="1"/>
  <c r="F16" i="68" s="1"/>
  <c r="AR14" i="68"/>
  <c r="AS14" i="68" s="1"/>
  <c r="G14" i="68" s="1"/>
  <c r="F14" i="68" s="1"/>
  <c r="AR17" i="68"/>
  <c r="AS17" i="68" s="1"/>
  <c r="G17" i="68" s="1"/>
  <c r="F17" i="68"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U6" i="68"/>
  <c r="AV15" i="68" s="1"/>
  <c r="AU5" i="68"/>
  <c r="AV14" i="68" s="1"/>
  <c r="AU7" i="68"/>
  <c r="AV16" i="68" s="1"/>
  <c r="AU8" i="68"/>
  <c r="AV17" i="68"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E15" i="68" l="1"/>
  <c r="AY15" i="68" s="1"/>
  <c r="E17" i="68"/>
  <c r="E14" i="68"/>
  <c r="AY22" i="68" s="1"/>
  <c r="E16" i="68"/>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Y17" i="66"/>
  <c r="AY15" i="66"/>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AU14" i="68"/>
  <c r="AF8" i="33" s="1"/>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17" i="70"/>
  <c r="AY24" i="61"/>
  <c r="AY24" i="68"/>
  <c r="AY16" i="68"/>
  <c r="AY24" i="72"/>
  <c r="AY17" i="71"/>
  <c r="AY25" i="71"/>
  <c r="AY22" i="71"/>
  <c r="AY17" i="63"/>
  <c r="AY25" i="63"/>
  <c r="AY23" i="63"/>
  <c r="D25" i="68"/>
  <c r="D23" i="68"/>
  <c r="D24" i="68"/>
  <c r="D22" i="68"/>
  <c r="AY14" i="68"/>
  <c r="CA7" i="65"/>
  <c r="BO7" i="65"/>
  <c r="CA8" i="65" l="1"/>
  <c r="BA8" i="65"/>
  <c r="BO8" i="65"/>
  <c r="BA7" i="65"/>
  <c r="AY15" i="64"/>
  <c r="AY23" i="64"/>
  <c r="AU14" i="66"/>
  <c r="AY15" i="62"/>
  <c r="AY23" i="62"/>
  <c r="AY15" i="67"/>
  <c r="AY23" i="67"/>
  <c r="AY17" i="67"/>
  <c r="AY25" i="67"/>
  <c r="AY14" i="67"/>
  <c r="CA5" i="67" s="1"/>
  <c r="D25" i="67"/>
  <c r="D22" i="67"/>
  <c r="D24" i="67"/>
  <c r="D23" i="67"/>
  <c r="E17" i="66"/>
  <c r="AY25" i="66" s="1"/>
  <c r="E15" i="66"/>
  <c r="AY23" i="66" s="1"/>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AY25" i="70" s="1"/>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O14" i="65" s="1" a="1"/>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AC22" i="68" a="1"/>
  <c r="C13" i="16"/>
  <c r="E13" i="16" s="1"/>
  <c r="AC8" i="33"/>
  <c r="AU14" i="69"/>
  <c r="C11" i="16"/>
  <c r="E11" i="16" s="1"/>
  <c r="W8" i="33"/>
  <c r="AU14" i="64"/>
  <c r="AY22" i="64"/>
  <c r="AY14" i="64"/>
  <c r="AU14" i="62"/>
  <c r="AY22" i="62"/>
  <c r="AY14" i="62"/>
  <c r="BB5" i="68"/>
  <c r="BB8" i="68"/>
  <c r="BB6" i="68"/>
  <c r="BB7" i="68"/>
  <c r="BB7" i="71"/>
  <c r="BB6" i="71"/>
  <c r="BB5" i="71"/>
  <c r="BB8" i="71"/>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AY25" i="72" l="1"/>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BB7" i="66"/>
  <c r="BB5" i="66"/>
  <c r="BB8" i="66"/>
  <c r="CA5" i="69"/>
  <c r="BB6" i="66"/>
  <c r="AY14" i="66"/>
  <c r="D24" i="66"/>
  <c r="D22" i="66"/>
  <c r="D23" i="66"/>
  <c r="D25" i="66"/>
  <c r="BB6" i="69"/>
  <c r="BB8" i="69"/>
  <c r="BB5" i="69"/>
  <c r="BB7" i="69"/>
  <c r="BN14" i="65" a="1"/>
  <c r="BN17" i="65" s="1"/>
  <c r="C9" i="16"/>
  <c r="E9" i="16" s="1"/>
  <c r="F9" i="16" s="1"/>
  <c r="L22" i="65"/>
  <c r="W42" i="33" s="1"/>
  <c r="N91" i="22" s="1"/>
  <c r="I88" i="22" s="1"/>
  <c r="F11" i="45"/>
  <c r="E11" i="45" s="1"/>
  <c r="C8" i="16"/>
  <c r="E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M24" i="67"/>
  <c r="F8" i="16"/>
  <c r="H7" i="16"/>
  <c r="C15" i="16"/>
  <c r="E15" i="16" s="1"/>
  <c r="AI8" i="33"/>
  <c r="AC24" i="68"/>
  <c r="AY88" i="73" s="1"/>
  <c r="AC23" i="68"/>
  <c r="AY87" i="73" s="1"/>
  <c r="AC22" i="68"/>
  <c r="AY86" i="73" s="1"/>
  <c r="AC25" i="68"/>
  <c r="AY89" i="73" s="1"/>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A22" i="68" a="1"/>
  <c r="BA23" i="68" s="1"/>
  <c r="BB22" i="68" a="1"/>
  <c r="BB23" i="68" s="1"/>
  <c r="BC22" i="68" a="1"/>
  <c r="BC24" i="68" s="1"/>
  <c r="AZ22" i="68" a="1"/>
  <c r="AZ22" i="68" s="1"/>
  <c r="BB22" i="71" a="1"/>
  <c r="BA22" i="71" a="1"/>
  <c r="AZ22" i="71" a="1"/>
  <c r="BC22" i="71" a="1"/>
  <c r="F89" i="73"/>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AW63" i="73"/>
  <c r="AW65" i="73"/>
  <c r="AW62" i="73"/>
  <c r="AW64" i="73"/>
  <c r="BO14" i="65"/>
  <c r="BO15" i="65"/>
  <c r="BO16" i="65"/>
  <c r="BO17" i="65"/>
  <c r="BQ14" i="67" l="1"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BA22" i="66" a="1"/>
  <c r="BA22" i="66" s="1"/>
  <c r="BB22" i="66" a="1"/>
  <c r="BB24" i="66" s="1"/>
  <c r="AZ22" i="66" a="1"/>
  <c r="AZ24" i="66" s="1"/>
  <c r="BC22" i="66" a="1"/>
  <c r="BC23" i="66" s="1"/>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B94" i="73" a="1"/>
  <c r="B94" i="73" s="1"/>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Z17" i="67"/>
  <c r="AK97" i="73" s="1"/>
  <c r="AP97" i="73" s="1"/>
  <c r="BO15" i="67"/>
  <c r="BC17" i="67"/>
  <c r="R97" i="73" s="1"/>
  <c r="BP16" i="67"/>
  <c r="BQ16" i="67"/>
  <c r="BO14" i="67"/>
  <c r="BN14" i="67"/>
  <c r="CB15" i="67"/>
  <c r="AM95" i="73" s="1"/>
  <c r="BP14" i="67"/>
  <c r="CB16" i="67"/>
  <c r="AM96" i="73" s="1"/>
  <c r="BP17" i="67"/>
  <c r="BO16" i="67"/>
  <c r="AZ14" i="67"/>
  <c r="O94" i="73" s="1"/>
  <c r="BN15" i="67"/>
  <c r="BB15" i="67"/>
  <c r="Q95" i="73" s="1"/>
  <c r="CC15" i="67"/>
  <c r="AN95" i="73" s="1"/>
  <c r="BQ15" i="67"/>
  <c r="BN17" i="67"/>
  <c r="BQ17" i="67"/>
  <c r="BB14" i="67"/>
  <c r="Q94" i="73" s="1"/>
  <c r="BB17" i="67"/>
  <c r="Q97" i="73" s="1"/>
  <c r="CC16" i="67"/>
  <c r="AN96" i="73" s="1"/>
  <c r="CC17" i="67"/>
  <c r="AN97" i="73" s="1"/>
  <c r="CA17" i="67"/>
  <c r="AL97"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BA22" i="68"/>
  <c r="BB22" i="68"/>
  <c r="AZ25" i="68"/>
  <c r="BA25" i="68"/>
  <c r="BC22" i="68"/>
  <c r="BA24" i="68"/>
  <c r="BB25" i="68"/>
  <c r="BB24" i="68"/>
  <c r="AZ24" i="68"/>
  <c r="BC23" i="68"/>
  <c r="BC25" i="68"/>
  <c r="AZ23" i="68"/>
  <c r="AZ24" i="71"/>
  <c r="AZ22" i="71"/>
  <c r="AZ25" i="71"/>
  <c r="AZ23" i="71"/>
  <c r="BA23" i="71"/>
  <c r="BA24" i="71"/>
  <c r="BA25" i="71"/>
  <c r="BA22" i="71"/>
  <c r="BB23" i="71"/>
  <c r="BB25" i="71"/>
  <c r="BB22" i="71"/>
  <c r="BB24" i="71"/>
  <c r="BC22" i="71"/>
  <c r="BC23" i="71"/>
  <c r="BC25" i="71"/>
  <c r="BC24" i="71"/>
  <c r="B86" i="73" a="1"/>
  <c r="B88" i="73" s="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E14" i="45"/>
  <c r="H14" i="45" s="1"/>
  <c r="CC17" i="68"/>
  <c r="AN89" i="73" s="1"/>
  <c r="CC15" i="68"/>
  <c r="AN87" i="73" s="1"/>
  <c r="CC16" i="68"/>
  <c r="AN88" i="73" s="1"/>
  <c r="CC14" i="68"/>
  <c r="AN86" i="73" s="1"/>
  <c r="AV86" i="73"/>
  <c r="AV87" i="73"/>
  <c r="AV88" i="73"/>
  <c r="AV89" i="73"/>
  <c r="AF45" i="33"/>
  <c r="AG45" i="33"/>
  <c r="AF43" i="33"/>
  <c r="N98" i="22" s="1"/>
  <c r="I87" i="22" s="1"/>
  <c r="D109" i="48" s="1"/>
  <c r="AG43" i="33"/>
  <c r="AF42" i="33"/>
  <c r="N97" i="22" s="1"/>
  <c r="I91" i="22" s="1"/>
  <c r="AG42" i="33"/>
  <c r="CB14" i="68"/>
  <c r="AM86" i="73" s="1"/>
  <c r="CB17" i="68"/>
  <c r="AM89" i="73" s="1"/>
  <c r="CB16" i="68"/>
  <c r="AM88" i="73" s="1"/>
  <c r="CB15" i="68"/>
  <c r="AM87" i="73" s="1"/>
  <c r="BN15" i="68"/>
  <c r="BN16" i="68"/>
  <c r="BN17" i="68"/>
  <c r="BN14" i="68"/>
  <c r="AM50" i="33"/>
  <c r="AK62" i="73"/>
  <c r="AP62" i="73" s="1"/>
  <c r="Q50" i="33"/>
  <c r="AZ16" i="67" l="1"/>
  <c r="O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B22" i="66"/>
  <c r="BB23" i="66"/>
  <c r="BC22" i="67"/>
  <c r="BC24" i="67"/>
  <c r="BC23" i="67"/>
  <c r="BC25" i="67"/>
  <c r="BB24" i="67"/>
  <c r="BB25" i="67"/>
  <c r="BB22" i="67"/>
  <c r="BB23" i="67"/>
  <c r="BA25" i="67"/>
  <c r="BA22" i="67"/>
  <c r="BA23" i="67"/>
  <c r="BA24" i="67"/>
  <c r="AZ24" i="67"/>
  <c r="AZ22" i="67"/>
  <c r="AZ25" i="67"/>
  <c r="AZ23" i="67"/>
  <c r="BB25" i="66"/>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BA23" i="66"/>
  <c r="BA24" i="66"/>
  <c r="BA25" i="66"/>
  <c r="BC25" i="66"/>
  <c r="AZ23" i="66"/>
  <c r="AZ22" i="66"/>
  <c r="AZ25" i="66"/>
  <c r="F78" i="73"/>
  <c r="BC24" i="66"/>
  <c r="F79" i="73"/>
  <c r="BC22" i="66"/>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96" i="73"/>
  <c r="B95" i="73"/>
  <c r="B97" i="73"/>
  <c r="B14" i="73" a="1"/>
  <c r="E5" i="45"/>
  <c r="H5" i="45" s="1"/>
  <c r="T96" i="73"/>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BS13" i="67" a="1"/>
  <c r="BU13" i="67" s="1"/>
  <c r="Z92" i="73"/>
  <c r="T97" i="73"/>
  <c r="BE13" i="67" a="1"/>
  <c r="BF13" i="67" s="1"/>
  <c r="V93" i="73" s="1"/>
  <c r="T94" i="73"/>
  <c r="AK92"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B87" i="73"/>
  <c r="BE21" i="68" a="1"/>
  <c r="BH21" i="68" s="1"/>
  <c r="AP89" i="73"/>
  <c r="AP88" i="73"/>
  <c r="BE21" i="71" a="1"/>
  <c r="B89" i="73"/>
  <c r="B86" i="73"/>
  <c r="T88" i="73"/>
  <c r="D114" i="48"/>
  <c r="AK84" i="73"/>
  <c r="CE13" i="68" a="1"/>
  <c r="AK86" i="73"/>
  <c r="AP86" i="73" s="1"/>
  <c r="BE13" i="68" a="1"/>
  <c r="O86" i="73"/>
  <c r="T86" i="73" s="1"/>
  <c r="AC86" i="73" a="1"/>
  <c r="T89" i="73"/>
  <c r="AA86" i="73" a="1"/>
  <c r="T87" i="73"/>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BT13" i="65"/>
  <c r="C95" i="28"/>
  <c r="B95" i="28" s="1"/>
  <c r="C95" i="47"/>
  <c r="E102" i="28"/>
  <c r="D102" i="28" s="1"/>
  <c r="E102" i="47"/>
  <c r="T95" i="73" l="1"/>
  <c r="CE13" i="67" a="1"/>
  <c r="BV13" i="65"/>
  <c r="BS13" i="65"/>
  <c r="E109" i="48"/>
  <c r="E94" i="28"/>
  <c r="D94" i="28" s="1"/>
  <c r="AB70" i="73" a="1"/>
  <c r="AB71" i="73" s="1"/>
  <c r="AA94" i="73" a="1"/>
  <c r="AA95" i="73" s="1"/>
  <c r="Z94" i="73" a="1"/>
  <c r="Z95" i="73" s="1"/>
  <c r="AE95" i="73" s="1"/>
  <c r="BE21" i="67" a="1"/>
  <c r="AB94" i="73" a="1"/>
  <c r="AB95" i="73" s="1"/>
  <c r="AC94" i="73" a="1"/>
  <c r="AC94" i="73" s="1"/>
  <c r="AI50" i="33"/>
  <c r="D104" i="48"/>
  <c r="BE21" i="66" a="1"/>
  <c r="BE21" i="66" s="1"/>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Z78" i="73" a="1"/>
  <c r="AA78" i="73" a="1"/>
  <c r="AB78" i="73" a="1"/>
  <c r="AC78" i="73" a="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T81" i="73" s="1"/>
  <c r="AZ16" i="66"/>
  <c r="O80" i="73" s="1"/>
  <c r="T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T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AB73" i="73"/>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T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AB70" i="73"/>
  <c r="B57" i="73"/>
  <c r="B55" i="73"/>
  <c r="B56" i="73"/>
  <c r="AB72"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4" i="73"/>
  <c r="AA96" i="73"/>
  <c r="AA97" i="73"/>
  <c r="BS13" i="67"/>
  <c r="BT13" i="67"/>
  <c r="BV13" i="67"/>
  <c r="BG13" i="67"/>
  <c r="W93" i="73" s="1"/>
  <c r="BH13" i="67"/>
  <c r="X93" i="73" s="1"/>
  <c r="BE13" i="67"/>
  <c r="CG13" i="67"/>
  <c r="AS93" i="73" s="1"/>
  <c r="CF13" i="67"/>
  <c r="AR93" i="73" s="1"/>
  <c r="CH13" i="67"/>
  <c r="AT93" i="73" s="1"/>
  <c r="CE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68"/>
  <c r="BF21" i="68"/>
  <c r="BE21" i="68"/>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F61" i="73" a="1"/>
  <c r="BS14" i="65" a="1"/>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64" i="73" l="1"/>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G21" i="66"/>
  <c r="BE21" i="67"/>
  <c r="BF21" i="67"/>
  <c r="BG21" i="67"/>
  <c r="BH21" i="67"/>
  <c r="J91" i="47"/>
  <c r="KW91" i="47"/>
  <c r="DW91" i="47"/>
  <c r="FJ91" i="47"/>
  <c r="BH21" i="66"/>
  <c r="AC72" i="73"/>
  <c r="BF21" i="66"/>
  <c r="C101" i="47"/>
  <c r="C101" i="28"/>
  <c r="B101" i="28" s="1"/>
  <c r="H14" i="16"/>
  <c r="AB81" i="73"/>
  <c r="AB79" i="73"/>
  <c r="AB80" i="73"/>
  <c r="AB78" i="73"/>
  <c r="AA78" i="73"/>
  <c r="AA79" i="73"/>
  <c r="AA80" i="73"/>
  <c r="AA81" i="73"/>
  <c r="Z79" i="73"/>
  <c r="AE79" i="73" s="1"/>
  <c r="Z80" i="73"/>
  <c r="Z78" i="73"/>
  <c r="AE78" i="73" s="1"/>
  <c r="Z81" i="73"/>
  <c r="AC79" i="73"/>
  <c r="AC81" i="73"/>
  <c r="AC80" i="73"/>
  <c r="AC78" i="73"/>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68" a="1"/>
  <c r="BH23" i="68" s="1"/>
  <c r="AE88" i="73"/>
  <c r="BE22" i="71" a="1"/>
  <c r="BG23" i="71" s="1"/>
  <c r="AE87" i="73"/>
  <c r="AE89" i="73"/>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II91" i="47"/>
  <c r="V91" i="47"/>
  <c r="AV91" i="47"/>
  <c r="FI91" i="47"/>
  <c r="EV91" i="47"/>
  <c r="GV91" i="47"/>
  <c r="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T16" i="65"/>
  <c r="BT14" i="65"/>
  <c r="BS16" i="65"/>
  <c r="BS14" i="65"/>
  <c r="BV17" i="65"/>
  <c r="BV15" i="65"/>
  <c r="BU15" i="65"/>
  <c r="BU17" i="65"/>
  <c r="BT17" i="65"/>
  <c r="BT15" i="65"/>
  <c r="BS17" i="65"/>
  <c r="BS15" i="65"/>
  <c r="BV16" i="65"/>
  <c r="BV14" i="65"/>
  <c r="BU16" i="65"/>
  <c r="BU14" i="65"/>
  <c r="GI97" i="47"/>
  <c r="AI61" i="73"/>
  <c r="AF61" i="73"/>
  <c r="AG61" i="73"/>
  <c r="AH61" i="73"/>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JI91" i="47" l="1"/>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6" a="1"/>
  <c r="BE23" i="66" s="1"/>
  <c r="AF77" i="73" a="1"/>
  <c r="AF77" i="73" s="1"/>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AE80" i="73"/>
  <c r="AE81" i="73"/>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G22" i="68"/>
  <c r="BF23" i="68"/>
  <c r="BH25" i="68"/>
  <c r="BH24" i="68"/>
  <c r="BE24" i="68"/>
  <c r="BH22" i="68"/>
  <c r="BG24" i="68"/>
  <c r="BG23" i="68"/>
  <c r="BE25" i="68"/>
  <c r="BG25" i="68"/>
  <c r="BF24" i="68"/>
  <c r="BE22" i="68"/>
  <c r="BF25" i="68"/>
  <c r="BE23" i="68"/>
  <c r="BF22" i="68"/>
  <c r="BH23" i="71"/>
  <c r="BF24" i="71"/>
  <c r="BE22" i="71"/>
  <c r="BF23" i="71"/>
  <c r="BF22" i="71"/>
  <c r="BG24" i="71"/>
  <c r="BG25" i="71"/>
  <c r="BF25" i="71"/>
  <c r="BE23" i="71"/>
  <c r="BH24" i="71"/>
  <c r="BE25" i="71"/>
  <c r="BH25" i="71"/>
  <c r="BH22" i="71"/>
  <c r="BE24" i="71"/>
  <c r="BG22" i="7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AF93" i="73" l="1"/>
  <c r="AI93" i="73"/>
  <c r="CG15" i="69"/>
  <c r="AS71" i="73" s="1"/>
  <c r="BG23" i="66"/>
  <c r="BG25" i="66"/>
  <c r="BE24" i="66"/>
  <c r="BF24" i="66"/>
  <c r="CE14" i="69"/>
  <c r="AQ70" i="73" s="1"/>
  <c r="BE22" i="66"/>
  <c r="BH22" i="66"/>
  <c r="CH15" i="69"/>
  <c r="AT71" i="73" s="1"/>
  <c r="BE25" i="66"/>
  <c r="BG24" i="66"/>
  <c r="CF16" i="69"/>
  <c r="AR72" i="73" s="1"/>
  <c r="BH23" i="66"/>
  <c r="BF23" i="66"/>
  <c r="CH14" i="69"/>
  <c r="AT70" i="73" s="1"/>
  <c r="BH24" i="66"/>
  <c r="BG22" i="66"/>
  <c r="CG17" i="69"/>
  <c r="AS73" i="73" s="1"/>
  <c r="BF25" i="66"/>
  <c r="BF22" i="66"/>
  <c r="CE16" i="69"/>
  <c r="AQ72" i="73" s="1"/>
  <c r="BH25" i="66"/>
  <c r="AG77" i="73"/>
  <c r="AH77" i="73"/>
  <c r="AI77" i="73"/>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AN42" i="33" l="1"/>
  <c r="AF94" i="73" a="1"/>
  <c r="AI96" i="73" s="1"/>
  <c r="AF78" i="73" a="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H96" i="73"/>
  <c r="AF97" i="73"/>
  <c r="AG94" i="73"/>
  <c r="AI94" i="73"/>
  <c r="AF54" i="73" a="1"/>
  <c r="AF14" i="73" a="1"/>
  <c r="AH86" i="73"/>
  <c r="AH89" i="73"/>
  <c r="AI89" i="73"/>
  <c r="AI88" i="73"/>
  <c r="AI87" i="73"/>
  <c r="AI86" i="73"/>
  <c r="AF86" i="73"/>
  <c r="AF87" i="73"/>
  <c r="AF88" i="73"/>
  <c r="AF89" i="73"/>
  <c r="AH88" i="73"/>
  <c r="AG87" i="73"/>
  <c r="AG86" i="73"/>
  <c r="AG89" i="73"/>
  <c r="AG88" i="73"/>
  <c r="AH87" i="73"/>
  <c r="AF94" i="73" l="1"/>
  <c r="AH94" i="73"/>
  <c r="AG97" i="73"/>
  <c r="AF95" i="73"/>
  <c r="AH95" i="73"/>
  <c r="AI95" i="73"/>
  <c r="AG95" i="73"/>
  <c r="AF96" i="73"/>
  <c r="AI97" i="73"/>
  <c r="AG96" i="73"/>
  <c r="AH97" i="73"/>
  <c r="AH80" i="73"/>
  <c r="AH81" i="73"/>
  <c r="AI80" i="73"/>
  <c r="AI81" i="73"/>
  <c r="AF81" i="73"/>
  <c r="AG81" i="73"/>
  <c r="AG80" i="73"/>
  <c r="AH78" i="73"/>
  <c r="AG79" i="73"/>
  <c r="AF78" i="73"/>
  <c r="AH79" i="73"/>
  <c r="AI78" i="73"/>
  <c r="AF79" i="73"/>
  <c r="AF80" i="73"/>
  <c r="AI79" i="73"/>
  <c r="AG78"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O76" i="22" l="1"/>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<sst xmlns="http://schemas.openxmlformats.org/spreadsheetml/2006/main" count="8539" uniqueCount="2464">
  <si>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</si>
  <si>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</si>
  <si>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</si>
  <si>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</si>
  <si>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</si>
  <si>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</si>
  <si>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</si>
  <si>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</si>
  <si>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</si>
  <si>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</si>
  <si>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</si>
  <si>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</si>
  <si>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</si>
  <si>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</si>
  <si>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</si>
  <si>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</si>
  <si>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</si>
  <si>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</si>
  <si>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</si>
  <si>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</si>
  <si>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</si>
  <si>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</si>
  <si>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</si>
  <si>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</si>
  <si>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</si>
  <si>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</si>
  <si>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</si>
  <si>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</si>
  <si>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</si>
  <si>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</si>
  <si>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</si>
  <si>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</si>
  <si>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</si>
  <si>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</si>
  <si>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</si>
  <si>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</si>
  <si>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</si>
  <si>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</si>
  <si>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</si>
  <si>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</si>
  <si>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</si>
  <si>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</si>
  <si>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</si>
  <si>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</si>
  <si>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</si>
  <si>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</si>
  <si>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</si>
  <si>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</si>
  <si>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</si>
  <si>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</si>
  <si>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</si>
  <si>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</si>
  <si>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</si>
  <si>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</si>
  <si>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</si>
  <si>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</si>
  <si>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</si>
  <si>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</si>
  <si>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</si>
  <si>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</si>
  <si>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</si>
  <si>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</si>
  <si>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</si>
  <si>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</si>
  <si>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</si>
  <si>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</si>
  <si>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</si>
  <si>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</si>
  <si>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</si>
  <si>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</si>
  <si>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</si>
  <si>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</si>
  <si>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</si>
  <si>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</si>
  <si>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</si>
  <si>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</si>
  <si>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</si>
  <si>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</si>
  <si>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</si>
  <si>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</si>
  <si>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</si>
  <si>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</si>
  <si>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</si>
  <si>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</si>
  <si>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</si>
  <si>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</si>
  <si>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</si>
  <si>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</si>
  <si>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</si>
  <si>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</si>
  <si>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</si>
  <si>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</si>
  <si>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</si>
  <si>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</si>
  <si>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</si>
  <si>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</si>
  <si>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</si>
  <si>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</si>
  <si>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</si>
  <si>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</si>
  <si>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</si>
  <si>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</si>
  <si>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</si>
  <si>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</si>
  <si>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</si>
  <si>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</si>
  <si>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</si>
  <si>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</si>
  <si>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</si>
  <si>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</si>
  <si>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</si>
  <si>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</si>
  <si>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</si>
  <si>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</si>
  <si>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</si>
  <si>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</si>
  <si>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</si>
  <si>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</si>
  <si>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</si>
  <si>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</si>
  <si>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</si>
  <si>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</si>
  <si>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</si>
  <si>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</si>
  <si>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</si>
  <si>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</si>
  <si>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</si>
  <si>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</si>
  <si>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</si>
  <si>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</si>
  <si>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</si>
  <si>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</si>
  <si>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</si>
  <si>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</si>
  <si>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</si>
  <si>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</si>
  <si>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</si>
  <si>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</si>
  <si>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</si>
  <si>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</si>
  <si>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</si>
  <si>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</si>
  <si>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</si>
  <si>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</si>
  <si>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</si>
  <si>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</si>
  <si>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</si>
  <si>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</si>
  <si>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</si>
  <si>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</si>
  <si>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</si>
  <si>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</si>
  <si>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</si>
  <si>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</si>
  <si>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</si>
  <si>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</si>
  <si>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</si>
  <si>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</si>
  <si>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</si>
  <si>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</si>
  <si>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</si>
  <si>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</si>
  <si>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</si>
  <si>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</si>
  <si>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</si>
  <si>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</si>
  <si>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</si>
  <si>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</si>
  <si>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</si>
  <si>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</si>
  <si>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</si>
  <si>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</si>
  <si>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</si>
  <si>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</si>
  <si>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</si>
  <si>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</si>
  <si>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</si>
  <si>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</si>
  <si>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</si>
  <si>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</si>
  <si>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</si>
  <si>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</si>
  <si>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</si>
  <si>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</si>
  <si>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</si>
  <si>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</si>
  <si>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</si>
  <si>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</si>
  <si>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</si>
  <si>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</si>
  <si>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</si>
  <si>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</si>
  <si>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</si>
  <si>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</si>
  <si>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</si>
  <si>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</si>
  <si>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</si>
  <si>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</si>
  <si>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</si>
  <si>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</si>
  <si>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</si>
  <si>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</si>
  <si>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</si>
  <si>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</si>
  <si>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</si>
  <si>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</si>
  <si>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</si>
  <si>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</si>
  <si>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</si>
  <si>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</si>
  <si>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</si>
  <si>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</si>
  <si>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</si>
  <si>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</si>
  <si>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</si>
  <si>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</si>
  <si>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</si>
  <si>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</si>
  <si>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</si>
  <si>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</si>
  <si>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</si>
  <si>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</si>
  <si>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</si>
  <si>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</si>
  <si>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</si>
  <si>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</si>
  <si>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</si>
  <si>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</si>
  <si>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</si>
  <si>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</si>
  <si>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</si>
  <si>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</si>
  <si>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</si>
  <si>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</si>
  <si>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</si>
  <si>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</si>
  <si>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</si>
  <si>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</si>
  <si>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</si>
  <si>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</si>
  <si>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</si>
  <si>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</si>
  <si>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</si>
  <si>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</si>
  <si>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</si>
  <si>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</si>
  <si>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</si>
  <si>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</si>
  <si>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</si>
  <si>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</si>
  <si>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</si>
  <si>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</si>
  <si>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</si>
  <si>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</si>
  <si>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</si>
  <si>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</si>
  <si>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</si>
  <si>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</si>
  <si>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</si>
  <si>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</si>
  <si>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</si>
  <si>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</si>
  <si>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</si>
  <si>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</si>
  <si>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</si>
  <si>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</si>
  <si>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</si>
  <si>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</si>
  <si>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</si>
  <si>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</si>
  <si>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</si>
  <si>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</si>
  <si>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</si>
  <si>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</si>
  <si>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</si>
  <si>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</si>
  <si>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</si>
  <si>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</si>
  <si>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</si>
  <si>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</si>
  <si>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</si>
  <si>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</si>
  <si>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</si>
  <si>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</si>
  <si>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</si>
  <si>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</si>
  <si>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</si>
  <si>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</si>
  <si>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</si>
  <si>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</si>
  <si>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</si>
  <si>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</si>
  <si>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</si>
  <si>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</si>
  <si>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</si>
  <si>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</si>
  <si>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</si>
  <si>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</si>
  <si>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</si>
  <si>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</si>
  <si>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</si>
  <si>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</si>
  <si>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</si>
  <si>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</si>
  <si>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</si>
  <si>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</si>
  <si>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</si>
  <si>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</si>
  <si>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</si>
  <si>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</si>
  <si>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</si>
  <si>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</si>
  <si>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</si>
  <si>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</si>
  <si>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</si>
  <si>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</si>
  <si>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</si>
  <si>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</si>
  <si>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</si>
  <si>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</si>
  <si>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</si>
  <si>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</si>
  <si>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</si>
  <si>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</si>
  <si>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</si>
  <si>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</si>
  <si>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</si>
  <si>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</si>
  <si>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</si>
  <si>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</si>
  <si>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</si>
  <si>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</si>
  <si>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</si>
  <si>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</si>
  <si>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</si>
  <si>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</si>
  <si>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</si>
  <si>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</si>
  <si>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</si>
  <si>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</si>
  <si>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</si>
  <si>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</si>
  <si>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</si>
  <si>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</si>
  <si>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</si>
  <si>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</si>
  <si>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</si>
  <si>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</si>
  <si>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</si>
  <si>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</si>
  <si>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</si>
  <si>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</si>
  <si>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</si>
  <si>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</si>
  <si>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</si>
  <si>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</si>
  <si>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</si>
  <si>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</si>
  <si>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</si>
  <si>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</si>
  <si>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</si>
  <si>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</si>
  <si>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</si>
  <si>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</si>
  <si>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</si>
  <si>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</si>
  <si>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</si>
  <si>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</si>
  <si>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</si>
  <si>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</si>
  <si>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</si>
  <si>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</si>
  <si>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</si>
  <si>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</si>
  <si>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</si>
  <si>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</si>
  <si>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</si>
  <si>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</si>
  <si>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</si>
  <si>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</si>
  <si>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</si>
  <si>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</si>
  <si>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</si>
  <si>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</si>
  <si>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</si>
  <si>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</si>
  <si>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</si>
  <si>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</si>
  <si>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</si>
  <si>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</si>
  <si>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</si>
  <si>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</si>
  <si>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</si>
  <si>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</si>
  <si>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</si>
  <si>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</si>
  <si>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</si>
  <si>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</si>
  <si>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</si>
  <si>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</si>
  <si>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</si>
  <si>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</si>
  <si>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</si>
  <si>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</si>
  <si>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</si>
  <si>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</si>
  <si>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</si>
  <si>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</si>
  <si>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</si>
  <si>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</si>
  <si>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</si>
  <si>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</si>
  <si>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</si>
  <si>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</si>
  <si>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</si>
  <si>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</si>
  <si>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</si>
  <si>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</si>
  <si>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</si>
  <si>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</si>
  <si>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</si>
  <si>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</si>
  <si>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</si>
  <si>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</si>
  <si>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</si>
  <si>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</si>
  <si>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</si>
  <si>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</si>
  <si>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</si>
  <si>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</si>
  <si>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</si>
  <si>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</si>
  <si>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</si>
  <si>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</si>
  <si>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</si>
  <si>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</si>
  <si>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</si>
  <si>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</si>
  <si>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</si>
  <si>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</si>
  <si>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</si>
  <si>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</si>
  <si>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</si>
  <si>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</si>
  <si>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</si>
  <si>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</si>
  <si>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</si>
  <si>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</si>
  <si>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</si>
  <si>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</si>
  <si>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</si>
  <si>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</si>
  <si>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</si>
  <si>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</si>
  <si>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</si>
  <si>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</si>
  <si>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</si>
  <si>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</si>
  <si>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</si>
  <si>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</si>
  <si>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</si>
  <si>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</si>
  <si>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</si>
  <si>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</si>
  <si>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</si>
  <si>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</si>
  <si>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</si>
  <si>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</si>
  <si>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</si>
  <si>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</si>
  <si>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</si>
  <si>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</si>
  <si>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</si>
  <si>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</si>
  <si>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</si>
  <si>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</si>
  <si>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</si>
  <si>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</si>
  <si>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</si>
  <si>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</si>
  <si>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</si>
  <si>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</si>
  <si>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</si>
  <si>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</si>
  <si>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</si>
  <si>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</si>
  <si>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</si>
  <si>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</si>
  <si>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</si>
  <si>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</si>
  <si>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</si>
  <si>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</si>
  <si>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</si>
  <si>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</si>
  <si>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</si>
  <si>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</si>
  <si>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</si>
  <si>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</si>
  <si>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</si>
  <si>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</si>
  <si>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</si>
  <si>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</si>
  <si>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</si>
  <si>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</si>
  <si>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</si>
  <si>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</si>
  <si>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</si>
  <si>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</si>
  <si>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</si>
  <si>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</si>
  <si>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</si>
  <si>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</si>
  <si>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</si>
  <si>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</si>
  <si>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</si>
  <si>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</si>
  <si>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</si>
  <si>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</si>
  <si>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</si>
  <si>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</si>
  <si>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</si>
  <si>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</si>
  <si>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</si>
  <si>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</si>
  <si>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</si>
  <si>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</si>
  <si>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</si>
  <si>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</si>
  <si>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</si>
  <si>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</si>
  <si>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</si>
  <si>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</si>
  <si>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</si>
  <si>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</si>
  <si>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</si>
  <si>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</si>
  <si>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</si>
  <si>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</si>
  <si>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</si>
  <si>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</si>
  <si>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</si>
  <si>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</si>
  <si>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</si>
  <si>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</si>
  <si>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</si>
  <si>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</si>
  <si>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</si>
  <si>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</si>
  <si>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</si>
  <si>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</si>
  <si>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</si>
  <si>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</si>
  <si>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</si>
  <si>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</si>
  <si>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</si>
  <si>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</si>
  <si>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</si>
  <si>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</si>
  <si>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</si>
  <si>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</si>
  <si>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</si>
  <si>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</si>
  <si>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</si>
  <si>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</si>
  <si>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</si>
  <si>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</si>
  <si>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</si>
  <si>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</si>
  <si>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</si>
  <si>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</si>
  <si>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</si>
  <si>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</si>
  <si>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</si>
  <si>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</si>
  <si>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</si>
  <si>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</si>
  <si>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</si>
  <si>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</si>
  <si>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</si>
  <si>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</si>
  <si>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</si>
  <si>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</si>
  <si>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</si>
  <si>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</si>
  <si>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</si>
  <si>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</si>
  <si>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</si>
  <si>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</si>
  <si>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</si>
  <si>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</si>
  <si>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</si>
  <si>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</si>
  <si>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</si>
  <si>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</si>
  <si>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</si>
  <si>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</si>
  <si>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</si>
  <si>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</si>
  <si>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</si>
  <si>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</si>
  <si>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</si>
  <si>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</si>
  <si>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</si>
  <si>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</si>
  <si>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</si>
  <si>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</si>
  <si>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</si>
  <si>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</si>
  <si>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</si>
  <si>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</si>
  <si>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</si>
  <si>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</si>
  <si>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</si>
  <si>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</si>
  <si>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</si>
  <si>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</si>
  <si>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</si>
  <si>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</si>
  <si>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</si>
  <si>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</si>
  <si>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</si>
  <si>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</si>
  <si>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</si>
  <si>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</si>
  <si>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</si>
  <si>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</si>
  <si>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</si>
  <si>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</si>
  <si>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</si>
  <si>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</si>
  <si>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</si>
  <si>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</si>
  <si>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</si>
  <si>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</si>
  <si>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</si>
  <si>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</si>
  <si>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</si>
  <si>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</si>
  <si>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</si>
  <si>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</si>
  <si>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</si>
  <si>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</si>
  <si>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</si>
  <si>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</si>
  <si>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</si>
  <si>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</si>
  <si>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</si>
  <si>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</si>
  <si>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</si>
  <si>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</si>
  <si>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</si>
  <si>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</si>
  <si>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</si>
  <si>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</si>
  <si>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</si>
  <si>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</si>
  <si>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</si>
  <si>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</si>
  <si>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</si>
  <si>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</si>
  <si>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</si>
  <si>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</si>
  <si>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</si>
  <si>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</si>
  <si>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</si>
  <si>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</si>
  <si>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</si>
  <si>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</si>
  <si>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</si>
  <si>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</si>
  <si>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</si>
  <si>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</si>
  <si>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</si>
  <si>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</si>
  <si>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</si>
  <si>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</si>
  <si>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</si>
  <si>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</si>
  <si>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</si>
  <si>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</si>
  <si>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</si>
  <si>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</si>
  <si>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</si>
  <si>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</si>
  <si>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</si>
  <si>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</si>
  <si>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</si>
  <si>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</si>
  <si>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</si>
  <si>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</si>
  <si>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</si>
  <si>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</si>
  <si>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</si>
  <si>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</si>
  <si>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</si>
  <si>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</si>
  <si>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</si>
  <si>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</si>
  <si>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</si>
  <si>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</si>
  <si>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</si>
  <si>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</si>
  <si>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</si>
  <si>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</si>
  <si>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</si>
  <si>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</si>
  <si>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</si>
  <si>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</si>
  <si>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</si>
  <si>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</si>
  <si>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</si>
  <si>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</si>
  <si>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</si>
  <si>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</si>
  <si>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</si>
  <si>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</si>
  <si>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</si>
  <si>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</si>
  <si>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</si>
  <si>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</si>
  <si>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</si>
  <si>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</si>
  <si>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</si>
  <si>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</si>
  <si>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</si>
  <si>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</si>
  <si>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</si>
  <si>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</si>
  <si>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</si>
  <si>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</si>
  <si>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</si>
  <si>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</si>
  <si>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</si>
  <si>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</si>
  <si>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</si>
  <si>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</si>
  <si>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</si>
  <si>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</si>
  <si>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</si>
  <si>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</si>
  <si>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</si>
  <si>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</si>
  <si>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</si>
  <si>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</si>
  <si>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</si>
  <si>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</si>
  <si>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</si>
  <si>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</si>
  <si>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</si>
  <si>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</si>
  <si>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</si>
  <si>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</si>
  <si>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</si>
  <si>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</si>
  <si>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</si>
  <si>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</si>
  <si>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</si>
  <si>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</si>
  <si>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</si>
  <si>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</si>
  <si>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</si>
  <si>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</si>
  <si>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</si>
  <si>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</si>
  <si>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</si>
  <si>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</si>
  <si>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</si>
  <si>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</si>
  <si>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</si>
  <si>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</si>
  <si>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</si>
  <si>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</si>
  <si>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</si>
  <si>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</si>
  <si>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</si>
  <si>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</si>
  <si>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</si>
  <si>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</si>
  <si>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</si>
  <si>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</si>
  <si>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</si>
  <si>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</si>
  <si>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</si>
  <si>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</si>
  <si>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</si>
  <si>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</si>
  <si>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</si>
  <si>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</si>
  <si>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</si>
  <si>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</si>
  <si>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</si>
  <si>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</si>
  <si>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</si>
  <si>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</si>
  <si>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</si>
  <si>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</si>
  <si>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</si>
  <si>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</si>
  <si>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</si>
  <si>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</si>
  <si>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</si>
  <si>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</si>
  <si>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</si>
  <si>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</si>
  <si>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</si>
  <si>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</si>
  <si>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</si>
  <si>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</si>
  <si>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</si>
  <si>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</si>
  <si>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</si>
  <si>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</si>
  <si>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</si>
  <si>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</si>
  <si>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</si>
  <si>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</si>
  <si>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</si>
  <si>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</si>
  <si>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</si>
  <si>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</si>
  <si>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</si>
  <si>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</si>
  <si>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</si>
  <si>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</si>
  <si>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</si>
  <si>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</si>
  <si>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</si>
  <si>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</si>
  <si>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</si>
  <si>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</si>
  <si>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</si>
  <si>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</si>
  <si>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</si>
  <si>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</si>
  <si>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</si>
  <si>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</si>
  <si>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</si>
  <si>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</si>
  <si>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</si>
  <si>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</si>
  <si>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</si>
  <si>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</si>
  <si>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</si>
  <si>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</si>
  <si>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</si>
  <si>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</si>
  <si>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</si>
  <si>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</si>
  <si>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</si>
  <si>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</si>
  <si>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</si>
  <si>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</si>
  <si>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</si>
  <si>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</si>
  <si>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</si>
  <si>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</si>
  <si>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</si>
  <si>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</si>
  <si>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</si>
  <si>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</si>
  <si>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</si>
  <si>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</si>
  <si>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</si>
  <si>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</si>
  <si>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</si>
  <si>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</si>
  <si>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</si>
  <si>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</si>
  <si>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</si>
  <si>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</si>
  <si>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</si>
  <si>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</si>
  <si>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</si>
  <si>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</si>
  <si>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</si>
  <si>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</si>
  <si>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</si>
  <si>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</si>
  <si>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</si>
  <si>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</si>
  <si>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</si>
  <si>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</si>
  <si>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</si>
  <si>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</si>
  <si>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</si>
  <si>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</si>
  <si>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</si>
  <si>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</si>
  <si>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</si>
  <si>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</si>
  <si>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</si>
  <si>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</si>
  <si>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</si>
  <si>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</si>
  <si>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</si>
  <si>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</si>
  <si>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</si>
  <si>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</si>
  <si>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</si>
  <si>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</si>
  <si>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</si>
  <si>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</si>
  <si>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</si>
  <si>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</si>
  <si>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</si>
  <si>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</si>
  <si>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</si>
  <si>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</si>
  <si>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</si>
  <si>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</si>
  <si>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</si>
  <si>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</si>
  <si>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</si>
  <si>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</si>
  <si>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</si>
  <si>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</si>
  <si>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</si>
  <si>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</si>
  <si>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</si>
  <si>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</si>
  <si>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</si>
  <si>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</si>
  <si>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</si>
  <si>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</si>
  <si>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</si>
  <si>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</si>
  <si>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</si>
  <si>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</si>
  <si>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</si>
  <si>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</si>
  <si>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</si>
  <si>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</si>
  <si>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</si>
  <si>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</si>
  <si>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</si>
  <si>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</si>
  <si>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</si>
  <si>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</si>
  <si>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</si>
  <si>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</si>
  <si>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</si>
  <si>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</si>
  <si>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</si>
  <si>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</si>
  <si>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</si>
  <si>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</si>
  <si>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</si>
  <si>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</si>
  <si>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</si>
  <si>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</si>
  <si>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</si>
  <si>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</si>
  <si>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</si>
  <si>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</si>
  <si>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</si>
  <si>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</si>
  <si>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</si>
  <si>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</si>
  <si>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</si>
  <si>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</si>
  <si>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</si>
  <si>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</si>
  <si>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</si>
  <si>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</si>
  <si>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</si>
  <si>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</si>
  <si>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</si>
  <si>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</si>
  <si>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</si>
  <si>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</si>
  <si>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</si>
  <si>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</si>
  <si>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</si>
  <si>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</si>
  <si>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</si>
  <si>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</si>
  <si>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</si>
  <si>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</si>
  <si>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</si>
  <si>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</si>
  <si>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</si>
  <si>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</si>
  <si>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</si>
  <si>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</si>
  <si>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</si>
  <si>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</si>
  <si>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</si>
  <si>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</si>
  <si>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</si>
  <si>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</si>
  <si>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</si>
  <si>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</si>
  <si>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</si>
  <si>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</si>
  <si>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</si>
  <si>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</si>
  <si>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</si>
  <si>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</si>
  <si>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</si>
  <si>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</si>
  <si>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</si>
  <si>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</si>
  <si>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</si>
  <si>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</si>
  <si>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</si>
  <si>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</si>
  <si>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</si>
  <si>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</si>
  <si>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</si>
  <si>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</si>
  <si>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</si>
  <si>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</si>
  <si>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</si>
  <si>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</si>
  <si>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</si>
  <si>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</si>
  <si>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</si>
  <si>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</si>
  <si>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</si>
  <si>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</si>
  <si>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</si>
  <si>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</si>
  <si>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</si>
  <si>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</si>
  <si>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</si>
  <si>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</si>
  <si>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</si>
  <si>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</si>
  <si>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</si>
  <si>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</si>
  <si>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</si>
  <si>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</si>
  <si>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</si>
  <si>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</si>
  <si>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</si>
  <si>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</si>
  <si>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</si>
  <si>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</si>
  <si>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</si>
  <si>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</si>
  <si>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</si>
  <si>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</si>
  <si>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</si>
  <si>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</si>
  <si>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</si>
  <si>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</si>
  <si>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</si>
  <si>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</si>
  <si>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</si>
  <si>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</si>
  <si>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</si>
  <si>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</si>
  <si>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</si>
  <si>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</si>
  <si>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</si>
  <si>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</si>
  <si>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</si>
  <si>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</si>
  <si>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</si>
  <si>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</si>
  <si>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</si>
  <si>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</si>
  <si>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</si>
  <si>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</si>
  <si>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</si>
  <si>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</si>
  <si>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</si>
  <si>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</si>
  <si>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</si>
  <si>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</si>
  <si>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</si>
  <si>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</si>
  <si>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</si>
  <si>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</si>
  <si>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</si>
  <si>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</si>
  <si>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</si>
  <si>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</si>
  <si>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</si>
  <si>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</si>
  <si>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</si>
  <si>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</si>
  <si>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</si>
  <si>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</si>
  <si>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</si>
  <si>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</si>
  <si>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</si>
  <si>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</si>
  <si>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</si>
  <si>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</si>
  <si>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</si>
  <si>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</si>
  <si>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</si>
  <si>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</si>
  <si>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</si>
  <si>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</si>
  <si>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</si>
  <si>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</si>
  <si>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</si>
  <si>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</si>
  <si>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</si>
  <si>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</si>
  <si>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</si>
  <si>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</si>
  <si>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</si>
  <si>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</si>
  <si>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</si>
  <si>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</si>
  <si>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</si>
  <si>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</si>
  <si>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</si>
  <si>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</si>
  <si>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</si>
  <si>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</si>
  <si>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</si>
  <si>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</si>
  <si>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</si>
  <si>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</si>
  <si>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</si>
  <si>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</si>
  <si>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</si>
  <si>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</si>
  <si>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</si>
  <si>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</si>
  <si>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</si>
  <si>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</si>
  <si>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</si>
  <si>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</si>
  <si>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</si>
  <si>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</si>
  <si>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</si>
  <si>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</si>
  <si>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</si>
  <si>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</si>
  <si>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</si>
  <si>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</si>
  <si>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</si>
  <si>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</si>
  <si>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</si>
  <si>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</si>
  <si>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</si>
  <si>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</si>
  <si>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</si>
  <si>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</si>
  <si>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</si>
  <si>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</si>
  <si>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</si>
  <si>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</si>
  <si>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</si>
  <si>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</si>
  <si>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</si>
  <si>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</si>
  <si>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</si>
  <si>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</si>
  <si>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</si>
  <si>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</si>
  <si>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</si>
  <si>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</si>
  <si>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</si>
  <si>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</si>
  <si>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</si>
  <si>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</si>
  <si>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</si>
  <si>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</si>
  <si>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</si>
  <si>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</si>
  <si>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</si>
  <si>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</si>
  <si>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</si>
  <si>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</si>
  <si>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</si>
  <si>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</si>
  <si>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</si>
  <si>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</si>
  <si>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</si>
  <si>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</si>
  <si>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</si>
  <si>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</si>
  <si>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</si>
  <si>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</si>
  <si>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</si>
  <si>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</si>
  <si>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</si>
  <si>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</si>
  <si>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</si>
  <si>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</si>
  <si>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</si>
  <si>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</si>
  <si>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</si>
  <si>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</si>
  <si>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</si>
  <si>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</si>
  <si>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</si>
  <si>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</si>
  <si>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</si>
  <si>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</si>
  <si>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</si>
  <si>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</si>
  <si>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</si>
  <si>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</si>
  <si>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</si>
  <si>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</si>
  <si>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</si>
  <si>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</si>
  <si>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</si>
  <si>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</si>
  <si>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</si>
  <si>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</si>
  <si>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</si>
  <si>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</si>
  <si>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</si>
  <si>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</si>
  <si>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</si>
  <si>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</si>
  <si>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</si>
  <si>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</si>
  <si>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</si>
  <si>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</si>
  <si>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</si>
  <si>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</si>
  <si>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</si>
  <si>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</si>
  <si>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</si>
  <si>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</si>
  <si>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</si>
  <si>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</si>
  <si>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</si>
  <si>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</si>
  <si>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</si>
  <si>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</si>
  <si>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</si>
  <si>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</si>
  <si>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</si>
  <si>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</si>
  <si>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</si>
  <si>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</si>
  <si>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</si>
  <si>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</si>
  <si>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</si>
  <si>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</si>
  <si>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</si>
  <si>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</si>
  <si>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</si>
  <si>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</si>
  <si>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</si>
  <si>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</si>
  <si>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</si>
  <si>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</si>
  <si>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</si>
  <si>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</si>
  <si>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</si>
  <si>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</si>
  <si>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</si>
  <si>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</si>
  <si>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</si>
  <si>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</si>
  <si>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</si>
  <si>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</si>
  <si>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</si>
  <si>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</si>
  <si>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</si>
  <si>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</si>
  <si>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</si>
  <si>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</si>
  <si>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</si>
  <si>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</si>
  <si>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</si>
  <si>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</si>
  <si>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</si>
  <si>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</si>
  <si>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</si>
  <si>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</si>
  <si>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</si>
  <si>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</si>
  <si>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</si>
  <si>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</si>
  <si>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</si>
  <si>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</si>
  <si>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</si>
  <si>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</si>
  <si>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</si>
  <si>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</si>
  <si>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</si>
  <si>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</si>
  <si>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</si>
  <si>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</si>
  <si>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</si>
  <si>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</si>
  <si>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</si>
  <si>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</si>
  <si>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</si>
  <si>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</si>
  <si>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</si>
  <si>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</si>
  <si>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</si>
  <si>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</si>
  <si>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</si>
  <si>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</si>
  <si>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</si>
  <si>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</si>
  <si>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</si>
  <si>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</si>
  <si>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</si>
  <si>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</si>
  <si>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</si>
  <si>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</si>
  <si>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</si>
  <si>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</si>
  <si>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</si>
  <si>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</si>
  <si>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</si>
  <si>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</si>
  <si>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</si>
  <si>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</si>
  <si>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</si>
  <si>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</si>
  <si>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</si>
  <si>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</si>
  <si>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</si>
  <si>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</si>
  <si>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</si>
  <si>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</si>
  <si>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</si>
  <si>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</si>
  <si>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</si>
  <si>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</si>
  <si>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</si>
  <si>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</si>
  <si>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</si>
  <si>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</si>
  <si>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</si>
  <si>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</si>
  <si>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</si>
  <si>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</si>
  <si>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</si>
  <si>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</si>
  <si>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</si>
  <si>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</si>
  <si>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</si>
  <si>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</si>
  <si>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</si>
  <si>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</si>
  <si>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</si>
  <si>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</si>
  <si>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</si>
  <si>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</si>
  <si>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</si>
  <si>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</si>
  <si>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</si>
  <si>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</si>
  <si>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</si>
  <si>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</si>
  <si>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</si>
  <si>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</si>
  <si>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</si>
  <si>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</si>
  <si>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</si>
  <si>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</si>
  <si>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</si>
  <si>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</si>
  <si>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</si>
  <si>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</si>
  <si>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</si>
  <si>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</si>
  <si>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</si>
  <si>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</si>
  <si>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</si>
  <si>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</si>
  <si>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</si>
  <si>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</si>
  <si>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</si>
  <si>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</si>
  <si>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</si>
  <si>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</si>
  <si>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</si>
  <si>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</si>
  <si>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</si>
  <si>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</si>
  <si>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</si>
  <si>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</si>
  <si>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</si>
  <si>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</si>
  <si>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</si>
  <si>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</si>
  <si>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</si>
  <si>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</si>
  <si>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</si>
  <si>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</si>
  <si>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</si>
  <si>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</si>
  <si>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</si>
  <si>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</si>
  <si>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</si>
  <si>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</si>
  <si>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</si>
  <si>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</si>
  <si>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</si>
  <si>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</si>
  <si>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</si>
  <si>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</si>
  <si>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</si>
  <si>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</si>
  <si>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</si>
  <si>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</si>
  <si>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</si>
  <si>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</si>
  <si>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</si>
  <si>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</si>
  <si>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</si>
  <si>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</si>
  <si>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</si>
  <si>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</si>
  <si>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</si>
  <si>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</si>
  <si>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</si>
  <si>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</si>
  <si>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</si>
  <si>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</si>
  <si>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</si>
  <si>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</si>
  <si>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</si>
  <si>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</si>
  <si>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</si>
  <si>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</si>
  <si>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</si>
  <si>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</si>
  <si>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</si>
  <si>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</si>
  <si>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</si>
  <si>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</si>
  <si>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</si>
  <si>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</si>
  <si>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</si>
  <si>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</si>
  <si>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</si>
  <si>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</si>
  <si>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</si>
  <si>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</si>
  <si>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</si>
  <si>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</si>
  <si>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</si>
  <si>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</si>
  <si>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</si>
  <si>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</si>
  <si>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</si>
  <si>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</si>
  <si>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</si>
  <si>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</si>
  <si>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</si>
  <si>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</si>
  <si>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</si>
  <si>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</si>
  <si>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</si>
  <si>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</si>
  <si>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</si>
  <si>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</si>
  <si>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</si>
  <si>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</si>
  <si>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</si>
  <si>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</si>
  <si>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</si>
  <si>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</si>
  <si>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</si>
  <si>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</si>
  <si>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</si>
  <si>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</si>
  <si>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</si>
  <si>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</si>
  <si>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</si>
  <si>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</si>
  <si>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</si>
  <si>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</si>
  <si>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</si>
  <si>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</si>
  <si>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</si>
  <si>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</si>
  <si>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</si>
  <si>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</si>
  <si>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</si>
  <si>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</si>
  <si>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</si>
  <si>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</si>
  <si>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</si>
  <si>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</si>
  <si>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</si>
  <si>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</si>
  <si>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</si>
  <si>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</si>
  <si>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</si>
  <si>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</si>
  <si>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</si>
  <si>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</si>
  <si>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</si>
  <si>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</si>
  <si>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</si>
  <si>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</si>
  <si>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</si>
  <si>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</si>
  <si>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</si>
  <si>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</si>
  <si>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</si>
  <si>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</si>
  <si>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</si>
  <si>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</si>
  <si>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</si>
  <si>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</si>
  <si>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</si>
  <si>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</si>
  <si>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</si>
  <si>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</si>
  <si>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</si>
  <si>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</si>
  <si>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</si>
  <si>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</si>
  <si>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</si>
  <si>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</si>
  <si>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</si>
  <si>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</si>
  <si>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</si>
  <si>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</si>
  <si>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</si>
  <si>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</si>
  <si>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</si>
  <si>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</si>
  <si>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</si>
  <si>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</si>
  <si>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</si>
  <si>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</si>
  <si>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</si>
  <si>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</si>
  <si>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</si>
  <si>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</si>
  <si>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</si>
  <si>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</si>
  <si>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</si>
  <si>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</si>
  <si>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</si>
  <si>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</si>
  <si>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</si>
  <si>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</si>
  <si>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</si>
  <si>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</si>
  <si>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</si>
  <si>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</si>
  <si>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</si>
  <si>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</si>
  <si>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</si>
  <si>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</si>
  <si>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</si>
  <si>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</si>
  <si>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</si>
  <si>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</si>
  <si>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</si>
  <si>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</si>
  <si>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</si>
  <si>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</si>
  <si>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</si>
  <si>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</si>
  <si>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</si>
  <si>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</si>
  <si>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</si>
  <si>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</si>
  <si>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</si>
  <si>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</si>
  <si>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</si>
  <si>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</si>
  <si>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</si>
  <si>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</si>
  <si>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</si>
  <si>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</si>
  <si>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</si>
  <si>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</si>
  <si>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</si>
  <si>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</si>
  <si>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</si>
  <si>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</si>
  <si>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</si>
  <si>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</si>
  <si>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</si>
  <si>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</si>
  <si>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</si>
  <si>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</si>
  <si>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</si>
  <si>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</si>
  <si>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</si>
  <si>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</si>
  <si>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</si>
  <si>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</si>
  <si>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</si>
  <si>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</si>
  <si>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</si>
  <si>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</si>
  <si>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</si>
  <si>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</si>
  <si>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</si>
  <si>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</si>
  <si>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</si>
  <si>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</si>
  <si>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</si>
  <si>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</si>
  <si>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</si>
  <si>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</si>
  <si>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</si>
  <si>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</si>
  <si>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</si>
  <si>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</si>
  <si>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</si>
  <si>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</si>
  <si>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</si>
  <si>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</si>
  <si>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</si>
  <si>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</si>
  <si>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</si>
  <si>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</si>
  <si>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</si>
  <si>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</si>
  <si>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</si>
  <si>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</si>
  <si>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</si>
  <si>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</si>
  <si>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</si>
  <si>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</si>
  <si>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</si>
  <si>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</si>
  <si>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</si>
  <si>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</si>
  <si>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</si>
  <si>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</si>
  <si>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</si>
  <si>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</si>
  <si>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</si>
  <si>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</si>
  <si>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</si>
  <si>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</si>
  <si>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</si>
  <si>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</si>
  <si>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</si>
  <si>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</si>
  <si>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</si>
  <si>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</si>
  <si>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</si>
  <si>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</si>
  <si>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</si>
  <si>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</si>
  <si>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</si>
  <si>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</si>
  <si>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</si>
  <si>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</si>
  <si>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</si>
  <si>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</si>
  <si>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</si>
  <si>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</si>
  <si>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</si>
  <si>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</si>
  <si>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</si>
  <si>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</si>
  <si>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</si>
  <si>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</si>
  <si>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</si>
  <si>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</si>
  <si>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</si>
  <si>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</si>
  <si>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</si>
  <si>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</si>
  <si>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</si>
  <si>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</si>
  <si>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</si>
  <si>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</si>
  <si>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</si>
  <si>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</si>
  <si>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</si>
  <si>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</si>
  <si>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</si>
  <si>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</si>
  <si>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</si>
  <si>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</si>
  <si>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</si>
  <si>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</si>
  <si>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</si>
  <si>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</si>
  <si>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</si>
  <si>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</si>
  <si>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</si>
  <si>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</si>
  <si>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</si>
  <si>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</si>
  <si>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</si>
  <si>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</si>
  <si>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</si>
  <si>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</si>
  <si>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</si>
  <si>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</si>
  <si>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</si>
  <si>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</si>
  <si>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</si>
  <si>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</si>
  <si>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</si>
  <si>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</si>
  <si>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</si>
  <si>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</si>
  <si>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</si>
  <si>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</si>
  <si>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</si>
  <si>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</si>
  <si>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</si>
  <si>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</si>
  <si>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</si>
  <si>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</si>
  <si>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</si>
  <si>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</si>
  <si>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</si>
  <si>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</si>
  <si>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</si>
  <si>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</si>
  <si>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</si>
  <si>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</si>
  <si>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</si>
  <si>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</si>
  <si>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</si>
  <si>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</si>
  <si>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</si>
  <si>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</si>
  <si>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</si>
  <si>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</si>
  <si>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</si>
  <si>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</si>
  <si>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</si>
  <si>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</si>
  <si>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</si>
  <si>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</si>
  <si>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</si>
  <si>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</si>
  <si>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</si>
  <si>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</si>
  <si>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</si>
  <si>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</si>
  <si>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</si>
  <si>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</si>
  <si>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</si>
  <si>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</si>
  <si>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</si>
  <si>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</si>
  <si>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</si>
  <si>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</si>
  <si>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</si>
  <si>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</si>
  <si>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</si>
  <si>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</si>
  <si>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</si>
  <si>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</si>
  <si>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</si>
  <si>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</si>
  <si>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</si>
  <si>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</si>
  <si>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</si>
  <si>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</si>
  <si>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</si>
  <si>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</si>
  <si>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</si>
  <si>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</si>
  <si>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</si>
  <si>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</si>
  <si>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</si>
  <si>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</si>
  <si>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</si>
  <si>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</si>
  <si>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</si>
  <si>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</si>
  <si>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</si>
  <si>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</si>
  <si>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</si>
  <si>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</si>
  <si>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</si>
  <si>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</si>
  <si>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</si>
  <si>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</si>
  <si>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</si>
  <si>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</si>
  <si>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</si>
  <si>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</si>
  <si>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</si>
  <si>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</si>
  <si>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</si>
  <si>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</si>
  <si>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</si>
  <si>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</si>
  <si>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</si>
  <si>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</si>
  <si>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</si>
  <si>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</si>
  <si>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</si>
  <si>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</si>
  <si>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</si>
  <si>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</si>
  <si>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</si>
  <si>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</si>
  <si>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</si>
  <si>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</si>
  <si>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</si>
  <si>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</si>
  <si>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</si>
  <si>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</si>
  <si>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</si>
  <si>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</si>
  <si>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</si>
  <si>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</si>
  <si>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</si>
  <si>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</si>
  <si>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</si>
  <si>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</si>
  <si>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</si>
  <si>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</si>
  <si>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</si>
  <si>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</si>
  <si>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</si>
  <si>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</si>
  <si>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</si>
  <si>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</si>
  <si>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</si>
  <si>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</si>
  <si>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</si>
  <si>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</si>
  <si>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</si>
  <si>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</si>
  <si>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</si>
  <si>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</si>
  <si>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</si>
  <si>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</si>
  <si>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</si>
  <si>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</si>
  <si>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</si>
  <si>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</si>
  <si>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</si>
  <si>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</si>
  <si>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</si>
  <si>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</si>
  <si>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</si>
  <si>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</si>
  <si>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</si>
  <si>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</si>
  <si>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</si>
  <si>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</si>
  <si>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</si>
  <si>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</si>
  <si>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</si>
  <si>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</si>
  <si>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</si>
  <si>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</si>
  <si>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</si>
  <si>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</si>
  <si>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</si>
  <si>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</si>
  <si>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</si>
  <si>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</si>
  <si>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</si>
  <si>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</si>
  <si>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</si>
  <si>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</si>
  <si>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</si>
  <si>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</si>
  <si>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</si>
  <si>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</si>
  <si>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</si>
  <si>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</si>
  <si>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</si>
  <si>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</si>
  <si>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</si>
  <si>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</si>
  <si>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</si>
  <si>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</si>
  <si>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</si>
  <si>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</si>
  <si>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</si>
  <si>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</si>
  <si>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</si>
  <si>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</si>
  <si>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</si>
  <si>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</si>
  <si>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</si>
  <si>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</si>
  <si>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</si>
  <si>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</si>
  <si>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</si>
  <si>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</si>
  <si>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</si>
  <si>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</si>
  <si>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</si>
  <si>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</si>
  <si>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</si>
  <si>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</si>
  <si>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</si>
  <si>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</si>
  <si>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</si>
  <si>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</si>
  <si>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</si>
  <si>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</si>
  <si>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</si>
  <si>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</si>
  <si>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</si>
  <si>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</si>
  <si>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</si>
  <si>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</si>
  <si>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</si>
  <si>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</si>
  <si>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</si>
  <si>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</si>
  <si>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</si>
  <si>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</si>
  <si>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</si>
  <si>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</si>
  <si>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</si>
  <si>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</si>
  <si>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</si>
  <si>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</si>
  <si>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</si>
  <si>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</si>
  <si>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</si>
  <si>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</si>
  <si>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</si>
  <si>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</si>
  <si>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</si>
  <si>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</si>
  <si>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</si>
  <si>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</si>
  <si>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</si>
  <si>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</si>
  <si>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</si>
  <si>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</si>
  <si>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</si>
  <si>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</si>
  <si>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</si>
  <si>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</si>
  <si>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</si>
  <si>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</si>
  <si>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</si>
  <si>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</si>
  <si>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</si>
  <si>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</si>
  <si>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</si>
  <si>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</si>
  <si>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</si>
  <si>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</si>
  <si>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</si>
  <si>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</si>
  <si>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</si>
  <si>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</si>
  <si>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</si>
  <si>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</si>
  <si>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</si>
  <si>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</si>
  <si>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</si>
  <si>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</si>
  <si>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</si>
  <si>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</si>
  <si>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</si>
  <si>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</si>
  <si>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</si>
  <si>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</si>
  <si>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</si>
  <si>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</si>
  <si>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</si>
  <si>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</si>
  <si>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</si>
  <si>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</si>
  <si>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</si>
  <si>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</si>
  <si>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</si>
  <si>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</si>
  <si>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</si>
  <si>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</si>
  <si>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</si>
  <si>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</si>
  <si>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</si>
  <si>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</si>
  <si>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</si>
  <si>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</si>
  <si>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</si>
  <si>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</si>
  <si>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</si>
  <si>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</si>
  <si>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</si>
  <si>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</si>
  <si>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</si>
  <si>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</si>
  <si>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</si>
  <si>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</si>
  <si>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</si>
  <si>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</si>
  <si>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</si>
  <si>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</si>
  <si>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</si>
  <si>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</si>
  <si>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</si>
  <si>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</si>
  <si>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</si>
  <si>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</si>
  <si>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</si>
  <si>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</si>
  <si>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</si>
  <si>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</si>
  <si>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</si>
  <si>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</si>
  <si>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</si>
  <si>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</si>
  <si>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</si>
  <si>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</si>
  <si>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</si>
  <si>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</si>
  <si>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</si>
  <si>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</si>
  <si>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</si>
  <si>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</si>
  <si>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</si>
  <si>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</si>
  <si>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</si>
  <si>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</si>
  <si>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</si>
  <si>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</si>
  <si>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</si>
  <si>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</si>
  <si>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</si>
  <si>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</si>
  <si>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</si>
  <si>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</si>
  <si>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</si>
  <si>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</si>
  <si>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</si>
  <si>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</si>
  <si>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</si>
  <si>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</si>
  <si>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</si>
  <si>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</si>
  <si>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</si>
  <si>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</si>
  <si>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</si>
  <si>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</si>
  <si>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</si>
  <si>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</si>
  <si>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</si>
  <si>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</si>
  <si>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</si>
  <si>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</si>
  <si>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</si>
  <si>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</si>
  <si>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</si>
  <si>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</si>
  <si>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</si>
  <si>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</si>
  <si>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</si>
  <si>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</si>
  <si>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</si>
  <si>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</si>
  <si>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</si>
  <si>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</si>
  <si>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</si>
  <si>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</si>
  <si>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</si>
  <si>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</si>
  <si>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</si>
  <si>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</si>
  <si>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</si>
  <si>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</si>
  <si>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</si>
  <si>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</si>
  <si>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</si>
  <si>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</si>
  <si>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</si>
  <si>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</si>
  <si>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</si>
  <si>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</si>
  <si>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</si>
  <si>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</si>
  <si>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</si>
  <si>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</si>
  <si>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</si>
  <si>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</si>
  <si>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</si>
  <si>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</si>
  <si>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</si>
  <si>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</si>
  <si>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</si>
  <si>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</si>
  <si>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</si>
  <si>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</si>
  <si>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</si>
  <si>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</si>
  <si>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</si>
  <si>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</si>
  <si>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</si>
  <si>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</si>
  <si>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</si>
  <si>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</si>
  <si>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</si>
  <si>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</si>
  <si>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</si>
  <si>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</si>
  <si>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</si>
  <si>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</si>
  <si>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</si>
  <si>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</si>
  <si>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</si>
  <si>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</si>
  <si>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</si>
  <si>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</si>
  <si>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</si>
  <si>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</si>
  <si>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</si>
  <si>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</si>
  <si>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</si>
  <si>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</si>
  <si>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</si>
  <si>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</si>
  <si>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</si>
  <si>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</si>
  <si>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</si>
  <si>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</si>
  <si>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</si>
  <si>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</si>
  <si>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</si>
  <si>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</si>
  <si>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</si>
  <si>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</si>
  <si>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</si>
  <si>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</si>
  <si>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</si>
  <si>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</si>
  <si>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</si>
  <si>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</si>
  <si>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</si>
  <si>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</si>
  <si>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</si>
  <si>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</si>
  <si>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</si>
  <si>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</si>
  <si>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</si>
  <si>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</si>
  <si>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</si>
  <si>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</si>
  <si>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</si>
  <si>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</si>
  <si>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</si>
  <si>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</si>
  <si>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</si>
  <si>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</si>
  <si>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</si>
  <si>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</si>
  <si>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</si>
  <si>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</si>
  <si>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</si>
  <si>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</si>
  <si>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</si>
  <si>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</si>
  <si>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</si>
  <si>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</si>
  <si>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</si>
  <si>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</si>
  <si>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</si>
  <si>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</si>
  <si>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</si>
  <si>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</si>
  <si>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</si>
  <si>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</si>
  <si>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</si>
  <si>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</si>
  <si>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</si>
  <si>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</si>
  <si>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</si>
  <si>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</si>
  <si>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</si>
  <si>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</si>
  <si>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</si>
  <si>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</si>
  <si>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</si>
  <si>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</si>
  <si>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</si>
  <si>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</si>
  <si>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</si>
  <si>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</si>
  <si>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</si>
  <si>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</si>
  <si>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</si>
  <si>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</si>
  <si>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</si>
  <si>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</si>
  <si>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</si>
  <si>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</si>
  <si>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</si>
  <si>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</si>
  <si>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</si>
  <si>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</si>
  <si>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</si>
  <si>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</si>
  <si>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</si>
  <si>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</si>
  <si>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</si>
  <si>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</si>
  <si>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</si>
  <si>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</si>
  <si>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</si>
  <si>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</si>
  <si>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</si>
  <si>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</si>
  <si>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</si>
  <si>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</si>
  <si>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</si>
  <si>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</si>
  <si>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</si>
  <si>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</si>
  <si>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</si>
  <si>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</si>
  <si>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</si>
  <si>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</si>
  <si>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</si>
  <si>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</si>
  <si>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</si>
  <si>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</si>
  <si>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</si>
  <si>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</si>
  <si>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</si>
  <si>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</si>
  <si>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</si>
  <si>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</si>
  <si>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</si>
  <si>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</si>
  <si>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</si>
  <si>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</si>
  <si>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</si>
  <si>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</si>
  <si>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</si>
  <si>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</si>
  <si>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</si>
  <si>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</si>
  <si>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</si>
  <si>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</si>
  <si>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</si>
  <si>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</si>
  <si>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</si>
  <si>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</si>
  <si>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</si>
  <si>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</si>
  <si>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</si>
  <si>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</si>
  <si>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</si>
  <si>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</si>
  <si>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</si>
  <si>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</si>
  <si>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</si>
  <si>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</si>
  <si>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</si>
  <si>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</si>
  <si>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</si>
  <si>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</si>
  <si>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</si>
  <si>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</si>
  <si>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</si>
  <si>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</si>
  <si>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</si>
  <si>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</si>
  <si>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</si>
  <si>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</si>
  <si>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</si>
  <si>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</si>
  <si>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</si>
  <si>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</si>
  <si>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</si>
  <si>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</si>
  <si>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</si>
  <si>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</si>
  <si>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</si>
  <si>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</si>
  <si>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</si>
  <si>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</si>
  <si>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</si>
  <si>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</si>
  <si>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</si>
  <si>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</si>
  <si>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</si>
  <si>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</si>
  <si>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</si>
  <si>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</si>
  <si>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</si>
  <si>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</si>
  <si>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</si>
  <si>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</si>
  <si>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</si>
  <si>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</si>
  <si>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</si>
  <si>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</si>
  <si>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</si>
  <si>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</si>
  <si>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</si>
  <si>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</si>
  <si>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</si>
  <si>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</si>
  <si>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</si>
  <si>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</si>
  <si>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</si>
  <si>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</si>
  <si>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</si>
  <si>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</si>
  <si>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</si>
  <si>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</si>
  <si>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</si>
  <si>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</si>
  <si>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</si>
  <si>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</si>
  <si>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</si>
  <si>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</si>
  <si>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</si>
  <si>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</si>
  <si>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</si>
  <si>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</si>
  <si>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</si>
  <si>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</si>
  <si>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</si>
  <si>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</si>
  <si>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</si>
  <si>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</si>
  <si>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</si>
  <si>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</si>
  <si>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</si>
  <si>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</si>
  <si>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</si>
  <si>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</si>
  <si>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</si>
  <si>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</si>
  <si>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</si>
  <si>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</si>
  <si>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</si>
  <si>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</si>
  <si>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</si>
  <si>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</si>
  <si>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</si>
  <si>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</si>
  <si>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</si>
  <si>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</si>
  <si>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</si>
  <si>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</si>
  <si>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</si>
  <si>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</si>
  <si>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</si>
  <si>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</si>
  <si>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</si>
  <si>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</si>
  <si>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</si>
  <si>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</si>
  <si>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</si>
  <si>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</si>
  <si>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</si>
  <si>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</si>
  <si>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</si>
  <si>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</si>
  <si>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</si>
  <si>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</si>
  <si>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</si>
  <si>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</si>
  <si>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</si>
  <si>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</si>
  <si>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</si>
  <si>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</si>
  <si>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</si>
  <si>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</si>
  <si>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</si>
  <si>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</si>
  <si>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</si>
  <si>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</si>
  <si>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</si>
  <si>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</si>
  <si>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</si>
  <si>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</si>
  <si>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</si>
  <si>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</si>
  <si>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</si>
  <si>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</si>
  <si>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</si>
  <si>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</si>
  <si>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</si>
  <si>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</si>
  <si>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</si>
  <si>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</si>
  <si>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</si>
  <si>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</si>
  <si>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</si>
  <si>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</si>
  <si>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</si>
  <si>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</si>
  <si>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</si>
  <si>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</si>
  <si>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</si>
  <si>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</si>
  <si>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</si>
  <si>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</si>
  <si>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</si>
  <si>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</si>
  <si>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</si>
  <si>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</si>
  <si>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</si>
  <si>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</si>
  <si>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</si>
  <si>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</si>
  <si>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</si>
  <si>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</si>
  <si>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</si>
  <si>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</si>
  <si>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</si>
  <si>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</si>
  <si>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</si>
  <si>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</si>
  <si>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</si>
  <si>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</si>
  <si>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</si>
  <si>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</si>
  <si>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</si>
  <si>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</si>
  <si>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</si>
  <si>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</si>
  <si>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</si>
  <si>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</si>
  <si>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</si>
  <si>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</si>
  <si>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</si>
  <si>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</si>
  <si>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</si>
  <si>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</si>
  <si>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</si>
  <si>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</si>
  <si>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</si>
  <si>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</si>
  <si>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</si>
  <si>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</si>
  <si>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</si>
  <si>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</si>
  <si>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</si>
  <si>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</si>
  <si>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</si>
  <si>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</si>
  <si>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</si>
  <si>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</si>
  <si>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</si>
  <si>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</si>
  <si>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</si>
  <si>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</si>
  <si>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</si>
  <si>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</si>
  <si>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</si>
  <si>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</si>
  <si>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</si>
  <si>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</si>
  <si>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</si>
  <si>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</si>
  <si>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</si>
  <si>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</si>
  <si>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</si>
  <si>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</si>
  <si>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</si>
  <si>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</si>
  <si>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</si>
  <si>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</si>
  <si>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</si>
  <si>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</si>
  <si>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</si>
  <si>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</si>
  <si>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</si>
  <si>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hb/vers. 4.2.11
2026-06-22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</si>
</sst>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7">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0" xfId="0" applyFill="1" applyBorder="1" applyAlignment="1">
      <alignment horizontal="center" vertical="center" wrapText="1"/>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0" fillId="13" borderId="93"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3">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1018"/>
      <c r="D1" s="1018"/>
      <c r="E1" s="1017" t="str">
        <f>Language!$E$121</f>
        <v>World Cup 2026 in Canada/Mexico/USA</v>
      </c>
      <c r="F1" s="1017"/>
      <c r="G1" s="1017"/>
      <c r="H1" s="1017"/>
      <c r="I1" s="1017"/>
      <c r="J1" s="1017"/>
      <c r="K1" s="1017"/>
      <c r="L1" s="1017"/>
      <c r="M1" s="1017"/>
      <c r="N1" s="1017"/>
      <c r="O1" s="1017"/>
      <c r="P1" s="1017"/>
      <c r="Q1" s="1017"/>
      <c r="R1" s="1017"/>
      <c r="S1" s="1017"/>
      <c r="T1" s="1017"/>
      <c r="U1" s="1017"/>
      <c r="V1" s="610"/>
      <c r="W1" s="610"/>
      <c r="X1" s="377" t="s">
        <v>2463</v>
      </c>
      <c r="Y1" s="24"/>
      <c r="AJ1" s="377"/>
      <c r="AV1" s="377" t="str">
        <f>X1</f>
        <v>hb/vers. 4.2.11
2026-06-22</v>
      </c>
    </row>
    <row r="2" spans="1:52" s="371" customFormat="1" ht="15" customHeight="1" x14ac:dyDescent="0.25">
      <c r="A2" s="369"/>
      <c r="B2" s="367"/>
      <c r="C2" s="62" t="str">
        <f>Language!$E$134</f>
        <v xml:space="preserve">  Pts.     Goals</v>
      </c>
      <c r="D2" s="370"/>
      <c r="E2" s="367"/>
      <c r="F2" s="62" t="str">
        <f>Language!$E$134</f>
        <v xml:space="preserve">  Pts.     Goals</v>
      </c>
      <c r="G2" s="370"/>
      <c r="H2" s="367"/>
      <c r="I2" s="62" t="str">
        <f>Language!$E$134</f>
        <v xml:space="preserve">  Pts.     Goals</v>
      </c>
      <c r="J2" s="370"/>
      <c r="K2" s="368"/>
      <c r="L2" s="62" t="str">
        <f>Language!$E$134</f>
        <v xml:space="preserve">  Pts.     Goals</v>
      </c>
      <c r="M2" s="370"/>
      <c r="N2" s="367"/>
      <c r="O2" s="62" t="str">
        <f>Language!$E$134</f>
        <v xml:space="preserve">  Pts.     Goals</v>
      </c>
      <c r="P2" s="370"/>
      <c r="Q2" s="367"/>
      <c r="R2" s="62" t="str">
        <f>Language!$E$134</f>
        <v xml:space="preserve">  Pts.     Goals</v>
      </c>
      <c r="S2" s="370"/>
      <c r="T2" s="367"/>
      <c r="U2" s="62" t="str">
        <f>Language!$E$134</f>
        <v xml:space="preserve">  Pts.     Goals</v>
      </c>
      <c r="V2" s="370"/>
      <c r="W2" s="367"/>
      <c r="X2" s="62" t="str">
        <f>Language!$E$134</f>
        <v xml:space="preserve">  Pts.     Goals</v>
      </c>
      <c r="Y2" s="369"/>
      <c r="Z2" s="367"/>
      <c r="AA2" s="62" t="str">
        <f>Language!$E$134</f>
        <v xml:space="preserve">  Pts.     Goals</v>
      </c>
      <c r="AB2" s="370"/>
      <c r="AC2" s="367"/>
      <c r="AD2" s="62" t="str">
        <f>Language!$E$134</f>
        <v xml:space="preserve">  Pts.     Goals</v>
      </c>
      <c r="AE2" s="370"/>
      <c r="AF2" s="367"/>
      <c r="AG2" s="62" t="str">
        <f>Language!$E$134</f>
        <v xml:space="preserve">  Pts.     Goals</v>
      </c>
      <c r="AH2" s="370"/>
      <c r="AI2" s="368"/>
      <c r="AJ2" s="62" t="str">
        <f>Language!$E$134</f>
        <v xml:space="preserve">  Pts.     Goals</v>
      </c>
      <c r="AK2" s="370"/>
      <c r="AL2" s="409"/>
      <c r="AM2" s="409"/>
      <c r="AN2" s="409"/>
      <c r="AO2" s="409"/>
      <c r="AP2" s="409"/>
      <c r="AQ2" s="409"/>
      <c r="AR2" s="409"/>
      <c r="AS2" s="409"/>
      <c r="AT2" s="409"/>
      <c r="AU2" s="409"/>
      <c r="AV2" s="409"/>
    </row>
    <row r="3" spans="1:52" x14ac:dyDescent="0.25">
      <c r="A3" s="5"/>
      <c r="B3" s="379" t="str">
        <f>CalcA!$D22</f>
        <v>Mexico</v>
      </c>
      <c r="C3" s="380" t="str">
        <f>"   "&amp;CalcA!$E22&amp;"        "&amp;CalcA!$F22&amp;Language!$E$203&amp;CalcA!$G22</f>
        <v xml:space="preserve">   6        3 - 0</v>
      </c>
      <c r="D3" s="80"/>
      <c r="E3" s="379" t="str">
        <f>CalcB!$D22</f>
        <v>Canada</v>
      </c>
      <c r="F3" s="380" t="str">
        <f>"   "&amp;CalcB!$E22&amp;"        "&amp;CalcB!$F22&amp;Language!$E$203&amp;CalcB!$G22</f>
        <v xml:space="preserve">   4        7 - 1</v>
      </c>
      <c r="G3" s="80"/>
      <c r="H3" s="379" t="str">
        <f>CalcC!$D22</f>
        <v>Brazil</v>
      </c>
      <c r="I3" s="380" t="str">
        <f>"   "&amp;CalcC!$E22&amp;"        "&amp;CalcC!$F22&amp;Language!$E$203&amp;CalcC!$G22</f>
        <v xml:space="preserve">   4        4 - 1</v>
      </c>
      <c r="J3" s="81"/>
      <c r="K3" s="379" t="str">
        <f>CalcD!$D22</f>
        <v>USA</v>
      </c>
      <c r="L3" s="380" t="str">
        <f>"   "&amp;CalcD!$E22&amp;"        "&amp;CalcD!$F22&amp;Language!$E$203&amp;CalcD!$G22</f>
        <v xml:space="preserve">   6        6 - 1</v>
      </c>
      <c r="M3" s="81"/>
      <c r="N3" s="379" t="str">
        <f>CalcE!$D22</f>
        <v>Germany</v>
      </c>
      <c r="O3" s="380" t="str">
        <f>"   "&amp;CalcE!$E22&amp;"        "&amp;CalcE!$F22&amp;Language!$E$203&amp;CalcE!$G22</f>
        <v xml:space="preserve">   6        9 - 2</v>
      </c>
      <c r="P3" s="80"/>
      <c r="Q3" s="379" t="str">
        <f>CalcF!$D22</f>
        <v>Netherlands</v>
      </c>
      <c r="R3" s="380" t="str">
        <f>"   "&amp;CalcF!$E22&amp;"        "&amp;CalcF!$F22&amp;Language!$E$203&amp;CalcF!$G22</f>
        <v xml:space="preserve">   4        7 - 3</v>
      </c>
      <c r="S3" s="81"/>
      <c r="T3" s="379" t="str">
        <f>CalcG!$D22</f>
        <v>Egypt</v>
      </c>
      <c r="U3" s="380" t="str">
        <f>"   "&amp;CalcG!$E22&amp;"        "&amp;CalcG!$F22&amp;Language!$E$203&amp;CalcG!$G22</f>
        <v xml:space="preserve">   4        4 - 2</v>
      </c>
      <c r="V3" s="80"/>
      <c r="W3" s="379" t="str">
        <f>CalcH!$D22</f>
        <v>Spain</v>
      </c>
      <c r="X3" s="380" t="str">
        <f>"   "&amp;CalcH!$E22&amp;"        "&amp;CalcH!$F22&amp;Language!$E$203&amp;CalcH!$G22</f>
        <v xml:space="preserve">   4        4 - 0</v>
      </c>
      <c r="Y3" s="5"/>
      <c r="Z3" s="379" t="str">
        <f>CalcI!$D22</f>
        <v>Norway</v>
      </c>
      <c r="AA3" s="380" t="str">
        <f>"   "&amp;CalcI!$E22&amp;"        "&amp;CalcI!$F22&amp;Language!$E$203&amp;CalcI!$G22</f>
        <v xml:space="preserve">   3        4 - 1</v>
      </c>
      <c r="AB3" s="80"/>
      <c r="AC3" s="379" t="str">
        <f>CalcJ!$D22</f>
        <v>Argentina</v>
      </c>
      <c r="AD3" s="380" t="str">
        <f>"   "&amp;CalcJ!$E22&amp;"        "&amp;CalcJ!$F22&amp;Language!$E$203&amp;CalcJ!$G22</f>
        <v xml:space="preserve">   3        3 - 0</v>
      </c>
      <c r="AE3" s="80"/>
      <c r="AF3" s="379" t="str">
        <f>CalcK!$D22</f>
        <v>Colombia</v>
      </c>
      <c r="AG3" s="380" t="str">
        <f>"   "&amp;CalcK!$E22&amp;"        "&amp;CalcK!$F22&amp;Language!$E$203&amp;CalcK!$G22</f>
        <v xml:space="preserve">   3        3 - 1</v>
      </c>
      <c r="AH3" s="81"/>
      <c r="AI3" s="379" t="str">
        <f>CalcL!$D22</f>
        <v>England</v>
      </c>
      <c r="AJ3" s="380" t="str">
        <f>"   "&amp;CalcL!$E22&amp;"        "&amp;CalcL!$F22&amp;Language!$E$203&amp;CalcL!$G22</f>
        <v xml:space="preserve">   3        4 - 2</v>
      </c>
      <c r="AK3" s="81"/>
      <c r="AL3" s="867"/>
      <c r="AM3" s="409"/>
      <c r="AN3" s="409"/>
      <c r="AO3" s="409"/>
      <c r="AP3" s="409"/>
      <c r="AQ3" s="409"/>
      <c r="AR3" s="409"/>
      <c r="AS3" s="409"/>
      <c r="AT3" s="409"/>
      <c r="AU3" s="409"/>
      <c r="AV3" s="409"/>
      <c r="AZ3" s="371"/>
    </row>
    <row r="4" spans="1:52" x14ac:dyDescent="0.25">
      <c r="A4" s="5"/>
      <c r="B4" s="381" t="str">
        <f>CalcA!$D23</f>
        <v>South Korea</v>
      </c>
      <c r="C4" s="382" t="str">
        <f>"   "&amp;CalcA!$E23&amp;"        "&amp;CalcA!$F23&amp;Language!$E$203&amp;CalcA!$G23</f>
        <v xml:space="preserve">   3        2 - 2</v>
      </c>
      <c r="D4" s="80"/>
      <c r="E4" s="381" t="str">
        <f>CalcB!$D23</f>
        <v>Switzerland</v>
      </c>
      <c r="F4" s="382" t="str">
        <f>"   "&amp;CalcB!$E23&amp;"        "&amp;CalcB!$F23&amp;Language!$E$203&amp;CalcB!$G23</f>
        <v xml:space="preserve">   4        5 - 2</v>
      </c>
      <c r="G4" s="80"/>
      <c r="H4" s="381" t="str">
        <f>CalcC!$D23</f>
        <v>Morocco</v>
      </c>
      <c r="I4" s="382" t="str">
        <f>"   "&amp;CalcC!$E23&amp;"        "&amp;CalcC!$F23&amp;Language!$E$203&amp;CalcC!$G23</f>
        <v xml:space="preserve">   4        2 - 1</v>
      </c>
      <c r="J4" s="81"/>
      <c r="K4" s="381" t="str">
        <f>CalcD!$D23</f>
        <v>Australia</v>
      </c>
      <c r="L4" s="382" t="str">
        <f>"   "&amp;CalcD!$E23&amp;"        "&amp;CalcD!$F23&amp;Language!$E$203&amp;CalcD!$G23</f>
        <v xml:space="preserve">   3        2 - 2</v>
      </c>
      <c r="M4" s="81"/>
      <c r="N4" s="381" t="str">
        <f>CalcE!$D23</f>
        <v>Cote d'Ivoire</v>
      </c>
      <c r="O4" s="382" t="str">
        <f>"   "&amp;CalcE!$E23&amp;"        "&amp;CalcE!$F23&amp;Language!$E$203&amp;CalcE!$G23</f>
        <v xml:space="preserve">   3        2 - 2</v>
      </c>
      <c r="P4" s="80"/>
      <c r="Q4" s="381" t="str">
        <f>CalcF!$D23</f>
        <v>Japan</v>
      </c>
      <c r="R4" s="382" t="str">
        <f>"   "&amp;CalcF!$E23&amp;"        "&amp;CalcF!$F23&amp;Language!$E$203&amp;CalcF!$G23</f>
        <v xml:space="preserve">   4        6 - 2</v>
      </c>
      <c r="S4" s="81"/>
      <c r="T4" s="381" t="str">
        <f>CalcG!$D23</f>
        <v>IR Iran</v>
      </c>
      <c r="U4" s="382" t="str">
        <f>"   "&amp;CalcG!$E23&amp;"        "&amp;CalcG!$F23&amp;Language!$E$203&amp;CalcG!$G23</f>
        <v xml:space="preserve">   2        2 - 2</v>
      </c>
      <c r="V4" s="80"/>
      <c r="W4" s="381" t="str">
        <f>CalcH!$D23</f>
        <v>Uruguay</v>
      </c>
      <c r="X4" s="382" t="str">
        <f>"   "&amp;CalcH!$E23&amp;"        "&amp;CalcH!$F23&amp;Language!$E$203&amp;CalcH!$G23</f>
        <v xml:space="preserve">   2        3 - 3</v>
      </c>
      <c r="Y4" s="5"/>
      <c r="Z4" s="381" t="str">
        <f>CalcI!$D23</f>
        <v>France</v>
      </c>
      <c r="AA4" s="382" t="str">
        <f>"   "&amp;CalcI!$E23&amp;"        "&amp;CalcI!$F23&amp;Language!$E$203&amp;CalcI!$G23</f>
        <v xml:space="preserve">   3        3 - 1</v>
      </c>
      <c r="AB4" s="80"/>
      <c r="AC4" s="381" t="str">
        <f>CalcJ!$D23</f>
        <v>Austria</v>
      </c>
      <c r="AD4" s="382" t="str">
        <f>"   "&amp;CalcJ!$E23&amp;"        "&amp;CalcJ!$F23&amp;Language!$E$203&amp;CalcJ!$G23</f>
        <v xml:space="preserve">   3        3 - 1</v>
      </c>
      <c r="AE4" s="80"/>
      <c r="AF4" s="381" t="str">
        <f>CalcK!$D23</f>
        <v>DR Congo</v>
      </c>
      <c r="AG4" s="382" t="str">
        <f>"   "&amp;CalcK!$E23&amp;"        "&amp;CalcK!$F23&amp;Language!$E$203&amp;CalcK!$G23</f>
        <v xml:space="preserve">   1        1 - 1</v>
      </c>
      <c r="AH4" s="81"/>
      <c r="AI4" s="381" t="str">
        <f>CalcL!$D23</f>
        <v>Ghana</v>
      </c>
      <c r="AJ4" s="382" t="str">
        <f>"   "&amp;CalcL!$E23&amp;"        "&amp;CalcL!$F23&amp;Language!$E$203&amp;CalcL!$G23</f>
        <v xml:space="preserve">   3        1 - 0</v>
      </c>
      <c r="AK4" s="81"/>
      <c r="AL4" s="868"/>
      <c r="AM4" s="409"/>
      <c r="AN4" s="409"/>
      <c r="AO4" s="409"/>
      <c r="AP4" s="409"/>
      <c r="AQ4" s="409"/>
      <c r="AR4" s="409"/>
      <c r="AS4" s="409"/>
      <c r="AT4" s="409"/>
      <c r="AU4" s="409"/>
      <c r="AV4" s="409"/>
      <c r="AZ4" s="371"/>
    </row>
    <row r="5" spans="1:52" x14ac:dyDescent="0.25">
      <c r="A5" s="5"/>
      <c r="B5" s="424" t="str">
        <f>CalcA!$D24</f>
        <v>Czechia</v>
      </c>
      <c r="C5" s="425" t="str">
        <f>"   "&amp;CalcA!$E24&amp;"        "&amp;CalcA!$F24&amp;Language!$E$203&amp;CalcA!$G24</f>
        <v xml:space="preserve">   1        2 - 3</v>
      </c>
      <c r="D5" s="80"/>
      <c r="E5" s="424" t="str">
        <f>CalcB!$D24</f>
        <v>Bosnia/Herzeg.</v>
      </c>
      <c r="F5" s="425" t="str">
        <f>"   "&amp;CalcB!$E24&amp;"        "&amp;CalcB!$F24&amp;Language!$E$203&amp;CalcB!$G24</f>
        <v xml:space="preserve">   1        2 - 5</v>
      </c>
      <c r="G5" s="80"/>
      <c r="H5" s="424" t="str">
        <f>CalcC!$D24</f>
        <v>Scotland</v>
      </c>
      <c r="I5" s="425" t="str">
        <f>"   "&amp;CalcC!$E24&amp;"        "&amp;CalcC!$F24&amp;Language!$E$203&amp;CalcC!$G24</f>
        <v xml:space="preserve">   3        1 - 1</v>
      </c>
      <c r="J5" s="81"/>
      <c r="K5" s="424" t="str">
        <f>CalcD!$D24</f>
        <v>Paraguay</v>
      </c>
      <c r="L5" s="425" t="str">
        <f>"   "&amp;CalcD!$E24&amp;"        "&amp;CalcD!$F24&amp;Language!$E$203&amp;CalcD!$G24</f>
        <v xml:space="preserve">   3        2 - 4</v>
      </c>
      <c r="M5" s="81"/>
      <c r="N5" s="424" t="str">
        <f>CalcE!$D24</f>
        <v>Ecuador</v>
      </c>
      <c r="O5" s="425" t="str">
        <f>"   "&amp;CalcE!$E24&amp;"        "&amp;CalcE!$F24&amp;Language!$E$203&amp;CalcE!$G24</f>
        <v xml:space="preserve">   1        0 - 1</v>
      </c>
      <c r="P5" s="80"/>
      <c r="Q5" s="424" t="str">
        <f>CalcF!$D24</f>
        <v>Sweden</v>
      </c>
      <c r="R5" s="425" t="str">
        <f>"   "&amp;CalcF!$E24&amp;"        "&amp;CalcF!$F24&amp;Language!$E$203&amp;CalcF!$G24</f>
        <v xml:space="preserve">   3        6 - 6</v>
      </c>
      <c r="S5" s="81"/>
      <c r="T5" s="424" t="str">
        <f>CalcG!$D24</f>
        <v>Belgium</v>
      </c>
      <c r="U5" s="425" t="str">
        <f>"   "&amp;CalcG!$E24&amp;"        "&amp;CalcG!$F24&amp;Language!$E$203&amp;CalcG!$G24</f>
        <v xml:space="preserve">   2        1 - 1</v>
      </c>
      <c r="V5" s="80"/>
      <c r="W5" s="424" t="str">
        <f>CalcH!$D24</f>
        <v>Cabo Verde</v>
      </c>
      <c r="X5" s="425" t="str">
        <f>"   "&amp;CalcH!$E24&amp;"        "&amp;CalcH!$F24&amp;Language!$E$203&amp;CalcH!$G24</f>
        <v xml:space="preserve">   2        2 - 2</v>
      </c>
      <c r="Y5" s="5"/>
      <c r="Z5" s="424" t="str">
        <f>CalcI!$D24</f>
        <v>Senegal</v>
      </c>
      <c r="AA5" s="425" t="str">
        <f>"   "&amp;CalcI!$E24&amp;"        "&amp;CalcI!$F24&amp;Language!$E$203&amp;CalcI!$G24</f>
        <v xml:space="preserve">   0        1 - 3</v>
      </c>
      <c r="AB5" s="80"/>
      <c r="AC5" s="424" t="str">
        <f>CalcJ!$D24</f>
        <v>Jordan</v>
      </c>
      <c r="AD5" s="425" t="str">
        <f>"   "&amp;CalcJ!$E24&amp;"        "&amp;CalcJ!$F24&amp;Language!$E$203&amp;CalcJ!$G24</f>
        <v xml:space="preserve">   0        1 - 3</v>
      </c>
      <c r="AE5" s="80"/>
      <c r="AF5" s="424" t="str">
        <f>CalcK!$D24</f>
        <v>Portugal</v>
      </c>
      <c r="AG5" s="425" t="str">
        <f>"   "&amp;CalcK!$E24&amp;"        "&amp;CalcK!$F24&amp;Language!$E$203&amp;CalcK!$G24</f>
        <v xml:space="preserve">   1        1 - 1</v>
      </c>
      <c r="AH5" s="81"/>
      <c r="AI5" s="424" t="str">
        <f>CalcL!$D24</f>
        <v>Panama</v>
      </c>
      <c r="AJ5" s="425" t="str">
        <f>"   "&amp;CalcL!$E24&amp;"        "&amp;CalcL!$F24&amp;Language!$E$203&amp;CalcL!$G24</f>
        <v xml:space="preserve">   0        0 - 1</v>
      </c>
      <c r="AK5" s="81"/>
      <c r="AL5" s="868"/>
      <c r="AM5" s="409"/>
      <c r="AN5" s="409"/>
      <c r="AO5" s="409"/>
      <c r="AP5" s="409"/>
      <c r="AQ5" s="409"/>
      <c r="AR5" s="409"/>
      <c r="AS5" s="409"/>
      <c r="AT5" s="409"/>
      <c r="AU5" s="409"/>
      <c r="AV5" s="409"/>
      <c r="AZ5" s="371"/>
    </row>
    <row r="6" spans="1:52" x14ac:dyDescent="0.25">
      <c r="A6" s="5"/>
      <c r="B6" s="91" t="str">
        <f>CalcA!$D25</f>
        <v>South Africa</v>
      </c>
      <c r="C6" s="366" t="str">
        <f>"   "&amp;CalcA!$E25&amp;"        "&amp;CalcA!$F25&amp;Language!$E$203&amp;CalcA!$G25</f>
        <v xml:space="preserve">   1        1 - 3</v>
      </c>
      <c r="D6" s="80"/>
      <c r="E6" s="91" t="str">
        <f>CalcB!$D25</f>
        <v>Qatar</v>
      </c>
      <c r="F6" s="366" t="str">
        <f>"   "&amp;CalcB!$E25&amp;"        "&amp;CalcB!$F25&amp;Language!$E$203&amp;CalcB!$G25</f>
        <v xml:space="preserve">   1        1 - 7</v>
      </c>
      <c r="G6" s="80"/>
      <c r="H6" s="91" t="str">
        <f>CalcC!$D25</f>
        <v>Haiti</v>
      </c>
      <c r="I6" s="366" t="str">
        <f>"   "&amp;CalcC!$E25&amp;"        "&amp;CalcC!$F25&amp;Language!$E$203&amp;CalcC!$G25</f>
        <v xml:space="preserve">   0        0 - 4</v>
      </c>
      <c r="J6" s="81"/>
      <c r="K6" s="91" t="str">
        <f>CalcD!$D25</f>
        <v>Turkiye</v>
      </c>
      <c r="L6" s="366" t="str">
        <f>"   "&amp;CalcD!$E25&amp;"        "&amp;CalcD!$F25&amp;Language!$E$203&amp;CalcD!$G25</f>
        <v xml:space="preserve">   0        0 - 3</v>
      </c>
      <c r="M6" s="81"/>
      <c r="N6" s="91" t="str">
        <f>CalcE!$D25</f>
        <v>Curaçao</v>
      </c>
      <c r="O6" s="366" t="str">
        <f>"   "&amp;CalcE!$E25&amp;"        "&amp;CalcE!$F25&amp;Language!$E$203&amp;CalcE!$G25</f>
        <v xml:space="preserve">   1        1 - 7</v>
      </c>
      <c r="P6" s="80"/>
      <c r="Q6" s="91" t="str">
        <f>CalcF!$D25</f>
        <v>Tunisia</v>
      </c>
      <c r="R6" s="366" t="str">
        <f>"   "&amp;CalcF!$E25&amp;"        "&amp;CalcF!$F25&amp;Language!$E$203&amp;CalcF!$G25</f>
        <v xml:space="preserve">   0        1 - 9</v>
      </c>
      <c r="S6" s="81"/>
      <c r="T6" s="91" t="str">
        <f>CalcG!$D25</f>
        <v>New Zealand</v>
      </c>
      <c r="U6" s="366" t="str">
        <f>"   "&amp;CalcG!$E25&amp;"        "&amp;CalcG!$F25&amp;Language!$E$203&amp;CalcG!$G25</f>
        <v xml:space="preserve">   1        3 - 5</v>
      </c>
      <c r="V6" s="80"/>
      <c r="W6" s="91" t="str">
        <f>CalcH!$D25</f>
        <v>Saudi Arabia</v>
      </c>
      <c r="X6" s="366" t="str">
        <f>"   "&amp;CalcH!$E25&amp;"        "&amp;CalcH!$F25&amp;Language!$E$203&amp;CalcH!$G25</f>
        <v xml:space="preserve">   1        1 - 5</v>
      </c>
      <c r="Y6" s="5"/>
      <c r="Z6" s="91" t="str">
        <f>CalcI!$D25</f>
        <v>Iraq</v>
      </c>
      <c r="AA6" s="366" t="str">
        <f>"   "&amp;CalcI!$E25&amp;"        "&amp;CalcI!$F25&amp;Language!$E$203&amp;CalcI!$G25</f>
        <v xml:space="preserve">   0        1 - 4</v>
      </c>
      <c r="AB6" s="80"/>
      <c r="AC6" s="91" t="str">
        <f>CalcJ!$D25</f>
        <v>Algeria</v>
      </c>
      <c r="AD6" s="366" t="str">
        <f>"   "&amp;CalcJ!$E25&amp;"        "&amp;CalcJ!$F25&amp;Language!$E$203&amp;CalcJ!$G25</f>
        <v xml:space="preserve">   0        0 - 3</v>
      </c>
      <c r="AE6" s="80"/>
      <c r="AF6" s="91" t="str">
        <f>CalcK!$D25</f>
        <v>Uzbekistan</v>
      </c>
      <c r="AG6" s="366" t="str">
        <f>"   "&amp;CalcK!$E25&amp;"        "&amp;CalcK!$F25&amp;Language!$E$203&amp;CalcK!$G25</f>
        <v xml:space="preserve">   0        1 - 3</v>
      </c>
      <c r="AH6" s="81"/>
      <c r="AI6" s="91" t="str">
        <f>CalcL!$D25</f>
        <v>Croatia</v>
      </c>
      <c r="AJ6" s="366" t="str">
        <f>"   "&amp;CalcL!$E25&amp;"        "&amp;CalcL!$F25&amp;Language!$E$203&amp;CalcL!$G25</f>
        <v xml:space="preserve">   0        2 - 4</v>
      </c>
      <c r="AK6" s="81"/>
      <c r="AL6" s="868"/>
      <c r="AM6" s="409"/>
      <c r="AN6" s="409"/>
      <c r="AO6" s="409"/>
      <c r="AP6" s="409"/>
      <c r="AQ6" s="409"/>
      <c r="AR6" s="409"/>
      <c r="AS6" s="409"/>
      <c r="AT6" s="409"/>
      <c r="AU6" s="409"/>
      <c r="AV6" s="409"/>
    </row>
    <row r="7" spans="1:52" ht="13.5" customHeight="1" x14ac:dyDescent="0.25">
      <c r="A7" s="5"/>
      <c r="B7" s="981" t="str">
        <f>IF(Distinctness!$G$17=0,"",IF(Distinctness!$D$4&gt;0,Distinctness!$J$4,Distinctness!$J$5))</f>
        <v>The placement has been clarified in all groups.</v>
      </c>
      <c r="C7" s="981"/>
      <c r="D7" s="981"/>
      <c r="E7" s="981"/>
      <c r="F7" s="981"/>
      <c r="G7" s="981"/>
      <c r="H7" s="981"/>
      <c r="I7" s="981"/>
      <c r="J7" s="981"/>
      <c r="K7" s="981"/>
      <c r="L7" s="981"/>
      <c r="M7" s="981"/>
      <c r="N7" s="981"/>
      <c r="O7" s="981"/>
      <c r="P7" s="981"/>
      <c r="Q7" s="981"/>
      <c r="R7" s="981"/>
      <c r="S7" s="981"/>
      <c r="T7" s="981"/>
      <c r="U7" s="981"/>
      <c r="V7" s="981"/>
      <c r="W7" s="981"/>
      <c r="X7" s="981"/>
      <c r="Y7" s="5"/>
      <c r="Z7" s="981" t="str">
        <f>B7</f>
        <v>The placement has been clarified in all groups.</v>
      </c>
      <c r="AA7" s="981"/>
      <c r="AB7" s="981"/>
      <c r="AC7" s="981"/>
      <c r="AD7" s="981"/>
      <c r="AE7" s="981"/>
      <c r="AF7" s="981"/>
      <c r="AG7" s="981"/>
      <c r="AH7" s="981"/>
      <c r="AI7" s="981"/>
      <c r="AJ7" s="981"/>
      <c r="AK7" s="410"/>
      <c r="AL7" s="410"/>
      <c r="AM7" s="410"/>
      <c r="AN7" s="410"/>
      <c r="AO7" s="410"/>
      <c r="AP7" s="410"/>
      <c r="AQ7" s="410"/>
      <c r="AR7" s="410"/>
      <c r="AS7" s="410"/>
      <c r="AT7" s="410"/>
      <c r="AU7" s="410"/>
      <c r="AV7" s="410"/>
      <c r="AZ7" t="str">
        <f>DailySchedule!$N7</f>
        <v/>
      </c>
    </row>
    <row r="8" spans="1:52" ht="11.25" customHeight="1" x14ac:dyDescent="0.25">
      <c r="A8" s="4"/>
      <c r="B8" s="992" t="str">
        <f>IF(CalcA!$AU$14,"•","")</f>
        <v/>
      </c>
      <c r="C8" s="993"/>
      <c r="D8" s="98"/>
      <c r="E8" s="992" t="str">
        <f>IF(CalcB!$AU$14,"•","")</f>
        <v/>
      </c>
      <c r="F8" s="993"/>
      <c r="G8" s="98"/>
      <c r="H8" s="992" t="str">
        <f>IF(CalcC!$AU$14,"•","")</f>
        <v/>
      </c>
      <c r="I8" s="993"/>
      <c r="J8" s="98"/>
      <c r="K8" s="992" t="str">
        <f>IF(CalcD!$AU$14,"•","")</f>
        <v/>
      </c>
      <c r="L8" s="993"/>
      <c r="M8" s="22"/>
      <c r="N8" s="992" t="str">
        <f>IF(CalcE!$AU$14,"•","")</f>
        <v/>
      </c>
      <c r="O8" s="993"/>
      <c r="P8" s="98"/>
      <c r="Q8" s="992" t="str">
        <f>IF(CalcF!$AU$14,"•","")</f>
        <v/>
      </c>
      <c r="R8" s="993"/>
      <c r="S8" s="99"/>
      <c r="T8" s="992" t="str">
        <f>IF(CalcG!$AU$14,"•","")</f>
        <v/>
      </c>
      <c r="U8" s="993"/>
      <c r="V8" s="98"/>
      <c r="W8" s="992" t="str">
        <f>IF(CalcH!$AU$14,"•","")</f>
        <v/>
      </c>
      <c r="X8" s="993"/>
      <c r="Y8" s="4"/>
      <c r="Z8" s="992" t="str">
        <f>IF(CalcI!$AU$14,"•","")</f>
        <v/>
      </c>
      <c r="AA8" s="993"/>
      <c r="AB8" s="98"/>
      <c r="AC8" s="992" t="str">
        <f>IF(CalcJ!$AU$14,"•","")</f>
        <v/>
      </c>
      <c r="AD8" s="993"/>
      <c r="AE8" s="98"/>
      <c r="AF8" s="992" t="str">
        <f>IF(CalcK!$AU$14,"•","")</f>
        <v/>
      </c>
      <c r="AG8" s="993"/>
      <c r="AH8" s="98"/>
      <c r="AI8" s="992" t="str">
        <f>IF(CalcL!$AU$14,"•","")</f>
        <v/>
      </c>
      <c r="AJ8" s="993"/>
      <c r="AK8" s="412"/>
      <c r="AL8" s="422"/>
      <c r="AM8" s="422"/>
      <c r="AN8" s="413"/>
      <c r="AO8" s="422"/>
      <c r="AP8" s="422"/>
      <c r="AQ8" s="414"/>
      <c r="AR8" s="422"/>
      <c r="AS8" s="422"/>
      <c r="AT8" s="413"/>
      <c r="AU8" s="422"/>
      <c r="AV8" s="422"/>
      <c r="AZ8" t="str">
        <f>DailySchedule!$N8</f>
        <v/>
      </c>
    </row>
    <row r="9" spans="1:52" ht="18.75" x14ac:dyDescent="0.3">
      <c r="A9" s="4"/>
      <c r="B9" s="989" t="str">
        <f>Language!$E$130&amp;" A"</f>
        <v>Group A</v>
      </c>
      <c r="C9" s="990"/>
      <c r="D9" s="6"/>
      <c r="E9" s="989" t="str">
        <f>Language!$E$130&amp;" B"</f>
        <v>Group B</v>
      </c>
      <c r="F9" s="990"/>
      <c r="G9" s="4"/>
      <c r="H9" s="989" t="str">
        <f>Language!$E$130&amp;" C"</f>
        <v>Group C</v>
      </c>
      <c r="I9" s="990"/>
      <c r="J9" s="4"/>
      <c r="K9" s="989" t="str">
        <f>Language!$E$130&amp;" D"</f>
        <v>Group D</v>
      </c>
      <c r="L9" s="990"/>
      <c r="M9" s="4"/>
      <c r="N9" s="989" t="str">
        <f>Language!$E$130&amp;" E"</f>
        <v>Group E</v>
      </c>
      <c r="O9" s="990"/>
      <c r="P9" s="4"/>
      <c r="Q9" s="989" t="str">
        <f>Language!$E$130&amp;" F"</f>
        <v>Group F</v>
      </c>
      <c r="R9" s="990"/>
      <c r="S9" s="4"/>
      <c r="T9" s="989" t="str">
        <f>Language!$E$130&amp;" G"</f>
        <v>Group G</v>
      </c>
      <c r="U9" s="990"/>
      <c r="V9" s="4"/>
      <c r="W9" s="989" t="str">
        <f>Language!$E$130&amp;" H"</f>
        <v>Group H</v>
      </c>
      <c r="X9" s="990"/>
      <c r="Y9" s="4"/>
      <c r="Z9" s="989" t="str">
        <f>Language!$E$130&amp;" I"</f>
        <v>Group I</v>
      </c>
      <c r="AA9" s="990"/>
      <c r="AB9" s="6"/>
      <c r="AC9" s="989" t="str">
        <f>Language!$E$130&amp;" J"</f>
        <v>Group J</v>
      </c>
      <c r="AD9" s="990"/>
      <c r="AE9" s="4"/>
      <c r="AF9" s="989" t="str">
        <f>Language!$E$130&amp;" K"</f>
        <v>Group K</v>
      </c>
      <c r="AG9" s="990"/>
      <c r="AH9" s="4"/>
      <c r="AI9" s="989" t="str">
        <f>Language!$E$130&amp;" L"</f>
        <v>Group L</v>
      </c>
      <c r="AJ9" s="991"/>
      <c r="AK9" s="18"/>
      <c r="AL9" s="423"/>
      <c r="AM9" s="423"/>
      <c r="AN9" s="18"/>
      <c r="AO9" s="423"/>
      <c r="AP9" s="423"/>
      <c r="AQ9" s="18"/>
      <c r="AR9" s="423"/>
      <c r="AS9" s="423"/>
      <c r="AT9" s="18"/>
      <c r="AU9" s="423"/>
      <c r="AV9" s="423"/>
      <c r="AZ9" t="str">
        <f>DailySchedule!$N9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x14ac:dyDescent="0.25">
      <c r="A11" s="86">
        <v>1</v>
      </c>
      <c r="B11" s="979" t="str">
        <f>VLOOKUP(A11,Matches!$B$4:$K$113,7,0)</f>
        <v>Mexico City</v>
      </c>
      <c r="C11" s="980"/>
      <c r="D11" s="86">
        <v>3</v>
      </c>
      <c r="E11" s="979" t="str">
        <f>VLOOKUP(D11,Matches!$B$4:$K$113,7,0)</f>
        <v>Toronto</v>
      </c>
      <c r="F11" s="980"/>
      <c r="G11" s="86">
        <v>7</v>
      </c>
      <c r="H11" s="979" t="str">
        <f>VLOOKUP(G11,Matches!$B$4:$K$113,7,0)</f>
        <v>New York/New Jersey</v>
      </c>
      <c r="I11" s="980"/>
      <c r="J11" s="86">
        <v>4</v>
      </c>
      <c r="K11" s="979" t="str">
        <f>VLOOKUP(J11,Matches!$B$4:$K$113,7,0)</f>
        <v>Los Angeles</v>
      </c>
      <c r="L11" s="980"/>
      <c r="M11" s="86">
        <v>10</v>
      </c>
      <c r="N11" s="979" t="str">
        <f>VLOOKUP(M11,Matches!$B$4:$K$113,7,0)</f>
        <v>Houston</v>
      </c>
      <c r="O11" s="980"/>
      <c r="P11" s="86">
        <v>11</v>
      </c>
      <c r="Q11" s="979" t="str">
        <f>VLOOKUP(P11,Matches!$B$4:$K$113,7,0)</f>
        <v>Dallas</v>
      </c>
      <c r="R11" s="980"/>
      <c r="S11" s="86">
        <v>16</v>
      </c>
      <c r="T11" s="979" t="str">
        <f>VLOOKUP(S11,Matches!$B$4:$K$113,7,0)</f>
        <v>Seattle</v>
      </c>
      <c r="U11" s="980"/>
      <c r="V11" s="86">
        <v>14</v>
      </c>
      <c r="W11" s="979" t="str">
        <f>VLOOKUP(V11,Matches!$B$4:$K$113,7,0)</f>
        <v>Atlanta</v>
      </c>
      <c r="X11" s="980"/>
      <c r="Y11" s="86">
        <v>17</v>
      </c>
      <c r="Z11" s="979" t="str">
        <f>VLOOKUP(Y11,Matches!$B$4:$K$113,7,0)</f>
        <v>New York/New Jersey</v>
      </c>
      <c r="AA11" s="980"/>
      <c r="AB11" s="86">
        <v>19</v>
      </c>
      <c r="AC11" s="979" t="str">
        <f>VLOOKUP(AB11,Matches!$B$4:$K$113,7,0)</f>
        <v>Kansas City</v>
      </c>
      <c r="AD11" s="980"/>
      <c r="AE11" s="86">
        <v>23</v>
      </c>
      <c r="AF11" s="979" t="str">
        <f>VLOOKUP(AE11,Matches!$B$4:$K$113,7,0)</f>
        <v>Houston</v>
      </c>
      <c r="AG11" s="980"/>
      <c r="AH11" s="86">
        <v>22</v>
      </c>
      <c r="AI11" s="979" t="str">
        <f>VLOOKUP(AH11,Matches!$B$4:$K$113,7,0)</f>
        <v>Dallas</v>
      </c>
      <c r="AJ11" s="980"/>
      <c r="AK11" s="415"/>
      <c r="AL11" s="420"/>
      <c r="AM11" s="420"/>
      <c r="AN11" s="415"/>
      <c r="AO11" s="420"/>
      <c r="AP11" s="420"/>
      <c r="AQ11" s="415"/>
      <c r="AR11" s="420"/>
      <c r="AS11" s="420"/>
      <c r="AT11" s="415"/>
      <c r="AU11" s="420"/>
      <c r="AV11" s="420"/>
      <c r="AZ11" t="str">
        <f>DailySchedule!$N11</f>
        <v/>
      </c>
    </row>
    <row r="12" spans="1:52" x14ac:dyDescent="0.25">
      <c r="A12" s="4"/>
      <c r="B12" s="977">
        <f>VLOOKUP(A11,Matches!$B$4:$K$113,5,0)</f>
        <v>46184.875</v>
      </c>
      <c r="C12" s="978"/>
      <c r="D12" s="4"/>
      <c r="E12" s="977">
        <f>VLOOKUP(D11,Matches!$B$4:$K$113,5,0)</f>
        <v>46185.875</v>
      </c>
      <c r="F12" s="978"/>
      <c r="G12" s="4"/>
      <c r="H12" s="977">
        <f>VLOOKUP(G11,Matches!$B$4:$K$113,5,0)</f>
        <v>46187</v>
      </c>
      <c r="I12" s="978"/>
      <c r="J12" s="4"/>
      <c r="K12" s="977">
        <f>VLOOKUP(J11,Matches!$B$4:$K$113,5,0)</f>
        <v>46186.125</v>
      </c>
      <c r="L12" s="978"/>
      <c r="M12" s="4"/>
      <c r="N12" s="977">
        <f>VLOOKUP(M11,Matches!$B$4:$K$113,5,0)</f>
        <v>46187.791666666664</v>
      </c>
      <c r="O12" s="978"/>
      <c r="P12" s="4"/>
      <c r="Q12" s="977">
        <f>VLOOKUP(P11,Matches!$B$4:$K$113,5,0)</f>
        <v>46187.916666666664</v>
      </c>
      <c r="R12" s="978"/>
      <c r="S12" s="4"/>
      <c r="T12" s="977">
        <f>VLOOKUP(S11,Matches!$B$4:$K$113,5,0)</f>
        <v>46188.875</v>
      </c>
      <c r="U12" s="978"/>
      <c r="V12" s="4"/>
      <c r="W12" s="977">
        <f>VLOOKUP(V11,Matches!$B$4:$K$113,5,0)</f>
        <v>46188.75</v>
      </c>
      <c r="X12" s="978"/>
      <c r="Y12" s="4"/>
      <c r="Z12" s="977">
        <f>VLOOKUP(Y11,Matches!$B$4:$K$113,5,0)</f>
        <v>46189.875</v>
      </c>
      <c r="AA12" s="978"/>
      <c r="AB12" s="4"/>
      <c r="AC12" s="977">
        <f>VLOOKUP(AB11,Matches!$B$4:$K$113,5,0)</f>
        <v>46190.125</v>
      </c>
      <c r="AD12" s="978"/>
      <c r="AE12" s="4"/>
      <c r="AF12" s="977">
        <f>VLOOKUP(AE11,Matches!$B$4:$K$113,5,0)</f>
        <v>46190.791666666664</v>
      </c>
      <c r="AG12" s="978"/>
      <c r="AH12" s="4"/>
      <c r="AI12" s="977">
        <f>VLOOKUP(AH11,Matches!$B$4:$K$113,5,0)</f>
        <v>46190.916666666664</v>
      </c>
      <c r="AJ12" s="978"/>
      <c r="AK12" s="18"/>
      <c r="AL12" s="421"/>
      <c r="AM12" s="421"/>
      <c r="AN12" s="18"/>
      <c r="AO12" s="421"/>
      <c r="AP12" s="421"/>
      <c r="AQ12" s="18"/>
      <c r="AR12" s="421"/>
      <c r="AS12" s="421"/>
      <c r="AT12" s="18"/>
      <c r="AU12" s="421"/>
      <c r="AV12" s="421"/>
      <c r="AZ12" t="str">
        <f>DailySchedule!$N12</f>
        <v/>
      </c>
    </row>
    <row r="13" spans="1:52" x14ac:dyDescent="0.25">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Cabo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DailySchedule!$N14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DailySchedule!$N15</f>
        <v/>
      </c>
    </row>
    <row r="16" spans="1:52" x14ac:dyDescent="0.25">
      <c r="A16" s="86">
        <v>2</v>
      </c>
      <c r="B16" s="979" t="str">
        <f>VLOOKUP(A16,Matches!$B$4:$K$113,7,0)</f>
        <v>Guadalajara</v>
      </c>
      <c r="C16" s="980"/>
      <c r="D16" s="86">
        <v>8</v>
      </c>
      <c r="E16" s="979" t="str">
        <f>VLOOKUP(D16,Matches!$B$4:$K$113,7,0)</f>
        <v>San Francisco Bay Area</v>
      </c>
      <c r="F16" s="980"/>
      <c r="G16" s="86">
        <v>5</v>
      </c>
      <c r="H16" s="979" t="str">
        <f>VLOOKUP(G16,Matches!$B$4:$K$113,7,0)</f>
        <v>Boston</v>
      </c>
      <c r="I16" s="980"/>
      <c r="J16" s="86">
        <v>6</v>
      </c>
      <c r="K16" s="979" t="str">
        <f>VLOOKUP(J16,Matches!$B$4:$K$113,7,0)</f>
        <v>Vancouver</v>
      </c>
      <c r="L16" s="980"/>
      <c r="M16" s="86">
        <v>9</v>
      </c>
      <c r="N16" s="979" t="str">
        <f>VLOOKUP(M16,Matches!$B$4:$K$113,7,0)</f>
        <v>Philadelphia</v>
      </c>
      <c r="O16" s="980"/>
      <c r="P16" s="86">
        <v>12</v>
      </c>
      <c r="Q16" s="979" t="str">
        <f>VLOOKUP(P16,Matches!$B$4:$K$113,7,0)</f>
        <v>Monterrey</v>
      </c>
      <c r="R16" s="980"/>
      <c r="S16" s="86">
        <v>15</v>
      </c>
      <c r="T16" s="979" t="str">
        <f>VLOOKUP(S16,Matches!$B$4:$K$113,7,0)</f>
        <v>Los Angeles</v>
      </c>
      <c r="U16" s="980"/>
      <c r="V16" s="86">
        <v>13</v>
      </c>
      <c r="W16" s="979" t="str">
        <f>VLOOKUP(V16,Matches!$B$4:$K$113,7,0)</f>
        <v>Miami</v>
      </c>
      <c r="X16" s="980"/>
      <c r="Y16" s="86">
        <v>18</v>
      </c>
      <c r="Z16" s="979" t="str">
        <f>VLOOKUP(Y16,Matches!$B$4:$K$113,7,0)</f>
        <v>Boston</v>
      </c>
      <c r="AA16" s="980"/>
      <c r="AB16" s="86">
        <v>20</v>
      </c>
      <c r="AC16" s="979" t="str">
        <f>VLOOKUP(AB16,Matches!$B$4:$K$113,7,0)</f>
        <v>San Francisco Bay Area</v>
      </c>
      <c r="AD16" s="980"/>
      <c r="AE16" s="86">
        <v>24</v>
      </c>
      <c r="AF16" s="979" t="str">
        <f>VLOOKUP(AE16,Matches!$B$4:$K$113,7,0)</f>
        <v>Mexico City</v>
      </c>
      <c r="AG16" s="980"/>
      <c r="AH16" s="86">
        <v>21</v>
      </c>
      <c r="AI16" s="979" t="str">
        <f>VLOOKUP(AH16,Matches!$B$4:$K$113,7,0)</f>
        <v>Toronto</v>
      </c>
      <c r="AJ16" s="980"/>
      <c r="AK16" s="415"/>
      <c r="AL16" s="420"/>
      <c r="AM16" s="420"/>
      <c r="AN16" s="415"/>
      <c r="AO16" s="420"/>
      <c r="AP16" s="420"/>
      <c r="AQ16" s="415"/>
      <c r="AR16" s="420"/>
      <c r="AS16" s="420"/>
      <c r="AT16" s="415"/>
      <c r="AU16" s="420"/>
      <c r="AV16" s="420"/>
      <c r="AZ16" t="str">
        <f>DailySchedule!$N16</f>
        <v/>
      </c>
    </row>
    <row r="17" spans="1:52" x14ac:dyDescent="0.25">
      <c r="A17" s="4"/>
      <c r="B17" s="977">
        <f>VLOOKUP(A16,Matches!$B$4:$K$113,5,0)</f>
        <v>46185.166666666664</v>
      </c>
      <c r="C17" s="978"/>
      <c r="D17" s="4"/>
      <c r="E17" s="977">
        <f>VLOOKUP(D16,Matches!$B$4:$K$113,5,0)</f>
        <v>46186.875</v>
      </c>
      <c r="F17" s="978"/>
      <c r="G17" s="4"/>
      <c r="H17" s="977">
        <f>VLOOKUP(G16,Matches!$B$4:$K$113,5,0)</f>
        <v>46187.125</v>
      </c>
      <c r="I17" s="978"/>
      <c r="J17" s="4"/>
      <c r="K17" s="977">
        <f>VLOOKUP(J16,Matches!$B$4:$K$113,5,0)</f>
        <v>46187.25</v>
      </c>
      <c r="L17" s="978"/>
      <c r="M17" s="4"/>
      <c r="N17" s="977">
        <f>VLOOKUP(M16,Matches!$B$4:$K$113,5,0)</f>
        <v>46188.041666666664</v>
      </c>
      <c r="O17" s="978"/>
      <c r="P17" s="4"/>
      <c r="Q17" s="977">
        <f>VLOOKUP(P16,Matches!$B$4:$K$113,5,0)</f>
        <v>46188.166666666664</v>
      </c>
      <c r="R17" s="978"/>
      <c r="S17" s="4"/>
      <c r="T17" s="977">
        <f>VLOOKUP(S16,Matches!$B$4:$K$113,5,0)</f>
        <v>46189.125</v>
      </c>
      <c r="U17" s="978"/>
      <c r="V17" s="4"/>
      <c r="W17" s="977">
        <f>VLOOKUP(V16,Matches!$B$4:$K$113,5,0)</f>
        <v>46189</v>
      </c>
      <c r="X17" s="978"/>
      <c r="Y17" s="4"/>
      <c r="Z17" s="977">
        <f>VLOOKUP(Y16,Matches!$B$4:$K$113,5,0)</f>
        <v>46190</v>
      </c>
      <c r="AA17" s="978"/>
      <c r="AB17" s="4"/>
      <c r="AC17" s="977">
        <f>VLOOKUP(AB16,Matches!$B$4:$K$113,5,0)</f>
        <v>46190.25</v>
      </c>
      <c r="AD17" s="978"/>
      <c r="AE17" s="4"/>
      <c r="AF17" s="977">
        <f>VLOOKUP(AE16,Matches!$B$4:$K$113,5,0)</f>
        <v>46191.166666666664</v>
      </c>
      <c r="AG17" s="978"/>
      <c r="AH17" s="4"/>
      <c r="AI17" s="977">
        <f>VLOOKUP(AH16,Matches!$B$4:$K$113,5,0)</f>
        <v>46191.041666666664</v>
      </c>
      <c r="AJ17" s="978"/>
      <c r="AK17" s="18"/>
      <c r="AL17" s="421"/>
      <c r="AM17" s="421"/>
      <c r="AN17" s="18"/>
      <c r="AO17" s="421"/>
      <c r="AP17" s="421"/>
      <c r="AQ17" s="18"/>
      <c r="AR17" s="421"/>
      <c r="AS17" s="421"/>
      <c r="AT17" s="18"/>
      <c r="AU17" s="421"/>
      <c r="AV17" s="421"/>
      <c r="AZ17" t="str">
        <f>DailySchedule!$N17</f>
        <v/>
      </c>
    </row>
    <row r="18" spans="1:52" x14ac:dyDescent="0.25">
      <c r="A18" s="4"/>
      <c r="B18" s="43" t="str">
        <f>VLOOKUP(A16,Matches!$B$4:$K$113,8,0)</f>
        <v>South Korea</v>
      </c>
      <c r="C18" s="44" t="str">
        <f>VLOOKUP(A16,Matches!$B$4:$K$113,9,0)</f>
        <v>Czechia</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Turkiye</v>
      </c>
      <c r="M18" s="4"/>
      <c r="N18" s="43" t="str">
        <f>VLOOKUP(M16,Matches!$B$4:$K$113,8,0)</f>
        <v>Cote d'Ivoire</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DailySchedule!$N18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79" t="str">
        <f>VLOOKUP(A21,Matches!$B$4:$K$113,7,0)</f>
        <v>Atlanta</v>
      </c>
      <c r="C21" s="980"/>
      <c r="D21" s="86">
        <v>26</v>
      </c>
      <c r="E21" s="979" t="str">
        <f>VLOOKUP(D21,Matches!$B$4:$K$113,7,0)</f>
        <v>Los Angeles</v>
      </c>
      <c r="F21" s="980"/>
      <c r="G21" s="86">
        <v>30</v>
      </c>
      <c r="H21" s="979" t="str">
        <f>VLOOKUP(G21,Matches!$B$4:$K$113,7,0)</f>
        <v>Boston</v>
      </c>
      <c r="I21" s="980"/>
      <c r="J21" s="86">
        <v>32</v>
      </c>
      <c r="K21" s="979" t="str">
        <f>VLOOKUP(J21,Matches!$B$4:$K$113,7,0)</f>
        <v>Seattle</v>
      </c>
      <c r="L21" s="980"/>
      <c r="M21" s="86">
        <v>33</v>
      </c>
      <c r="N21" s="979" t="str">
        <f>VLOOKUP(M21,Matches!$B$4:$K$113,7,0)</f>
        <v>Toronto</v>
      </c>
      <c r="O21" s="980"/>
      <c r="P21" s="86">
        <v>35</v>
      </c>
      <c r="Q21" s="979" t="str">
        <f>VLOOKUP(P21,Matches!$B$4:$K$113,7,0)</f>
        <v>Houston</v>
      </c>
      <c r="R21" s="980"/>
      <c r="S21" s="86">
        <v>39</v>
      </c>
      <c r="T21" s="979" t="str">
        <f>VLOOKUP(S21,Matches!$B$4:$K$113,7,0)</f>
        <v>Los Angeles</v>
      </c>
      <c r="U21" s="980"/>
      <c r="V21" s="86">
        <v>38</v>
      </c>
      <c r="W21" s="979" t="str">
        <f>VLOOKUP(V21,Matches!$B$4:$K$113,7,0)</f>
        <v>Atlanta</v>
      </c>
      <c r="X21" s="980"/>
      <c r="Y21" s="86">
        <v>42</v>
      </c>
      <c r="Z21" s="979" t="str">
        <f>VLOOKUP(Y21,Matches!$B$4:$K$113,7,0)</f>
        <v>Philadelphia</v>
      </c>
      <c r="AA21" s="980"/>
      <c r="AB21" s="86">
        <v>43</v>
      </c>
      <c r="AC21" s="979" t="str">
        <f>VLOOKUP(AB21,Matches!$B$4:$K$113,7,0)</f>
        <v>Dallas</v>
      </c>
      <c r="AD21" s="980"/>
      <c r="AE21" s="86">
        <v>47</v>
      </c>
      <c r="AF21" s="979" t="str">
        <f>VLOOKUP(AE21,Matches!$B$4:$K$113,7,0)</f>
        <v>Houston</v>
      </c>
      <c r="AG21" s="980"/>
      <c r="AH21" s="86">
        <v>45</v>
      </c>
      <c r="AI21" s="979" t="str">
        <f>VLOOKUP(AH21,Matches!$B$4:$K$113,7,0)</f>
        <v>Boston</v>
      </c>
      <c r="AJ21" s="980"/>
      <c r="AK21" s="415"/>
      <c r="AL21" s="420"/>
      <c r="AM21" s="420"/>
      <c r="AN21" s="415"/>
      <c r="AO21" s="420"/>
      <c r="AP21" s="420"/>
      <c r="AQ21" s="415"/>
      <c r="AR21" s="420"/>
      <c r="AS21" s="420"/>
      <c r="AT21" s="415"/>
      <c r="AU21" s="420"/>
      <c r="AV21" s="420"/>
    </row>
    <row r="22" spans="1:52" x14ac:dyDescent="0.25">
      <c r="A22" s="4"/>
      <c r="B22" s="977">
        <f>VLOOKUP(A21,Matches!$B$4:$K$113,5,0)</f>
        <v>46191.75</v>
      </c>
      <c r="C22" s="978"/>
      <c r="D22" s="4"/>
      <c r="E22" s="977">
        <f>VLOOKUP(D21,Matches!$B$4:$K$113,5,0)</f>
        <v>46191.875</v>
      </c>
      <c r="F22" s="978"/>
      <c r="G22" s="4"/>
      <c r="H22" s="977">
        <f>VLOOKUP(G21,Matches!$B$4:$K$113,5,0)</f>
        <v>46193</v>
      </c>
      <c r="I22" s="978"/>
      <c r="J22" s="4"/>
      <c r="K22" s="977">
        <f>VLOOKUP(J21,Matches!$B$4:$K$113,5,0)</f>
        <v>46192.875</v>
      </c>
      <c r="L22" s="978"/>
      <c r="M22" s="4"/>
      <c r="N22" s="977">
        <f>VLOOKUP(M21,Matches!$B$4:$K$113,5,0)</f>
        <v>46193.916666666664</v>
      </c>
      <c r="O22" s="978"/>
      <c r="P22" s="4"/>
      <c r="Q22" s="977">
        <f>VLOOKUP(P21,Matches!$B$4:$K$113,5,0)</f>
        <v>46193.791666666664</v>
      </c>
      <c r="R22" s="978"/>
      <c r="S22" s="4"/>
      <c r="T22" s="977">
        <f>VLOOKUP(S21,Matches!$B$4:$K$113,5,0)</f>
        <v>46194.875</v>
      </c>
      <c r="U22" s="978"/>
      <c r="V22" s="4"/>
      <c r="W22" s="977">
        <f>VLOOKUP(V21,Matches!$B$4:$K$113,5,0)</f>
        <v>46194.75</v>
      </c>
      <c r="X22" s="978"/>
      <c r="Y22" s="4"/>
      <c r="Z22" s="977">
        <f>VLOOKUP(Y21,Matches!$B$4:$K$113,5,0)</f>
        <v>46195.958333333336</v>
      </c>
      <c r="AA22" s="978"/>
      <c r="AB22" s="4"/>
      <c r="AC22" s="977">
        <f>VLOOKUP(AB21,Matches!$B$4:$K$113,5,0)</f>
        <v>46195.791666666664</v>
      </c>
      <c r="AD22" s="978"/>
      <c r="AE22" s="4"/>
      <c r="AF22" s="977">
        <f>VLOOKUP(AE21,Matches!$B$4:$K$113,5,0)</f>
        <v>46196.791666666664</v>
      </c>
      <c r="AG22" s="978"/>
      <c r="AH22" s="4"/>
      <c r="AI22" s="977">
        <f>VLOOKUP(AH21,Matches!$B$4:$K$113,5,0)</f>
        <v>46196.916666666664</v>
      </c>
      <c r="AJ22" s="978"/>
      <c r="AK22" s="18"/>
      <c r="AL22" s="421"/>
      <c r="AM22" s="421"/>
      <c r="AN22" s="18"/>
      <c r="AO22" s="421"/>
      <c r="AP22" s="421"/>
      <c r="AQ22" s="18"/>
      <c r="AR22" s="421"/>
      <c r="AS22" s="421"/>
      <c r="AT22" s="18"/>
      <c r="AU22" s="421"/>
      <c r="AV22" s="421"/>
    </row>
    <row r="23" spans="1:52" x14ac:dyDescent="0.25">
      <c r="A23" s="4"/>
      <c r="B23" s="43" t="str">
        <f>VLOOKUP(A21,Matches!$B$4:$K$113,8,0)</f>
        <v>Czechia</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Cote d'Ivoire</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79" t="str">
        <f>VLOOKUP(A26,Matches!$B$4:$K$113,7,0)</f>
        <v>Guadalajara</v>
      </c>
      <c r="C26" s="980"/>
      <c r="D26" s="86">
        <v>27</v>
      </c>
      <c r="E26" s="979" t="str">
        <f>VLOOKUP(D26,Matches!$B$4:$K$113,7,0)</f>
        <v>Vancouver</v>
      </c>
      <c r="F26" s="980"/>
      <c r="G26" s="86">
        <v>29</v>
      </c>
      <c r="H26" s="979" t="str">
        <f>VLOOKUP(G26,Matches!$B$4:$K$113,7,0)</f>
        <v>Philadelphia</v>
      </c>
      <c r="I26" s="980"/>
      <c r="J26" s="86">
        <v>31</v>
      </c>
      <c r="K26" s="979" t="str">
        <f>VLOOKUP(J26,Matches!$B$4:$K$113,7,0)</f>
        <v>San Francisco Bay Area</v>
      </c>
      <c r="L26" s="980"/>
      <c r="M26" s="86">
        <v>34</v>
      </c>
      <c r="N26" s="979" t="str">
        <f>VLOOKUP(M26,Matches!$B$4:$K$113,7,0)</f>
        <v>Kansas City</v>
      </c>
      <c r="O26" s="980"/>
      <c r="P26" s="86">
        <v>36</v>
      </c>
      <c r="Q26" s="979" t="str">
        <f>VLOOKUP(P26,Matches!$B$4:$K$113,7,0)</f>
        <v>Monterrey</v>
      </c>
      <c r="R26" s="980"/>
      <c r="S26" s="86">
        <v>40</v>
      </c>
      <c r="T26" s="979" t="str">
        <f>VLOOKUP(S26,Matches!$B$4:$K$113,7,0)</f>
        <v>Vancouver</v>
      </c>
      <c r="U26" s="980"/>
      <c r="V26" s="86">
        <v>37</v>
      </c>
      <c r="W26" s="979" t="str">
        <f>VLOOKUP(V26,Matches!$B$4:$K$113,7,0)</f>
        <v>Miami</v>
      </c>
      <c r="X26" s="980"/>
      <c r="Y26" s="86">
        <v>41</v>
      </c>
      <c r="Z26" s="979" t="str">
        <f>VLOOKUP(Y26,Matches!$B$4:$K$113,7,0)</f>
        <v>New York/New Jersey</v>
      </c>
      <c r="AA26" s="980"/>
      <c r="AB26" s="86">
        <v>44</v>
      </c>
      <c r="AC26" s="979" t="str">
        <f>VLOOKUP(AB26,Matches!$B$4:$K$113,7,0)</f>
        <v>San Francisco Bay Area</v>
      </c>
      <c r="AD26" s="980"/>
      <c r="AE26" s="86">
        <v>48</v>
      </c>
      <c r="AF26" s="979" t="str">
        <f>VLOOKUP(AE26,Matches!$B$4:$K$113,7,0)</f>
        <v>Guadalajara</v>
      </c>
      <c r="AG26" s="980"/>
      <c r="AH26" s="86">
        <v>46</v>
      </c>
      <c r="AI26" s="979" t="str">
        <f>VLOOKUP(AH26,Matches!$B$4:$K$113,7,0)</f>
        <v>Toronto</v>
      </c>
      <c r="AJ26" s="980"/>
      <c r="AK26" s="415"/>
      <c r="AL26" s="420"/>
      <c r="AM26" s="420"/>
      <c r="AN26" s="415"/>
      <c r="AO26" s="420"/>
      <c r="AP26" s="420"/>
      <c r="AQ26" s="415"/>
      <c r="AR26" s="420"/>
      <c r="AS26" s="420"/>
      <c r="AT26" s="415"/>
      <c r="AU26" s="420"/>
      <c r="AV26" s="420"/>
    </row>
    <row r="27" spans="1:52" x14ac:dyDescent="0.25">
      <c r="A27" s="4"/>
      <c r="B27" s="977">
        <f>VLOOKUP(A26,Matches!$B$4:$K$113,5,0)</f>
        <v>46192.125</v>
      </c>
      <c r="C27" s="978"/>
      <c r="D27" s="4"/>
      <c r="E27" s="977">
        <f>VLOOKUP(D26,Matches!$B$4:$K$113,5,0)</f>
        <v>46192</v>
      </c>
      <c r="F27" s="978"/>
      <c r="G27" s="4"/>
      <c r="H27" s="977">
        <f>VLOOKUP(G26,Matches!$B$4:$K$113,5,0)</f>
        <v>46193.104166666664</v>
      </c>
      <c r="I27" s="978"/>
      <c r="J27" s="4"/>
      <c r="K27" s="977">
        <f>VLOOKUP(J26,Matches!$B$4:$K$113,5,0)</f>
        <v>46193.208333333336</v>
      </c>
      <c r="L27" s="978"/>
      <c r="M27" s="4"/>
      <c r="N27" s="977">
        <f>VLOOKUP(M26,Matches!$B$4:$K$113,5,0)</f>
        <v>46194.083333333336</v>
      </c>
      <c r="O27" s="978"/>
      <c r="P27" s="4"/>
      <c r="Q27" s="977">
        <f>VLOOKUP(P26,Matches!$B$4:$K$113,5,0)</f>
        <v>46194.25</v>
      </c>
      <c r="R27" s="978"/>
      <c r="S27" s="4"/>
      <c r="T27" s="977">
        <f>VLOOKUP(S26,Matches!$B$4:$K$113,5,0)</f>
        <v>46195.125</v>
      </c>
      <c r="U27" s="978"/>
      <c r="V27" s="4"/>
      <c r="W27" s="977">
        <f>VLOOKUP(V26,Matches!$B$4:$K$113,5,0)</f>
        <v>46195</v>
      </c>
      <c r="X27" s="978"/>
      <c r="Y27" s="4"/>
      <c r="Z27" s="977">
        <f>VLOOKUP(Y26,Matches!$B$4:$K$113,5,0)</f>
        <v>46196.083333333336</v>
      </c>
      <c r="AA27" s="978"/>
      <c r="AB27" s="4"/>
      <c r="AC27" s="977">
        <f>VLOOKUP(AB26,Matches!$B$4:$K$113,5,0)</f>
        <v>46196.208333333336</v>
      </c>
      <c r="AD27" s="978"/>
      <c r="AE27" s="4"/>
      <c r="AF27" s="977">
        <f>VLOOKUP(AE26,Matches!$B$4:$K$113,5,0)</f>
        <v>46197.166666666664</v>
      </c>
      <c r="AG27" s="978"/>
      <c r="AH27" s="4"/>
      <c r="AI27" s="977">
        <f>VLOOKUP(AH26,Matches!$B$4:$K$113,5,0)</f>
        <v>46197.041666666664</v>
      </c>
      <c r="AJ27" s="978"/>
      <c r="AK27" s="18"/>
      <c r="AL27" s="421"/>
      <c r="AM27" s="421"/>
      <c r="AN27" s="18"/>
      <c r="AO27" s="421"/>
      <c r="AP27" s="421"/>
      <c r="AQ27" s="18"/>
      <c r="AR27" s="421"/>
      <c r="AS27" s="421"/>
      <c r="AT27" s="18"/>
      <c r="AU27" s="421"/>
      <c r="AV27" s="421"/>
    </row>
    <row r="28" spans="1:52" x14ac:dyDescent="0.25">
      <c r="A28" s="4"/>
      <c r="B28" s="43" t="str">
        <f>VLOOKUP(A26,Matches!$B$4:$K$113,8,0)</f>
        <v>Mexico</v>
      </c>
      <c r="C28" s="44" t="str">
        <f>VLOOKUP(A26,Matches!$B$4:$K$113,9,0)</f>
        <v>South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Turkiye</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Cabo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8" t="str">
        <f>IF(ThirdPlaced!$I$33,"•","")</f>
        <v/>
      </c>
      <c r="AM30" s="968"/>
      <c r="AN30" s="18"/>
      <c r="AO30" s="23"/>
      <c r="AP30" s="23"/>
      <c r="AQ30" s="18"/>
      <c r="AR30" s="23"/>
      <c r="AS30" s="23"/>
      <c r="AT30" s="18"/>
      <c r="AU30" s="23"/>
      <c r="AV30" s="23"/>
    </row>
    <row r="31" spans="1:52" x14ac:dyDescent="0.25">
      <c r="A31" s="86">
        <v>53</v>
      </c>
      <c r="B31" s="979" t="str">
        <f>VLOOKUP(A31,Matches!$B$4:$K$113,7,0)</f>
        <v>Mexico City</v>
      </c>
      <c r="C31" s="980"/>
      <c r="D31" s="86">
        <v>51</v>
      </c>
      <c r="E31" s="979" t="str">
        <f>VLOOKUP(D31,Matches!$B$4:$K$113,7,0)</f>
        <v>Vancouver</v>
      </c>
      <c r="F31" s="980"/>
      <c r="G31" s="86">
        <v>49</v>
      </c>
      <c r="H31" s="979" t="str">
        <f>VLOOKUP(G31,Matches!$B$4:$K$113,7,0)</f>
        <v>Miami</v>
      </c>
      <c r="I31" s="980"/>
      <c r="J31" s="86">
        <v>59</v>
      </c>
      <c r="K31" s="979" t="str">
        <f>VLOOKUP(J31,Matches!$B$4:$K$113,7,0)</f>
        <v>Los Angeles</v>
      </c>
      <c r="L31" s="980"/>
      <c r="M31" s="86">
        <v>55</v>
      </c>
      <c r="N31" s="979" t="str">
        <f>VLOOKUP(M31,Matches!$B$4:$K$113,7,0)</f>
        <v>Philadelphia</v>
      </c>
      <c r="O31" s="980"/>
      <c r="P31" s="86">
        <v>57</v>
      </c>
      <c r="Q31" s="979" t="str">
        <f>VLOOKUP(P31,Matches!$B$4:$K$113,7,0)</f>
        <v>Dallas</v>
      </c>
      <c r="R31" s="980"/>
      <c r="S31" s="86">
        <v>63</v>
      </c>
      <c r="T31" s="979" t="str">
        <f>VLOOKUP(S31,Matches!$B$4:$K$113,7,0)</f>
        <v>Seattle</v>
      </c>
      <c r="U31" s="980"/>
      <c r="V31" s="86">
        <v>65</v>
      </c>
      <c r="W31" s="979" t="str">
        <f>VLOOKUP(V31,Matches!$B$4:$K$113,7,0)</f>
        <v>Houston</v>
      </c>
      <c r="X31" s="980"/>
      <c r="Y31" s="86">
        <v>61</v>
      </c>
      <c r="Z31" s="979" t="str">
        <f>VLOOKUP(Y31,Matches!$B$4:$K$113,7,0)</f>
        <v>Boston</v>
      </c>
      <c r="AA31" s="980"/>
      <c r="AB31" s="86">
        <v>69</v>
      </c>
      <c r="AC31" s="979" t="str">
        <f>VLOOKUP(AB31,Matches!$B$4:$K$113,7,0)</f>
        <v>Kansas City</v>
      </c>
      <c r="AD31" s="980"/>
      <c r="AE31" s="86">
        <v>71</v>
      </c>
      <c r="AF31" s="979" t="str">
        <f>VLOOKUP(AE31,Matches!$B$4:$K$113,7,0)</f>
        <v>Miami</v>
      </c>
      <c r="AG31" s="980"/>
      <c r="AH31" s="86">
        <v>67</v>
      </c>
      <c r="AI31" s="979" t="str">
        <f>VLOOKUP(AH31,Matches!$B$4:$K$113,7,0)</f>
        <v>New York/New Jersey</v>
      </c>
      <c r="AJ31" s="980"/>
      <c r="AK31" s="415"/>
      <c r="AL31" s="975" t="str">
        <f>Language!$E$180</f>
        <v>Third in the group</v>
      </c>
      <c r="AM31" s="976"/>
      <c r="AN31" s="523" t="str">
        <f>Language!$E$181</f>
        <v>Grp</v>
      </c>
      <c r="AO31" s="420"/>
      <c r="AP31" s="420"/>
      <c r="AQ31" s="415"/>
      <c r="AR31" s="420"/>
      <c r="AS31" s="420"/>
      <c r="AT31" s="415"/>
      <c r="AU31" s="420"/>
      <c r="AV31" s="420"/>
    </row>
    <row r="32" spans="1:52" x14ac:dyDescent="0.25">
      <c r="A32" s="4"/>
      <c r="B32" s="977">
        <f>VLOOKUP(A31,Matches!$B$4:$K$113,5,0)</f>
        <v>46198.125</v>
      </c>
      <c r="C32" s="978"/>
      <c r="D32" s="4"/>
      <c r="E32" s="977">
        <f>VLOOKUP(D31,Matches!$B$4:$K$113,5,0)</f>
        <v>46197.875</v>
      </c>
      <c r="F32" s="978"/>
      <c r="G32" s="4"/>
      <c r="H32" s="977">
        <f>VLOOKUP(G31,Matches!$B$4:$K$113,5,0)</f>
        <v>46198</v>
      </c>
      <c r="I32" s="978"/>
      <c r="J32" s="4"/>
      <c r="K32" s="977">
        <f>VLOOKUP(J31,Matches!$B$4:$K$113,5,0)</f>
        <v>46199.166666666664</v>
      </c>
      <c r="L32" s="978"/>
      <c r="M32" s="4"/>
      <c r="N32" s="977">
        <f>VLOOKUP(M31,Matches!$B$4:$K$113,5,0)</f>
        <v>46198.916666666664</v>
      </c>
      <c r="O32" s="978"/>
      <c r="P32" s="4"/>
      <c r="Q32" s="977">
        <f>VLOOKUP(P31,Matches!$B$4:$K$113,5,0)</f>
        <v>46199.041666666664</v>
      </c>
      <c r="R32" s="978"/>
      <c r="S32" s="4"/>
      <c r="T32" s="977">
        <f>VLOOKUP(S31,Matches!$B$4:$K$113,5,0)</f>
        <v>46200.208333333336</v>
      </c>
      <c r="U32" s="978"/>
      <c r="V32" s="4"/>
      <c r="W32" s="977">
        <f>VLOOKUP(V31,Matches!$B$4:$K$113,5,0)</f>
        <v>46200.083333333336</v>
      </c>
      <c r="X32" s="978"/>
      <c r="Y32" s="4"/>
      <c r="Z32" s="977">
        <f>VLOOKUP(Y31,Matches!$B$4:$K$113,5,0)</f>
        <v>46199.875</v>
      </c>
      <c r="AA32" s="978"/>
      <c r="AB32" s="4"/>
      <c r="AC32" s="977">
        <f>VLOOKUP(AB31,Matches!$B$4:$K$113,5,0)</f>
        <v>46201.166666666664</v>
      </c>
      <c r="AD32" s="978"/>
      <c r="AE32" s="4"/>
      <c r="AF32" s="977">
        <f>VLOOKUP(AE31,Matches!$B$4:$K$113,5,0)</f>
        <v>46201.0625</v>
      </c>
      <c r="AG32" s="978"/>
      <c r="AH32" s="4"/>
      <c r="AI32" s="977">
        <f>VLOOKUP(AH31,Matches!$B$4:$K$113,5,0)</f>
        <v>46200.958333333336</v>
      </c>
      <c r="AJ32" s="978"/>
      <c r="AK32" s="18"/>
      <c r="AL32" s="522" t="str">
        <f>IF(OR(ThirdPlaced!$D17&gt;0,ThirdPlaced!$G17&gt;0),ThirdPlaced!$C17,"")</f>
        <v>Sweden</v>
      </c>
      <c r="AM32" s="516" t="str">
        <f>IF(AL32&lt;&gt;"","   "&amp;ThirdPlaced!$D17&amp;"        "&amp;ThirdPlaced!$F17&amp;Language!$E$203&amp;ThirdPlaced!$G17,"")</f>
        <v xml:space="preserve">   3        6 - 6</v>
      </c>
      <c r="AN32" s="521" t="str">
        <f>IF(AL32&lt;&gt;"",ThirdPlaced!$I17,"")</f>
        <v>F</v>
      </c>
      <c r="AO32" s="421"/>
      <c r="AP32" s="421"/>
      <c r="AQ32" s="18"/>
      <c r="AR32" s="421"/>
      <c r="AS32" s="421"/>
      <c r="AT32" s="18"/>
      <c r="AU32" s="421"/>
      <c r="AV32" s="421"/>
    </row>
    <row r="33" spans="1:49" x14ac:dyDescent="0.25">
      <c r="A33" s="4"/>
      <c r="B33" s="43" t="str">
        <f>VLOOKUP(A31,Matches!$B$4:$K$113,8,0)</f>
        <v>Czechia</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Turkiye</v>
      </c>
      <c r="L33" s="44" t="str">
        <f>VLOOKUP(J31,Matches!$B$4:$K$113,9,0)</f>
        <v>USA</v>
      </c>
      <c r="M33" s="4"/>
      <c r="N33" s="43" t="str">
        <f>VLOOKUP(M31,Matches!$B$4:$K$113,8,0)</f>
        <v>Curaçao</v>
      </c>
      <c r="O33" s="44" t="str">
        <f>VLOOKUP(M31,Matches!$B$4:$K$113,9,0)</f>
        <v>Cote d'Ivoire</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Cabo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2" t="str">
        <f>IF(OR(ThirdPlaced!$D18&gt;0,ThirdPlaced!$G18&gt;0),ThirdPlaced!$C18,"")</f>
        <v>Scotland</v>
      </c>
      <c r="AM33" s="516" t="str">
        <f>IF(AL33&lt;&gt;"","   "&amp;ThirdPlaced!$D18&amp;"        "&amp;ThirdPlaced!$F18&amp;Language!$E$203&amp;ThirdPlaced!$G18,"")</f>
        <v xml:space="preserve">   3        1 - 1</v>
      </c>
      <c r="AN33" s="521" t="str">
        <f>IF(AL33&lt;&gt;"",ThirdPlaced!$I18,"")</f>
        <v>C</v>
      </c>
      <c r="AO33" s="20"/>
      <c r="AP33" s="20"/>
      <c r="AQ33" s="18"/>
      <c r="AR33" s="20"/>
      <c r="AS33" s="20"/>
      <c r="AT33" s="18"/>
      <c r="AU33" s="20"/>
      <c r="AV33" s="20"/>
    </row>
    <row r="34" spans="1:49" ht="15.75" thickBot="1" x14ac:dyDescent="0.3">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22" t="str">
        <f>IF(OR(ThirdPlaced!$D19&gt;0,ThirdPlaced!$G19&gt;0),ThirdPlaced!$C19,"")</f>
        <v>Paraguay</v>
      </c>
      <c r="AM34" s="516" t="str">
        <f>IF(AL34&lt;&gt;"","   "&amp;ThirdPlaced!$D19&amp;"        "&amp;ThirdPlaced!$F19&amp;Language!$E$203&amp;ThirdPlaced!$G19,"")</f>
        <v xml:space="preserve">   3        2 - 4</v>
      </c>
      <c r="AN34" s="521" t="str">
        <f>IF(AL34&lt;&gt;"",ThirdPlaced!$I19,"")</f>
        <v>D</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Cabo Verde</v>
      </c>
      <c r="AM35" s="516" t="str">
        <f>IF(AL35&lt;&gt;"","   "&amp;ThirdPlaced!$D20&amp;"        "&amp;ThirdPlaced!$F20&amp;Language!$E$203&amp;ThirdPlaced!$G20,"")</f>
        <v xml:space="preserve">   2        2 - 2</v>
      </c>
      <c r="AN35" s="521" t="str">
        <f>IF(AL35&lt;&gt;"",ThirdPlaced!$I20,"")</f>
        <v>H</v>
      </c>
      <c r="AO35" s="23"/>
      <c r="AP35" s="23"/>
      <c r="AQ35" s="18"/>
      <c r="AR35" s="23"/>
      <c r="AS35" s="23"/>
      <c r="AT35" s="18"/>
      <c r="AU35" s="23"/>
      <c r="AV35" s="23"/>
      <c r="AW35" s="4"/>
    </row>
    <row r="36" spans="1:49" x14ac:dyDescent="0.25">
      <c r="A36" s="86">
        <v>54</v>
      </c>
      <c r="B36" s="979" t="str">
        <f>VLOOKUP(A36,Matches!$B$4:$K$113,7,0)</f>
        <v>Monterrey</v>
      </c>
      <c r="C36" s="980"/>
      <c r="D36" s="86">
        <v>52</v>
      </c>
      <c r="E36" s="979" t="str">
        <f>VLOOKUP(D36,Matches!$B$4:$K$113,7,0)</f>
        <v>Seattle</v>
      </c>
      <c r="F36" s="980"/>
      <c r="G36" s="86">
        <v>50</v>
      </c>
      <c r="H36" s="979" t="str">
        <f>VLOOKUP(G36,Matches!$B$4:$K$113,7,0)</f>
        <v>Atlanta</v>
      </c>
      <c r="I36" s="980"/>
      <c r="J36" s="86">
        <v>60</v>
      </c>
      <c r="K36" s="979" t="str">
        <f>VLOOKUP(J36,Matches!$B$4:$K$113,7,0)</f>
        <v>San Francisco Bay Area</v>
      </c>
      <c r="L36" s="980"/>
      <c r="M36" s="86">
        <v>56</v>
      </c>
      <c r="N36" s="979" t="str">
        <f>VLOOKUP(M36,Matches!$B$4:$K$113,7,0)</f>
        <v>New York/New Jersey</v>
      </c>
      <c r="O36" s="980"/>
      <c r="P36" s="86">
        <v>58</v>
      </c>
      <c r="Q36" s="979" t="str">
        <f>VLOOKUP(P36,Matches!$B$4:$K$113,7,0)</f>
        <v>Kansas City</v>
      </c>
      <c r="R36" s="980"/>
      <c r="S36" s="86">
        <v>64</v>
      </c>
      <c r="T36" s="979" t="str">
        <f>VLOOKUP(S36,Matches!$B$4:$K$113,7,0)</f>
        <v>Vancouver</v>
      </c>
      <c r="U36" s="980"/>
      <c r="V36" s="86">
        <v>66</v>
      </c>
      <c r="W36" s="979" t="str">
        <f>VLOOKUP(V36,Matches!$B$4:$K$113,7,0)</f>
        <v>Guadalajara</v>
      </c>
      <c r="X36" s="980"/>
      <c r="Y36" s="86">
        <v>62</v>
      </c>
      <c r="Z36" s="979" t="str">
        <f>VLOOKUP(Y36,Matches!$B$4:$K$113,7,0)</f>
        <v>Toronto</v>
      </c>
      <c r="AA36" s="980"/>
      <c r="AB36" s="86">
        <v>70</v>
      </c>
      <c r="AC36" s="979" t="str">
        <f>VLOOKUP(AB36,Matches!$B$4:$K$113,7,0)</f>
        <v>Dallas</v>
      </c>
      <c r="AD36" s="980"/>
      <c r="AE36" s="86">
        <v>72</v>
      </c>
      <c r="AF36" s="979" t="str">
        <f>VLOOKUP(AE36,Matches!$B$4:$K$113,7,0)</f>
        <v>Atlanta</v>
      </c>
      <c r="AG36" s="980"/>
      <c r="AH36" s="86">
        <v>68</v>
      </c>
      <c r="AI36" s="979" t="str">
        <f>VLOOKUP(AH36,Matches!$B$4:$K$113,7,0)</f>
        <v>Philadelphia</v>
      </c>
      <c r="AJ36" s="980"/>
      <c r="AK36" s="415"/>
      <c r="AL36" s="522" t="str">
        <f>IF(OR(ThirdPlaced!$D21&gt;0,ThirdPlaced!$G21&gt;0),ThirdPlaced!$C21,"")</f>
        <v>Belgium</v>
      </c>
      <c r="AM36" s="516" t="str">
        <f>IF(AL36&lt;&gt;"","   "&amp;ThirdPlaced!$D21&amp;"        "&amp;ThirdPlaced!$F21&amp;Language!$E$203&amp;ThirdPlaced!$G21,"")</f>
        <v xml:space="preserve">   2        1 - 1</v>
      </c>
      <c r="AN36" s="521" t="str">
        <f>IF(AL36&lt;&gt;"",ThirdPlaced!$I21,"")</f>
        <v>G</v>
      </c>
      <c r="AO36" s="18"/>
      <c r="AP36" s="18"/>
      <c r="AQ36" s="18"/>
      <c r="AR36" s="420"/>
      <c r="AS36" s="420"/>
      <c r="AT36" s="415"/>
      <c r="AU36" s="420"/>
      <c r="AV36" s="420"/>
      <c r="AW36" s="4"/>
    </row>
    <row r="37" spans="1:49" x14ac:dyDescent="0.25">
      <c r="A37" s="4"/>
      <c r="B37" s="977">
        <f>VLOOKUP(A36,Matches!$B$4:$K$113,5,0)</f>
        <v>46198.125</v>
      </c>
      <c r="C37" s="978"/>
      <c r="D37" s="4"/>
      <c r="E37" s="977">
        <f>VLOOKUP(D36,Matches!$B$4:$K$113,5,0)</f>
        <v>46197.875</v>
      </c>
      <c r="F37" s="978"/>
      <c r="G37" s="4"/>
      <c r="H37" s="977">
        <f>VLOOKUP(G36,Matches!$B$4:$K$113,5,0)</f>
        <v>46198</v>
      </c>
      <c r="I37" s="978"/>
      <c r="J37" s="4"/>
      <c r="K37" s="977">
        <f>VLOOKUP(J36,Matches!$B$4:$K$113,5,0)</f>
        <v>46199.166666666664</v>
      </c>
      <c r="L37" s="978"/>
      <c r="M37" s="4"/>
      <c r="N37" s="977">
        <f>VLOOKUP(M36,Matches!$B$4:$K$113,5,0)</f>
        <v>46198.916666666664</v>
      </c>
      <c r="O37" s="978"/>
      <c r="P37" s="4"/>
      <c r="Q37" s="977">
        <f>VLOOKUP(P36,Matches!$B$4:$K$113,5,0)</f>
        <v>46199.041666666664</v>
      </c>
      <c r="R37" s="978"/>
      <c r="S37" s="4"/>
      <c r="T37" s="977">
        <f>VLOOKUP(S36,Matches!$B$4:$K$113,5,0)</f>
        <v>46200.208333333336</v>
      </c>
      <c r="U37" s="978"/>
      <c r="V37" s="4"/>
      <c r="W37" s="977">
        <f>VLOOKUP(V36,Matches!$B$4:$K$113,5,0)</f>
        <v>46200.083333333336</v>
      </c>
      <c r="X37" s="978"/>
      <c r="Y37" s="4"/>
      <c r="Z37" s="977">
        <f>VLOOKUP(Y36,Matches!$B$4:$K$113,5,0)</f>
        <v>46199.875</v>
      </c>
      <c r="AA37" s="978"/>
      <c r="AB37" s="4"/>
      <c r="AC37" s="977">
        <f>VLOOKUP(AB36,Matches!$B$4:$K$113,5,0)</f>
        <v>46201.166666666664</v>
      </c>
      <c r="AD37" s="978"/>
      <c r="AE37" s="4"/>
      <c r="AF37" s="977">
        <f>VLOOKUP(AE36,Matches!$B$4:$K$113,5,0)</f>
        <v>46201.0625</v>
      </c>
      <c r="AG37" s="978"/>
      <c r="AH37" s="4"/>
      <c r="AI37" s="977">
        <f>VLOOKUP(AH36,Matches!$B$4:$K$113,5,0)</f>
        <v>46200.958333333336</v>
      </c>
      <c r="AJ37" s="978"/>
      <c r="AK37" s="18"/>
      <c r="AL37" s="522" t="str">
        <f>IF(OR(ThirdPlaced!$D22&gt;0,ThirdPlaced!$G22&gt;0),ThirdPlaced!$C22,"")</f>
        <v>Portugal</v>
      </c>
      <c r="AM37" s="516" t="str">
        <f>IF(AL37&lt;&gt;"","   "&amp;ThirdPlaced!$D22&amp;"        "&amp;ThirdPlaced!$F22&amp;Language!$E$203&amp;ThirdPlaced!$G22,"")</f>
        <v xml:space="preserve">   1        1 - 1</v>
      </c>
      <c r="AN37" s="521" t="str">
        <f>IF(AL37&lt;&gt;"",ThirdPlaced!$I22,"")</f>
        <v>K</v>
      </c>
      <c r="AO37" s="18"/>
      <c r="AP37" s="18"/>
      <c r="AQ37" s="47"/>
      <c r="AR37" s="421"/>
      <c r="AS37" s="421"/>
      <c r="AT37" s="18"/>
      <c r="AU37" s="421"/>
      <c r="AV37" s="421"/>
      <c r="AW37" s="4"/>
    </row>
    <row r="38" spans="1:49" x14ac:dyDescent="0.25">
      <c r="A38" s="4"/>
      <c r="B38" s="43" t="str">
        <f>VLOOKUP(A36,Matches!$B$4:$K$113,8,0)</f>
        <v>South Africa</v>
      </c>
      <c r="C38" s="44" t="str">
        <f>VLOOKUP(A36,Matches!$B$4:$K$113,9,0)</f>
        <v>South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2" t="str">
        <f>IF(OR(ThirdPlaced!$D23&gt;0,ThirdPlaced!$G23&gt;0),ThirdPlaced!$C23,"")</f>
        <v>Czechia</v>
      </c>
      <c r="AM38" s="516" t="str">
        <f>IF(AL38&lt;&gt;"","   "&amp;ThirdPlaced!$D23&amp;"        "&amp;ThirdPlaced!$F23&amp;Language!$E$203&amp;ThirdPlaced!$G23,"")</f>
        <v xml:space="preserve">   1        2 - 3</v>
      </c>
      <c r="AN38" s="521" t="str">
        <f>IF(AL38&lt;&gt;"",ThirdPlaced!$I23,"")</f>
        <v>A</v>
      </c>
      <c r="AO38" s="18"/>
      <c r="AP38" s="18"/>
      <c r="AQ38" s="18"/>
      <c r="AR38" s="20"/>
      <c r="AS38" s="20"/>
      <c r="AT38" s="18"/>
      <c r="AU38" s="20"/>
      <c r="AV38" s="20"/>
      <c r="AW38" s="4"/>
    </row>
    <row r="39" spans="1:49" ht="15.75" thickBot="1" x14ac:dyDescent="0.3">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27" t="str">
        <f>IF(OR(ThirdPlaced!$D24&gt;0,ThirdPlaced!$G24&gt;0),ThirdPlaced!$C24,"")</f>
        <v>Ecuador</v>
      </c>
      <c r="AM39" s="528" t="str">
        <f>IF(AL39&lt;&gt;"","   "&amp;ThirdPlaced!$D24&amp;"        "&amp;ThirdPlaced!$F24&amp;Language!$E$203&amp;ThirdPlaced!$G24,"")</f>
        <v xml:space="preserve">   1        0 - 1</v>
      </c>
      <c r="AN39" s="529" t="str">
        <f>IF(AL39&lt;&gt;"",ThirdPlaced!$I24,"")</f>
        <v>E</v>
      </c>
      <c r="AO39" s="967"/>
      <c r="AP39" s="967"/>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Bosnia/Herzeg.</v>
      </c>
      <c r="AM40" s="525" t="str">
        <f>IF(AL40&lt;&gt;"","   "&amp;ThirdPlaced!$D25&amp;"        "&amp;ThirdPlaced!$F25&amp;Language!$E$203&amp;ThirdPlaced!$G25,"")</f>
        <v xml:space="preserve">   1        2 - 5</v>
      </c>
      <c r="AN40" s="526" t="str">
        <f>IF(AL40&lt;&gt;"",ThirdPlaced!$I25,"")</f>
        <v>B</v>
      </c>
      <c r="AO40" s="4"/>
      <c r="AP40" s="4"/>
      <c r="AQ40" s="4"/>
      <c r="AR40" s="411"/>
      <c r="AS40" s="411"/>
      <c r="AT40" s="18"/>
      <c r="AU40" s="18"/>
      <c r="AV40" s="18"/>
      <c r="AW40" s="4"/>
    </row>
    <row r="41" spans="1:49" x14ac:dyDescent="0.25">
      <c r="A41" s="4"/>
      <c r="B41" s="987" t="str">
        <f>B9</f>
        <v>Group A</v>
      </c>
      <c r="C41" s="988"/>
      <c r="D41" s="4"/>
      <c r="E41" s="987" t="str">
        <f>E9</f>
        <v>Group B</v>
      </c>
      <c r="F41" s="988"/>
      <c r="G41" s="4"/>
      <c r="H41" s="987" t="str">
        <f>H9</f>
        <v>Group C</v>
      </c>
      <c r="I41" s="988"/>
      <c r="J41" s="4"/>
      <c r="K41" s="987" t="str">
        <f>K9</f>
        <v>Group D</v>
      </c>
      <c r="L41" s="988"/>
      <c r="M41" s="4"/>
      <c r="N41" s="987" t="str">
        <f>N9</f>
        <v>Group E</v>
      </c>
      <c r="O41" s="988"/>
      <c r="P41" s="4"/>
      <c r="Q41" s="987" t="str">
        <f>Q9</f>
        <v>Group F</v>
      </c>
      <c r="R41" s="988"/>
      <c r="S41" s="4"/>
      <c r="T41" s="987" t="str">
        <f>T9</f>
        <v>Group G</v>
      </c>
      <c r="U41" s="988"/>
      <c r="V41" s="47"/>
      <c r="W41" s="987" t="str">
        <f>W9</f>
        <v>Group H</v>
      </c>
      <c r="X41" s="988"/>
      <c r="Y41" s="4"/>
      <c r="Z41" s="987" t="str">
        <f>Z9</f>
        <v>Group I</v>
      </c>
      <c r="AA41" s="988"/>
      <c r="AB41" s="4"/>
      <c r="AC41" s="987" t="str">
        <f>AC9</f>
        <v>Group J</v>
      </c>
      <c r="AD41" s="988"/>
      <c r="AE41" s="4"/>
      <c r="AF41" s="987" t="str">
        <f>AF9</f>
        <v>Group K</v>
      </c>
      <c r="AG41" s="988"/>
      <c r="AH41" s="4"/>
      <c r="AI41" s="987" t="str">
        <f>AI9</f>
        <v>Group L</v>
      </c>
      <c r="AJ41" s="988"/>
      <c r="AK41" s="18"/>
      <c r="AL41" s="517" t="str">
        <f>IF(OR(ThirdPlaced!$D26&gt;0,ThirdPlaced!$G26&gt;0),ThirdPlaced!$C26,"")</f>
        <v>Panama</v>
      </c>
      <c r="AM41" s="518" t="str">
        <f>IF(AL41&lt;&gt;"","   "&amp;ThirdPlaced!$D26&amp;"        "&amp;ThirdPlaced!$F26&amp;Language!$E$203&amp;ThirdPlaced!$G26,"")</f>
        <v xml:space="preserve">   0        0 - 1</v>
      </c>
      <c r="AN41" s="519" t="str">
        <f>IF(AL41&lt;&gt;"",ThirdPlaced!$I26,"")</f>
        <v>L</v>
      </c>
      <c r="AO41" s="4"/>
      <c r="AP41" s="4"/>
      <c r="AQ41" s="4"/>
      <c r="AR41" s="419"/>
      <c r="AS41" s="419"/>
      <c r="AT41" s="47"/>
      <c r="AU41" s="419"/>
      <c r="AV41" s="419"/>
      <c r="AW41" s="4"/>
    </row>
    <row r="42" spans="1:49" x14ac:dyDescent="0.25">
      <c r="A42" s="82" t="s">
        <v>2</v>
      </c>
      <c r="B42" s="605" t="str">
        <f>IF(CalcA!$L22,B3,"")</f>
        <v>Mexico</v>
      </c>
      <c r="C42" s="604" t="str">
        <f>IF(CalcA!$L22,C3,"")</f>
        <v xml:space="preserve">   6        3 - 0</v>
      </c>
      <c r="D42" s="82" t="s">
        <v>3</v>
      </c>
      <c r="E42" s="603" t="str">
        <f>IF(CalcB!$L22,E3,"")</f>
        <v>Canada</v>
      </c>
      <c r="F42" s="604" t="str">
        <f>IF(CalcB!$L22,F3,"")</f>
        <v xml:space="preserve">   4        7 - 1</v>
      </c>
      <c r="G42" s="82" t="s">
        <v>4</v>
      </c>
      <c r="H42" s="603" t="str">
        <f>IF(CalcC!$L22,H3,"")</f>
        <v>Brazil</v>
      </c>
      <c r="I42" s="604" t="str">
        <f>IF(CalcC!$L22,I3,"")</f>
        <v xml:space="preserve">   4        4 - 1</v>
      </c>
      <c r="J42" s="82" t="s">
        <v>5</v>
      </c>
      <c r="K42" s="603" t="str">
        <f>IF(CalcD!$L22,K3,"")</f>
        <v>USA</v>
      </c>
      <c r="L42" s="604" t="str">
        <f>IF(CalcD!$L22,L3,"")</f>
        <v xml:space="preserve">   6        6 - 1</v>
      </c>
      <c r="M42" s="82" t="s">
        <v>6</v>
      </c>
      <c r="N42" s="603" t="str">
        <f>IF(CalcE!$L22,N3,"")</f>
        <v>Germany</v>
      </c>
      <c r="O42" s="604" t="str">
        <f>IF(CalcE!$L22,O3,"")</f>
        <v xml:space="preserve">   6        9 - 2</v>
      </c>
      <c r="P42" s="82" t="s">
        <v>7</v>
      </c>
      <c r="Q42" s="603" t="str">
        <f>IF(CalcF!$L22,Q3,"")</f>
        <v>Netherlands</v>
      </c>
      <c r="R42" s="604" t="str">
        <f>IF(CalcF!$L22,R3,"")</f>
        <v xml:space="preserve">   4        7 - 3</v>
      </c>
      <c r="S42" s="82" t="s">
        <v>93</v>
      </c>
      <c r="T42" s="603" t="str">
        <f>IF(CalcG!$L22,T3,"")</f>
        <v>Egypt</v>
      </c>
      <c r="U42" s="604" t="str">
        <f>IF(CalcG!$L22,U3,"")</f>
        <v xml:space="preserve">   4        4 - 2</v>
      </c>
      <c r="V42" s="82" t="s">
        <v>96</v>
      </c>
      <c r="W42" s="603" t="str">
        <f>IF(CalcH!$L22,W3,"")</f>
        <v>Spain</v>
      </c>
      <c r="X42" s="604" t="str">
        <f>IF(CalcH!$L22,X3,"")</f>
        <v xml:space="preserve">   4        4 - 0</v>
      </c>
      <c r="Y42" s="82" t="s">
        <v>844</v>
      </c>
      <c r="Z42" s="603" t="str">
        <f>IF(CalcI!$L22,Z3,"")</f>
        <v>Norway</v>
      </c>
      <c r="AA42" s="604" t="str">
        <f>IF(CalcI!$L22,AA3,"")</f>
        <v xml:space="preserve">   3        4 - 1</v>
      </c>
      <c r="AB42" s="82" t="s">
        <v>847</v>
      </c>
      <c r="AC42" s="603" t="str">
        <f>IF(CalcJ!$L22,AC3,"")</f>
        <v>Argentina</v>
      </c>
      <c r="AD42" s="604" t="str">
        <f>IF(CalcJ!$L22,AD3,"")</f>
        <v xml:space="preserve">   3        3 - 0</v>
      </c>
      <c r="AE42" s="82" t="s">
        <v>850</v>
      </c>
      <c r="AF42" s="603" t="str">
        <f>IF(CalcK!$L22,AF3,"")</f>
        <v>Colombia</v>
      </c>
      <c r="AG42" s="604" t="str">
        <f>IF(CalcK!$L22,AG3,"")</f>
        <v xml:space="preserve">   3        3 - 1</v>
      </c>
      <c r="AH42" s="82" t="s">
        <v>853</v>
      </c>
      <c r="AI42" s="603" t="str">
        <f>IF(CalcL!$L22,AI3,"")</f>
        <v>England</v>
      </c>
      <c r="AJ42" s="604" t="str">
        <f>IF(CalcL!$L22,AJ3,"")</f>
        <v xml:space="preserve">   3        4 - 2</v>
      </c>
      <c r="AK42" s="416"/>
      <c r="AL42" s="517" t="str">
        <f>IF(OR(ThirdPlaced!$D27&gt;0,ThirdPlaced!$G27&gt;0),ThirdPlaced!$C27,"")</f>
        <v>Senegal</v>
      </c>
      <c r="AM42" s="518" t="str">
        <f>IF(AL42&lt;&gt;"","   "&amp;ThirdPlaced!$D27&amp;"        "&amp;ThirdPlaced!$F27&amp;Language!$E$203&amp;ThirdPlaced!$G27,"")</f>
        <v xml:space="preserve">   0        1 - 3</v>
      </c>
      <c r="AN42" s="519" t="str">
        <f>IF(AL42&lt;&gt;"",ThirdPlaced!$I27,"")</f>
        <v>I</v>
      </c>
      <c r="AO42" s="4"/>
      <c r="AP42" s="4"/>
      <c r="AQ42" s="4"/>
      <c r="AR42" s="418"/>
      <c r="AS42" s="418"/>
      <c r="AT42" s="416"/>
      <c r="AU42" s="418"/>
      <c r="AV42" s="418"/>
      <c r="AW42" s="4"/>
    </row>
    <row r="43" spans="1:49" ht="15.75" thickBot="1" x14ac:dyDescent="0.3">
      <c r="A43" s="82" t="s">
        <v>8</v>
      </c>
      <c r="B43" s="603" t="str">
        <f>IF(CalcA!$L23,B4,"")</f>
        <v>South Korea</v>
      </c>
      <c r="C43" s="604" t="str">
        <f>IF(CalcA!$L23,C4,"")</f>
        <v xml:space="preserve">   3        2 - 2</v>
      </c>
      <c r="D43" s="82" t="s">
        <v>9</v>
      </c>
      <c r="E43" s="603" t="str">
        <f>IF(CalcB!$L23,E4,"")</f>
        <v>Switzerland</v>
      </c>
      <c r="F43" s="604" t="str">
        <f>IF(CalcB!$L23,F4,"")</f>
        <v xml:space="preserve">   4        5 - 2</v>
      </c>
      <c r="G43" s="82" t="s">
        <v>10</v>
      </c>
      <c r="H43" s="603" t="str">
        <f>IF(CalcC!$L23,H4,"")</f>
        <v>Morocco</v>
      </c>
      <c r="I43" s="604" t="str">
        <f>IF(CalcC!$L23,I4,"")</f>
        <v xml:space="preserve">   4        2 - 1</v>
      </c>
      <c r="J43" s="82" t="s">
        <v>11</v>
      </c>
      <c r="K43" s="603" t="str">
        <f>IF(CalcD!$L23,K4,"")</f>
        <v>Australia</v>
      </c>
      <c r="L43" s="604" t="str">
        <f>IF(CalcD!$L23,L4,"")</f>
        <v xml:space="preserve">   3        2 - 2</v>
      </c>
      <c r="M43" s="82" t="s">
        <v>12</v>
      </c>
      <c r="N43" s="603" t="str">
        <f>IF(CalcE!$L23,N4,"")</f>
        <v>Cote d'Ivoire</v>
      </c>
      <c r="O43" s="604" t="str">
        <f>IF(CalcE!$L23,O4,"")</f>
        <v xml:space="preserve">   3        2 - 2</v>
      </c>
      <c r="P43" s="82" t="s">
        <v>13</v>
      </c>
      <c r="Q43" s="603" t="str">
        <f>IF(CalcF!$L23,Q4,"")</f>
        <v>Japan</v>
      </c>
      <c r="R43" s="604" t="str">
        <f>IF(CalcF!$L23,R4,"")</f>
        <v xml:space="preserve">   4        6 - 2</v>
      </c>
      <c r="S43" s="82" t="s">
        <v>94</v>
      </c>
      <c r="T43" s="603" t="str">
        <f>IF(CalcG!$L23,T4,"")</f>
        <v>IR Iran</v>
      </c>
      <c r="U43" s="604" t="str">
        <f>IF(CalcG!$L23,U4,"")</f>
        <v xml:space="preserve">   2        2 - 2</v>
      </c>
      <c r="V43" s="82" t="s">
        <v>97</v>
      </c>
      <c r="W43" s="603" t="str">
        <f>IF(CalcH!$L23,W4,"")</f>
        <v>Uruguay</v>
      </c>
      <c r="X43" s="604" t="str">
        <f>IF(CalcH!$L23,X4,"")</f>
        <v xml:space="preserve">   2        3 - 3</v>
      </c>
      <c r="Y43" s="82" t="s">
        <v>845</v>
      </c>
      <c r="Z43" s="603" t="str">
        <f>IF(CalcI!$L23,Z4,"")</f>
        <v>France</v>
      </c>
      <c r="AA43" s="604" t="str">
        <f>IF(CalcI!$L23,AA4,"")</f>
        <v xml:space="preserve">   3        3 - 1</v>
      </c>
      <c r="AB43" s="82" t="s">
        <v>848</v>
      </c>
      <c r="AC43" s="603" t="str">
        <f>IF(CalcJ!$L23,AC4,"")</f>
        <v>Austria</v>
      </c>
      <c r="AD43" s="604" t="str">
        <f>IF(CalcJ!$L23,AD4,"")</f>
        <v xml:space="preserve">   3        3 - 1</v>
      </c>
      <c r="AE43" s="82" t="s">
        <v>851</v>
      </c>
      <c r="AF43" s="603" t="str">
        <f>IF(CalcK!$L23,AF4,"")</f>
        <v>DR Congo</v>
      </c>
      <c r="AG43" s="604" t="str">
        <f>IF(CalcK!$L23,AG4,"")</f>
        <v xml:space="preserve">   1        1 - 1</v>
      </c>
      <c r="AH43" s="82" t="s">
        <v>854</v>
      </c>
      <c r="AI43" s="603" t="str">
        <f>IF(CalcL!$L23,AI4,"")</f>
        <v>Ghana</v>
      </c>
      <c r="AJ43" s="604" t="str">
        <f>IF(CalcL!$L23,AJ4,"")</f>
        <v xml:space="preserve">   3        1 - 0</v>
      </c>
      <c r="AK43" s="416"/>
      <c r="AL43" s="530" t="str">
        <f>IF(OR(ThirdPlaced!$D28&gt;0,ThirdPlaced!$G28&gt;0),ThirdPlaced!$C28,"")</f>
        <v>Jordan</v>
      </c>
      <c r="AM43" s="531" t="str">
        <f>IF(AL43&lt;&gt;"","   "&amp;ThirdPlaced!$D28&amp;"        "&amp;ThirdPlaced!$F28&amp;Language!$E$203&amp;ThirdPlaced!$G28,"")</f>
        <v xml:space="preserve">   0        1 - 3</v>
      </c>
      <c r="AN43" s="532" t="str">
        <f>IF(AL43&lt;&gt;"",ThirdPlaced!$I28,"")</f>
        <v>J</v>
      </c>
      <c r="AO43" s="4"/>
      <c r="AP43" s="4"/>
      <c r="AQ43" s="4"/>
      <c r="AR43" s="418"/>
      <c r="AS43" s="418"/>
      <c r="AT43" s="416"/>
      <c r="AU43" s="418"/>
      <c r="AV43" s="418"/>
      <c r="AW43" s="4"/>
    </row>
    <row r="44" spans="1:49" x14ac:dyDescent="0.25">
      <c r="A44" s="83" t="s">
        <v>14</v>
      </c>
      <c r="B44" s="601" t="str">
        <f>IF(CalcA!$L24,B5,"")</f>
        <v>Czechia</v>
      </c>
      <c r="C44" s="602" t="str">
        <f>IF(CalcA!$L24,C5,"")</f>
        <v xml:space="preserve">   1        2 - 3</v>
      </c>
      <c r="D44" s="83" t="s">
        <v>15</v>
      </c>
      <c r="E44" s="601" t="str">
        <f>IF(CalcB!$L24,E5,"")</f>
        <v>Bosnia/Herzeg.</v>
      </c>
      <c r="F44" s="602" t="str">
        <f>IF(CalcB!$L24,F5,"")</f>
        <v xml:space="preserve">   1        2 - 5</v>
      </c>
      <c r="G44" s="83" t="s">
        <v>16</v>
      </c>
      <c r="H44" s="601" t="str">
        <f>IF(CalcC!$L24,H5,"")</f>
        <v>Scotland</v>
      </c>
      <c r="I44" s="602" t="str">
        <f>IF(CalcC!$L24,I5,"")</f>
        <v xml:space="preserve">   3        1 - 1</v>
      </c>
      <c r="J44" s="83" t="s">
        <v>17</v>
      </c>
      <c r="K44" s="601" t="str">
        <f>IF(CalcD!$L24,K5,"")</f>
        <v>Paraguay</v>
      </c>
      <c r="L44" s="602" t="str">
        <f>IF(CalcD!$L24,L5,"")</f>
        <v xml:space="preserve">   3        2 - 4</v>
      </c>
      <c r="M44" s="83" t="s">
        <v>18</v>
      </c>
      <c r="N44" s="601" t="str">
        <f>IF(CalcE!$L24,N5,"")</f>
        <v>Ecuador</v>
      </c>
      <c r="O44" s="602" t="str">
        <f>IF(CalcE!$L24,O5,"")</f>
        <v xml:space="preserve">   1        0 - 1</v>
      </c>
      <c r="P44" s="83" t="s">
        <v>19</v>
      </c>
      <c r="Q44" s="601" t="str">
        <f>IF(CalcF!$L24,Q5,"")</f>
        <v>Sweden</v>
      </c>
      <c r="R44" s="602" t="str">
        <f>IF(CalcF!$L24,R5,"")</f>
        <v xml:space="preserve">   3        6 - 6</v>
      </c>
      <c r="S44" s="83" t="s">
        <v>95</v>
      </c>
      <c r="T44" s="601" t="str">
        <f>IF(CalcG!$L24,T5,"")</f>
        <v>Belgium</v>
      </c>
      <c r="U44" s="602" t="str">
        <f>IF(CalcG!$L24,U5,"")</f>
        <v xml:space="preserve">   2        1 - 1</v>
      </c>
      <c r="V44" s="83" t="s">
        <v>98</v>
      </c>
      <c r="W44" s="601" t="str">
        <f>IF(CalcH!$L24,W5,"")</f>
        <v>Cabo Verde</v>
      </c>
      <c r="X44" s="602" t="str">
        <f>IF(CalcH!$L24,X5,"")</f>
        <v xml:space="preserve">   2        2 - 2</v>
      </c>
      <c r="Y44" s="83" t="s">
        <v>846</v>
      </c>
      <c r="Z44" s="601" t="str">
        <f>IF(CalcI!$L24,Z5,"")</f>
        <v>Senegal</v>
      </c>
      <c r="AA44" s="602" t="str">
        <f>IF(CalcI!$L24,AA5,"")</f>
        <v xml:space="preserve">   0        1 - 3</v>
      </c>
      <c r="AB44" s="83" t="s">
        <v>849</v>
      </c>
      <c r="AC44" s="601" t="str">
        <f>IF(CalcJ!$L24,AC5,"")</f>
        <v>Jordan</v>
      </c>
      <c r="AD44" s="602" t="str">
        <f>IF(CalcJ!$L24,AD5,"")</f>
        <v xml:space="preserve">   0        1 - 3</v>
      </c>
      <c r="AE44" s="83" t="s">
        <v>852</v>
      </c>
      <c r="AF44" s="601" t="str">
        <f>IF(CalcK!$L24,AF5,"")</f>
        <v>Portugal</v>
      </c>
      <c r="AG44" s="602" t="str">
        <f>IF(CalcK!$L24,AG5,"")</f>
        <v xml:space="preserve">   1        1 - 1</v>
      </c>
      <c r="AH44" s="83" t="s">
        <v>855</v>
      </c>
      <c r="AI44" s="601" t="str">
        <f>IF(CalcL!$L24,AI5,"")</f>
        <v>Panama</v>
      </c>
      <c r="AJ44" s="602" t="str">
        <f>IF(CalcL!$L24,AJ5,"")</f>
        <v xml:space="preserve">   0        0 - 1</v>
      </c>
      <c r="AK44" s="417"/>
      <c r="AL44" s="969" t="str">
        <f>Language!$E$182</f>
        <v>Group combination:</v>
      </c>
      <c r="AM44" s="970"/>
      <c r="AN44" s="971"/>
      <c r="AO44" s="418"/>
      <c r="AP44" s="418"/>
      <c r="AQ44" s="417"/>
      <c r="AR44" s="418"/>
      <c r="AS44" s="418"/>
      <c r="AT44" s="417"/>
      <c r="AU44" s="418"/>
      <c r="AV44" s="418"/>
      <c r="AW44" s="4"/>
    </row>
    <row r="45" spans="1:49" x14ac:dyDescent="0.25">
      <c r="A45" s="83" t="s">
        <v>1550</v>
      </c>
      <c r="B45" s="601" t="str">
        <f>IF(CalcA!$L25,B6,"")</f>
        <v>South Africa</v>
      </c>
      <c r="C45" s="602" t="str">
        <f>IF(CalcA!$L25,C6,"")</f>
        <v xml:space="preserve">   1        1 - 3</v>
      </c>
      <c r="D45" s="83" t="s">
        <v>1551</v>
      </c>
      <c r="E45" s="601" t="str">
        <f>IF(CalcB!$L25,E6,"")</f>
        <v>Qatar</v>
      </c>
      <c r="F45" s="602" t="str">
        <f>IF(CalcB!$L25,F6,"")</f>
        <v xml:space="preserve">   1        1 - 7</v>
      </c>
      <c r="G45" s="83" t="s">
        <v>1552</v>
      </c>
      <c r="H45" s="601" t="str">
        <f>IF(CalcC!$L25,H6,"")</f>
        <v>Haiti</v>
      </c>
      <c r="I45" s="602" t="str">
        <f>IF(CalcC!$L25,I6,"")</f>
        <v xml:space="preserve">   0        0 - 4</v>
      </c>
      <c r="J45" s="83" t="s">
        <v>1553</v>
      </c>
      <c r="K45" s="601" t="str">
        <f>IF(CalcD!$L25,K6,"")</f>
        <v>Turkiye</v>
      </c>
      <c r="L45" s="602" t="str">
        <f>IF(CalcD!$L25,L6,"")</f>
        <v xml:space="preserve">   0        0 - 3</v>
      </c>
      <c r="M45" s="83" t="s">
        <v>1554</v>
      </c>
      <c r="N45" s="601" t="str">
        <f>IF(CalcE!$L25,N6,"")</f>
        <v>Curaçao</v>
      </c>
      <c r="O45" s="602" t="str">
        <f>IF(CalcE!$L25,O6,"")</f>
        <v xml:space="preserve">   1        1 - 7</v>
      </c>
      <c r="P45" s="83" t="s">
        <v>1555</v>
      </c>
      <c r="Q45" s="601" t="str">
        <f>IF(CalcF!$L25,Q6,"")</f>
        <v>Tunisia</v>
      </c>
      <c r="R45" s="602" t="str">
        <f>IF(CalcF!$L25,R6,"")</f>
        <v xml:space="preserve">   0        1 - 9</v>
      </c>
      <c r="S45" s="83" t="s">
        <v>1556</v>
      </c>
      <c r="T45" s="601" t="str">
        <f>IF(CalcG!$L25,T6,"")</f>
        <v>New Zealand</v>
      </c>
      <c r="U45" s="602" t="str">
        <f>IF(CalcG!$L25,U6,"")</f>
        <v xml:space="preserve">   1        3 - 5</v>
      </c>
      <c r="V45" s="83" t="s">
        <v>1557</v>
      </c>
      <c r="W45" s="601" t="str">
        <f>IF(CalcH!$L25,W6,"")</f>
        <v>Saudi Arabia</v>
      </c>
      <c r="X45" s="602" t="str">
        <f>IF(CalcH!$L25,X6,"")</f>
        <v xml:space="preserve">   1        1 - 5</v>
      </c>
      <c r="Y45" s="83" t="s">
        <v>1558</v>
      </c>
      <c r="Z45" s="601" t="str">
        <f>IF(CalcI!$L25,Z6,"")</f>
        <v>Iraq</v>
      </c>
      <c r="AA45" s="602" t="str">
        <f>IF(CalcI!$L25,AA6,"")</f>
        <v xml:space="preserve">   0        1 - 4</v>
      </c>
      <c r="AB45" s="83" t="s">
        <v>1559</v>
      </c>
      <c r="AC45" s="601" t="str">
        <f>IF(CalcJ!$L25,AC6,"")</f>
        <v>Algeria</v>
      </c>
      <c r="AD45" s="602" t="str">
        <f>IF(CalcJ!$L25,AD6,"")</f>
        <v xml:space="preserve">   0        0 - 3</v>
      </c>
      <c r="AE45" s="83" t="s">
        <v>1560</v>
      </c>
      <c r="AF45" s="601" t="str">
        <f>IF(CalcK!$L25,AF6,"")</f>
        <v>Uzbekistan</v>
      </c>
      <c r="AG45" s="602" t="str">
        <f>IF(CalcK!$L25,AG6,"")</f>
        <v xml:space="preserve">   0        1 - 3</v>
      </c>
      <c r="AH45" s="83" t="s">
        <v>1561</v>
      </c>
      <c r="AI45" s="601" t="str">
        <f>IF(CalcL!$L25,AI6,"")</f>
        <v>Croatia</v>
      </c>
      <c r="AJ45" s="602" t="str">
        <f>IF(CalcL!$L25,AJ6,"")</f>
        <v xml:space="preserve">   0        2 - 4</v>
      </c>
      <c r="AK45" s="417"/>
      <c r="AL45" s="972" t="str">
        <f>IF(Distinctness!$G$17&gt;0,ThirdPlaced!$I30,"")</f>
        <v>ACDEFGHK</v>
      </c>
      <c r="AM45" s="973"/>
      <c r="AN45" s="974"/>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2" t="str">
        <f>VLOOKUP(VLOOKUP(A48,Matches!$B$77:$K$92,10,0),Language!$D$142:$E$157,2,0)</f>
        <v>Round of 32 - 3</v>
      </c>
      <c r="C47" s="983"/>
      <c r="D47" s="4"/>
      <c r="E47" s="982" t="str">
        <f>VLOOKUP(VLOOKUP(D48,Matches!$B$77:$K$92,10,0),Language!$D$142:$E$157,2,0)</f>
        <v>Round of 32 - 6</v>
      </c>
      <c r="F47" s="983"/>
      <c r="G47" s="4"/>
      <c r="H47" s="982" t="str">
        <f>VLOOKUP(VLOOKUP(G48,Matches!$B$77:$K$92,10,0),Language!$D$142:$E$157,2,0)</f>
        <v>Round of 32 - 1</v>
      </c>
      <c r="I47" s="983"/>
      <c r="J47" s="4"/>
      <c r="K47" s="982" t="str">
        <f>VLOOKUP(VLOOKUP(J48,Matches!$B$77:$K$92,10,0),Language!$D$142:$E$157,2,0)</f>
        <v>Round of 32 - 4</v>
      </c>
      <c r="L47" s="983"/>
      <c r="M47" s="4"/>
      <c r="N47" s="982" t="str">
        <f>VLOOKUP(VLOOKUP(M48,Matches!$B$77:$K$92,10,0),Language!$D$142:$E$157,2,0)</f>
        <v>Round of 32 - 12</v>
      </c>
      <c r="O47" s="983"/>
      <c r="P47" s="4"/>
      <c r="Q47" s="982" t="str">
        <f>VLOOKUP(VLOOKUP(P48,Matches!$B$77:$K$92,10,0),Language!$D$142:$E$157,2,0)</f>
        <v>Round of 32 - 11</v>
      </c>
      <c r="R47" s="983"/>
      <c r="S47" s="4"/>
      <c r="T47" s="982" t="str">
        <f>VLOOKUP(VLOOKUP(S48,Matches!$B$77:$K$92,10,0),Language!$D$142:$E$157,2,0)</f>
        <v>Round of 32 - 10</v>
      </c>
      <c r="U47" s="983"/>
      <c r="V47" s="4"/>
      <c r="W47" s="982" t="str">
        <f>VLOOKUP(VLOOKUP(V48,Matches!$B$77:$K$92,10,0),Language!$D$142:$E$157,2,0)</f>
        <v>Round of 32 - 9</v>
      </c>
      <c r="X47" s="983"/>
      <c r="Y47" s="4"/>
      <c r="Z47" s="982" t="str">
        <f>VLOOKUP(VLOOKUP(Y48,Matches!$B$77:$K$92,10,0),Language!$D$142:$E$157,2,0)</f>
        <v>Round of 32 - 2</v>
      </c>
      <c r="AA47" s="983"/>
      <c r="AB47" s="4"/>
      <c r="AC47" s="982" t="str">
        <f>VLOOKUP(VLOOKUP(AB48,Matches!$B$77:$K$92,10,0),Language!$D$142:$E$157,2,0)</f>
        <v>Round of 32 - 5</v>
      </c>
      <c r="AD47" s="983"/>
      <c r="AE47" s="4"/>
      <c r="AF47" s="982" t="str">
        <f>VLOOKUP(VLOOKUP(AE48,Matches!$B$77:$K$92,10,0),Language!$D$142:$E$157,2,0)</f>
        <v>Round of 32 - 7</v>
      </c>
      <c r="AG47" s="983"/>
      <c r="AH47" s="4"/>
      <c r="AI47" s="982" t="str">
        <f>VLOOKUP(VLOOKUP(AH48,Matches!$B$77:$K$92,10,0),Language!$D$142:$E$157,2,0)</f>
        <v>Round of 32 - 8</v>
      </c>
      <c r="AJ47" s="983"/>
      <c r="AK47" s="4"/>
      <c r="AL47" s="982" t="str">
        <f>VLOOKUP(VLOOKUP(AK48,Matches!$B$77:$K$92,10,0),Language!$D$142:$E$157,2,0)</f>
        <v>Round of 32 - 15</v>
      </c>
      <c r="AM47" s="983"/>
      <c r="AN47" s="4"/>
      <c r="AO47" s="982" t="str">
        <f>VLOOKUP(VLOOKUP(AN48,Matches!$B$77:$K$92,10,0),Language!$D$142:$E$157,2,0)</f>
        <v>Round of 32 - 14</v>
      </c>
      <c r="AP47" s="983"/>
      <c r="AQ47" s="4"/>
      <c r="AR47" s="982" t="str">
        <f>VLOOKUP(VLOOKUP(AQ48,Matches!$B$77:$K$92,10,0),Language!$D$142:$E$157,2,0)</f>
        <v>Round of 32 - 13</v>
      </c>
      <c r="AS47" s="983"/>
      <c r="AT47" s="4"/>
      <c r="AU47" s="982" t="str">
        <f>VLOOKUP(VLOOKUP(AT48,Matches!$B$77:$K$92,10,0),Language!$D$142:$E$157,2,0)</f>
        <v>Round of 32 - 16</v>
      </c>
      <c r="AV47" s="983"/>
      <c r="AW47" s="4"/>
    </row>
    <row r="48" spans="1:49" x14ac:dyDescent="0.25">
      <c r="A48" s="86">
        <f>RIGHT($B$64,2)*1</f>
        <v>74</v>
      </c>
      <c r="B48" s="979" t="str">
        <f>VLOOKUP(A48,Matches!$B$4:$K$113,7,0)</f>
        <v>Boston</v>
      </c>
      <c r="C48" s="980"/>
      <c r="D48" s="86">
        <f>RIGHT($C$64,2)*1</f>
        <v>77</v>
      </c>
      <c r="E48" s="979" t="str">
        <f>VLOOKUP(D48,Matches!$B$4:$K$113,7,0)</f>
        <v>New York/New Jersey</v>
      </c>
      <c r="F48" s="980"/>
      <c r="G48" s="86">
        <f>RIGHT($E$64,2)*1</f>
        <v>73</v>
      </c>
      <c r="H48" s="979" t="str">
        <f>VLOOKUP(G48,Matches!$B$4:$K$113,7,0)</f>
        <v>Los Angeles</v>
      </c>
      <c r="I48" s="980"/>
      <c r="J48" s="86">
        <f>RIGHT($F$64,2)*1</f>
        <v>75</v>
      </c>
      <c r="K48" s="979" t="str">
        <f>VLOOKUP(J48,Matches!$B$4:$K$113,7,0)</f>
        <v>Monterrey</v>
      </c>
      <c r="L48" s="980"/>
      <c r="M48" s="86">
        <f>RIGHT($H$64,2)*1</f>
        <v>83</v>
      </c>
      <c r="N48" s="979" t="str">
        <f>VLOOKUP(M48,Matches!$B$4:$K$113,7,0)</f>
        <v>Toronto</v>
      </c>
      <c r="O48" s="980"/>
      <c r="P48" s="86">
        <f>RIGHT($I$64,2)*1</f>
        <v>84</v>
      </c>
      <c r="Q48" s="979" t="str">
        <f>VLOOKUP(P48,Matches!$B$4:$K$113,7,0)</f>
        <v>Los Angeles</v>
      </c>
      <c r="R48" s="980"/>
      <c r="S48" s="86">
        <f>RIGHT($K$64,2)*1</f>
        <v>81</v>
      </c>
      <c r="T48" s="979" t="str">
        <f>VLOOKUP(S48,Matches!$B$4:$K$113,7,0)</f>
        <v>San Francisco Bay Area</v>
      </c>
      <c r="U48" s="980"/>
      <c r="V48" s="86">
        <f>RIGHT($L$64,2)*1</f>
        <v>82</v>
      </c>
      <c r="W48" s="979" t="str">
        <f>VLOOKUP(V48,Matches!$B$4:$K$113,7,0)</f>
        <v>Seattle</v>
      </c>
      <c r="X48" s="980"/>
      <c r="Y48" s="86">
        <f>RIGHT($N$64,2)*1</f>
        <v>76</v>
      </c>
      <c r="Z48" s="979" t="str">
        <f>VLOOKUP(Y48,Matches!$B$4:$K$113,7,0)</f>
        <v>Houston</v>
      </c>
      <c r="AA48" s="980"/>
      <c r="AB48" s="86">
        <f>RIGHT($O$64,2)*1</f>
        <v>78</v>
      </c>
      <c r="AC48" s="979" t="str">
        <f>VLOOKUP(AB48,Matches!$B$4:$K$113,7,0)</f>
        <v>Dallas</v>
      </c>
      <c r="AD48" s="980"/>
      <c r="AE48" s="86">
        <f>RIGHT($Q$64,2)*1</f>
        <v>79</v>
      </c>
      <c r="AF48" s="979" t="str">
        <f>VLOOKUP(AE48,Matches!$B$4:$K$113,7,0)</f>
        <v>Mexico City</v>
      </c>
      <c r="AG48" s="980"/>
      <c r="AH48" s="86">
        <f>RIGHT($R$64,2)*1</f>
        <v>80</v>
      </c>
      <c r="AI48" s="979" t="str">
        <f>VLOOKUP(AH48,Matches!$B$4:$K$113,7,0)</f>
        <v>Atlanta</v>
      </c>
      <c r="AJ48" s="980"/>
      <c r="AK48" s="86">
        <f>RIGHT($T$64,2)*1</f>
        <v>86</v>
      </c>
      <c r="AL48" s="979" t="str">
        <f>VLOOKUP(AK48,Matches!$B$4:$K$113,7,0)</f>
        <v>Miami</v>
      </c>
      <c r="AM48" s="980"/>
      <c r="AN48" s="86">
        <f>RIGHT($U$64,2)*1</f>
        <v>88</v>
      </c>
      <c r="AO48" s="979" t="str">
        <f>VLOOKUP(AN48,Matches!$B$4:$K$113,7,0)</f>
        <v>Dallas</v>
      </c>
      <c r="AP48" s="980"/>
      <c r="AQ48" s="86">
        <f>RIGHT($W$64,2)*1</f>
        <v>85</v>
      </c>
      <c r="AR48" s="979" t="str">
        <f>VLOOKUP(AQ48,Matches!$B$4:$K$113,7,0)</f>
        <v>Vancouver</v>
      </c>
      <c r="AS48" s="980"/>
      <c r="AT48" s="86">
        <f>RIGHT($X$64,2)*1</f>
        <v>87</v>
      </c>
      <c r="AU48" s="979" t="str">
        <f>VLOOKUP(AT48,Matches!$B$4:$K$113,7,0)</f>
        <v>Kansas City</v>
      </c>
      <c r="AV48" s="980"/>
      <c r="AW48" s="4"/>
    </row>
    <row r="49" spans="1:49" x14ac:dyDescent="0.25">
      <c r="A49" s="4"/>
      <c r="B49" s="977">
        <f>VLOOKUP(A48,Matches!$B$4:$K$113,5,0)</f>
        <v>46202.9375</v>
      </c>
      <c r="C49" s="978"/>
      <c r="D49" s="4"/>
      <c r="E49" s="977">
        <f>VLOOKUP(D48,Matches!$B$4:$K$113,5,0)</f>
        <v>46203.958333333336</v>
      </c>
      <c r="F49" s="978"/>
      <c r="G49" s="4"/>
      <c r="H49" s="977">
        <f>VLOOKUP(G48,Matches!$B$4:$K$113,5,0)</f>
        <v>46201.875</v>
      </c>
      <c r="I49" s="978"/>
      <c r="J49" s="4"/>
      <c r="K49" s="977">
        <f>VLOOKUP(J48,Matches!$B$4:$K$113,5,0)</f>
        <v>46203.125</v>
      </c>
      <c r="L49" s="978"/>
      <c r="M49" s="4"/>
      <c r="N49" s="977">
        <f>VLOOKUP(M48,Matches!$B$4:$K$113,5,0)</f>
        <v>46206.041666666664</v>
      </c>
      <c r="O49" s="978"/>
      <c r="P49" s="4"/>
      <c r="Q49" s="977">
        <f>VLOOKUP(P48,Matches!$B$4:$K$113,5,0)</f>
        <v>46205.875</v>
      </c>
      <c r="R49" s="978"/>
      <c r="S49" s="4"/>
      <c r="T49" s="977">
        <f>VLOOKUP(S48,Matches!$B$4:$K$113,5,0)</f>
        <v>46205.083333333336</v>
      </c>
      <c r="U49" s="978"/>
      <c r="V49" s="7"/>
      <c r="W49" s="977">
        <f>VLOOKUP(V48,Matches!$B$4:$K$113,5,0)</f>
        <v>46204.916666666664</v>
      </c>
      <c r="X49" s="978"/>
      <c r="Y49" s="4"/>
      <c r="Z49" s="977">
        <f>VLOOKUP(Y48,Matches!$B$4:$K$113,5,0)</f>
        <v>46202.791666666664</v>
      </c>
      <c r="AA49" s="978"/>
      <c r="AB49" s="4"/>
      <c r="AC49" s="977">
        <f>VLOOKUP(AB48,Matches!$B$4:$K$113,5,0)</f>
        <v>46203.791666666664</v>
      </c>
      <c r="AD49" s="978"/>
      <c r="AE49" s="4"/>
      <c r="AF49" s="977">
        <f>VLOOKUP(AE48,Matches!$B$4:$K$113,5,0)</f>
        <v>46204.125</v>
      </c>
      <c r="AG49" s="978"/>
      <c r="AH49" s="4"/>
      <c r="AI49" s="977">
        <f>VLOOKUP(AH48,Matches!$B$4:$K$113,5,0)</f>
        <v>46204.75</v>
      </c>
      <c r="AJ49" s="978"/>
      <c r="AK49" s="4"/>
      <c r="AL49" s="977">
        <f>VLOOKUP(AK48,Matches!$B$4:$K$113,5,0)</f>
        <v>46207</v>
      </c>
      <c r="AM49" s="978"/>
      <c r="AN49" s="4"/>
      <c r="AO49" s="977">
        <f>VLOOKUP(AN48,Matches!$B$4:$K$113,5,0)</f>
        <v>46206.833333333336</v>
      </c>
      <c r="AP49" s="978"/>
      <c r="AQ49" s="4"/>
      <c r="AR49" s="977">
        <f>VLOOKUP(AQ48,Matches!$B$4:$K$113,5,0)</f>
        <v>46206.208333333336</v>
      </c>
      <c r="AS49" s="978"/>
      <c r="AT49" s="7"/>
      <c r="AU49" s="977">
        <f>VLOOKUP(AT48,Matches!$B$4:$K$113,5,0)</f>
        <v>46207.145833333336</v>
      </c>
      <c r="AV49" s="978"/>
      <c r="AW49" s="4"/>
    </row>
    <row r="50" spans="1:49" x14ac:dyDescent="0.25">
      <c r="A50" s="4"/>
      <c r="B50" s="43" t="str">
        <f>VLOOKUP(A48,Matches!$B$4:$K$113,8,0)</f>
        <v>Germany</v>
      </c>
      <c r="C50" s="44" t="str">
        <f>VLOOKUP(A48,Matches!$B$4:$K$113,9,0)</f>
        <v>Scotland</v>
      </c>
      <c r="D50" s="4"/>
      <c r="E50" s="43" t="str">
        <f>VLOOKUP(D48,Matches!$B$4:$K$113,8,0)</f>
        <v>Norway</v>
      </c>
      <c r="F50" s="44" t="str">
        <f>VLOOKUP(D48,Matches!$B$4:$K$113,9,0)</f>
        <v>Sweden</v>
      </c>
      <c r="G50" s="4"/>
      <c r="H50" s="43" t="str">
        <f>VLOOKUP(G48,Matches!$B$4:$K$113,8,0)</f>
        <v>South Korea</v>
      </c>
      <c r="I50" s="44" t="str">
        <f>VLOOKUP(G48,Matches!$B$4:$K$113,9,0)</f>
        <v>Switzerland</v>
      </c>
      <c r="J50" s="4"/>
      <c r="K50" s="43" t="str">
        <f>VLOOKUP(J48,Matches!$B$4:$K$113,8,0)</f>
        <v>Netherlands</v>
      </c>
      <c r="L50" s="44" t="str">
        <f>VLOOKUP(J48,Matches!$B$4:$K$113,9,0)</f>
        <v>Morocco</v>
      </c>
      <c r="M50" s="4"/>
      <c r="N50" s="43" t="str">
        <f>VLOOKUP(M48,Matches!$B$4:$K$113,8,0)</f>
        <v>DR Congo</v>
      </c>
      <c r="O50" s="44" t="str">
        <f>VLOOKUP(M48,Matches!$B$4:$K$113,9,0)</f>
        <v>Ghana</v>
      </c>
      <c r="P50" s="4"/>
      <c r="Q50" s="43" t="str">
        <f>VLOOKUP(P48,Matches!$B$4:$K$113,8,0)</f>
        <v>Spain</v>
      </c>
      <c r="R50" s="44" t="str">
        <f>VLOOKUP(P48,Matches!$B$4:$K$113,9,0)</f>
        <v>Austria</v>
      </c>
      <c r="S50" s="4"/>
      <c r="T50" s="43" t="str">
        <f>VLOOKUP(S48,Matches!$B$4:$K$113,8,0)</f>
        <v>USA</v>
      </c>
      <c r="U50" s="44" t="str">
        <f>VLOOKUP(S48,Matches!$B$4:$K$113,9,0)</f>
        <v>Ecuador</v>
      </c>
      <c r="V50" s="4"/>
      <c r="W50" s="43" t="str">
        <f>VLOOKUP(V48,Matches!$B$4:$K$113,8,0)</f>
        <v>Egypt</v>
      </c>
      <c r="X50" s="44" t="str">
        <f>VLOOKUP(V48,Matches!$B$4:$K$113,9,0)</f>
        <v>Czechia</v>
      </c>
      <c r="Y50" s="4"/>
      <c r="Z50" s="43" t="str">
        <f>VLOOKUP(Y48,Matches!$B$4:$K$113,8,0)</f>
        <v>Brazil</v>
      </c>
      <c r="AA50" s="44" t="str">
        <f>VLOOKUP(Y48,Matches!$B$4:$K$113,9,0)</f>
        <v>Japan</v>
      </c>
      <c r="AB50" s="4"/>
      <c r="AC50" s="43" t="str">
        <f>VLOOKUP(AB48,Matches!$B$4:$K$113,8,0)</f>
        <v>Cote d'Ivoire</v>
      </c>
      <c r="AD50" s="44" t="str">
        <f>VLOOKUP(AB48,Matches!$B$4:$K$113,9,0)</f>
        <v>France</v>
      </c>
      <c r="AE50" s="4"/>
      <c r="AF50" s="43" t="str">
        <f>VLOOKUP(AE48,Matches!$B$4:$K$113,8,0)</f>
        <v>Mexico</v>
      </c>
      <c r="AG50" s="44" t="str">
        <f>VLOOKUP(AE48,Matches!$B$4:$K$113,9,0)</f>
        <v>Cabo Verde</v>
      </c>
      <c r="AH50" s="4"/>
      <c r="AI50" s="43" t="str">
        <f>VLOOKUP(AH48,Matches!$B$4:$K$113,8,0)</f>
        <v>England</v>
      </c>
      <c r="AJ50" s="44" t="str">
        <f>VLOOKUP(AH48,Matches!$B$4:$K$113,9,0)</f>
        <v>Portugal</v>
      </c>
      <c r="AK50" s="4"/>
      <c r="AL50" s="43" t="str">
        <f>VLOOKUP(AK48,Matches!$B$4:$K$113,8,0)</f>
        <v>Argentina</v>
      </c>
      <c r="AM50" s="44" t="str">
        <f>VLOOKUP(AK48,Matches!$B$4:$K$113,9,0)</f>
        <v>Uruguay</v>
      </c>
      <c r="AN50" s="4"/>
      <c r="AO50" s="43" t="str">
        <f>VLOOKUP(AN48,Matches!$B$4:$K$113,8,0)</f>
        <v>Australia</v>
      </c>
      <c r="AP50" s="44" t="str">
        <f>VLOOKUP(AN48,Matches!$B$4:$K$113,9,0)</f>
        <v>IR Iran</v>
      </c>
      <c r="AQ50" s="4"/>
      <c r="AR50" s="43" t="str">
        <f>VLOOKUP(AQ48,Matches!$B$4:$K$113,8,0)</f>
        <v>Canada</v>
      </c>
      <c r="AS50" s="44" t="str">
        <f>VLOOKUP(AQ48,Matches!$B$4:$K$113,9,0)</f>
        <v>Belgium</v>
      </c>
      <c r="AT50" s="4"/>
      <c r="AU50" s="43" t="str">
        <f>VLOOKUP(AT48,Matches!$B$4:$K$113,8,0)</f>
        <v>Colombia</v>
      </c>
      <c r="AV50" s="44" t="str">
        <f>VLOOKUP(AT48,Matches!$B$4:$K$113,9,0)</f>
        <v>Paraguay</v>
      </c>
      <c r="AW50" s="4"/>
    </row>
    <row r="51" spans="1:49" ht="15.75" thickBot="1" x14ac:dyDescent="0.3">
      <c r="A51" s="4"/>
      <c r="B51" s="1"/>
      <c r="C51" s="2"/>
      <c r="D51" s="214"/>
      <c r="E51" s="1"/>
      <c r="F51" s="2"/>
      <c r="G51" s="214"/>
      <c r="H51" s="1"/>
      <c r="I51" s="2"/>
      <c r="J51" s="214"/>
      <c r="K51" s="1"/>
      <c r="L51" s="2"/>
      <c r="M51" s="214"/>
      <c r="N51" s="1"/>
      <c r="O51" s="2"/>
      <c r="P51" s="214"/>
      <c r="Q51" s="1"/>
      <c r="R51" s="2"/>
      <c r="S51" s="214"/>
      <c r="T51" s="1"/>
      <c r="U51" s="2"/>
      <c r="V51" s="214"/>
      <c r="W51" s="1"/>
      <c r="X51" s="2"/>
      <c r="Y51" s="214"/>
      <c r="Z51" s="1"/>
      <c r="AA51" s="2"/>
      <c r="AB51" s="214"/>
      <c r="AC51" s="1"/>
      <c r="AD51" s="2"/>
      <c r="AE51" s="214"/>
      <c r="AF51" s="1"/>
      <c r="AG51" s="2"/>
      <c r="AH51" s="214"/>
      <c r="AI51" s="1"/>
      <c r="AJ51" s="2"/>
      <c r="AK51" s="214"/>
      <c r="AL51" s="1"/>
      <c r="AM51" s="2"/>
      <c r="AN51" s="214"/>
      <c r="AO51" s="1"/>
      <c r="AP51" s="2"/>
      <c r="AQ51" s="214"/>
      <c r="AR51" s="1"/>
      <c r="AS51" s="2"/>
      <c r="AT51" s="214"/>
      <c r="AU51" s="1"/>
      <c r="AV51" s="2"/>
      <c r="AW51" s="215"/>
    </row>
    <row r="52" spans="1:49" ht="9.9499999999999993" customHeight="1" x14ac:dyDescent="0.25">
      <c r="A52" s="4"/>
      <c r="B52" s="1013" t="str">
        <f>Language!$E$175</f>
        <v>Penalty shoot-out:</v>
      </c>
      <c r="C52" s="1014"/>
      <c r="D52" s="4"/>
      <c r="E52" s="1013" t="str">
        <f>Language!$E$175</f>
        <v>Penalty shoot-out:</v>
      </c>
      <c r="F52" s="1014"/>
      <c r="G52" s="4"/>
      <c r="H52" s="1013" t="str">
        <f>Language!$E$175</f>
        <v>Penalty shoot-out:</v>
      </c>
      <c r="I52" s="1014"/>
      <c r="J52" s="4"/>
      <c r="K52" s="1013" t="str">
        <f>Language!$E$175</f>
        <v>Penalty shoot-out:</v>
      </c>
      <c r="L52" s="1014"/>
      <c r="M52" s="4"/>
      <c r="N52" s="1013" t="str">
        <f>Language!$E$175</f>
        <v>Penalty shoot-out:</v>
      </c>
      <c r="O52" s="1014"/>
      <c r="P52" s="4"/>
      <c r="Q52" s="1013" t="str">
        <f>Language!$E$175</f>
        <v>Penalty shoot-out:</v>
      </c>
      <c r="R52" s="1014"/>
      <c r="S52" s="4"/>
      <c r="T52" s="1013" t="str">
        <f>Language!$E$175</f>
        <v>Penalty shoot-out:</v>
      </c>
      <c r="U52" s="1014"/>
      <c r="V52" s="4"/>
      <c r="W52" s="1013" t="str">
        <f>Language!$E$175</f>
        <v>Penalty shoot-out:</v>
      </c>
      <c r="X52" s="1014"/>
      <c r="Y52" s="4"/>
      <c r="Z52" s="1013" t="str">
        <f>Language!$E$175</f>
        <v>Penalty shoot-out:</v>
      </c>
      <c r="AA52" s="1014"/>
      <c r="AB52" s="4"/>
      <c r="AC52" s="1013" t="str">
        <f>Language!$E$175</f>
        <v>Penalty shoot-out:</v>
      </c>
      <c r="AD52" s="1014"/>
      <c r="AE52" s="4"/>
      <c r="AF52" s="1013" t="str">
        <f>Language!$E$175</f>
        <v>Penalty shoot-out:</v>
      </c>
      <c r="AG52" s="1014"/>
      <c r="AH52" s="4"/>
      <c r="AI52" s="1013" t="str">
        <f>Language!$E$175</f>
        <v>Penalty shoot-out:</v>
      </c>
      <c r="AJ52" s="1014"/>
      <c r="AK52" s="4"/>
      <c r="AL52" s="985" t="str">
        <f>Language!$E$175</f>
        <v>Penalty shoot-out:</v>
      </c>
      <c r="AM52" s="986"/>
      <c r="AN52" s="4"/>
      <c r="AO52" s="985" t="str">
        <f>Language!$E$175</f>
        <v>Penalty shoot-out:</v>
      </c>
      <c r="AP52" s="986"/>
      <c r="AQ52" s="4"/>
      <c r="AR52" s="985" t="str">
        <f>Language!$E$175</f>
        <v>Penalty shoot-out:</v>
      </c>
      <c r="AS52" s="986"/>
      <c r="AT52" s="4"/>
      <c r="AU52" s="985" t="str">
        <f>Language!$E$175</f>
        <v>Penalty shoot-out:</v>
      </c>
      <c r="AV52" s="986"/>
      <c r="AW52" s="4"/>
    </row>
    <row r="53" spans="1:49" ht="15.75" thickBot="1" x14ac:dyDescent="0.3">
      <c r="A53" s="4"/>
      <c r="B53" s="208"/>
      <c r="C53" s="209"/>
      <c r="D53" s="4"/>
      <c r="E53" s="208"/>
      <c r="F53" s="209"/>
      <c r="G53" s="4"/>
      <c r="H53" s="208"/>
      <c r="I53" s="209"/>
      <c r="J53" s="4"/>
      <c r="K53" s="208"/>
      <c r="L53" s="209"/>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c r="AP53" s="209"/>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84" t="str">
        <f>IF(AND(B51&lt;&gt;"",C51&lt;&gt;"",B51=C51,B53&lt;&gt;"",C53&lt;&gt;"",B53=C53),Language!$E$198,"")</f>
        <v/>
      </c>
      <c r="C55" s="984"/>
      <c r="D55" s="11"/>
      <c r="E55" s="984" t="str">
        <f>IF(AND(E51&lt;&gt;"",F51&lt;&gt;"",E51=F51,E53&lt;&gt;"",F53&lt;&gt;"",E53=F53),Language!$E$198,"")</f>
        <v/>
      </c>
      <c r="F55" s="984"/>
      <c r="G55" s="11"/>
      <c r="H55" s="984" t="str">
        <f>IF(AND(H51&lt;&gt;"",I51&lt;&gt;"",H51=I51,H53&lt;&gt;"",I53&lt;&gt;"",H53=I53),Language!$E$198,"")</f>
        <v/>
      </c>
      <c r="I55" s="984"/>
      <c r="J55" s="11"/>
      <c r="K55" s="984" t="str">
        <f>IF(AND(K51&lt;&gt;"",L51&lt;&gt;"",K51=L51,K53&lt;&gt;"",L53&lt;&gt;"",K53=L53),Language!$E$198,"")</f>
        <v/>
      </c>
      <c r="L55" s="984"/>
      <c r="M55" s="11"/>
      <c r="N55" s="984" t="str">
        <f>IF(AND(N51&lt;&gt;"",O51&lt;&gt;"",N51=O51,N53&lt;&gt;"",O53&lt;&gt;"",N53=O53),Language!$E$198,"")</f>
        <v/>
      </c>
      <c r="O55" s="984"/>
      <c r="P55" s="11"/>
      <c r="Q55" s="984" t="str">
        <f>IF(AND(Q51&lt;&gt;"",R51&lt;&gt;"",Q51=R51,Q53&lt;&gt;"",R53&lt;&gt;"",Q53=R53),Language!$E$198,"")</f>
        <v/>
      </c>
      <c r="R55" s="984"/>
      <c r="S55" s="11"/>
      <c r="T55" s="984" t="str">
        <f>IF(AND(T51&lt;&gt;"",U51&lt;&gt;"",T51=U51,T53&lt;&gt;"",U53&lt;&gt;"",T53=U53),Language!$E$198,"")</f>
        <v/>
      </c>
      <c r="U55" s="984"/>
      <c r="V55" s="11"/>
      <c r="W55" s="984" t="str">
        <f>IF(AND(W51&lt;&gt;"",X51&lt;&gt;"",W51=X51,W53&lt;&gt;"",X53&lt;&gt;"",W53=X53),Language!$E$198,"")</f>
        <v/>
      </c>
      <c r="X55" s="984"/>
      <c r="Y55" s="10"/>
      <c r="Z55" s="984" t="str">
        <f>IF(AND(Z51&lt;&gt;"",AA51&lt;&gt;"",Z51=AA51,Z53&lt;&gt;"",AA53&lt;&gt;"",Z53=AA53),Language!$E$198,"")</f>
        <v/>
      </c>
      <c r="AA55" s="984"/>
      <c r="AB55" s="11"/>
      <c r="AC55" s="984" t="str">
        <f>IF(AND(AC51&lt;&gt;"",AD51&lt;&gt;"",AC51=AD51,AC53&lt;&gt;"",AD53&lt;&gt;"",AC53=AD53),Language!$E$198,"")</f>
        <v/>
      </c>
      <c r="AD55" s="984"/>
      <c r="AE55" s="11"/>
      <c r="AF55" s="984" t="str">
        <f>IF(AND(AF51&lt;&gt;"",AG51&lt;&gt;"",AF51=AG51,AF53&lt;&gt;"",AG53&lt;&gt;"",AF53=AG53),Language!$E$198,"")</f>
        <v/>
      </c>
      <c r="AG55" s="984"/>
      <c r="AH55" s="11"/>
      <c r="AI55" s="984" t="str">
        <f>IF(AND(AI51&lt;&gt;"",AJ51&lt;&gt;"",AI51=AJ51,AI53&lt;&gt;"",AJ53&lt;&gt;"",AI53=AJ53),Language!$E$198,"")</f>
        <v/>
      </c>
      <c r="AJ55" s="984"/>
      <c r="AK55" s="11"/>
      <c r="AL55" s="984" t="str">
        <f>IF(AND(AL51&lt;&gt;"",AM51&lt;&gt;"",AL51=AM51,AL53&lt;&gt;"",AM53&lt;&gt;"",AL53=AM53),Language!$E$198,"")</f>
        <v/>
      </c>
      <c r="AM55" s="984"/>
      <c r="AN55" s="11"/>
      <c r="AO55" s="984" t="str">
        <f>IF(AND(AO51&lt;&gt;"",AP51&lt;&gt;"",AO51=AP51,AO53&lt;&gt;"",AP53&lt;&gt;"",AO53=AP53),Language!$E$198,"")</f>
        <v/>
      </c>
      <c r="AP55" s="984"/>
      <c r="AQ55" s="11"/>
      <c r="AR55" s="984" t="str">
        <f>IF(AND(AR51&lt;&gt;"",AS51&lt;&gt;"",AR51=AS51,AR53&lt;&gt;"",AS53&lt;&gt;"",AR53=AS53),Language!$E$198,"")</f>
        <v/>
      </c>
      <c r="AS55" s="984"/>
      <c r="AT55" s="11"/>
      <c r="AU55" s="984" t="str">
        <f>IF(AND(AU51&lt;&gt;"",AV51&lt;&gt;"",AU51=AV51,AU53&lt;&gt;"",AV53&lt;&gt;"",AU53=AV53),Language!$E$198,"")</f>
        <v/>
      </c>
      <c r="AV55" s="984"/>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1015" t="str">
        <f>VLOOKUP(VLOOKUP(A58,Matches!$B$94:$K$101,10,0),Language!$D$158:$E$165,2,0)</f>
        <v>Round of 16 - 2</v>
      </c>
      <c r="C57" s="1016"/>
      <c r="D57" s="4"/>
      <c r="E57" s="1015" t="str">
        <f>VLOOKUP(VLOOKUP(D58,Matches!$B$94:$K$101,10,0),Language!$D$158:$E$165,2,0)</f>
        <v>Round of 16 - 1</v>
      </c>
      <c r="F57" s="1016"/>
      <c r="G57" s="4"/>
      <c r="H57" s="1015" t="str">
        <f>VLOOKUP(VLOOKUP(G58,Matches!$B$94:$K$101,10,0),Language!$D$158:$E$165,2,0)</f>
        <v>Round of 16 - 5</v>
      </c>
      <c r="I57" s="1016"/>
      <c r="J57" s="4"/>
      <c r="K57" s="1015" t="str">
        <f>VLOOKUP(VLOOKUP(J58,Matches!$B$94:$K$101,10,0),Language!$D$158:$E$165,2,0)</f>
        <v>Round of 16 - 6</v>
      </c>
      <c r="L57" s="1016"/>
      <c r="M57" s="4"/>
      <c r="N57" s="1015" t="str">
        <f>VLOOKUP(VLOOKUP(M58,Matches!$B$94:$K$101,10,0),Language!$D$158:$E$165,2,0)</f>
        <v>Round of 16 - 3</v>
      </c>
      <c r="O57" s="1016"/>
      <c r="P57" s="4"/>
      <c r="Q57" s="1015" t="str">
        <f>VLOOKUP(VLOOKUP(P58,Matches!$B$94:$K$101,10,0),Language!$D$158:$E$165,2,0)</f>
        <v>Round of 16 - 4</v>
      </c>
      <c r="R57" s="1016"/>
      <c r="S57" s="4"/>
      <c r="T57" s="1015" t="str">
        <f>VLOOKUP(VLOOKUP(S58,Matches!$B$94:$K$101,10,0),Language!$D$158:$E$165,2,0)</f>
        <v>Round of 16 - 7</v>
      </c>
      <c r="U57" s="1016"/>
      <c r="V57" s="4"/>
      <c r="W57" s="1015" t="str">
        <f>VLOOKUP(VLOOKUP(V58,Matches!$B$94:$K$101,10,0),Language!$D$158:$E$165,2,0)</f>
        <v>Round of 16 - 8</v>
      </c>
      <c r="X57" s="1016"/>
      <c r="Y57" s="4"/>
    </row>
    <row r="58" spans="1:49" x14ac:dyDescent="0.25">
      <c r="A58" s="86">
        <f>RIGHT($C$74,2)*1</f>
        <v>89</v>
      </c>
      <c r="B58" s="979" t="str">
        <f>VLOOKUP(A58,Matches!$B$4:$K$113,7,0)</f>
        <v>Philadelphia</v>
      </c>
      <c r="C58" s="980"/>
      <c r="D58" s="86">
        <f>RIGHT($E$74,2)*1</f>
        <v>90</v>
      </c>
      <c r="E58" s="979" t="str">
        <f>VLOOKUP(D58,Matches!$B$4:$K$113,7,0)</f>
        <v>Houston</v>
      </c>
      <c r="F58" s="980"/>
      <c r="G58" s="86">
        <f>RIGHT($I$74,2)*1</f>
        <v>93</v>
      </c>
      <c r="H58" s="979" t="str">
        <f>VLOOKUP(G58,Matches!$B$4:$K$113,7,0)</f>
        <v>Dallas</v>
      </c>
      <c r="I58" s="980"/>
      <c r="J58" s="86">
        <f>RIGHT($K$74,2)*1</f>
        <v>94</v>
      </c>
      <c r="K58" s="979" t="str">
        <f>VLOOKUP(J58,Matches!$B$4:$K$113,7,0)</f>
        <v>Seattle</v>
      </c>
      <c r="L58" s="980"/>
      <c r="M58" s="86">
        <f>RIGHT($O$74,2)*1</f>
        <v>91</v>
      </c>
      <c r="N58" s="979" t="str">
        <f>VLOOKUP(M58,Matches!$B$4:$K$113,7,0)</f>
        <v>New York/New Jersey</v>
      </c>
      <c r="O58" s="980"/>
      <c r="P58" s="86">
        <f>RIGHT($Q$74,2)*1</f>
        <v>92</v>
      </c>
      <c r="Q58" s="979" t="str">
        <f>VLOOKUP(P58,Matches!$B$4:$K$113,7,0)</f>
        <v>Mexico City</v>
      </c>
      <c r="R58" s="980"/>
      <c r="S58" s="86">
        <f>RIGHT($U$74,2)*1</f>
        <v>95</v>
      </c>
      <c r="T58" s="979" t="str">
        <f>VLOOKUP(S58,Matches!$B$4:$K$113,7,0)</f>
        <v>Atlanta</v>
      </c>
      <c r="U58" s="980"/>
      <c r="V58" s="86">
        <f>RIGHT($W$74,2)*1</f>
        <v>96</v>
      </c>
      <c r="W58" s="979" t="str">
        <f>VLOOKUP(V58,Matches!$B$4:$K$113,7,0)</f>
        <v>Vancouver</v>
      </c>
      <c r="X58" s="980"/>
      <c r="Y58" s="4"/>
    </row>
    <row r="59" spans="1:49" x14ac:dyDescent="0.25">
      <c r="A59" s="4"/>
      <c r="B59" s="977">
        <f>VLOOKUP(A58,Matches!$B$4:$K$113,5,0)</f>
        <v>46207.958333333336</v>
      </c>
      <c r="C59" s="978"/>
      <c r="D59" s="4"/>
      <c r="E59" s="977">
        <f>VLOOKUP(D58,Matches!$B$4:$K$113,5,0)</f>
        <v>46207.791666666664</v>
      </c>
      <c r="F59" s="978"/>
      <c r="G59" s="4"/>
      <c r="H59" s="977">
        <f>VLOOKUP(G58,Matches!$B$4:$K$113,5,0)</f>
        <v>46209.875</v>
      </c>
      <c r="I59" s="978"/>
      <c r="J59" s="4"/>
      <c r="K59" s="977">
        <f>VLOOKUP(J58,Matches!$B$4:$K$113,5,0)</f>
        <v>46210.083333333336</v>
      </c>
      <c r="L59" s="978"/>
      <c r="M59" s="4"/>
      <c r="N59" s="977">
        <f>VLOOKUP(M58,Matches!$B$4:$K$113,5,0)</f>
        <v>46208.916666666664</v>
      </c>
      <c r="O59" s="978"/>
      <c r="P59" s="4"/>
      <c r="Q59" s="977">
        <f>VLOOKUP(P58,Matches!$B$4:$K$113,5,0)</f>
        <v>46209.083333333336</v>
      </c>
      <c r="R59" s="978"/>
      <c r="S59" s="4"/>
      <c r="T59" s="977">
        <f>VLOOKUP(S58,Matches!$B$4:$K$113,5,0)</f>
        <v>46210.75</v>
      </c>
      <c r="U59" s="978"/>
      <c r="V59" s="7"/>
      <c r="W59" s="977">
        <f>VLOOKUP(V58,Matches!$B$4:$K$113,5,0)</f>
        <v>46210.916666666664</v>
      </c>
      <c r="X59" s="978"/>
      <c r="Y59" s="4"/>
    </row>
    <row r="60" spans="1:49" x14ac:dyDescent="0.25">
      <c r="A60" s="4"/>
      <c r="B60" s="43" t="str">
        <f>IF(AND(B51&lt;&gt;"",C51&lt;&gt;""),IF(B51&gt;C51,B50,IF(B51&lt;C51,C50,IF(AND(B53&lt;&gt;"",C53&lt;&gt;""),IF(B53&gt;C53,B50,IF(B53&lt;C53,C50,"")),""))),"")</f>
        <v/>
      </c>
      <c r="C60" s="44" t="str">
        <f>IF(AND(E51&lt;&gt;"",F51&lt;&gt;""),IF(E51&gt;F51,E50,IF(E51&lt;F51,F50,IF(AND(E53&lt;&gt;"",F53&lt;&gt;""),IF(E53&gt;F53,E50,IF(E53&lt;F53,F50,"")),""))),"")</f>
        <v/>
      </c>
      <c r="D60" s="4"/>
      <c r="E60" s="43" t="str">
        <f>IF(AND(H51&lt;&gt;"",I51&lt;&gt;""),IF(H51&gt;I51,H50,IF(H51&lt;I51,I50,IF(AND(H53&lt;&gt;"",I53&lt;&gt;""),IF(H53&gt;I53,H50,IF(H53&lt;I53,I50,"")),""))),"")</f>
        <v/>
      </c>
      <c r="F60" s="44" t="str">
        <f>IF(AND(K51&lt;&gt;"",L51&lt;&gt;""),IF(K51&gt;L51,K50,IF(K51&lt;L51,L50,IF(AND(K53&lt;&gt;"",L53&lt;&gt;""),IF(K53&gt;L53,K50,IF(K53&lt;L53,L50,"")),""))),"")</f>
        <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
      </c>
      <c r="O60" s="44" t="str">
        <f>IF(AND(AC51&lt;&gt;"",AD51&lt;&gt;""),IF(AC51&gt;AD51,AC50,IF(AC51&lt;AD51,AD50,IF(AND(AC53&lt;&gt;"",AD53&lt;&gt;""),IF(AC53&gt;AD53,AC50,IF(AC53&lt;AD53,AD50,"")),""))),"")</f>
        <v/>
      </c>
      <c r="P60" s="4"/>
      <c r="Q60" s="43" t="str">
        <f>IF(AND(AF51&lt;&gt;"",AG51&lt;&gt;""),IF(AF51&gt;AG51,AF50,IF(AF51&lt;AG51,AG50,IF(AND(AF53&lt;&gt;"",AG53&lt;&gt;""),IF(AF53&gt;AG53,AF50,IF(AF53&lt;AG53,AG50,"")),""))),"")</f>
        <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1013" t="str">
        <f>Language!$E$175</f>
        <v>Penalty shoot-out:</v>
      </c>
      <c r="C62" s="1014"/>
      <c r="D62" s="4"/>
      <c r="E62" s="1013" t="str">
        <f>Language!$E$175</f>
        <v>Penalty shoot-out:</v>
      </c>
      <c r="F62" s="1014"/>
      <c r="G62" s="4"/>
      <c r="H62" s="1013" t="str">
        <f>Language!$E$175</f>
        <v>Penalty shoot-out:</v>
      </c>
      <c r="I62" s="1014"/>
      <c r="J62" s="4"/>
      <c r="K62" s="1013" t="str">
        <f>Language!$E$175</f>
        <v>Penalty shoot-out:</v>
      </c>
      <c r="L62" s="1014"/>
      <c r="M62" s="4"/>
      <c r="N62" s="1013" t="str">
        <f>Language!$E$175</f>
        <v>Penalty shoot-out:</v>
      </c>
      <c r="O62" s="1014"/>
      <c r="P62" s="4"/>
      <c r="Q62" s="1013" t="str">
        <f>Language!$E$175</f>
        <v>Penalty shoot-out:</v>
      </c>
      <c r="R62" s="1014"/>
      <c r="S62" s="4"/>
      <c r="T62" s="1013" t="str">
        <f>Language!$E$175</f>
        <v>Penalty shoot-out:</v>
      </c>
      <c r="U62" s="1014"/>
      <c r="V62" s="4"/>
      <c r="W62" s="1013" t="str">
        <f>Language!$E$175</f>
        <v>Penalty shoot-out:</v>
      </c>
      <c r="X62" s="1014"/>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84" t="str">
        <f>IF(AND(B61&lt;&gt;"",C61&lt;&gt;"",B61=C61,B63&lt;&gt;"",C63&lt;&gt;"",B63=C63),Language!$E$198,"")</f>
        <v/>
      </c>
      <c r="C65" s="984"/>
      <c r="D65" s="11"/>
      <c r="E65" s="984" t="str">
        <f>IF(AND(E61&lt;&gt;"",F61&lt;&gt;"",E61=F61,E63&lt;&gt;"",F63&lt;&gt;"",E63=F63),Language!$E$198,"")</f>
        <v/>
      </c>
      <c r="F65" s="984"/>
      <c r="G65" s="11"/>
      <c r="H65" s="984" t="str">
        <f>IF(AND(H61&lt;&gt;"",I61&lt;&gt;"",H61=I61,H63&lt;&gt;"",I63&lt;&gt;"",H63=I63),Language!$E$198,"")</f>
        <v/>
      </c>
      <c r="I65" s="984"/>
      <c r="J65" s="11"/>
      <c r="K65" s="984" t="str">
        <f>IF(AND(K61&lt;&gt;"",L61&lt;&gt;"",K61=L61,K63&lt;&gt;"",L63&lt;&gt;"",K63=L63),Language!$E$198,"")</f>
        <v/>
      </c>
      <c r="L65" s="984"/>
      <c r="M65" s="11"/>
      <c r="N65" s="984" t="str">
        <f>IF(AND(N61&lt;&gt;"",O61&lt;&gt;"",N61=O61,N63&lt;&gt;"",O63&lt;&gt;"",N63=O63),Language!$E$198,"")</f>
        <v/>
      </c>
      <c r="O65" s="984"/>
      <c r="P65" s="11"/>
      <c r="Q65" s="984" t="str">
        <f>IF(AND(Q61&lt;&gt;"",R61&lt;&gt;"",Q61=R61,Q63&lt;&gt;"",R63&lt;&gt;"",Q63=R63),Language!$E$198,"")</f>
        <v/>
      </c>
      <c r="R65" s="984"/>
      <c r="S65" s="11"/>
      <c r="T65" s="984" t="str">
        <f>IF(AND(T61&lt;&gt;"",U61&lt;&gt;"",T61=U61,T63&lt;&gt;"",U63&lt;&gt;"",T63=U63),Language!$E$198,"")</f>
        <v/>
      </c>
      <c r="U65" s="984"/>
      <c r="V65" s="11"/>
      <c r="W65" s="984" t="str">
        <f>IF(AND(W61&lt;&gt;"",X61&lt;&gt;"",W61=X61,W63&lt;&gt;"",X63&lt;&gt;"",W63=X63),Language!$E$198,"")</f>
        <v/>
      </c>
      <c r="X65" s="984"/>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1012" t="str">
        <f>VLOOKUP(VLOOKUP(B68,Matches!$B$103:$K$106,10,0),Language!$D$166:$E$169,2,0)</f>
        <v>Quarter final 1</v>
      </c>
      <c r="D67" s="1012"/>
      <c r="E67" s="1012"/>
      <c r="F67" s="13"/>
      <c r="G67" s="4"/>
      <c r="H67" s="13"/>
      <c r="I67" s="1012" t="str">
        <f>VLOOKUP(VLOOKUP(H68,Matches!$B$103:$K$106,10,0),Language!$D$166:$E$169,2,0)</f>
        <v>Quarter final 2</v>
      </c>
      <c r="J67" s="1012"/>
      <c r="K67" s="1012"/>
      <c r="L67" s="13"/>
      <c r="M67" s="4"/>
      <c r="N67" s="13"/>
      <c r="O67" s="1012" t="str">
        <f>VLOOKUP(VLOOKUP(N68,Matches!$B$103:$K$106,10,0),Language!$D$166:$E$169,2,0)</f>
        <v>Quarter final 3</v>
      </c>
      <c r="P67" s="1012"/>
      <c r="Q67" s="1012"/>
      <c r="R67" s="13"/>
      <c r="S67" s="4"/>
      <c r="T67" s="13"/>
      <c r="U67" s="1012" t="str">
        <f>VLOOKUP(VLOOKUP(T68,Matches!$B$103:$K$106,10,0),Language!$D$166:$E$169,2,0)</f>
        <v>Quarter final 4</v>
      </c>
      <c r="V67" s="1012"/>
      <c r="W67" s="1012"/>
      <c r="X67" s="13"/>
      <c r="Y67" s="4"/>
    </row>
    <row r="68" spans="1:25" x14ac:dyDescent="0.25">
      <c r="A68" s="4"/>
      <c r="B68" s="86">
        <f>RIGHT($F$84,LEN($F$84)-1)*1</f>
        <v>97</v>
      </c>
      <c r="C68" s="1003" t="str">
        <f>VLOOKUP(B68,Matches!$B$4:$K$113,7,0)</f>
        <v>Boston</v>
      </c>
      <c r="D68" s="1004"/>
      <c r="E68" s="1005"/>
      <c r="F68" s="4"/>
      <c r="G68" s="4"/>
      <c r="H68" s="86">
        <f>RIGHT($H$84,LEN($H$84)-1)*1</f>
        <v>98</v>
      </c>
      <c r="I68" s="1003" t="str">
        <f>VLOOKUP(H68,Matches!$B$4:$K$113,7,0)</f>
        <v>Los Angeles</v>
      </c>
      <c r="J68" s="1004"/>
      <c r="K68" s="1005"/>
      <c r="L68" s="4"/>
      <c r="M68" s="4"/>
      <c r="N68" s="86">
        <f>RIGHT($R$84,LEN($R$84)-1)*1</f>
        <v>99</v>
      </c>
      <c r="O68" s="1003" t="str">
        <f>VLOOKUP(N68,Matches!$B$4:$K$113,7,0)</f>
        <v>Miami</v>
      </c>
      <c r="P68" s="1004"/>
      <c r="Q68" s="1005"/>
      <c r="R68" s="4"/>
      <c r="S68" s="4"/>
      <c r="T68" s="86">
        <f>RIGHT($T$84,LEN($T$84)-1)*1</f>
        <v>100</v>
      </c>
      <c r="U68" s="1003" t="str">
        <f>VLOOKUP(T68,Matches!$B$4:$K$113,7,0)</f>
        <v>Kansas City</v>
      </c>
      <c r="V68" s="1004"/>
      <c r="W68" s="1005"/>
      <c r="X68" s="4"/>
      <c r="Y68" s="4"/>
    </row>
    <row r="69" spans="1:25" x14ac:dyDescent="0.25">
      <c r="A69" s="4"/>
      <c r="B69" s="4"/>
      <c r="C69" s="977">
        <f>VLOOKUP(B68,Matches!$B$4:$K$113,5,0)</f>
        <v>46212.916666666664</v>
      </c>
      <c r="D69" s="1007"/>
      <c r="E69" s="978"/>
      <c r="F69" s="4"/>
      <c r="G69" s="4"/>
      <c r="H69" s="4"/>
      <c r="I69" s="977">
        <f>VLOOKUP(H68,Matches!$B$4:$K$113,5,0)</f>
        <v>46213.875</v>
      </c>
      <c r="J69" s="1007"/>
      <c r="K69" s="978"/>
      <c r="L69" s="4"/>
      <c r="M69" s="4"/>
      <c r="N69" s="4"/>
      <c r="O69" s="977">
        <f>VLOOKUP(N68,Matches!$B$4:$K$113,5,0)</f>
        <v>46214.958333333336</v>
      </c>
      <c r="P69" s="1007"/>
      <c r="Q69" s="978"/>
      <c r="R69" s="4"/>
      <c r="S69" s="4"/>
      <c r="T69" s="4"/>
      <c r="U69" s="977">
        <f>VLOOKUP(T68,Matches!$B$4:$K$113,5,0)</f>
        <v>46215.125</v>
      </c>
      <c r="V69" s="1007"/>
      <c r="W69" s="978"/>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85" t="str">
        <f>Language!$E$175</f>
        <v>Penalty shoot-out:</v>
      </c>
      <c r="D72" s="1010"/>
      <c r="E72" s="986"/>
      <c r="F72" s="4"/>
      <c r="G72" s="4"/>
      <c r="H72" s="4"/>
      <c r="I72" s="985" t="str">
        <f>Language!$E$175</f>
        <v>Penalty shoot-out:</v>
      </c>
      <c r="J72" s="1010"/>
      <c r="K72" s="986"/>
      <c r="L72" s="4"/>
      <c r="M72" s="4"/>
      <c r="N72" s="4"/>
      <c r="O72" s="985" t="str">
        <f>Language!$E$175</f>
        <v>Penalty shoot-out:</v>
      </c>
      <c r="P72" s="1010"/>
      <c r="Q72" s="986"/>
      <c r="R72" s="4"/>
      <c r="S72" s="4"/>
      <c r="T72" s="4"/>
      <c r="U72" s="985" t="str">
        <f>Language!$E$175</f>
        <v>Penalty shoot-out:</v>
      </c>
      <c r="V72" s="1010"/>
      <c r="W72" s="986"/>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4" t="str">
        <f>IF(AND(C71&lt;&gt;"",E71&lt;&gt;"",C71=E71,C73&lt;&gt;"",E73&lt;&gt;"",C73=E73),Language!$E$198,"")</f>
        <v/>
      </c>
      <c r="D75" s="994"/>
      <c r="E75" s="994"/>
      <c r="F75" s="4"/>
      <c r="G75" s="4"/>
      <c r="H75" s="4"/>
      <c r="I75" s="994" t="str">
        <f>IF(AND(I71&lt;&gt;"",K71&lt;&gt;"",I71=K71,I73&lt;&gt;"",K73&lt;&gt;"",I73=K73),Language!$E$198,"")</f>
        <v/>
      </c>
      <c r="J75" s="994"/>
      <c r="K75" s="994"/>
      <c r="L75" s="4"/>
      <c r="M75" s="4"/>
      <c r="N75" s="4"/>
      <c r="O75" s="994" t="str">
        <f>IF(AND(O71&lt;&gt;"",Q71&lt;&gt;"",O71=Q71,O73&lt;&gt;"",Q73&lt;&gt;"",O73=Q73),Language!$E$198,"")</f>
        <v/>
      </c>
      <c r="P75" s="994"/>
      <c r="Q75" s="994"/>
      <c r="R75" s="4"/>
      <c r="S75" s="4"/>
      <c r="T75" s="4"/>
      <c r="U75" s="994" t="str">
        <f>IF(AND(U71&lt;&gt;"",W71&lt;&gt;"",U71=W71,U73&lt;&gt;"",W73&lt;&gt;"",U73=W73),Language!$E$198,"")</f>
        <v/>
      </c>
      <c r="V75" s="994"/>
      <c r="W75" s="994"/>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1011" t="str">
        <f>VLOOKUP(E78,Matches!$B$103:$K$113,10,0)</f>
        <v>Semi-Final 1</v>
      </c>
      <c r="G77" s="1011"/>
      <c r="H77" s="1011"/>
      <c r="I77" s="4"/>
      <c r="J77" s="4"/>
      <c r="K77" s="4"/>
      <c r="L77" s="4"/>
      <c r="M77" s="4"/>
      <c r="N77" s="4"/>
      <c r="O77" s="4"/>
      <c r="P77" s="4"/>
      <c r="Q77" s="4"/>
      <c r="R77" s="1011" t="str">
        <f>VLOOKUP(Q78,Matches!$B$103:$K$113,10,0)</f>
        <v>Semi-Final 2</v>
      </c>
      <c r="S77" s="1011"/>
      <c r="T77" s="1011"/>
      <c r="U77" s="4"/>
      <c r="V77" s="4"/>
      <c r="W77" s="4"/>
      <c r="X77" s="4"/>
      <c r="Y77" s="4"/>
    </row>
    <row r="78" spans="1:25" x14ac:dyDescent="0.25">
      <c r="A78" s="4"/>
      <c r="B78" s="4"/>
      <c r="C78" s="4"/>
      <c r="D78" s="4"/>
      <c r="E78" s="86">
        <v>101</v>
      </c>
      <c r="F78" s="1003" t="str">
        <f>VLOOKUP(E78,Matches!$B$4:$K$113,7,0)</f>
        <v>Dallas</v>
      </c>
      <c r="G78" s="1004"/>
      <c r="H78" s="1005"/>
      <c r="I78" s="4"/>
      <c r="J78" s="4"/>
      <c r="K78" s="4"/>
      <c r="L78" s="4"/>
      <c r="M78" s="4"/>
      <c r="N78" s="4"/>
      <c r="O78" s="4"/>
      <c r="P78" s="4"/>
      <c r="Q78" s="86">
        <v>102</v>
      </c>
      <c r="R78" s="1003" t="str">
        <f>VLOOKUP(Q78,Matches!$B$4:$K$113,7,0)</f>
        <v>Atlanta</v>
      </c>
      <c r="S78" s="1004"/>
      <c r="T78" s="1005"/>
      <c r="U78" s="4"/>
      <c r="V78" s="4"/>
      <c r="W78" s="4"/>
      <c r="X78" s="4"/>
      <c r="Y78" s="4"/>
    </row>
    <row r="79" spans="1:25" ht="15.75" x14ac:dyDescent="0.25">
      <c r="A79" s="4"/>
      <c r="B79" s="4"/>
      <c r="C79" s="4"/>
      <c r="D79" s="4"/>
      <c r="E79" s="4"/>
      <c r="F79" s="977">
        <f>VLOOKUP(E78,Matches!$B$4:$K$113,5,0)</f>
        <v>46217.875</v>
      </c>
      <c r="G79" s="1007"/>
      <c r="H79" s="978"/>
      <c r="I79" s="4"/>
      <c r="J79" s="4"/>
      <c r="K79" s="4"/>
      <c r="L79" s="29"/>
      <c r="M79" s="29"/>
      <c r="N79" s="4"/>
      <c r="O79" s="4"/>
      <c r="P79" s="4"/>
      <c r="Q79" s="4"/>
      <c r="R79" s="977">
        <f>VLOOKUP(Q78,Matches!$B$4:$K$113,5,0)</f>
        <v>46218.875</v>
      </c>
      <c r="S79" s="1007"/>
      <c r="T79" s="978"/>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85" t="str">
        <f>Language!$E$175</f>
        <v>Penalty shoot-out:</v>
      </c>
      <c r="G82" s="1010"/>
      <c r="H82" s="986"/>
      <c r="I82" s="4"/>
      <c r="J82" s="4"/>
      <c r="K82" s="4"/>
      <c r="L82" s="19"/>
      <c r="M82" s="18"/>
      <c r="N82" s="4"/>
      <c r="O82" s="4"/>
      <c r="P82" s="4"/>
      <c r="Q82" s="4"/>
      <c r="R82" s="985" t="str">
        <f>Language!$E$175</f>
        <v>Penalty shoot-out:</v>
      </c>
      <c r="S82" s="1010"/>
      <c r="T82" s="986"/>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4" t="str">
        <f>IF(AND(F81&lt;&gt;"",H81&lt;&gt;"",F81=H81,F83&lt;&gt;"",H83&lt;&gt;"",F83=H83),Language!$E$198,"")</f>
        <v/>
      </c>
      <c r="G85" s="994"/>
      <c r="H85" s="994"/>
      <c r="I85" s="4"/>
      <c r="J85" s="4"/>
      <c r="K85" s="4"/>
      <c r="L85" s="1009" t="str">
        <f>VLOOKUP(K86,Matches!$B$103:$K$113,10,0)</f>
        <v>Third place</v>
      </c>
      <c r="M85" s="1009"/>
      <c r="N85" s="1009"/>
      <c r="O85" s="4"/>
      <c r="P85" s="4"/>
      <c r="Q85" s="4"/>
      <c r="R85" s="994" t="str">
        <f>IF(AND(R81&lt;&gt;"",T81&lt;&gt;"",R81=T81,R83&lt;&gt;"",T83&lt;&gt;"",R83=T83),Language!$E$198,"")</f>
        <v/>
      </c>
      <c r="S85" s="994"/>
      <c r="T85" s="994"/>
      <c r="U85" s="4"/>
      <c r="V85" s="4"/>
      <c r="W85" s="4"/>
      <c r="X85" s="4"/>
      <c r="Y85" s="4"/>
    </row>
    <row r="86" spans="1:25" x14ac:dyDescent="0.25">
      <c r="A86" s="4"/>
      <c r="B86" s="4"/>
      <c r="C86" s="4"/>
      <c r="D86" s="4"/>
      <c r="E86" s="4"/>
      <c r="F86" s="4"/>
      <c r="G86" s="4"/>
      <c r="H86" s="4"/>
      <c r="I86" s="4"/>
      <c r="J86" s="4"/>
      <c r="K86" s="86">
        <v>103</v>
      </c>
      <c r="L86" s="1003" t="str">
        <f>VLOOKUP(K86,Matches!$B$4:$K$113,7,0)</f>
        <v>Miami</v>
      </c>
      <c r="M86" s="1004"/>
      <c r="N86" s="1005"/>
      <c r="O86" s="4"/>
      <c r="P86" s="4"/>
      <c r="Q86" s="4"/>
      <c r="R86" s="4"/>
      <c r="S86" s="4"/>
      <c r="T86" s="4"/>
      <c r="U86" s="4"/>
      <c r="V86" s="4"/>
      <c r="W86" s="4"/>
      <c r="X86" s="4"/>
      <c r="Y86" s="4"/>
    </row>
    <row r="87" spans="1:25" x14ac:dyDescent="0.25">
      <c r="A87" s="4"/>
      <c r="B87" s="4"/>
      <c r="C87" s="4"/>
      <c r="D87" s="4"/>
      <c r="E87" s="4"/>
      <c r="F87" s="4"/>
      <c r="G87" s="4"/>
      <c r="H87" s="4"/>
      <c r="I87" s="4"/>
      <c r="J87" s="4"/>
      <c r="K87" s="4"/>
      <c r="L87" s="977">
        <f>VLOOKUP(K86,Matches!$B$4:$K$113,5,0)</f>
        <v>46221.958333333336</v>
      </c>
      <c r="M87" s="1007"/>
      <c r="N87" s="978"/>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85" t="str">
        <f>Language!$E$175</f>
        <v>Penalty shoot-out:</v>
      </c>
      <c r="M90" s="1010"/>
      <c r="N90" s="986"/>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4" t="str">
        <f>IF(AND(L89&lt;&gt;"",N89&lt;&gt;"",L89=N89,L91&lt;&gt;"",N91&lt;&gt;"",L91=N91),Language!$E$198,"")</f>
        <v/>
      </c>
      <c r="M93" s="994"/>
      <c r="N93" s="994"/>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0" t="str">
        <f>VLOOKUP(K96,Matches!$B$103:$K$113,10,0)</f>
        <v>Final</v>
      </c>
      <c r="M95" s="1001"/>
      <c r="N95" s="1002"/>
      <c r="O95" s="4"/>
      <c r="P95" s="4"/>
      <c r="Q95" s="4"/>
      <c r="R95" s="4"/>
      <c r="S95" s="4"/>
      <c r="T95" s="4"/>
      <c r="U95" s="4"/>
      <c r="V95" s="4"/>
      <c r="W95" s="4"/>
      <c r="X95" s="4"/>
      <c r="Y95" s="4"/>
    </row>
    <row r="96" spans="1:25" x14ac:dyDescent="0.25">
      <c r="A96" s="4"/>
      <c r="B96" s="4"/>
      <c r="C96" s="4"/>
      <c r="D96" s="4"/>
      <c r="E96" s="4"/>
      <c r="F96" s="4"/>
      <c r="G96" s="4"/>
      <c r="H96" s="4"/>
      <c r="I96" s="4"/>
      <c r="J96" s="4"/>
      <c r="K96" s="86">
        <v>104</v>
      </c>
      <c r="L96" s="1003" t="str">
        <f>VLOOKUP(K96,Matches!$B$4:$K$113,7,0)</f>
        <v>New York/New Jersey</v>
      </c>
      <c r="M96" s="1004"/>
      <c r="N96" s="1005"/>
      <c r="O96" s="4"/>
      <c r="P96" s="4"/>
      <c r="Q96" s="4"/>
      <c r="R96" s="1006" t="str">
        <f>Language!$E$141</f>
        <v>World Champion 2026:</v>
      </c>
      <c r="S96" s="1006"/>
      <c r="T96" s="1006"/>
      <c r="U96" s="1006"/>
      <c r="V96" s="1006"/>
      <c r="W96" s="1006"/>
      <c r="X96" s="4"/>
      <c r="Y96" s="4"/>
    </row>
    <row r="97" spans="1:25" x14ac:dyDescent="0.25">
      <c r="A97" s="4"/>
      <c r="B97" s="4"/>
      <c r="C97" s="4"/>
      <c r="D97" s="4"/>
      <c r="E97" s="4"/>
      <c r="F97" s="4"/>
      <c r="G97" s="4"/>
      <c r="H97" s="4"/>
      <c r="I97" s="4"/>
      <c r="J97" s="4"/>
      <c r="K97" s="4"/>
      <c r="L97" s="977">
        <f>VLOOKUP(K96,Matches!$B$4:$K$113,5,0)</f>
        <v>46222.875</v>
      </c>
      <c r="M97" s="1007"/>
      <c r="N97" s="978"/>
      <c r="O97" s="4"/>
      <c r="P97" s="4"/>
      <c r="Q97" s="4"/>
      <c r="R97" s="1006"/>
      <c r="S97" s="1006"/>
      <c r="T97" s="1006"/>
      <c r="U97" s="1006"/>
      <c r="V97" s="1006"/>
      <c r="W97" s="1006"/>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8" t="str">
        <f>IF(AND(L99&lt;&gt;"",N99&lt;&gt;""),IF(L99&gt;N99,L98,IF(L99&lt;N99,N98,IF(AND(L101&lt;&gt;"",N101&lt;&gt;""),IF(L101&gt;N101,L98,IF(L101&lt;N101,N98,"")),""))),"")</f>
        <v/>
      </c>
      <c r="S98" s="1008"/>
      <c r="T98" s="1008"/>
      <c r="U98" s="1008"/>
      <c r="V98" s="1008"/>
      <c r="W98" s="1008"/>
      <c r="X98" s="4"/>
      <c r="Y98" s="4"/>
    </row>
    <row r="99" spans="1:25" ht="15.75" thickBot="1" x14ac:dyDescent="0.3">
      <c r="A99" s="4"/>
      <c r="B99" s="17"/>
      <c r="C99" s="4"/>
      <c r="D99" s="4"/>
      <c r="E99" s="4"/>
      <c r="F99" s="4"/>
      <c r="G99" s="4"/>
      <c r="H99" s="4"/>
      <c r="I99" s="4"/>
      <c r="J99" s="4"/>
      <c r="K99" s="4"/>
      <c r="L99" s="1"/>
      <c r="M99" s="87"/>
      <c r="N99" s="3"/>
      <c r="O99" s="215"/>
      <c r="P99" s="4"/>
      <c r="Q99" s="4"/>
      <c r="R99" s="1008"/>
      <c r="S99" s="1008"/>
      <c r="T99" s="1008"/>
      <c r="U99" s="1008"/>
      <c r="V99" s="1008"/>
      <c r="W99" s="1008"/>
      <c r="X99" s="4"/>
      <c r="Y99" s="4"/>
    </row>
    <row r="100" spans="1:25" ht="9.9499999999999993" customHeight="1" x14ac:dyDescent="0.25">
      <c r="A100" s="4"/>
      <c r="B100" s="17"/>
      <c r="C100" s="4"/>
      <c r="D100" s="4"/>
      <c r="E100" s="4"/>
      <c r="F100" s="4"/>
      <c r="G100" s="4"/>
      <c r="H100" s="4"/>
      <c r="I100" s="4"/>
      <c r="J100" s="4"/>
      <c r="K100" s="4"/>
      <c r="L100" s="985" t="str">
        <f>Language!$E$175</f>
        <v>Penalty shoot-out:</v>
      </c>
      <c r="M100" s="1010"/>
      <c r="N100" s="986"/>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4" t="str">
        <f>IF(AND(L99&lt;&gt;"",N99&lt;&gt;"",L99=N99,L101&lt;&gt;"",N101&lt;&gt;"",L101=N101),Language!$E$198,"")</f>
        <v/>
      </c>
      <c r="M103" s="994"/>
      <c r="N103" s="994"/>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5"/>
      <c r="V105" s="996"/>
      <c r="W105" s="996"/>
      <c r="X105" s="996"/>
      <c r="Y105" s="4"/>
    </row>
    <row r="106" spans="1:25" x14ac:dyDescent="0.25">
      <c r="A106" s="4"/>
      <c r="B106" s="997" t="s">
        <v>1626</v>
      </c>
      <c r="C106" s="998"/>
      <c r="D106" s="998"/>
      <c r="E106" s="4"/>
      <c r="F106" s="4"/>
      <c r="G106" s="4"/>
      <c r="H106" s="4"/>
      <c r="I106" s="4"/>
      <c r="J106" s="4"/>
      <c r="K106" s="4"/>
      <c r="L106" s="4"/>
      <c r="M106" s="4"/>
      <c r="N106" s="4"/>
      <c r="O106" s="4"/>
      <c r="P106" s="4"/>
      <c r="Q106" s="4"/>
      <c r="R106" s="4"/>
      <c r="S106" s="4"/>
      <c r="T106" s="999" t="s">
        <v>942</v>
      </c>
      <c r="U106" s="999"/>
      <c r="V106" s="999"/>
      <c r="W106" s="999"/>
      <c r="X106" s="999"/>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202" priority="26">
      <formula>COUNTIF($AN$32:$AN$39,RIGHT(B9,1))&gt;0</formula>
    </cfRule>
  </conditionalFormatting>
  <conditionalFormatting sqref="C44 F44 I44 L44 O44 R44 U44 X44 AA44 AD44 AG44 AJ44">
    <cfRule type="expression" dxfId="1201" priority="25">
      <formula>COUNTIF($AN$32:$AN$39,RIGHT(B9,1))&gt;0</formula>
    </cfRule>
  </conditionalFormatting>
  <conditionalFormatting sqref="B5 E5 H5 K5 N5 Q5 T5 W5 Z5 AC5 AF5 AI5">
    <cfRule type="expression" dxfId="1200" priority="24">
      <formula>COUNTIF($AN$32:$AN$39,RIGHT(B9,1))&gt;0</formula>
    </cfRule>
  </conditionalFormatting>
  <conditionalFormatting sqref="C5 F5 I5 L5 O5 R5 U5 X5 AA5 AD5 AG5 AJ5">
    <cfRule type="expression" dxfId="1199"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198"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197"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196" priority="20">
      <formula>INT(B12)=TODAY()</formula>
    </cfRule>
  </conditionalFormatting>
  <conditionalFormatting sqref="B52 E52 H52 K52 N52 Q52 T52 W52 Z52 AC52 AF52 AI52 AL52 AO52 AR52 AU52 B62 E62 H62 K62 N62 Q62 T62 W62">
    <cfRule type="expression" dxfId="1195" priority="19">
      <formula>AND(B51=C51,B51&lt;&gt;"")</formula>
    </cfRule>
  </conditionalFormatting>
  <conditionalFormatting sqref="C72 I72 O72 U72 F82 R82 L90 L100">
    <cfRule type="expression" dxfId="1194" priority="18">
      <formula>AND(C71=E71,C71&lt;&gt;"")</formula>
    </cfRule>
  </conditionalFormatting>
  <conditionalFormatting sqref="B53 E53 H53 K53 N53 Q53 T53 W53 Z53 AC53 AF53 AI53 AL53 AO53 AR53 AU53 B63 E63 H63 K63 N63 Q63 T63 W63">
    <cfRule type="expression" dxfId="1193" priority="17">
      <formula>AND(B51=C51,B51&lt;&gt;"")</formula>
    </cfRule>
  </conditionalFormatting>
  <conditionalFormatting sqref="C53 F53 I53 L53 O53 R53 U53 X53 AA53 AD53 AG53 AJ53 AM53 AP53 AS53 AV53 C63 F63 I63 L63 O63 R63 U63 X63">
    <cfRule type="expression" dxfId="1192" priority="16">
      <formula>AND(B51=C51,B51&lt;&gt;"")</formula>
    </cfRule>
  </conditionalFormatting>
  <conditionalFormatting sqref="C73 I73 O73 U73 R83 F83 L91 L101">
    <cfRule type="expression" dxfId="1191" priority="15">
      <formula>AND(C71=E71,C71&lt;&gt;"")</formula>
    </cfRule>
  </conditionalFormatting>
  <conditionalFormatting sqref="E73 K73 Q73 W73 H83 T83 N91 N101">
    <cfRule type="expression" dxfId="1190" priority="14">
      <formula>AND(C71=E71,C71&lt;&gt;"")</formula>
    </cfRule>
  </conditionalFormatting>
  <conditionalFormatting sqref="E71 K71 Q71 W71 H81 T81 N89 N99">
    <cfRule type="expression" dxfId="1189" priority="13">
      <formula>AND(C69&lt;NOW()-0.125,E71="")</formula>
    </cfRule>
  </conditionalFormatting>
  <conditionalFormatting sqref="B3:AV99">
    <cfRule type="expression" dxfId="1188" priority="1">
      <formula>AND(B3=$AZ$18,B3&lt;&gt;"")</formula>
    </cfRule>
    <cfRule type="expression" dxfId="1187" priority="2">
      <formula>AND(B3=$AZ$17,B3&lt;&gt;"")</formula>
    </cfRule>
    <cfRule type="expression" dxfId="1186" priority="3">
      <formula>AND(B3=$AZ$16,B3&lt;&gt;"")</formula>
    </cfRule>
    <cfRule type="expression" dxfId="1185" priority="4">
      <formula>AND(B3=$AZ$15,B3&lt;&gt;"")</formula>
    </cfRule>
    <cfRule type="expression" dxfId="1184" priority="5">
      <formula>AND(B3=$AZ$14,B3&lt;&gt;"")</formula>
    </cfRule>
    <cfRule type="expression" dxfId="1183" priority="6">
      <formula>AND(B3=$AZ$13,B3&lt;&gt;"")</formula>
    </cfRule>
    <cfRule type="expression" dxfId="1182" priority="7">
      <formula>AND(B3=$AZ$12,B3&lt;&gt;"")</formula>
    </cfRule>
    <cfRule type="expression" dxfId="1181" priority="8">
      <formula>AND(B3=$AZ$11,B3&lt;&gt;"")</formula>
    </cfRule>
    <cfRule type="expression" dxfId="1180" priority="9">
      <formula>AND(B3=$AZ$10,B3&lt;&gt;"")</formula>
    </cfRule>
    <cfRule type="expression" dxfId="1179" priority="10">
      <formula>AND(B3=$AZ$9,B3&lt;&gt;"")</formula>
    </cfRule>
    <cfRule type="expression" dxfId="1178" priority="11">
      <formula>AND(B3=$AZ$8,B3&lt;&gt;"")</formula>
    </cfRule>
    <cfRule type="expression" dxfId="1177"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R272"/>
  <sheetViews>
    <sheetView showGridLines="0" showRowColHeaders="0" zoomScaleNormal="100" workbookViewId="0">
      <selection activeCell="Q1" sqref="Q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5" width="22.7109375" customWidth="1"/>
    <col min="16" max="16" width="3.85546875" customWidth="1"/>
    <col min="17" max="17" width="17.7109375" customWidth="1"/>
    <col min="18" max="18" width="9.140625" customWidth="1"/>
    <col min="19" max="16384" width="11.42578125" hidden="1"/>
  </cols>
  <sheetData>
    <row r="1" spans="2:18" ht="42.75" customHeight="1" thickBot="1" x14ac:dyDescent="0.5">
      <c r="B1" s="909"/>
      <c r="D1" s="851"/>
      <c r="F1" s="1114" t="str">
        <f>Language!$E$126</f>
        <v>Choose language</v>
      </c>
      <c r="G1" s="1114"/>
      <c r="H1" s="1114"/>
      <c r="I1" s="1114"/>
      <c r="J1" s="1114"/>
      <c r="K1" s="356"/>
      <c r="L1" s="356"/>
      <c r="M1" s="356"/>
      <c r="N1" s="356"/>
      <c r="O1" s="1115" t="str">
        <f>Language!$E$202</f>
        <v>Click here and choose language:</v>
      </c>
      <c r="P1" s="1116"/>
      <c r="Q1" s="966" t="s">
        <v>88</v>
      </c>
      <c r="R1" s="384" t="s">
        <v>552</v>
      </c>
    </row>
    <row r="2" spans="2:18" ht="15" customHeight="1" thickBot="1" x14ac:dyDescent="0.3">
      <c r="C2" s="906">
        <v>46184</v>
      </c>
      <c r="D2" s="219"/>
      <c r="F2" s="1117"/>
      <c r="G2" s="1117"/>
      <c r="H2" s="1117"/>
      <c r="I2" s="1117"/>
      <c r="J2" s="1117"/>
      <c r="K2" s="357"/>
      <c r="L2" s="905"/>
      <c r="M2" s="926"/>
      <c r="N2" s="948"/>
      <c r="P2" s="90"/>
      <c r="Q2" s="92"/>
    </row>
    <row r="3" spans="2:18" ht="15.75" thickTop="1" x14ac:dyDescent="0.25">
      <c r="C3" s="1110" t="s">
        <v>551</v>
      </c>
      <c r="D3" s="1110" t="s">
        <v>1797</v>
      </c>
      <c r="E3" s="1120"/>
      <c r="F3" s="1121" t="s">
        <v>88</v>
      </c>
      <c r="G3" s="1118" t="s">
        <v>89</v>
      </c>
      <c r="H3" s="1118" t="s">
        <v>90</v>
      </c>
      <c r="I3" s="1123" t="s">
        <v>91</v>
      </c>
      <c r="J3" s="1118" t="s">
        <v>110</v>
      </c>
      <c r="K3" s="1118" t="s">
        <v>732</v>
      </c>
      <c r="L3" s="1118" t="s">
        <v>1887</v>
      </c>
      <c r="M3" s="1118" t="s">
        <v>2121</v>
      </c>
      <c r="N3" s="1118" t="s">
        <v>2347</v>
      </c>
      <c r="O3" s="1112" t="s">
        <v>92</v>
      </c>
      <c r="P3" s="23"/>
    </row>
    <row r="4" spans="2:18" x14ac:dyDescent="0.25">
      <c r="C4" s="1111"/>
      <c r="D4" s="1111"/>
      <c r="E4" s="1120"/>
      <c r="F4" s="1122"/>
      <c r="G4" s="1119"/>
      <c r="H4" s="1119"/>
      <c r="I4" s="1124"/>
      <c r="J4" s="1119"/>
      <c r="K4" s="1125"/>
      <c r="L4" s="1125"/>
      <c r="M4" s="1125"/>
      <c r="N4" s="1125"/>
      <c r="O4" s="1113"/>
      <c r="P4" s="45"/>
      <c r="Q4" s="46"/>
    </row>
    <row r="5" spans="2:18" x14ac:dyDescent="0.25">
      <c r="B5" s="31" t="str">
        <f>IFERROR(INDEX($F5:$O5,MATCH($Q$1,$F$3:$O$3,0)),$F5)</f>
        <v>France</v>
      </c>
      <c r="C5" s="175">
        <v>3</v>
      </c>
      <c r="D5" s="175">
        <v>1</v>
      </c>
      <c r="E5" s="197" t="str">
        <f>IF($B5=0,$F5,$B5)</f>
        <v>France</v>
      </c>
      <c r="F5" s="126" t="s">
        <v>39</v>
      </c>
      <c r="G5" s="127" t="s">
        <v>67</v>
      </c>
      <c r="H5" s="125" t="s">
        <v>67</v>
      </c>
      <c r="I5" s="128" t="s">
        <v>39</v>
      </c>
      <c r="J5" s="125" t="s">
        <v>101</v>
      </c>
      <c r="K5" s="614" t="s">
        <v>735</v>
      </c>
      <c r="L5" s="127" t="s">
        <v>1888</v>
      </c>
      <c r="M5" s="927" t="s">
        <v>2122</v>
      </c>
      <c r="N5" s="949" t="s">
        <v>1888</v>
      </c>
      <c r="O5" s="69"/>
    </row>
    <row r="6" spans="2:18" x14ac:dyDescent="0.25">
      <c r="B6" s="31" t="str">
        <f t="shared" ref="B6:B69" si="0">IFERROR(INDEX($F6:$O6,MATCH($Q$1,$F$3:$O$3,0)),$F6)</f>
        <v>Spain</v>
      </c>
      <c r="C6" s="175">
        <v>2</v>
      </c>
      <c r="D6" s="175">
        <v>2</v>
      </c>
      <c r="E6" s="907" t="str">
        <f t="shared" ref="E6:E69" si="1">IF($B6=0,$F6,$B6)</f>
        <v>Spain</v>
      </c>
      <c r="F6" s="126" t="s">
        <v>38</v>
      </c>
      <c r="G6" s="127" t="s">
        <v>65</v>
      </c>
      <c r="H6" s="125" t="s">
        <v>81</v>
      </c>
      <c r="I6" s="128" t="s">
        <v>82</v>
      </c>
      <c r="J6" s="125" t="s">
        <v>103</v>
      </c>
      <c r="K6" s="614" t="s">
        <v>829</v>
      </c>
      <c r="L6" s="127" t="s">
        <v>1889</v>
      </c>
      <c r="M6" s="927" t="s">
        <v>2123</v>
      </c>
      <c r="N6" s="949" t="s">
        <v>1889</v>
      </c>
      <c r="O6" s="69"/>
    </row>
    <row r="7" spans="2:18" x14ac:dyDescent="0.25">
      <c r="B7" s="31" t="str">
        <f t="shared" si="0"/>
        <v>Argentina</v>
      </c>
      <c r="C7" s="175">
        <v>1</v>
      </c>
      <c r="D7" s="175">
        <v>3</v>
      </c>
      <c r="E7" s="907" t="str">
        <f t="shared" si="1"/>
        <v>Argentina</v>
      </c>
      <c r="F7" s="126" t="s">
        <v>333</v>
      </c>
      <c r="G7" s="127" t="s">
        <v>333</v>
      </c>
      <c r="H7" s="125" t="s">
        <v>333</v>
      </c>
      <c r="I7" s="128" t="s">
        <v>386</v>
      </c>
      <c r="J7" s="125" t="s">
        <v>255</v>
      </c>
      <c r="K7" s="614" t="s">
        <v>736</v>
      </c>
      <c r="L7" s="127" t="s">
        <v>333</v>
      </c>
      <c r="M7" s="927" t="s">
        <v>2124</v>
      </c>
      <c r="N7" s="949" t="s">
        <v>333</v>
      </c>
      <c r="O7" s="69"/>
    </row>
    <row r="8" spans="2:18"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69"/>
    </row>
    <row r="9" spans="2:18"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69"/>
    </row>
    <row r="10" spans="2:18" x14ac:dyDescent="0.25">
      <c r="B10" s="903" t="str">
        <f t="shared" si="0"/>
        <v>Brazil</v>
      </c>
      <c r="C10" s="175">
        <v>6</v>
      </c>
      <c r="D10" s="175">
        <v>6</v>
      </c>
      <c r="E10" s="907" t="str">
        <f t="shared" si="1"/>
        <v>Brazil</v>
      </c>
      <c r="F10" s="126" t="s">
        <v>338</v>
      </c>
      <c r="G10" s="127" t="s">
        <v>339</v>
      </c>
      <c r="H10" s="125" t="s">
        <v>340</v>
      </c>
      <c r="I10" s="128" t="s">
        <v>341</v>
      </c>
      <c r="J10" s="125" t="s">
        <v>170</v>
      </c>
      <c r="K10" s="614" t="s">
        <v>733</v>
      </c>
      <c r="L10" s="127" t="s">
        <v>339</v>
      </c>
      <c r="M10" s="927" t="s">
        <v>2127</v>
      </c>
      <c r="N10" s="949" t="s">
        <v>339</v>
      </c>
      <c r="O10" s="69"/>
    </row>
    <row r="11" spans="2:18" x14ac:dyDescent="0.25">
      <c r="B11" s="903" t="str">
        <f t="shared" si="0"/>
        <v>Netherlands</v>
      </c>
      <c r="C11" s="175">
        <v>8</v>
      </c>
      <c r="D11" s="175">
        <v>7</v>
      </c>
      <c r="E11" s="907" t="str">
        <f t="shared" si="1"/>
        <v>Netherlands</v>
      </c>
      <c r="F11" s="126" t="s">
        <v>407</v>
      </c>
      <c r="G11" s="127" t="s">
        <v>446</v>
      </c>
      <c r="H11" s="125" t="s">
        <v>447</v>
      </c>
      <c r="I11" s="128" t="s">
        <v>448</v>
      </c>
      <c r="J11" s="125" t="s">
        <v>449</v>
      </c>
      <c r="K11" s="614" t="s">
        <v>738</v>
      </c>
      <c r="L11" s="127" t="s">
        <v>1890</v>
      </c>
      <c r="M11" s="927" t="s">
        <v>2128</v>
      </c>
      <c r="N11" s="949" t="s">
        <v>2348</v>
      </c>
      <c r="O11" s="69"/>
    </row>
    <row r="12" spans="2:18" x14ac:dyDescent="0.25">
      <c r="B12" s="903" t="str">
        <f t="shared" si="0"/>
        <v>Morocco</v>
      </c>
      <c r="C12" s="175">
        <v>7</v>
      </c>
      <c r="D12" s="175">
        <v>8</v>
      </c>
      <c r="E12" s="907" t="str">
        <f t="shared" si="1"/>
        <v>Morocco</v>
      </c>
      <c r="F12" s="126" t="s">
        <v>324</v>
      </c>
      <c r="G12" s="127" t="s">
        <v>325</v>
      </c>
      <c r="H12" s="125" t="s">
        <v>326</v>
      </c>
      <c r="I12" s="128" t="s">
        <v>327</v>
      </c>
      <c r="J12" s="125" t="s">
        <v>252</v>
      </c>
      <c r="K12" s="614" t="s">
        <v>252</v>
      </c>
      <c r="L12" s="127" t="s">
        <v>1891</v>
      </c>
      <c r="M12" s="927" t="s">
        <v>2129</v>
      </c>
      <c r="N12" s="949" t="s">
        <v>1891</v>
      </c>
      <c r="O12" s="69"/>
    </row>
    <row r="13" spans="2:18" x14ac:dyDescent="0.25">
      <c r="B13" s="903" t="str">
        <f t="shared" si="0"/>
        <v>Belgium</v>
      </c>
      <c r="C13" s="175">
        <v>9</v>
      </c>
      <c r="D13" s="175">
        <v>9</v>
      </c>
      <c r="E13" s="907" t="str">
        <f t="shared" si="1"/>
        <v>Belgium</v>
      </c>
      <c r="F13" s="126" t="s">
        <v>36</v>
      </c>
      <c r="G13" s="127" t="s">
        <v>60</v>
      </c>
      <c r="H13" s="125" t="s">
        <v>73</v>
      </c>
      <c r="I13" s="128" t="s">
        <v>74</v>
      </c>
      <c r="J13" s="125" t="s">
        <v>107</v>
      </c>
      <c r="K13" s="614" t="s">
        <v>734</v>
      </c>
      <c r="L13" s="127" t="s">
        <v>60</v>
      </c>
      <c r="M13" s="927" t="s">
        <v>2130</v>
      </c>
      <c r="N13" s="949" t="s">
        <v>60</v>
      </c>
      <c r="O13" s="69"/>
    </row>
    <row r="14" spans="2:18" x14ac:dyDescent="0.25">
      <c r="B14" s="903" t="str">
        <f t="shared" si="0"/>
        <v>Germany</v>
      </c>
      <c r="C14" s="175">
        <v>10</v>
      </c>
      <c r="D14" s="175">
        <v>10</v>
      </c>
      <c r="E14" s="907" t="str">
        <f t="shared" si="1"/>
        <v>Germany</v>
      </c>
      <c r="F14" s="126" t="s">
        <v>37</v>
      </c>
      <c r="G14" s="127" t="s">
        <v>68</v>
      </c>
      <c r="H14" s="125" t="s">
        <v>86</v>
      </c>
      <c r="I14" s="128" t="s">
        <v>87</v>
      </c>
      <c r="J14" s="125" t="s">
        <v>102</v>
      </c>
      <c r="K14" s="614" t="s">
        <v>740</v>
      </c>
      <c r="L14" s="127" t="s">
        <v>1892</v>
      </c>
      <c r="M14" s="927" t="s">
        <v>2131</v>
      </c>
      <c r="N14" s="949" t="s">
        <v>1892</v>
      </c>
      <c r="O14" s="69"/>
    </row>
    <row r="15" spans="2:18" x14ac:dyDescent="0.25">
      <c r="B15" s="903" t="str">
        <f t="shared" si="0"/>
        <v>Croatia</v>
      </c>
      <c r="C15" s="175">
        <v>11</v>
      </c>
      <c r="D15" s="175">
        <v>11</v>
      </c>
      <c r="E15" s="907" t="str">
        <f t="shared" si="1"/>
        <v>Croatia</v>
      </c>
      <c r="F15" s="126" t="s">
        <v>41</v>
      </c>
      <c r="G15" s="127" t="s">
        <v>63</v>
      </c>
      <c r="H15" s="125" t="s">
        <v>78</v>
      </c>
      <c r="I15" s="128" t="s">
        <v>79</v>
      </c>
      <c r="J15" s="125" t="s">
        <v>109</v>
      </c>
      <c r="K15" s="614" t="s">
        <v>742</v>
      </c>
      <c r="L15" s="127" t="s">
        <v>1893</v>
      </c>
      <c r="M15" s="927" t="s">
        <v>2132</v>
      </c>
      <c r="N15" s="949" t="s">
        <v>1893</v>
      </c>
      <c r="O15" s="69"/>
    </row>
    <row r="16" spans="2:18" x14ac:dyDescent="0.25">
      <c r="B16" s="903" t="str">
        <f t="shared" si="0"/>
        <v>Italy</v>
      </c>
      <c r="C16" s="175">
        <v>12</v>
      </c>
      <c r="D16" s="175">
        <v>12</v>
      </c>
      <c r="E16" s="907" t="str">
        <f t="shared" si="1"/>
        <v>Italy</v>
      </c>
      <c r="F16" s="126" t="s">
        <v>406</v>
      </c>
      <c r="G16" s="127" t="s">
        <v>443</v>
      </c>
      <c r="H16" s="125" t="s">
        <v>443</v>
      </c>
      <c r="I16" s="128" t="s">
        <v>444</v>
      </c>
      <c r="J16" s="125" t="s">
        <v>445</v>
      </c>
      <c r="K16" s="614" t="s">
        <v>828</v>
      </c>
      <c r="L16" s="127" t="s">
        <v>1894</v>
      </c>
      <c r="M16" s="927" t="s">
        <v>2133</v>
      </c>
      <c r="N16" s="949" t="s">
        <v>1894</v>
      </c>
      <c r="O16" s="69"/>
    </row>
    <row r="17" spans="2:15" x14ac:dyDescent="0.25">
      <c r="B17" s="903" t="str">
        <f t="shared" si="0"/>
        <v>Colombia</v>
      </c>
      <c r="C17" s="175">
        <v>13</v>
      </c>
      <c r="D17" s="175">
        <v>13</v>
      </c>
      <c r="E17" s="907" t="str">
        <f t="shared" si="1"/>
        <v>Colombia</v>
      </c>
      <c r="F17" s="126" t="s">
        <v>353</v>
      </c>
      <c r="G17" s="127" t="s">
        <v>353</v>
      </c>
      <c r="H17" s="125" t="s">
        <v>353</v>
      </c>
      <c r="I17" s="128" t="s">
        <v>354</v>
      </c>
      <c r="J17" s="125" t="s">
        <v>264</v>
      </c>
      <c r="K17" s="614" t="s">
        <v>353</v>
      </c>
      <c r="L17" s="127" t="s">
        <v>1895</v>
      </c>
      <c r="M17" s="927" t="s">
        <v>2134</v>
      </c>
      <c r="N17" s="949" t="s">
        <v>1895</v>
      </c>
      <c r="O17" s="69"/>
    </row>
    <row r="18" spans="2:15"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69"/>
    </row>
    <row r="19" spans="2:15" x14ac:dyDescent="0.25">
      <c r="B19" s="903" t="str">
        <f t="shared" si="0"/>
        <v>Mexico</v>
      </c>
      <c r="C19" s="175">
        <v>14</v>
      </c>
      <c r="D19" s="175">
        <v>15</v>
      </c>
      <c r="E19" s="907" t="str">
        <f t="shared" si="1"/>
        <v>Mexico</v>
      </c>
      <c r="F19" s="126" t="s">
        <v>344</v>
      </c>
      <c r="G19" s="127" t="s">
        <v>345</v>
      </c>
      <c r="H19" s="125" t="s">
        <v>346</v>
      </c>
      <c r="I19" s="128" t="s">
        <v>347</v>
      </c>
      <c r="J19" s="125" t="s">
        <v>260</v>
      </c>
      <c r="K19" s="614" t="s">
        <v>344</v>
      </c>
      <c r="L19" s="127" t="s">
        <v>345</v>
      </c>
      <c r="M19" s="927" t="s">
        <v>2136</v>
      </c>
      <c r="N19" s="949" t="s">
        <v>345</v>
      </c>
      <c r="O19" s="69"/>
    </row>
    <row r="20" spans="2:15"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69"/>
    </row>
    <row r="21" spans="2:15"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69"/>
    </row>
    <row r="22" spans="2:15"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69"/>
    </row>
    <row r="23" spans="2:15" x14ac:dyDescent="0.25">
      <c r="B23" s="903" t="str">
        <f t="shared" si="0"/>
        <v>Switzerland</v>
      </c>
      <c r="C23" s="175">
        <v>19</v>
      </c>
      <c r="D23" s="175">
        <v>19</v>
      </c>
      <c r="E23" s="907" t="str">
        <f t="shared" si="1"/>
        <v>Switzerland</v>
      </c>
      <c r="F23" s="126" t="s">
        <v>57</v>
      </c>
      <c r="G23" s="127" t="s">
        <v>58</v>
      </c>
      <c r="H23" s="125" t="s">
        <v>69</v>
      </c>
      <c r="I23" s="128" t="s">
        <v>70</v>
      </c>
      <c r="J23" s="125" t="s">
        <v>105</v>
      </c>
      <c r="K23" s="614" t="s">
        <v>741</v>
      </c>
      <c r="L23" s="127" t="s">
        <v>1899</v>
      </c>
      <c r="M23" s="927" t="s">
        <v>2140</v>
      </c>
      <c r="N23" s="949" t="s">
        <v>1899</v>
      </c>
      <c r="O23" s="69"/>
    </row>
    <row r="24" spans="2:15" x14ac:dyDescent="0.25">
      <c r="B24" s="903" t="str">
        <f t="shared" si="0"/>
        <v>Denmark</v>
      </c>
      <c r="C24" s="175">
        <v>21</v>
      </c>
      <c r="D24" s="175">
        <v>20</v>
      </c>
      <c r="E24" s="907" t="str">
        <f t="shared" si="1"/>
        <v>Denmark</v>
      </c>
      <c r="F24" s="126" t="s">
        <v>43</v>
      </c>
      <c r="G24" s="127" t="s">
        <v>59</v>
      </c>
      <c r="H24" s="125" t="s">
        <v>71</v>
      </c>
      <c r="I24" s="128" t="s">
        <v>72</v>
      </c>
      <c r="J24" s="125" t="s">
        <v>106</v>
      </c>
      <c r="K24" s="614" t="s">
        <v>739</v>
      </c>
      <c r="L24" s="127" t="s">
        <v>59</v>
      </c>
      <c r="M24" s="927" t="s">
        <v>2141</v>
      </c>
      <c r="N24" s="949" t="s">
        <v>59</v>
      </c>
      <c r="O24" s="69"/>
    </row>
    <row r="25" spans="2:15"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69"/>
    </row>
    <row r="26" spans="2:15" x14ac:dyDescent="0.25">
      <c r="B26" s="903" t="str">
        <f t="shared" si="0"/>
        <v>Turkiye</v>
      </c>
      <c r="C26" s="175">
        <v>22</v>
      </c>
      <c r="D26" s="175">
        <v>22</v>
      </c>
      <c r="E26" s="907" t="str">
        <f t="shared" si="1"/>
        <v>Turkiye</v>
      </c>
      <c r="F26" s="126" t="s">
        <v>2120</v>
      </c>
      <c r="G26" s="127" t="s">
        <v>479</v>
      </c>
      <c r="H26" s="125" t="s">
        <v>478</v>
      </c>
      <c r="I26" s="128" t="s">
        <v>477</v>
      </c>
      <c r="J26" s="125" t="s">
        <v>480</v>
      </c>
      <c r="K26" s="614" t="s">
        <v>754</v>
      </c>
      <c r="L26" s="127" t="s">
        <v>1901</v>
      </c>
      <c r="M26" s="927" t="s">
        <v>2143</v>
      </c>
      <c r="N26" s="949" t="s">
        <v>1901</v>
      </c>
      <c r="O26" s="69"/>
    </row>
    <row r="27" spans="2:15"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69"/>
    </row>
    <row r="28" spans="2:15" x14ac:dyDescent="0.25">
      <c r="B28" s="903" t="str">
        <f t="shared" si="0"/>
        <v>Austria</v>
      </c>
      <c r="C28" s="175">
        <v>24</v>
      </c>
      <c r="D28" s="175">
        <v>24</v>
      </c>
      <c r="E28" s="907" t="str">
        <f t="shared" si="1"/>
        <v>Austria</v>
      </c>
      <c r="F28" s="126" t="s">
        <v>418</v>
      </c>
      <c r="G28" s="127" t="s">
        <v>418</v>
      </c>
      <c r="H28" s="125" t="s">
        <v>418</v>
      </c>
      <c r="I28" s="128" t="s">
        <v>475</v>
      </c>
      <c r="J28" s="125" t="s">
        <v>476</v>
      </c>
      <c r="K28" s="614" t="s">
        <v>746</v>
      </c>
      <c r="L28" s="127" t="s">
        <v>1903</v>
      </c>
      <c r="M28" s="927" t="s">
        <v>2145</v>
      </c>
      <c r="N28" s="949" t="s">
        <v>1903</v>
      </c>
      <c r="O28" s="69"/>
    </row>
    <row r="29" spans="2:15" x14ac:dyDescent="0.25">
      <c r="B29" s="903" t="str">
        <f t="shared" si="0"/>
        <v>South Korea</v>
      </c>
      <c r="C29" s="175">
        <v>25</v>
      </c>
      <c r="D29" s="175">
        <v>25</v>
      </c>
      <c r="E29" s="907" t="str">
        <f t="shared" si="1"/>
        <v>South Korea</v>
      </c>
      <c r="F29" s="126" t="s">
        <v>2119</v>
      </c>
      <c r="G29" s="127" t="s">
        <v>1778</v>
      </c>
      <c r="H29" s="125" t="s">
        <v>1779</v>
      </c>
      <c r="I29" s="128" t="s">
        <v>1780</v>
      </c>
      <c r="J29" s="125" t="s">
        <v>1781</v>
      </c>
      <c r="K29" s="614" t="s">
        <v>1782</v>
      </c>
      <c r="L29" s="127" t="s">
        <v>1904</v>
      </c>
      <c r="M29" s="927" t="s">
        <v>2146</v>
      </c>
      <c r="N29" s="949" t="s">
        <v>1904</v>
      </c>
      <c r="O29" s="69"/>
    </row>
    <row r="30" spans="2:15"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69"/>
    </row>
    <row r="31" spans="2:15" x14ac:dyDescent="0.25">
      <c r="B31" s="903" t="str">
        <f t="shared" si="0"/>
        <v>Australia</v>
      </c>
      <c r="C31" s="175">
        <v>27</v>
      </c>
      <c r="D31" s="175">
        <v>27</v>
      </c>
      <c r="E31" s="907" t="str">
        <f t="shared" si="1"/>
        <v>Australia</v>
      </c>
      <c r="F31" s="126" t="s">
        <v>328</v>
      </c>
      <c r="G31" s="127" t="s">
        <v>328</v>
      </c>
      <c r="H31" s="125" t="s">
        <v>328</v>
      </c>
      <c r="I31" s="128" t="s">
        <v>329</v>
      </c>
      <c r="J31" s="125" t="s">
        <v>253</v>
      </c>
      <c r="K31" s="614" t="s">
        <v>753</v>
      </c>
      <c r="L31" s="127" t="s">
        <v>1906</v>
      </c>
      <c r="M31" s="927" t="s">
        <v>2148</v>
      </c>
      <c r="N31" s="949" t="s">
        <v>1906</v>
      </c>
      <c r="O31" s="69"/>
    </row>
    <row r="32" spans="2:15" x14ac:dyDescent="0.25">
      <c r="B32" s="903" t="str">
        <f t="shared" si="0"/>
        <v>Algeria</v>
      </c>
      <c r="C32" s="175">
        <v>28</v>
      </c>
      <c r="D32" s="175">
        <v>28</v>
      </c>
      <c r="E32" s="907" t="str">
        <f t="shared" si="1"/>
        <v>Algeria</v>
      </c>
      <c r="F32" s="126" t="s">
        <v>413</v>
      </c>
      <c r="G32" s="127" t="s">
        <v>463</v>
      </c>
      <c r="H32" s="125" t="s">
        <v>413</v>
      </c>
      <c r="I32" s="128" t="s">
        <v>461</v>
      </c>
      <c r="J32" s="125" t="s">
        <v>462</v>
      </c>
      <c r="K32" s="614" t="s">
        <v>755</v>
      </c>
      <c r="L32" s="127" t="s">
        <v>1907</v>
      </c>
      <c r="M32" s="927" t="s">
        <v>2149</v>
      </c>
      <c r="N32" s="949" t="s">
        <v>1907</v>
      </c>
      <c r="O32" s="69"/>
    </row>
    <row r="33" spans="2:15" x14ac:dyDescent="0.25">
      <c r="B33" s="903" t="str">
        <f t="shared" si="0"/>
        <v>Egypt</v>
      </c>
      <c r="C33" s="175">
        <v>29</v>
      </c>
      <c r="D33" s="175">
        <v>29</v>
      </c>
      <c r="E33" s="907" t="str">
        <f t="shared" si="1"/>
        <v>Egypt</v>
      </c>
      <c r="F33" s="126" t="s">
        <v>320</v>
      </c>
      <c r="G33" s="127" t="s">
        <v>321</v>
      </c>
      <c r="H33" s="125" t="s">
        <v>322</v>
      </c>
      <c r="I33" s="128" t="s">
        <v>323</v>
      </c>
      <c r="J33" s="125" t="s">
        <v>250</v>
      </c>
      <c r="K33" s="614" t="s">
        <v>323</v>
      </c>
      <c r="L33" s="127" t="s">
        <v>1908</v>
      </c>
      <c r="M33" s="927" t="s">
        <v>2150</v>
      </c>
      <c r="N33" s="949" t="s">
        <v>1908</v>
      </c>
      <c r="O33" s="69"/>
    </row>
    <row r="34" spans="2:15" x14ac:dyDescent="0.25">
      <c r="B34" s="903" t="str">
        <f t="shared" si="0"/>
        <v>Canada</v>
      </c>
      <c r="C34" s="175">
        <v>30</v>
      </c>
      <c r="D34" s="175">
        <v>30</v>
      </c>
      <c r="E34" s="907" t="str">
        <f t="shared" si="1"/>
        <v>Canada</v>
      </c>
      <c r="F34" s="126" t="s">
        <v>415</v>
      </c>
      <c r="G34" s="127" t="s">
        <v>468</v>
      </c>
      <c r="H34" s="125" t="s">
        <v>415</v>
      </c>
      <c r="I34" s="128" t="s">
        <v>415</v>
      </c>
      <c r="J34" s="125" t="s">
        <v>469</v>
      </c>
      <c r="K34" s="614" t="s">
        <v>415</v>
      </c>
      <c r="L34" s="127" t="s">
        <v>468</v>
      </c>
      <c r="M34" s="927" t="s">
        <v>2151</v>
      </c>
      <c r="N34" s="949" t="s">
        <v>468</v>
      </c>
      <c r="O34" s="69"/>
    </row>
    <row r="35" spans="2:15" x14ac:dyDescent="0.25">
      <c r="B35" s="903" t="str">
        <f t="shared" si="0"/>
        <v>Norway</v>
      </c>
      <c r="C35" s="175">
        <v>31</v>
      </c>
      <c r="D35" s="175">
        <v>31</v>
      </c>
      <c r="E35" s="907" t="str">
        <f t="shared" si="1"/>
        <v>Norway</v>
      </c>
      <c r="F35" s="126" t="s">
        <v>414</v>
      </c>
      <c r="G35" s="127" t="s">
        <v>464</v>
      </c>
      <c r="H35" s="125" t="s">
        <v>465</v>
      </c>
      <c r="I35" s="128" t="s">
        <v>466</v>
      </c>
      <c r="J35" s="125" t="s">
        <v>467</v>
      </c>
      <c r="K35" s="614" t="s">
        <v>752</v>
      </c>
      <c r="L35" s="127" t="s">
        <v>464</v>
      </c>
      <c r="M35" s="927" t="s">
        <v>2152</v>
      </c>
      <c r="N35" s="949" t="s">
        <v>464</v>
      </c>
      <c r="O35" s="69"/>
    </row>
    <row r="36" spans="2:15"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69"/>
    </row>
    <row r="37" spans="2:15"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69"/>
    </row>
    <row r="38" spans="2:15" x14ac:dyDescent="0.25">
      <c r="B38" s="903" t="str">
        <f t="shared" si="0"/>
        <v>Cote d'Ivoire</v>
      </c>
      <c r="C38" s="175">
        <v>33</v>
      </c>
      <c r="D38" s="175">
        <v>34</v>
      </c>
      <c r="E38" s="907" t="str">
        <f t="shared" si="1"/>
        <v>Cote d'Ivoire</v>
      </c>
      <c r="F38" s="126" t="s">
        <v>2118</v>
      </c>
      <c r="G38" s="127" t="s">
        <v>500</v>
      </c>
      <c r="H38" s="125" t="s">
        <v>499</v>
      </c>
      <c r="I38" s="128" t="s">
        <v>501</v>
      </c>
      <c r="J38" s="125" t="s">
        <v>502</v>
      </c>
      <c r="K38" s="614" t="s">
        <v>758</v>
      </c>
      <c r="L38" s="127" t="s">
        <v>1910</v>
      </c>
      <c r="M38" s="927" t="s">
        <v>2155</v>
      </c>
      <c r="N38" s="949" t="s">
        <v>1910</v>
      </c>
      <c r="O38" s="69"/>
    </row>
    <row r="39" spans="2:15" x14ac:dyDescent="0.25">
      <c r="B39" s="903" t="str">
        <f t="shared" si="0"/>
        <v>Poland</v>
      </c>
      <c r="C39" s="175">
        <v>36</v>
      </c>
      <c r="D39" s="175">
        <v>35</v>
      </c>
      <c r="E39" s="907" t="str">
        <f t="shared" si="1"/>
        <v>Poland</v>
      </c>
      <c r="F39" s="126" t="s">
        <v>40</v>
      </c>
      <c r="G39" s="127" t="s">
        <v>64</v>
      </c>
      <c r="H39" s="125" t="s">
        <v>64</v>
      </c>
      <c r="I39" s="128" t="s">
        <v>80</v>
      </c>
      <c r="J39" s="125" t="s">
        <v>100</v>
      </c>
      <c r="K39" s="614" t="s">
        <v>100</v>
      </c>
      <c r="L39" s="127" t="s">
        <v>1911</v>
      </c>
      <c r="M39" s="927" t="s">
        <v>2156</v>
      </c>
      <c r="N39" s="949" t="s">
        <v>2351</v>
      </c>
      <c r="O39" s="69"/>
    </row>
    <row r="40" spans="2:15" x14ac:dyDescent="0.25">
      <c r="B40" s="903" t="str">
        <f t="shared" si="0"/>
        <v>Russia</v>
      </c>
      <c r="C40" s="175">
        <v>35</v>
      </c>
      <c r="D40" s="175">
        <v>36</v>
      </c>
      <c r="E40" s="907" t="str">
        <f t="shared" si="1"/>
        <v>Russia</v>
      </c>
      <c r="F40" s="126" t="s">
        <v>42</v>
      </c>
      <c r="G40" s="127" t="s">
        <v>61</v>
      </c>
      <c r="H40" s="125" t="s">
        <v>42</v>
      </c>
      <c r="I40" s="128" t="s">
        <v>75</v>
      </c>
      <c r="J40" s="125" t="s">
        <v>108</v>
      </c>
      <c r="K40" s="614" t="s">
        <v>748</v>
      </c>
      <c r="L40" s="127" t="s">
        <v>1912</v>
      </c>
      <c r="M40" s="927" t="s">
        <v>2157</v>
      </c>
      <c r="N40" s="949" t="s">
        <v>1912</v>
      </c>
      <c r="O40" s="69"/>
    </row>
    <row r="41" spans="2:15"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69"/>
    </row>
    <row r="42" spans="2:15" x14ac:dyDescent="0.25">
      <c r="B42" s="903" t="str">
        <f t="shared" si="0"/>
        <v>Sweden</v>
      </c>
      <c r="C42" s="175">
        <v>38</v>
      </c>
      <c r="D42" s="175">
        <v>38</v>
      </c>
      <c r="E42" s="907" t="str">
        <f t="shared" si="1"/>
        <v>Sweden</v>
      </c>
      <c r="F42" s="126" t="s">
        <v>44</v>
      </c>
      <c r="G42" s="127" t="s">
        <v>66</v>
      </c>
      <c r="H42" s="125" t="s">
        <v>83</v>
      </c>
      <c r="I42" s="128" t="s">
        <v>84</v>
      </c>
      <c r="J42" s="125" t="s">
        <v>104</v>
      </c>
      <c r="K42" s="614" t="s">
        <v>743</v>
      </c>
      <c r="L42" s="127" t="s">
        <v>1914</v>
      </c>
      <c r="M42" s="927" t="s">
        <v>2159</v>
      </c>
      <c r="N42" s="949" t="s">
        <v>1914</v>
      </c>
      <c r="O42" s="69"/>
    </row>
    <row r="43" spans="2:15" x14ac:dyDescent="0.25">
      <c r="B43" s="903" t="str">
        <f t="shared" si="0"/>
        <v>Serbia</v>
      </c>
      <c r="C43" s="175">
        <v>43</v>
      </c>
      <c r="D43" s="175">
        <v>39</v>
      </c>
      <c r="E43" s="907" t="str">
        <f t="shared" si="1"/>
        <v>Serbia</v>
      </c>
      <c r="F43" s="126" t="s">
        <v>342</v>
      </c>
      <c r="G43" s="127" t="s">
        <v>342</v>
      </c>
      <c r="H43" s="125" t="s">
        <v>342</v>
      </c>
      <c r="I43" s="128" t="s">
        <v>343</v>
      </c>
      <c r="J43" s="125" t="s">
        <v>259</v>
      </c>
      <c r="K43" s="614" t="s">
        <v>744</v>
      </c>
      <c r="L43" s="127" t="s">
        <v>1915</v>
      </c>
      <c r="M43" s="927" t="s">
        <v>2160</v>
      </c>
      <c r="N43" s="949" t="s">
        <v>1915</v>
      </c>
      <c r="O43" s="69"/>
    </row>
    <row r="44" spans="2:15"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69"/>
    </row>
    <row r="45" spans="2:15" x14ac:dyDescent="0.25">
      <c r="B45" s="903" t="str">
        <f t="shared" si="0"/>
        <v>Czechia</v>
      </c>
      <c r="C45" s="175">
        <v>40</v>
      </c>
      <c r="D45" s="175">
        <v>41</v>
      </c>
      <c r="E45" s="907" t="str">
        <f t="shared" si="1"/>
        <v>Czechia</v>
      </c>
      <c r="F45" s="126" t="s">
        <v>2117</v>
      </c>
      <c r="G45" s="127" t="s">
        <v>1773</v>
      </c>
      <c r="H45" s="125" t="s">
        <v>1774</v>
      </c>
      <c r="I45" s="128" t="s">
        <v>1775</v>
      </c>
      <c r="J45" s="125" t="s">
        <v>1776</v>
      </c>
      <c r="K45" s="614" t="s">
        <v>1777</v>
      </c>
      <c r="L45" s="127" t="s">
        <v>1917</v>
      </c>
      <c r="M45" s="927" t="s">
        <v>2162</v>
      </c>
      <c r="N45" s="949" t="s">
        <v>2352</v>
      </c>
      <c r="O45" s="69"/>
    </row>
    <row r="46" spans="2:15" x14ac:dyDescent="0.25">
      <c r="B46" s="903" t="str">
        <f t="shared" si="0"/>
        <v>Hungary</v>
      </c>
      <c r="C46" s="175">
        <v>39</v>
      </c>
      <c r="D46" s="175">
        <v>42</v>
      </c>
      <c r="E46" s="907" t="str">
        <f t="shared" si="1"/>
        <v>Hungary</v>
      </c>
      <c r="F46" s="126" t="s">
        <v>417</v>
      </c>
      <c r="G46" s="127" t="s">
        <v>474</v>
      </c>
      <c r="H46" s="125" t="s">
        <v>473</v>
      </c>
      <c r="I46" s="128" t="s">
        <v>471</v>
      </c>
      <c r="J46" s="125" t="s">
        <v>472</v>
      </c>
      <c r="K46" s="614" t="s">
        <v>751</v>
      </c>
      <c r="L46" s="127" t="s">
        <v>1918</v>
      </c>
      <c r="M46" s="927" t="s">
        <v>2163</v>
      </c>
      <c r="N46" s="949" t="s">
        <v>1918</v>
      </c>
      <c r="O46" s="69"/>
    </row>
    <row r="47" spans="2:15" x14ac:dyDescent="0.25">
      <c r="B47" s="903" t="str">
        <f t="shared" si="0"/>
        <v>Scotland</v>
      </c>
      <c r="C47" s="175">
        <v>42</v>
      </c>
      <c r="D47" s="175">
        <v>43</v>
      </c>
      <c r="E47" s="907" t="str">
        <f t="shared" si="1"/>
        <v>Scotland</v>
      </c>
      <c r="F47" s="126" t="s">
        <v>424</v>
      </c>
      <c r="G47" s="127" t="s">
        <v>497</v>
      </c>
      <c r="H47" s="125" t="s">
        <v>496</v>
      </c>
      <c r="I47" s="128" t="s">
        <v>494</v>
      </c>
      <c r="J47" s="125" t="s">
        <v>495</v>
      </c>
      <c r="K47" s="614" t="s">
        <v>750</v>
      </c>
      <c r="L47" s="127" t="s">
        <v>1919</v>
      </c>
      <c r="M47" s="927" t="s">
        <v>2164</v>
      </c>
      <c r="N47" s="949" t="s">
        <v>1919</v>
      </c>
      <c r="O47" s="69"/>
    </row>
    <row r="48" spans="2:15" x14ac:dyDescent="0.25">
      <c r="B48" s="903" t="str">
        <f t="shared" si="0"/>
        <v>Tunisia</v>
      </c>
      <c r="C48" s="175">
        <v>45</v>
      </c>
      <c r="D48" s="175">
        <v>44</v>
      </c>
      <c r="E48" s="907" t="str">
        <f t="shared" si="1"/>
        <v>Tunisia</v>
      </c>
      <c r="F48" s="126" t="s">
        <v>349</v>
      </c>
      <c r="G48" s="127" t="s">
        <v>350</v>
      </c>
      <c r="H48" s="125" t="s">
        <v>349</v>
      </c>
      <c r="I48" s="128" t="s">
        <v>351</v>
      </c>
      <c r="J48" s="125" t="s">
        <v>262</v>
      </c>
      <c r="K48" s="614" t="s">
        <v>747</v>
      </c>
      <c r="L48" s="127" t="s">
        <v>1920</v>
      </c>
      <c r="M48" s="927" t="s">
        <v>2165</v>
      </c>
      <c r="N48" s="949" t="s">
        <v>1920</v>
      </c>
      <c r="O48" s="69"/>
    </row>
    <row r="49" spans="2:15" x14ac:dyDescent="0.25">
      <c r="B49" s="903" t="str">
        <f t="shared" si="0"/>
        <v>Cameroon</v>
      </c>
      <c r="C49" s="175">
        <v>44</v>
      </c>
      <c r="D49" s="175">
        <v>45</v>
      </c>
      <c r="E49" s="907" t="str">
        <f t="shared" si="1"/>
        <v>Cameroon</v>
      </c>
      <c r="F49" s="126" t="s">
        <v>434</v>
      </c>
      <c r="G49" s="127" t="s">
        <v>515</v>
      </c>
      <c r="H49" s="125" t="s">
        <v>517</v>
      </c>
      <c r="I49" s="128" t="s">
        <v>516</v>
      </c>
      <c r="J49" s="125" t="s">
        <v>518</v>
      </c>
      <c r="K49" s="614" t="s">
        <v>749</v>
      </c>
      <c r="L49" s="127" t="s">
        <v>1921</v>
      </c>
      <c r="M49" s="927" t="s">
        <v>2166</v>
      </c>
      <c r="N49" s="949" t="s">
        <v>1921</v>
      </c>
      <c r="O49" s="69"/>
    </row>
    <row r="50" spans="2:15" x14ac:dyDescent="0.25">
      <c r="B50" s="903" t="str">
        <f t="shared" si="0"/>
        <v>DR Congo</v>
      </c>
      <c r="C50" s="175">
        <v>46</v>
      </c>
      <c r="D50" s="175">
        <v>46</v>
      </c>
      <c r="E50" s="907" t="str">
        <f t="shared" si="1"/>
        <v>DR Congo</v>
      </c>
      <c r="F50" s="126" t="s">
        <v>1766</v>
      </c>
      <c r="G50" s="127" t="s">
        <v>1767</v>
      </c>
      <c r="H50" s="125" t="s">
        <v>1767</v>
      </c>
      <c r="I50" s="128" t="s">
        <v>1767</v>
      </c>
      <c r="J50" s="125" t="s">
        <v>1642</v>
      </c>
      <c r="K50" s="614" t="s">
        <v>1766</v>
      </c>
      <c r="L50" s="127" t="s">
        <v>1767</v>
      </c>
      <c r="M50" s="927" t="s">
        <v>2167</v>
      </c>
      <c r="N50" s="949" t="s">
        <v>2353</v>
      </c>
      <c r="O50" s="69"/>
    </row>
    <row r="51" spans="2:15" x14ac:dyDescent="0.25">
      <c r="B51" s="903" t="str">
        <f t="shared" si="0"/>
        <v>Greece</v>
      </c>
      <c r="C51" s="175">
        <v>48</v>
      </c>
      <c r="D51" s="175">
        <v>47</v>
      </c>
      <c r="E51" s="907" t="str">
        <f t="shared" si="1"/>
        <v>Greece</v>
      </c>
      <c r="F51" s="126" t="s">
        <v>420</v>
      </c>
      <c r="G51" s="127" t="s">
        <v>486</v>
      </c>
      <c r="H51" s="125" t="s">
        <v>486</v>
      </c>
      <c r="I51" s="128" t="s">
        <v>484</v>
      </c>
      <c r="J51" s="125" t="s">
        <v>485</v>
      </c>
      <c r="K51" s="614" t="s">
        <v>760</v>
      </c>
      <c r="L51" s="127" t="s">
        <v>1922</v>
      </c>
      <c r="M51" s="927" t="s">
        <v>2168</v>
      </c>
      <c r="N51" s="949" t="s">
        <v>1922</v>
      </c>
      <c r="O51" s="69"/>
    </row>
    <row r="52" spans="2:15" x14ac:dyDescent="0.25">
      <c r="B52" s="903" t="str">
        <f t="shared" si="0"/>
        <v>Slovakia</v>
      </c>
      <c r="C52" s="175">
        <v>47</v>
      </c>
      <c r="D52" s="175">
        <v>48</v>
      </c>
      <c r="E52" s="907" t="str">
        <f t="shared" si="1"/>
        <v>Slovakia</v>
      </c>
      <c r="F52" s="126" t="s">
        <v>423</v>
      </c>
      <c r="G52" s="127" t="s">
        <v>490</v>
      </c>
      <c r="H52" s="125" t="s">
        <v>491</v>
      </c>
      <c r="I52" s="128" t="s">
        <v>492</v>
      </c>
      <c r="J52" s="125" t="s">
        <v>493</v>
      </c>
      <c r="K52" s="614" t="s">
        <v>756</v>
      </c>
      <c r="L52" s="127" t="s">
        <v>1923</v>
      </c>
      <c r="M52" s="927" t="s">
        <v>2169</v>
      </c>
      <c r="N52" s="949" t="s">
        <v>1923</v>
      </c>
      <c r="O52" s="69"/>
    </row>
    <row r="53" spans="2:15"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69"/>
    </row>
    <row r="54" spans="2:15" x14ac:dyDescent="0.25">
      <c r="B54" s="903" t="str">
        <f t="shared" si="0"/>
        <v>Uzbekistan</v>
      </c>
      <c r="C54" s="175">
        <v>50</v>
      </c>
      <c r="D54" s="175">
        <v>50</v>
      </c>
      <c r="E54" s="907" t="str">
        <f t="shared" si="1"/>
        <v>Uzbekistan</v>
      </c>
      <c r="F54" s="126" t="s">
        <v>436</v>
      </c>
      <c r="G54" s="127" t="s">
        <v>519</v>
      </c>
      <c r="H54" s="125" t="s">
        <v>436</v>
      </c>
      <c r="I54" s="128" t="s">
        <v>521</v>
      </c>
      <c r="J54" s="125" t="s">
        <v>522</v>
      </c>
      <c r="K54" s="614" t="s">
        <v>767</v>
      </c>
      <c r="L54" s="127" t="s">
        <v>1924</v>
      </c>
      <c r="M54" s="927" t="s">
        <v>2171</v>
      </c>
      <c r="N54" s="949" t="s">
        <v>1924</v>
      </c>
      <c r="O54" s="69"/>
    </row>
    <row r="55" spans="2:15"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69"/>
    </row>
    <row r="56" spans="2:15"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69"/>
    </row>
    <row r="57" spans="2:15"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69"/>
    </row>
    <row r="58" spans="2:15"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69"/>
    </row>
    <row r="59" spans="2:15" x14ac:dyDescent="0.25">
      <c r="B59" s="903" t="str">
        <f t="shared" si="0"/>
        <v>Qatar</v>
      </c>
      <c r="C59" s="175">
        <v>56</v>
      </c>
      <c r="D59" s="175">
        <v>55</v>
      </c>
      <c r="E59" s="907" t="str">
        <f t="shared" si="1"/>
        <v>Qatar</v>
      </c>
      <c r="F59" s="126" t="s">
        <v>421</v>
      </c>
      <c r="G59" s="127" t="s">
        <v>421</v>
      </c>
      <c r="H59" s="125" t="s">
        <v>421</v>
      </c>
      <c r="I59" s="128" t="s">
        <v>421</v>
      </c>
      <c r="J59" s="125" t="s">
        <v>470</v>
      </c>
      <c r="K59" s="614" t="s">
        <v>421</v>
      </c>
      <c r="L59" s="127" t="s">
        <v>1925</v>
      </c>
      <c r="M59" s="927" t="s">
        <v>2176</v>
      </c>
      <c r="N59" s="949" t="s">
        <v>1925</v>
      </c>
      <c r="O59" s="69"/>
    </row>
    <row r="60" spans="2:15" x14ac:dyDescent="0.25">
      <c r="B60" s="903" t="str">
        <f t="shared" si="0"/>
        <v>Romania</v>
      </c>
      <c r="C60" s="175">
        <v>54</v>
      </c>
      <c r="D60" s="175">
        <v>56</v>
      </c>
      <c r="E60" s="907" t="str">
        <f t="shared" si="1"/>
        <v>Romania</v>
      </c>
      <c r="F60" s="126" t="s">
        <v>422</v>
      </c>
      <c r="G60" s="127" t="s">
        <v>488</v>
      </c>
      <c r="H60" s="125" t="s">
        <v>422</v>
      </c>
      <c r="I60" s="128" t="s">
        <v>487</v>
      </c>
      <c r="J60" s="125" t="s">
        <v>489</v>
      </c>
      <c r="K60" s="614" t="s">
        <v>757</v>
      </c>
      <c r="L60" s="127" t="s">
        <v>1926</v>
      </c>
      <c r="M60" s="927" t="s">
        <v>2177</v>
      </c>
      <c r="N60" s="949" t="s">
        <v>2354</v>
      </c>
      <c r="O60" s="69"/>
    </row>
    <row r="61" spans="2:15" x14ac:dyDescent="0.25">
      <c r="B61" s="903" t="str">
        <f t="shared" si="0"/>
        <v>Iraq</v>
      </c>
      <c r="C61" s="175">
        <v>57</v>
      </c>
      <c r="D61" s="175">
        <v>57</v>
      </c>
      <c r="E61" s="907" t="str">
        <f t="shared" si="1"/>
        <v>Iraq</v>
      </c>
      <c r="F61" s="126" t="s">
        <v>426</v>
      </c>
      <c r="G61" s="127" t="s">
        <v>426</v>
      </c>
      <c r="H61" s="125" t="s">
        <v>426</v>
      </c>
      <c r="I61" s="128" t="s">
        <v>503</v>
      </c>
      <c r="J61" s="125" t="s">
        <v>503</v>
      </c>
      <c r="K61" s="614" t="s">
        <v>503</v>
      </c>
      <c r="L61" s="127" t="s">
        <v>1927</v>
      </c>
      <c r="M61" s="927" t="s">
        <v>2178</v>
      </c>
      <c r="N61" s="949" t="s">
        <v>1927</v>
      </c>
      <c r="O61" s="69"/>
    </row>
    <row r="62" spans="2:15" x14ac:dyDescent="0.25">
      <c r="B62" s="903" t="str">
        <f t="shared" si="0"/>
        <v>Slovenia</v>
      </c>
      <c r="C62" s="175">
        <v>59</v>
      </c>
      <c r="D62" s="175">
        <v>58</v>
      </c>
      <c r="E62" s="907" t="str">
        <f t="shared" si="1"/>
        <v>Slovenia</v>
      </c>
      <c r="F62" s="126" t="s">
        <v>427</v>
      </c>
      <c r="G62" s="127" t="s">
        <v>504</v>
      </c>
      <c r="H62" s="125" t="s">
        <v>427</v>
      </c>
      <c r="I62" s="128" t="s">
        <v>505</v>
      </c>
      <c r="J62" s="125" t="s">
        <v>506</v>
      </c>
      <c r="K62" s="614" t="s">
        <v>762</v>
      </c>
      <c r="L62" s="127" t="s">
        <v>1928</v>
      </c>
      <c r="M62" s="927" t="s">
        <v>2179</v>
      </c>
      <c r="N62" s="949" t="s">
        <v>2355</v>
      </c>
      <c r="O62" s="69"/>
    </row>
    <row r="63" spans="2:15" x14ac:dyDescent="0.25">
      <c r="B63" s="903">
        <f t="shared" si="0"/>
        <v>0</v>
      </c>
      <c r="C63" s="175">
        <v>58</v>
      </c>
      <c r="D63" s="175">
        <v>59</v>
      </c>
      <c r="E63" s="907">
        <f t="shared" si="1"/>
        <v>0</v>
      </c>
      <c r="F63" s="126"/>
      <c r="G63" s="127"/>
      <c r="H63" s="125"/>
      <c r="I63" s="128"/>
      <c r="J63" s="125" t="s">
        <v>1641</v>
      </c>
      <c r="K63" s="614"/>
      <c r="L63" s="127"/>
      <c r="M63" s="927" t="s">
        <v>2180</v>
      </c>
      <c r="N63" s="949" t="s">
        <v>2356</v>
      </c>
      <c r="O63" s="69"/>
    </row>
    <row r="64" spans="2:15" x14ac:dyDescent="0.25">
      <c r="B64" s="903" t="str">
        <f t="shared" si="0"/>
        <v>South Africa</v>
      </c>
      <c r="C64" s="175">
        <v>60</v>
      </c>
      <c r="D64" s="175">
        <v>60</v>
      </c>
      <c r="E64" s="907" t="str">
        <f t="shared" si="1"/>
        <v>South Africa</v>
      </c>
      <c r="F64" s="126" t="s">
        <v>439</v>
      </c>
      <c r="G64" s="127" t="s">
        <v>530</v>
      </c>
      <c r="H64" s="125" t="s">
        <v>529</v>
      </c>
      <c r="I64" s="128" t="s">
        <v>528</v>
      </c>
      <c r="J64" s="125" t="s">
        <v>531</v>
      </c>
      <c r="K64" s="614" t="s">
        <v>764</v>
      </c>
      <c r="L64" s="127" t="s">
        <v>1929</v>
      </c>
      <c r="M64" s="927" t="s">
        <v>2181</v>
      </c>
      <c r="N64" s="949" t="s">
        <v>1929</v>
      </c>
      <c r="O64" s="69"/>
    </row>
    <row r="65" spans="2:15" x14ac:dyDescent="0.25">
      <c r="B65" s="903" t="str">
        <f t="shared" si="0"/>
        <v>Saudi Arabia</v>
      </c>
      <c r="C65" s="175">
        <v>61</v>
      </c>
      <c r="D65" s="175">
        <v>61</v>
      </c>
      <c r="E65" s="907" t="str">
        <f t="shared" si="1"/>
        <v>Saudi Arabia</v>
      </c>
      <c r="F65" s="126" t="s">
        <v>1659</v>
      </c>
      <c r="G65" s="127" t="s">
        <v>1658</v>
      </c>
      <c r="H65" s="125" t="s">
        <v>1658</v>
      </c>
      <c r="I65" s="128" t="s">
        <v>1657</v>
      </c>
      <c r="J65" s="125" t="s">
        <v>1798</v>
      </c>
      <c r="K65" s="614" t="s">
        <v>1656</v>
      </c>
      <c r="L65" s="127" t="s">
        <v>1930</v>
      </c>
      <c r="M65" s="927" t="s">
        <v>2182</v>
      </c>
      <c r="N65" s="949" t="s">
        <v>1930</v>
      </c>
      <c r="O65" s="69"/>
    </row>
    <row r="66" spans="2:15"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69"/>
    </row>
    <row r="67" spans="2:15" x14ac:dyDescent="0.25">
      <c r="B67" s="903" t="str">
        <f t="shared" si="0"/>
        <v>Jordan</v>
      </c>
      <c r="C67" s="175">
        <v>63</v>
      </c>
      <c r="D67" s="175">
        <v>63</v>
      </c>
      <c r="E67" s="907" t="str">
        <f t="shared" si="1"/>
        <v>Jordan</v>
      </c>
      <c r="F67" s="126" t="s">
        <v>1651</v>
      </c>
      <c r="G67" s="127" t="s">
        <v>1652</v>
      </c>
      <c r="H67" s="125" t="s">
        <v>1653</v>
      </c>
      <c r="I67" s="128" t="s">
        <v>1654</v>
      </c>
      <c r="J67" s="125" t="s">
        <v>1643</v>
      </c>
      <c r="K67" s="614" t="s">
        <v>1655</v>
      </c>
      <c r="L67" s="127" t="s">
        <v>1931</v>
      </c>
      <c r="M67" s="927" t="s">
        <v>2184</v>
      </c>
      <c r="N67" s="949" t="s">
        <v>1931</v>
      </c>
      <c r="O67" s="69"/>
    </row>
    <row r="68" spans="2:15" x14ac:dyDescent="0.25">
      <c r="B68" s="903" t="str">
        <f t="shared" si="0"/>
        <v>Albania</v>
      </c>
      <c r="C68" s="175">
        <v>66</v>
      </c>
      <c r="D68" s="175">
        <v>64</v>
      </c>
      <c r="E68" s="907" t="str">
        <f t="shared" si="1"/>
        <v>Albania</v>
      </c>
      <c r="F68" s="126" t="s">
        <v>432</v>
      </c>
      <c r="G68" s="127" t="s">
        <v>432</v>
      </c>
      <c r="H68" s="125" t="s">
        <v>432</v>
      </c>
      <c r="I68" s="128" t="s">
        <v>512</v>
      </c>
      <c r="J68" s="125" t="s">
        <v>514</v>
      </c>
      <c r="K68" s="614" t="s">
        <v>763</v>
      </c>
      <c r="L68" s="127" t="s">
        <v>1932</v>
      </c>
      <c r="M68" s="927" t="s">
        <v>2185</v>
      </c>
      <c r="N68" s="949" t="s">
        <v>1932</v>
      </c>
      <c r="O68" s="69"/>
    </row>
    <row r="69" spans="2:15" x14ac:dyDescent="0.25">
      <c r="B69" s="903" t="str">
        <f t="shared" si="0"/>
        <v>Bosnia/Herzeg.</v>
      </c>
      <c r="C69" s="175">
        <v>64</v>
      </c>
      <c r="D69" s="175">
        <v>65</v>
      </c>
      <c r="E69" s="907" t="str">
        <f t="shared" si="1"/>
        <v>Bosnia/Herzeg.</v>
      </c>
      <c r="F69" s="126" t="s">
        <v>1768</v>
      </c>
      <c r="G69" s="127" t="s">
        <v>1768</v>
      </c>
      <c r="H69" s="125" t="s">
        <v>1769</v>
      </c>
      <c r="I69" s="128" t="s">
        <v>1770</v>
      </c>
      <c r="J69" s="125" t="s">
        <v>1771</v>
      </c>
      <c r="K69" s="614" t="s">
        <v>1772</v>
      </c>
      <c r="L69" s="127" t="s">
        <v>1933</v>
      </c>
      <c r="M69" s="927" t="s">
        <v>2186</v>
      </c>
      <c r="N69" s="949" t="s">
        <v>2358</v>
      </c>
      <c r="O69" s="69"/>
    </row>
    <row r="70" spans="2:15" x14ac:dyDescent="0.25">
      <c r="B70" s="903" t="str">
        <f t="shared" ref="B70:B133" si="2">IFERROR(INDEX($F70:$O70,MATCH($Q$1,$F$3:$O$3,0)),$F70)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69"/>
    </row>
    <row r="71" spans="2:15" x14ac:dyDescent="0.25">
      <c r="B71" s="903">
        <f t="shared" si="2"/>
        <v>0</v>
      </c>
      <c r="C71" s="175">
        <v>69</v>
      </c>
      <c r="D71" s="175">
        <v>67</v>
      </c>
      <c r="E71" s="907">
        <f t="shared" si="3"/>
        <v>0</v>
      </c>
      <c r="F71" s="126"/>
      <c r="G71" s="127"/>
      <c r="H71" s="125"/>
      <c r="I71" s="128"/>
      <c r="J71" s="125" t="s">
        <v>896</v>
      </c>
      <c r="K71" s="614"/>
      <c r="L71" s="127" t="s">
        <v>1934</v>
      </c>
      <c r="M71" s="927" t="s">
        <v>2188</v>
      </c>
      <c r="N71" s="949" t="s">
        <v>2359</v>
      </c>
      <c r="O71" s="69"/>
    </row>
    <row r="72" spans="2:15" x14ac:dyDescent="0.25">
      <c r="B72" s="903">
        <f t="shared" si="2"/>
        <v>0</v>
      </c>
      <c r="C72" s="175">
        <v>68</v>
      </c>
      <c r="D72" s="175">
        <v>68</v>
      </c>
      <c r="E72" s="907">
        <f t="shared" si="3"/>
        <v>0</v>
      </c>
      <c r="F72" s="126"/>
      <c r="G72" s="127"/>
      <c r="H72" s="125"/>
      <c r="I72" s="128"/>
      <c r="J72" s="125" t="s">
        <v>1644</v>
      </c>
      <c r="K72" s="614"/>
      <c r="L72" s="127" t="s">
        <v>1935</v>
      </c>
      <c r="M72" s="927" t="s">
        <v>2189</v>
      </c>
      <c r="N72" s="949" t="s">
        <v>2360</v>
      </c>
      <c r="O72" s="69"/>
    </row>
    <row r="73" spans="2:15" x14ac:dyDescent="0.25">
      <c r="B73" s="903" t="str">
        <f t="shared" si="2"/>
        <v>Cabo Verde</v>
      </c>
      <c r="C73" s="175">
        <v>67</v>
      </c>
      <c r="D73" s="175">
        <v>69</v>
      </c>
      <c r="E73" s="907" t="str">
        <f t="shared" si="3"/>
        <v>Cabo Verde</v>
      </c>
      <c r="F73" s="126" t="s">
        <v>1660</v>
      </c>
      <c r="G73" s="127" t="s">
        <v>1660</v>
      </c>
      <c r="H73" s="125" t="s">
        <v>1661</v>
      </c>
      <c r="I73" s="128" t="s">
        <v>1662</v>
      </c>
      <c r="J73" s="125" t="s">
        <v>897</v>
      </c>
      <c r="K73" s="614" t="s">
        <v>1663</v>
      </c>
      <c r="L73" s="127" t="s">
        <v>1660</v>
      </c>
      <c r="M73" s="927" t="s">
        <v>2190</v>
      </c>
      <c r="N73" s="949" t="s">
        <v>1660</v>
      </c>
      <c r="O73" s="69"/>
    </row>
    <row r="74" spans="2:15" x14ac:dyDescent="0.25">
      <c r="B74" s="903" t="str">
        <f t="shared" si="2"/>
        <v>Northern Ireland</v>
      </c>
      <c r="C74" s="175">
        <v>70</v>
      </c>
      <c r="D74" s="175">
        <v>70</v>
      </c>
      <c r="E74" s="907" t="str">
        <f t="shared" si="3"/>
        <v>Northern Ireland</v>
      </c>
      <c r="F74" s="126" t="s">
        <v>428</v>
      </c>
      <c r="G74" s="127" t="s">
        <v>510</v>
      </c>
      <c r="H74" s="125" t="s">
        <v>509</v>
      </c>
      <c r="I74" s="128" t="s">
        <v>508</v>
      </c>
      <c r="J74" s="125" t="s">
        <v>507</v>
      </c>
      <c r="K74" s="614" t="s">
        <v>759</v>
      </c>
      <c r="L74" s="127" t="s">
        <v>1936</v>
      </c>
      <c r="M74" s="927" t="s">
        <v>2191</v>
      </c>
      <c r="N74" s="949" t="s">
        <v>1936</v>
      </c>
      <c r="O74" s="69"/>
    </row>
    <row r="75" spans="2:15" x14ac:dyDescent="0.25">
      <c r="B75" s="903" t="str">
        <f t="shared" si="2"/>
        <v>Jamaica</v>
      </c>
      <c r="C75" s="175">
        <v>71</v>
      </c>
      <c r="D75" s="175">
        <v>71</v>
      </c>
      <c r="E75" s="907" t="str">
        <f t="shared" si="3"/>
        <v>Jamaica</v>
      </c>
      <c r="F75" s="126" t="s">
        <v>438</v>
      </c>
      <c r="G75" s="127" t="s">
        <v>438</v>
      </c>
      <c r="H75" s="125" t="s">
        <v>525</v>
      </c>
      <c r="I75" s="128" t="s">
        <v>526</v>
      </c>
      <c r="J75" s="125" t="s">
        <v>527</v>
      </c>
      <c r="K75" s="614" t="s">
        <v>438</v>
      </c>
      <c r="L75" s="127" t="s">
        <v>438</v>
      </c>
      <c r="M75" s="927" t="s">
        <v>2192</v>
      </c>
      <c r="N75" s="949" t="s">
        <v>438</v>
      </c>
      <c r="O75" s="69"/>
    </row>
    <row r="76" spans="2:15" x14ac:dyDescent="0.25">
      <c r="B76" s="903" t="str">
        <f t="shared" si="2"/>
        <v>Georgia</v>
      </c>
      <c r="C76" s="175">
        <v>72</v>
      </c>
      <c r="D76" s="175">
        <v>72</v>
      </c>
      <c r="E76" s="907" t="str">
        <f t="shared" si="3"/>
        <v>Georgia</v>
      </c>
      <c r="F76" s="126" t="s">
        <v>442</v>
      </c>
      <c r="G76" s="127" t="s">
        <v>442</v>
      </c>
      <c r="H76" s="125" t="s">
        <v>442</v>
      </c>
      <c r="I76" s="128" t="s">
        <v>533</v>
      </c>
      <c r="J76" s="125" t="s">
        <v>534</v>
      </c>
      <c r="K76" s="614" t="s">
        <v>768</v>
      </c>
      <c r="L76" s="127" t="s">
        <v>1937</v>
      </c>
      <c r="M76" s="927" t="s">
        <v>2193</v>
      </c>
      <c r="N76" s="949" t="s">
        <v>1937</v>
      </c>
      <c r="O76" s="69"/>
    </row>
    <row r="77" spans="2:15" x14ac:dyDescent="0.25">
      <c r="B77" s="903" t="str">
        <f t="shared" si="2"/>
        <v>Finland</v>
      </c>
      <c r="C77" s="175">
        <v>75</v>
      </c>
      <c r="D77" s="175">
        <v>73</v>
      </c>
      <c r="E77" s="907" t="str">
        <f t="shared" si="3"/>
        <v>Finland</v>
      </c>
      <c r="F77" s="126" t="s">
        <v>419</v>
      </c>
      <c r="G77" s="127" t="s">
        <v>483</v>
      </c>
      <c r="H77" s="125" t="s">
        <v>483</v>
      </c>
      <c r="I77" s="128" t="s">
        <v>481</v>
      </c>
      <c r="J77" s="125" t="s">
        <v>895</v>
      </c>
      <c r="K77" s="614" t="s">
        <v>419</v>
      </c>
      <c r="L77" s="127" t="s">
        <v>1938</v>
      </c>
      <c r="M77" s="927" t="s">
        <v>2194</v>
      </c>
      <c r="N77" s="949" t="s">
        <v>1938</v>
      </c>
      <c r="O77" s="69"/>
    </row>
    <row r="78" spans="2:15"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69"/>
    </row>
    <row r="79" spans="2:15" x14ac:dyDescent="0.25">
      <c r="B79" s="903" t="str">
        <f t="shared" si="2"/>
        <v>Iceland</v>
      </c>
      <c r="C79" s="175">
        <v>74</v>
      </c>
      <c r="D79" s="175">
        <v>75</v>
      </c>
      <c r="E79" s="907" t="str">
        <f t="shared" si="3"/>
        <v>Iceland</v>
      </c>
      <c r="F79" s="126" t="s">
        <v>334</v>
      </c>
      <c r="G79" s="127" t="s">
        <v>335</v>
      </c>
      <c r="H79" s="125" t="s">
        <v>336</v>
      </c>
      <c r="I79" s="128" t="s">
        <v>337</v>
      </c>
      <c r="J79" s="125" t="s">
        <v>256</v>
      </c>
      <c r="K79" s="614" t="s">
        <v>761</v>
      </c>
      <c r="L79" s="127" t="s">
        <v>1940</v>
      </c>
      <c r="M79" s="927" t="s">
        <v>2196</v>
      </c>
      <c r="N79" s="949" t="s">
        <v>1940</v>
      </c>
      <c r="O79" s="69"/>
    </row>
    <row r="80" spans="2:15" x14ac:dyDescent="0.25">
      <c r="B80" s="903" t="str">
        <f t="shared" si="2"/>
        <v>Bolivia</v>
      </c>
      <c r="C80" s="175">
        <v>77</v>
      </c>
      <c r="D80" s="175">
        <v>76</v>
      </c>
      <c r="E80" s="907" t="str">
        <f t="shared" si="3"/>
        <v>Bolivia</v>
      </c>
      <c r="F80" s="126" t="s">
        <v>429</v>
      </c>
      <c r="G80" s="127" t="s">
        <v>429</v>
      </c>
      <c r="H80" s="125" t="s">
        <v>429</v>
      </c>
      <c r="I80" s="128" t="s">
        <v>511</v>
      </c>
      <c r="J80" s="125" t="s">
        <v>513</v>
      </c>
      <c r="K80" s="614" t="s">
        <v>766</v>
      </c>
      <c r="L80" s="127" t="s">
        <v>1941</v>
      </c>
      <c r="M80" s="927" t="s">
        <v>2197</v>
      </c>
      <c r="N80" s="949" t="s">
        <v>1941</v>
      </c>
      <c r="O80" s="69"/>
    </row>
    <row r="81" spans="2:15"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69"/>
    </row>
    <row r="82" spans="2:15" x14ac:dyDescent="0.25">
      <c r="B82" s="903">
        <f t="shared" si="2"/>
        <v>0</v>
      </c>
      <c r="C82" s="175">
        <v>78</v>
      </c>
      <c r="D82" s="175">
        <v>78</v>
      </c>
      <c r="E82" s="907">
        <f t="shared" si="3"/>
        <v>0</v>
      </c>
      <c r="F82" s="126"/>
      <c r="G82" s="127"/>
      <c r="H82" s="125"/>
      <c r="I82" s="128"/>
      <c r="J82" s="125" t="s">
        <v>1755</v>
      </c>
      <c r="K82" s="614"/>
      <c r="L82" s="127" t="s">
        <v>1755</v>
      </c>
      <c r="M82" s="927" t="s">
        <v>2198</v>
      </c>
      <c r="N82" s="949" t="s">
        <v>2361</v>
      </c>
      <c r="O82" s="69"/>
    </row>
    <row r="83" spans="2:15"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69"/>
    </row>
    <row r="84" spans="2:15" x14ac:dyDescent="0.25">
      <c r="B84" s="903">
        <f t="shared" si="2"/>
        <v>0</v>
      </c>
      <c r="C84" s="175">
        <v>81</v>
      </c>
      <c r="D84" s="175">
        <v>80</v>
      </c>
      <c r="E84" s="907">
        <f t="shared" si="3"/>
        <v>0</v>
      </c>
      <c r="F84" s="126"/>
      <c r="G84" s="127"/>
      <c r="H84" s="125"/>
      <c r="I84" s="128"/>
      <c r="J84" s="125" t="s">
        <v>1756</v>
      </c>
      <c r="K84" s="614"/>
      <c r="L84" s="127" t="s">
        <v>1943</v>
      </c>
      <c r="M84" s="927" t="s">
        <v>2200</v>
      </c>
      <c r="N84" s="949" t="s">
        <v>1943</v>
      </c>
      <c r="O84" s="69"/>
    </row>
    <row r="85" spans="2:15"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69"/>
    </row>
    <row r="86" spans="2:15"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69"/>
    </row>
    <row r="87" spans="2:15"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69"/>
    </row>
    <row r="88" spans="2:15" x14ac:dyDescent="0.25">
      <c r="B88" s="903">
        <f t="shared" si="2"/>
        <v>0</v>
      </c>
      <c r="C88" s="175">
        <v>84</v>
      </c>
      <c r="D88" s="175">
        <v>84</v>
      </c>
      <c r="E88" s="907">
        <f t="shared" si="3"/>
        <v>0</v>
      </c>
      <c r="F88" s="201"/>
      <c r="G88" s="124"/>
      <c r="H88" s="202"/>
      <c r="I88" s="203"/>
      <c r="J88" s="202" t="s">
        <v>1757</v>
      </c>
      <c r="K88" s="614"/>
      <c r="L88" s="127" t="s">
        <v>1945</v>
      </c>
      <c r="M88" s="928" t="s">
        <v>2204</v>
      </c>
      <c r="N88" s="950" t="s">
        <v>1945</v>
      </c>
      <c r="O88" s="204"/>
    </row>
    <row r="89" spans="2:15" x14ac:dyDescent="0.25">
      <c r="B89" s="903" t="str">
        <f t="shared" si="2"/>
        <v>New Zealand</v>
      </c>
      <c r="C89" s="175">
        <v>85</v>
      </c>
      <c r="D89" s="175">
        <v>85</v>
      </c>
      <c r="E89" s="907" t="str">
        <f t="shared" si="3"/>
        <v>New Zealand</v>
      </c>
      <c r="F89" s="201" t="s">
        <v>1667</v>
      </c>
      <c r="G89" s="124" t="s">
        <v>1670</v>
      </c>
      <c r="H89" s="202" t="s">
        <v>1669</v>
      </c>
      <c r="I89" s="203" t="s">
        <v>1671</v>
      </c>
      <c r="J89" s="202" t="s">
        <v>535</v>
      </c>
      <c r="K89" s="614" t="s">
        <v>1668</v>
      </c>
      <c r="L89" s="127" t="s">
        <v>1946</v>
      </c>
      <c r="M89" s="928" t="s">
        <v>2205</v>
      </c>
      <c r="N89" s="950" t="s">
        <v>1946</v>
      </c>
      <c r="O89" s="204"/>
    </row>
    <row r="90" spans="2:15" x14ac:dyDescent="0.25">
      <c r="B90" s="903" t="str">
        <f t="shared" si="2"/>
        <v>Bulgaria</v>
      </c>
      <c r="C90" s="175">
        <v>87</v>
      </c>
      <c r="D90" s="175">
        <v>86</v>
      </c>
      <c r="E90" s="907" t="str">
        <f t="shared" si="3"/>
        <v>Bulgaria</v>
      </c>
      <c r="F90" s="201" t="s">
        <v>437</v>
      </c>
      <c r="G90" s="124" t="s">
        <v>437</v>
      </c>
      <c r="H90" s="202" t="s">
        <v>437</v>
      </c>
      <c r="I90" s="203" t="s">
        <v>523</v>
      </c>
      <c r="J90" s="202" t="s">
        <v>524</v>
      </c>
      <c r="K90" s="614" t="s">
        <v>765</v>
      </c>
      <c r="L90" s="127" t="s">
        <v>1947</v>
      </c>
      <c r="M90" s="928" t="s">
        <v>2206</v>
      </c>
      <c r="N90" s="950" t="s">
        <v>1947</v>
      </c>
      <c r="O90" s="204"/>
    </row>
    <row r="91" spans="2:15" x14ac:dyDescent="0.25">
      <c r="B91" s="903">
        <f t="shared" si="2"/>
        <v>0</v>
      </c>
      <c r="C91" s="175">
        <v>86</v>
      </c>
      <c r="D91" s="175">
        <v>87</v>
      </c>
      <c r="E91" s="907">
        <f t="shared" si="3"/>
        <v>0</v>
      </c>
      <c r="F91" s="201"/>
      <c r="G91" s="124"/>
      <c r="H91" s="202"/>
      <c r="I91" s="203"/>
      <c r="J91" s="202" t="s">
        <v>898</v>
      </c>
      <c r="K91" s="614"/>
      <c r="L91" s="127" t="s">
        <v>1948</v>
      </c>
      <c r="M91" s="928" t="s">
        <v>2207</v>
      </c>
      <c r="N91" s="950" t="s">
        <v>1948</v>
      </c>
      <c r="O91" s="204"/>
    </row>
    <row r="92" spans="2:15" x14ac:dyDescent="0.25">
      <c r="B92" s="903">
        <f t="shared" si="2"/>
        <v>0</v>
      </c>
      <c r="C92" s="175">
        <v>89</v>
      </c>
      <c r="D92" s="175">
        <v>88</v>
      </c>
      <c r="E92" s="907">
        <f t="shared" si="3"/>
        <v>0</v>
      </c>
      <c r="F92" s="201"/>
      <c r="G92" s="124"/>
      <c r="H92" s="202"/>
      <c r="I92" s="203"/>
      <c r="J92" s="202" t="s">
        <v>1758</v>
      </c>
      <c r="K92" s="614"/>
      <c r="L92" s="127" t="s">
        <v>1758</v>
      </c>
      <c r="M92" s="928" t="s">
        <v>2208</v>
      </c>
      <c r="N92" s="950" t="s">
        <v>1758</v>
      </c>
      <c r="O92" s="204"/>
    </row>
    <row r="93" spans="2:15" x14ac:dyDescent="0.25">
      <c r="B93" s="903">
        <f t="shared" si="2"/>
        <v>0</v>
      </c>
      <c r="C93" s="175">
        <v>88</v>
      </c>
      <c r="D93" s="175">
        <v>89</v>
      </c>
      <c r="E93" s="907">
        <f t="shared" si="3"/>
        <v>0</v>
      </c>
      <c r="F93" s="201"/>
      <c r="G93" s="124"/>
      <c r="H93" s="202"/>
      <c r="I93" s="203"/>
      <c r="J93" s="202" t="s">
        <v>1759</v>
      </c>
      <c r="K93" s="614"/>
      <c r="L93" s="127" t="s">
        <v>1759</v>
      </c>
      <c r="M93" s="928" t="s">
        <v>2209</v>
      </c>
      <c r="N93" s="950" t="s">
        <v>1759</v>
      </c>
      <c r="O93" s="204"/>
    </row>
    <row r="94" spans="2:15" x14ac:dyDescent="0.25">
      <c r="B94" s="903">
        <f t="shared" si="2"/>
        <v>0</v>
      </c>
      <c r="C94" s="175">
        <v>90</v>
      </c>
      <c r="D94" s="175">
        <v>90</v>
      </c>
      <c r="E94" s="907">
        <f t="shared" si="3"/>
        <v>0</v>
      </c>
      <c r="F94" s="201"/>
      <c r="G94" s="124"/>
      <c r="H94" s="202"/>
      <c r="I94" s="203"/>
      <c r="J94" s="871" t="s">
        <v>1877</v>
      </c>
      <c r="K94" s="872"/>
      <c r="L94" s="127" t="s">
        <v>1949</v>
      </c>
      <c r="M94" s="928" t="s">
        <v>2210</v>
      </c>
      <c r="N94" s="950" t="s">
        <v>2362</v>
      </c>
      <c r="O94" s="204"/>
    </row>
    <row r="95" spans="2:15"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204"/>
    </row>
    <row r="96" spans="2:15"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204"/>
    </row>
    <row r="97" spans="2:18"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204"/>
    </row>
    <row r="98" spans="2:18"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204"/>
    </row>
    <row r="99" spans="2:18"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204"/>
    </row>
    <row r="100" spans="2:18"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70"/>
    </row>
    <row r="101" spans="2:18" ht="16.5" thickTop="1" thickBot="1" x14ac:dyDescent="0.3">
      <c r="E101" s="197"/>
      <c r="F101" s="71"/>
      <c r="G101" s="71"/>
      <c r="H101" s="71"/>
      <c r="I101" s="71"/>
      <c r="J101" s="71"/>
      <c r="K101" s="616"/>
      <c r="L101" s="616"/>
      <c r="M101" s="944"/>
      <c r="N101" s="944"/>
      <c r="O101" s="71"/>
    </row>
    <row r="102" spans="2:18" ht="30.75" thickTop="1" x14ac:dyDescent="0.45">
      <c r="D102" s="174" t="s">
        <v>387</v>
      </c>
      <c r="E102" s="198"/>
      <c r="F102" s="182" t="s">
        <v>111</v>
      </c>
      <c r="G102" s="183"/>
      <c r="H102" s="183"/>
      <c r="I102" s="183"/>
      <c r="J102" s="183"/>
      <c r="K102" s="617"/>
      <c r="L102" s="617"/>
      <c r="M102" s="945"/>
      <c r="N102" s="945"/>
      <c r="O102" s="184"/>
    </row>
    <row r="103" spans="2:18" x14ac:dyDescent="0.25">
      <c r="B103" s="910" t="str">
        <f t="shared" si="2"/>
        <v>Vancouver</v>
      </c>
      <c r="C103" s="388">
        <f>IF(AND($Q$1&lt;&gt;B104,$Q$1&lt;&gt;B105,$Q$1&lt;&gt;B106,$Q$1&lt;&gt;B107,$Q$1&lt;&gt;B108,$Q$1&lt;&gt;B109),1,0)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69"/>
      <c r="R103" s="572"/>
    </row>
    <row r="104" spans="2:18" x14ac:dyDescent="0.25">
      <c r="B104" s="910" t="str">
        <f t="shared" si="2"/>
        <v>Toronto</v>
      </c>
      <c r="C104" s="388">
        <f t="shared" ref="C104:C109" si="5">IF($Q$1=B104,1,0)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69"/>
      <c r="R104" s="572"/>
    </row>
    <row r="105" spans="2:18"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69"/>
      <c r="R105" s="572"/>
    </row>
    <row r="106" spans="2:18"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69"/>
      <c r="R106" s="572"/>
    </row>
    <row r="107" spans="2:18"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69"/>
      <c r="R107" s="572"/>
    </row>
    <row r="108" spans="2:18"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69"/>
      <c r="R108" s="572"/>
    </row>
    <row r="109" spans="2:18"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69"/>
      <c r="R109" s="572"/>
    </row>
    <row r="110" spans="2:18"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69"/>
      <c r="R110" s="572"/>
    </row>
    <row r="111" spans="2:18"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69"/>
      <c r="R111" s="572"/>
    </row>
    <row r="112" spans="2:18"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69"/>
      <c r="R112" s="572"/>
    </row>
    <row r="113" spans="2:18"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69"/>
      <c r="R113" s="572"/>
    </row>
    <row r="114" spans="2:18"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69"/>
      <c r="R114" s="572"/>
    </row>
    <row r="115" spans="2:18"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69"/>
      <c r="R115" s="572"/>
    </row>
    <row r="116" spans="2:18"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69"/>
      <c r="R116" s="572"/>
    </row>
    <row r="117" spans="2:18"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69"/>
      <c r="R117" s="572"/>
    </row>
    <row r="118" spans="2:18"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70"/>
      <c r="R118" s="572"/>
    </row>
    <row r="119" spans="2:18" ht="16.5" thickTop="1" thickBot="1" x14ac:dyDescent="0.3">
      <c r="D119" s="30"/>
      <c r="E119" s="197"/>
      <c r="F119" s="185"/>
      <c r="G119" s="185"/>
      <c r="H119" s="185"/>
      <c r="I119" s="185"/>
      <c r="J119" s="185"/>
      <c r="K119" s="618"/>
      <c r="L119" s="618"/>
      <c r="M119" s="618"/>
      <c r="N119" s="618"/>
      <c r="O119" s="185"/>
    </row>
    <row r="120" spans="2:18" ht="29.25" thickTop="1" x14ac:dyDescent="0.45">
      <c r="E120" s="25"/>
      <c r="F120" s="72" t="s">
        <v>278</v>
      </c>
      <c r="G120" s="73"/>
      <c r="H120" s="73"/>
      <c r="I120" s="73"/>
      <c r="J120" s="73"/>
      <c r="K120" s="619"/>
      <c r="L120" s="619"/>
      <c r="M120" s="946"/>
      <c r="N120" s="946"/>
      <c r="O120" s="74"/>
    </row>
    <row r="121" spans="2:18" ht="61.5" customHeight="1" x14ac:dyDescent="0.25">
      <c r="B121" s="903" t="str">
        <f t="shared" si="2"/>
        <v>World Cup 2026 in Canada/Mexico/USA</v>
      </c>
      <c r="E121" s="907" t="str">
        <f t="shared" ref="E121:E128" si="6">IF($B121=0,$F121,$B121)</f>
        <v>World Cup 2026 in Canada/Mexico/USA</v>
      </c>
      <c r="F121" s="279" t="s">
        <v>927</v>
      </c>
      <c r="G121" s="280" t="s">
        <v>929</v>
      </c>
      <c r="H121" s="281" t="s">
        <v>928</v>
      </c>
      <c r="I121" s="282" t="s">
        <v>926</v>
      </c>
      <c r="J121" s="281" t="s">
        <v>878</v>
      </c>
      <c r="K121" s="620" t="s">
        <v>930</v>
      </c>
      <c r="L121" s="280" t="s">
        <v>1957</v>
      </c>
      <c r="M121" s="930" t="s">
        <v>2227</v>
      </c>
      <c r="N121" s="952" t="s">
        <v>2375</v>
      </c>
      <c r="O121" s="283"/>
    </row>
    <row r="122" spans="2:18" ht="45" x14ac:dyDescent="0.25">
      <c r="B122" s="903" t="str">
        <f t="shared" si="2"/>
        <v>Head-to-head results</v>
      </c>
      <c r="E122" s="907" t="str">
        <f t="shared" si="6"/>
        <v>Head-to-head results</v>
      </c>
      <c r="F122" s="279" t="s">
        <v>1785</v>
      </c>
      <c r="G122" s="280" t="s">
        <v>1786</v>
      </c>
      <c r="H122" s="281" t="s">
        <v>1787</v>
      </c>
      <c r="I122" s="282" t="s">
        <v>1788</v>
      </c>
      <c r="J122" s="281" t="s">
        <v>298</v>
      </c>
      <c r="K122" s="620" t="s">
        <v>1789</v>
      </c>
      <c r="L122" s="280" t="s">
        <v>1958</v>
      </c>
      <c r="M122" s="930" t="s">
        <v>2228</v>
      </c>
      <c r="N122" s="952" t="s">
        <v>2376</v>
      </c>
      <c r="O122" s="440"/>
    </row>
    <row r="123" spans="2:18" x14ac:dyDescent="0.25">
      <c r="B123" s="903" t="str">
        <f t="shared" si="2"/>
        <v>Fair play</v>
      </c>
      <c r="E123" s="907" t="str">
        <f t="shared" si="6"/>
        <v>Fair play</v>
      </c>
      <c r="F123" s="279" t="s">
        <v>30</v>
      </c>
      <c r="G123" s="280" t="s">
        <v>1649</v>
      </c>
      <c r="H123" s="281" t="s">
        <v>30</v>
      </c>
      <c r="I123" s="282" t="s">
        <v>1649</v>
      </c>
      <c r="J123" s="281" t="s">
        <v>1650</v>
      </c>
      <c r="K123" s="620" t="s">
        <v>1650</v>
      </c>
      <c r="L123" s="280" t="s">
        <v>30</v>
      </c>
      <c r="M123" s="930" t="s">
        <v>2229</v>
      </c>
      <c r="N123" s="952" t="s">
        <v>2377</v>
      </c>
      <c r="O123" s="283"/>
    </row>
    <row r="124" spans="2:18" x14ac:dyDescent="0.25">
      <c r="B124" s="903" t="str">
        <f t="shared" si="2"/>
        <v>Choose time zone</v>
      </c>
      <c r="E124" s="907" t="str">
        <f t="shared" si="6"/>
        <v>Choose time zone</v>
      </c>
      <c r="F124" s="436" t="s">
        <v>365</v>
      </c>
      <c r="G124" s="437" t="s">
        <v>373</v>
      </c>
      <c r="H124" s="438" t="s">
        <v>372</v>
      </c>
      <c r="I124" s="439" t="s">
        <v>371</v>
      </c>
      <c r="J124" s="438" t="s">
        <v>366</v>
      </c>
      <c r="K124" s="620" t="s">
        <v>769</v>
      </c>
      <c r="L124" s="437" t="s">
        <v>1959</v>
      </c>
      <c r="M124" s="931" t="s">
        <v>2230</v>
      </c>
      <c r="N124" s="953" t="s">
        <v>2378</v>
      </c>
      <c r="O124" s="440"/>
    </row>
    <row r="125" spans="2:18" x14ac:dyDescent="0.25">
      <c r="B125" s="903" t="str">
        <f t="shared" si="2"/>
        <v>Matches</v>
      </c>
      <c r="E125" s="907" t="str">
        <f t="shared" si="6"/>
        <v>Matches</v>
      </c>
      <c r="F125" s="436" t="s">
        <v>249</v>
      </c>
      <c r="G125" s="437" t="s">
        <v>374</v>
      </c>
      <c r="H125" s="438" t="s">
        <v>375</v>
      </c>
      <c r="I125" s="439" t="s">
        <v>370</v>
      </c>
      <c r="J125" s="438" t="s">
        <v>367</v>
      </c>
      <c r="K125" s="620" t="s">
        <v>770</v>
      </c>
      <c r="L125" s="437" t="s">
        <v>1960</v>
      </c>
      <c r="M125" s="931" t="s">
        <v>2231</v>
      </c>
      <c r="N125" s="953" t="s">
        <v>1960</v>
      </c>
      <c r="O125" s="440"/>
    </row>
    <row r="126" spans="2:18" x14ac:dyDescent="0.25">
      <c r="B126" s="903" t="str">
        <f t="shared" si="2"/>
        <v>Choose language</v>
      </c>
      <c r="E126" s="907" t="str">
        <f t="shared" si="6"/>
        <v>Choose language</v>
      </c>
      <c r="F126" s="436" t="s">
        <v>112</v>
      </c>
      <c r="G126" s="437" t="s">
        <v>377</v>
      </c>
      <c r="H126" s="438" t="s">
        <v>376</v>
      </c>
      <c r="I126" s="439" t="s">
        <v>368</v>
      </c>
      <c r="J126" s="438" t="s">
        <v>369</v>
      </c>
      <c r="K126" s="620" t="s">
        <v>771</v>
      </c>
      <c r="L126" s="437" t="s">
        <v>1961</v>
      </c>
      <c r="M126" s="931" t="s">
        <v>2232</v>
      </c>
      <c r="N126" s="953" t="s">
        <v>2379</v>
      </c>
      <c r="O126" s="440"/>
    </row>
    <row r="127" spans="2:18" ht="30" x14ac:dyDescent="0.25">
      <c r="B127" s="903" t="str">
        <f t="shared" si="2"/>
        <v>Predictions Ranking</v>
      </c>
      <c r="E127" s="907" t="str">
        <f t="shared" si="6"/>
        <v>Predictions Ranking</v>
      </c>
      <c r="F127" s="436" t="s">
        <v>632</v>
      </c>
      <c r="G127" s="437" t="s">
        <v>634</v>
      </c>
      <c r="H127" s="438" t="s">
        <v>635</v>
      </c>
      <c r="I127" s="439" t="s">
        <v>636</v>
      </c>
      <c r="J127" s="438" t="s">
        <v>633</v>
      </c>
      <c r="K127" s="620" t="s">
        <v>772</v>
      </c>
      <c r="L127" s="437" t="s">
        <v>1962</v>
      </c>
      <c r="M127" s="931" t="s">
        <v>2233</v>
      </c>
      <c r="N127" s="953" t="s">
        <v>2380</v>
      </c>
      <c r="O127" s="440"/>
    </row>
    <row r="128" spans="2:18" ht="60" x14ac:dyDescent="0.25">
      <c r="B128" s="903" t="str">
        <f t="shared" si="2"/>
        <v>Assignment of the group third in the round of 32</v>
      </c>
      <c r="E128" s="907" t="str">
        <f t="shared" si="6"/>
        <v>Assignment of the group third in the round of 32</v>
      </c>
      <c r="F128" s="279" t="s">
        <v>1025</v>
      </c>
      <c r="G128" s="280" t="s">
        <v>1024</v>
      </c>
      <c r="H128" s="281" t="s">
        <v>1851</v>
      </c>
      <c r="I128" s="282" t="s">
        <v>1816</v>
      </c>
      <c r="J128" s="281" t="s">
        <v>1023</v>
      </c>
      <c r="K128" s="620" t="s">
        <v>1869</v>
      </c>
      <c r="L128" s="280" t="s">
        <v>1963</v>
      </c>
      <c r="M128" s="930" t="s">
        <v>2234</v>
      </c>
      <c r="N128" s="952" t="s">
        <v>2381</v>
      </c>
      <c r="O128" s="283"/>
    </row>
    <row r="129" spans="2:18" ht="28.5" x14ac:dyDescent="0.45">
      <c r="E129" s="25"/>
      <c r="F129" s="75" t="s">
        <v>151</v>
      </c>
      <c r="G129" s="76"/>
      <c r="H129" s="76"/>
      <c r="I129" s="76"/>
      <c r="J129" s="76"/>
      <c r="K129" s="611"/>
      <c r="L129" s="76"/>
      <c r="M129" s="49"/>
      <c r="N129" s="49"/>
      <c r="O129" s="77"/>
      <c r="P129" s="48"/>
    </row>
    <row r="130" spans="2:18" ht="15" customHeight="1" x14ac:dyDescent="0.45">
      <c r="B130" s="903" t="str">
        <f t="shared" si="2"/>
        <v>Group</v>
      </c>
      <c r="E130" s="907" t="str">
        <f t="shared" ref="E130:E193" si="7">IF($B130=0,$F130,$B130)</f>
        <v>Group</v>
      </c>
      <c r="F130" s="133" t="s">
        <v>198</v>
      </c>
      <c r="G130" s="134" t="s">
        <v>402</v>
      </c>
      <c r="H130" s="135" t="s">
        <v>403</v>
      </c>
      <c r="I130" s="136" t="s">
        <v>404</v>
      </c>
      <c r="J130" s="135" t="s">
        <v>405</v>
      </c>
      <c r="K130" s="621" t="s">
        <v>773</v>
      </c>
      <c r="L130" s="134" t="s">
        <v>402</v>
      </c>
      <c r="M130" s="932" t="s">
        <v>2235</v>
      </c>
      <c r="N130" s="954" t="s">
        <v>402</v>
      </c>
      <c r="O130" s="69"/>
      <c r="P130" s="48"/>
    </row>
    <row r="131" spans="2:18" ht="15" customHeight="1" x14ac:dyDescent="0.45">
      <c r="B131" s="903" t="str">
        <f t="shared" si="2"/>
        <v>Pts.</v>
      </c>
      <c r="E131" s="907" t="str">
        <f t="shared" si="7"/>
        <v>Pts.</v>
      </c>
      <c r="F131" s="133" t="s">
        <v>287</v>
      </c>
      <c r="G131" s="134" t="s">
        <v>289</v>
      </c>
      <c r="H131" s="135" t="s">
        <v>289</v>
      </c>
      <c r="I131" s="136" t="s">
        <v>289</v>
      </c>
      <c r="J131" s="135" t="s">
        <v>288</v>
      </c>
      <c r="K131" s="621" t="s">
        <v>774</v>
      </c>
      <c r="L131" s="134" t="s">
        <v>287</v>
      </c>
      <c r="M131" s="932" t="s">
        <v>2236</v>
      </c>
      <c r="N131" s="954" t="s">
        <v>287</v>
      </c>
      <c r="O131" s="69"/>
      <c r="P131" s="48"/>
    </row>
    <row r="132" spans="2:18" ht="15" customHeight="1" x14ac:dyDescent="0.45">
      <c r="B132" s="903" t="str">
        <f t="shared" si="2"/>
        <v>GD</v>
      </c>
      <c r="E132" s="907" t="str">
        <f t="shared" si="7"/>
        <v>GD</v>
      </c>
      <c r="F132" s="133" t="s">
        <v>190</v>
      </c>
      <c r="G132" s="134" t="s">
        <v>296</v>
      </c>
      <c r="H132" s="135" t="s">
        <v>290</v>
      </c>
      <c r="I132" s="136" t="s">
        <v>290</v>
      </c>
      <c r="J132" s="135" t="s">
        <v>656</v>
      </c>
      <c r="K132" s="621" t="s">
        <v>827</v>
      </c>
      <c r="L132" s="134" t="s">
        <v>1964</v>
      </c>
      <c r="M132" s="932" t="s">
        <v>2237</v>
      </c>
      <c r="N132" s="954" t="s">
        <v>2382</v>
      </c>
      <c r="O132" s="69"/>
      <c r="P132" s="48"/>
    </row>
    <row r="133" spans="2:18" ht="15" customHeight="1" x14ac:dyDescent="0.45">
      <c r="B133" s="903" t="str">
        <f t="shared" si="2"/>
        <v>Goals</v>
      </c>
      <c r="E133" s="907" t="str">
        <f t="shared" si="7"/>
        <v>Goals</v>
      </c>
      <c r="F133" s="133" t="s">
        <v>293</v>
      </c>
      <c r="G133" s="134" t="s">
        <v>295</v>
      </c>
      <c r="H133" s="135" t="s">
        <v>294</v>
      </c>
      <c r="I133" s="136" t="s">
        <v>292</v>
      </c>
      <c r="J133" s="135" t="s">
        <v>291</v>
      </c>
      <c r="K133" s="621" t="s">
        <v>775</v>
      </c>
      <c r="L133" s="134" t="s">
        <v>1965</v>
      </c>
      <c r="M133" s="932" t="s">
        <v>2238</v>
      </c>
      <c r="N133" s="954" t="s">
        <v>2383</v>
      </c>
      <c r="O133" s="69"/>
      <c r="P133" s="48"/>
    </row>
    <row r="134" spans="2:18" ht="19.5" customHeight="1" x14ac:dyDescent="0.45">
      <c r="B134" s="903" t="str">
        <f t="shared" ref="B134:B203" si="8">IFERROR(INDEX($F134:$O134,MATCH($Q$1,$F$3:$O$3,0)),$F134)</f>
        <v xml:space="preserve">  Pts.     Goals</v>
      </c>
      <c r="E134" s="907" t="str">
        <f t="shared" si="7"/>
        <v xml:space="preserve">  Pts.     Goals</v>
      </c>
      <c r="F134" s="133" t="s">
        <v>248</v>
      </c>
      <c r="G134" s="134" t="s">
        <v>247</v>
      </c>
      <c r="H134" s="135" t="s">
        <v>246</v>
      </c>
      <c r="I134" s="136" t="s">
        <v>245</v>
      </c>
      <c r="J134" s="135" t="s">
        <v>244</v>
      </c>
      <c r="K134" s="621" t="s">
        <v>843</v>
      </c>
      <c r="L134" s="134" t="s">
        <v>1966</v>
      </c>
      <c r="M134" s="932" t="s">
        <v>2239</v>
      </c>
      <c r="N134" s="954" t="s">
        <v>2384</v>
      </c>
      <c r="O134" s="69"/>
      <c r="P134" s="48"/>
    </row>
    <row r="135" spans="2:18"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69"/>
      <c r="P135" s="48"/>
    </row>
    <row r="136" spans="2:18" ht="15" customHeight="1" x14ac:dyDescent="0.45">
      <c r="B136" s="903" t="str">
        <f t="shared" si="8"/>
        <v>(repeated)</v>
      </c>
      <c r="E136" s="907" t="str">
        <f t="shared" si="7"/>
        <v>(repeated)</v>
      </c>
      <c r="F136" s="133" t="s">
        <v>1752</v>
      </c>
      <c r="G136" s="134" t="s">
        <v>1751</v>
      </c>
      <c r="H136" s="135" t="s">
        <v>1750</v>
      </c>
      <c r="I136" s="136" t="s">
        <v>1754</v>
      </c>
      <c r="J136" s="135" t="s">
        <v>1749</v>
      </c>
      <c r="K136" s="621" t="s">
        <v>1753</v>
      </c>
      <c r="L136" s="134" t="s">
        <v>1751</v>
      </c>
      <c r="M136" s="932" t="s">
        <v>2241</v>
      </c>
      <c r="N136" s="954" t="s">
        <v>1751</v>
      </c>
      <c r="O136" s="69"/>
      <c r="P136" s="48"/>
    </row>
    <row r="137" spans="2:18" ht="45" customHeight="1" x14ac:dyDescent="0.45">
      <c r="B137" s="903" t="str">
        <f t="shared" si="8"/>
        <v>head-to-head record 1</v>
      </c>
      <c r="E137" s="907" t="str">
        <f t="shared" si="7"/>
        <v>head-to-head record 1</v>
      </c>
      <c r="F137" s="810" t="s">
        <v>1712</v>
      </c>
      <c r="G137" s="811" t="s">
        <v>1711</v>
      </c>
      <c r="H137" s="812" t="s">
        <v>1710</v>
      </c>
      <c r="I137" s="813" t="s">
        <v>1709</v>
      </c>
      <c r="J137" s="812" t="s">
        <v>1708</v>
      </c>
      <c r="K137" s="621" t="s">
        <v>1870</v>
      </c>
      <c r="L137" s="811" t="s">
        <v>1967</v>
      </c>
      <c r="M137" s="933" t="s">
        <v>2242</v>
      </c>
      <c r="N137" s="955" t="s">
        <v>2385</v>
      </c>
      <c r="O137" s="69"/>
      <c r="P137" s="48"/>
    </row>
    <row r="138" spans="2:18" ht="15" customHeight="1" x14ac:dyDescent="0.45">
      <c r="B138" s="903" t="str">
        <f t="shared" si="8"/>
        <v>head-to-head record 2</v>
      </c>
      <c r="E138" s="907" t="str">
        <f t="shared" si="7"/>
        <v>head-to-head record 2</v>
      </c>
      <c r="F138" s="133" t="s">
        <v>1713</v>
      </c>
      <c r="G138" s="134" t="s">
        <v>1715</v>
      </c>
      <c r="H138" s="135" t="s">
        <v>1717</v>
      </c>
      <c r="I138" s="136" t="s">
        <v>1719</v>
      </c>
      <c r="J138" s="135" t="s">
        <v>1721</v>
      </c>
      <c r="K138" s="621" t="s">
        <v>1871</v>
      </c>
      <c r="L138" s="134" t="s">
        <v>1968</v>
      </c>
      <c r="M138" s="932" t="s">
        <v>2243</v>
      </c>
      <c r="N138" s="954" t="s">
        <v>2386</v>
      </c>
      <c r="O138" s="69"/>
      <c r="P138" s="48"/>
    </row>
    <row r="139" spans="2:18" ht="15" customHeight="1" x14ac:dyDescent="0.45">
      <c r="B139" s="903" t="str">
        <f t="shared" si="8"/>
        <v>head-to-head record 3</v>
      </c>
      <c r="E139" s="907" t="str">
        <f t="shared" si="7"/>
        <v>head-to-head record 3</v>
      </c>
      <c r="F139" s="133" t="s">
        <v>1714</v>
      </c>
      <c r="G139" s="134" t="s">
        <v>1716</v>
      </c>
      <c r="H139" s="135" t="s">
        <v>1718</v>
      </c>
      <c r="I139" s="136" t="s">
        <v>1720</v>
      </c>
      <c r="J139" s="135" t="s">
        <v>1722</v>
      </c>
      <c r="K139" s="621" t="s">
        <v>1872</v>
      </c>
      <c r="L139" s="134" t="s">
        <v>1969</v>
      </c>
      <c r="M139" s="932" t="s">
        <v>2244</v>
      </c>
      <c r="N139" s="954" t="s">
        <v>2387</v>
      </c>
      <c r="O139" s="69"/>
      <c r="P139" s="48"/>
    </row>
    <row r="140" spans="2:18" x14ac:dyDescent="0.25">
      <c r="B140" s="903" t="str">
        <f t="shared" si="8"/>
        <v>Overall table</v>
      </c>
      <c r="E140" s="907" t="str">
        <f t="shared" si="7"/>
        <v>Overall table</v>
      </c>
      <c r="F140" s="126" t="s">
        <v>1723</v>
      </c>
      <c r="G140" s="127" t="s">
        <v>1727</v>
      </c>
      <c r="H140" s="125" t="s">
        <v>1726</v>
      </c>
      <c r="I140" s="128" t="s">
        <v>200</v>
      </c>
      <c r="J140" s="125" t="s">
        <v>1724</v>
      </c>
      <c r="K140" s="614" t="s">
        <v>1725</v>
      </c>
      <c r="L140" s="127" t="s">
        <v>1970</v>
      </c>
      <c r="M140" s="927" t="s">
        <v>2245</v>
      </c>
      <c r="N140" s="949" t="s">
        <v>2388</v>
      </c>
      <c r="O140" s="69"/>
      <c r="P140" s="68"/>
      <c r="Q140" s="68"/>
      <c r="R140" s="68"/>
    </row>
    <row r="141" spans="2:18" ht="30.75" thickBot="1" x14ac:dyDescent="0.3">
      <c r="B141" s="903" t="str">
        <f t="shared" si="8"/>
        <v>World Champion 2026:</v>
      </c>
      <c r="E141" s="907" t="str">
        <f t="shared" si="7"/>
        <v>World Champion 2026:</v>
      </c>
      <c r="F141" s="126" t="s">
        <v>879</v>
      </c>
      <c r="G141" s="127" t="s">
        <v>880</v>
      </c>
      <c r="H141" s="125" t="s">
        <v>881</v>
      </c>
      <c r="I141" s="128" t="s">
        <v>882</v>
      </c>
      <c r="J141" s="125" t="s">
        <v>883</v>
      </c>
      <c r="K141" s="614" t="s">
        <v>884</v>
      </c>
      <c r="L141" s="127" t="s">
        <v>1971</v>
      </c>
      <c r="M141" s="927" t="s">
        <v>2246</v>
      </c>
      <c r="N141" s="949" t="s">
        <v>2389</v>
      </c>
      <c r="O141" s="69"/>
      <c r="P141" s="68"/>
      <c r="Q141" s="68"/>
      <c r="R141" s="68"/>
    </row>
    <row r="142" spans="2:18" ht="15.75" thickTop="1" x14ac:dyDescent="0.25">
      <c r="B142" s="903" t="str">
        <f t="shared" si="8"/>
        <v>Round of 32 - 1</v>
      </c>
      <c r="D142" s="193">
        <v>1</v>
      </c>
      <c r="E142" s="907" t="str">
        <f t="shared" si="7"/>
        <v>Round of 32 - 1</v>
      </c>
      <c r="F142" s="126" t="s">
        <v>910</v>
      </c>
      <c r="G142" s="127" t="s">
        <v>1817</v>
      </c>
      <c r="H142" s="125" t="s">
        <v>1834</v>
      </c>
      <c r="I142" s="128" t="s">
        <v>1799</v>
      </c>
      <c r="J142" s="125" t="s">
        <v>856</v>
      </c>
      <c r="K142" s="614" t="s">
        <v>1852</v>
      </c>
      <c r="L142" s="127" t="s">
        <v>1972</v>
      </c>
      <c r="M142" s="927" t="s">
        <v>2247</v>
      </c>
      <c r="N142" s="949" t="s">
        <v>2390</v>
      </c>
      <c r="O142" s="69"/>
      <c r="P142" s="68"/>
      <c r="Q142" s="68"/>
      <c r="R142" s="68"/>
    </row>
    <row r="143" spans="2:18" x14ac:dyDescent="0.25">
      <c r="B143" s="903" t="str">
        <f t="shared" si="8"/>
        <v>Round of 32 - 2</v>
      </c>
      <c r="D143" s="121">
        <v>2</v>
      </c>
      <c r="E143" s="907" t="str">
        <f t="shared" si="7"/>
        <v>Round of 32 - 2</v>
      </c>
      <c r="F143" s="126" t="s">
        <v>911</v>
      </c>
      <c r="G143" s="127" t="s">
        <v>1818</v>
      </c>
      <c r="H143" s="125" t="s">
        <v>1835</v>
      </c>
      <c r="I143" s="128" t="s">
        <v>1800</v>
      </c>
      <c r="J143" s="125" t="s">
        <v>857</v>
      </c>
      <c r="K143" s="614" t="s">
        <v>1853</v>
      </c>
      <c r="L143" s="127" t="s">
        <v>1973</v>
      </c>
      <c r="M143" s="927" t="s">
        <v>2248</v>
      </c>
      <c r="N143" s="949" t="s">
        <v>2391</v>
      </c>
      <c r="O143" s="69"/>
      <c r="P143" s="68"/>
      <c r="Q143" s="68"/>
      <c r="R143" s="68"/>
    </row>
    <row r="144" spans="2:18" x14ac:dyDescent="0.25">
      <c r="B144" s="903" t="str">
        <f t="shared" si="8"/>
        <v>Round of 32 - 3</v>
      </c>
      <c r="D144" s="121">
        <v>3</v>
      </c>
      <c r="E144" s="907" t="str">
        <f t="shared" si="7"/>
        <v>Round of 32 - 3</v>
      </c>
      <c r="F144" s="126" t="s">
        <v>912</v>
      </c>
      <c r="G144" s="127" t="s">
        <v>1819</v>
      </c>
      <c r="H144" s="125" t="s">
        <v>1836</v>
      </c>
      <c r="I144" s="128" t="s">
        <v>1801</v>
      </c>
      <c r="J144" s="125" t="s">
        <v>858</v>
      </c>
      <c r="K144" s="614" t="s">
        <v>1854</v>
      </c>
      <c r="L144" s="127" t="s">
        <v>1974</v>
      </c>
      <c r="M144" s="927" t="s">
        <v>2249</v>
      </c>
      <c r="N144" s="949" t="s">
        <v>2392</v>
      </c>
      <c r="O144" s="69"/>
      <c r="P144" s="68"/>
      <c r="Q144" s="68"/>
      <c r="R144" s="68"/>
    </row>
    <row r="145" spans="2:18" x14ac:dyDescent="0.25">
      <c r="B145" s="903" t="str">
        <f t="shared" si="8"/>
        <v>Round of 32 - 4</v>
      </c>
      <c r="D145" s="121">
        <v>4</v>
      </c>
      <c r="E145" s="907" t="str">
        <f t="shared" si="7"/>
        <v>Round of 32 - 4</v>
      </c>
      <c r="F145" s="126" t="s">
        <v>913</v>
      </c>
      <c r="G145" s="127" t="s">
        <v>1820</v>
      </c>
      <c r="H145" s="125" t="s">
        <v>1837</v>
      </c>
      <c r="I145" s="128" t="s">
        <v>1802</v>
      </c>
      <c r="J145" s="125" t="s">
        <v>859</v>
      </c>
      <c r="K145" s="614" t="s">
        <v>1855</v>
      </c>
      <c r="L145" s="127" t="s">
        <v>1975</v>
      </c>
      <c r="M145" s="927" t="s">
        <v>2250</v>
      </c>
      <c r="N145" s="949" t="s">
        <v>2393</v>
      </c>
      <c r="O145" s="69"/>
      <c r="P145" s="68"/>
      <c r="Q145" s="68"/>
      <c r="R145" s="68"/>
    </row>
    <row r="146" spans="2:18" x14ac:dyDescent="0.25">
      <c r="B146" s="903" t="str">
        <f t="shared" si="8"/>
        <v>Round of 32 - 5</v>
      </c>
      <c r="D146" s="121">
        <v>5</v>
      </c>
      <c r="E146" s="907" t="str">
        <f t="shared" si="7"/>
        <v>Round of 32 - 5</v>
      </c>
      <c r="F146" s="126" t="s">
        <v>914</v>
      </c>
      <c r="G146" s="127" t="s">
        <v>1821</v>
      </c>
      <c r="H146" s="125" t="s">
        <v>1838</v>
      </c>
      <c r="I146" s="128" t="s">
        <v>1803</v>
      </c>
      <c r="J146" s="125" t="s">
        <v>860</v>
      </c>
      <c r="K146" s="614" t="s">
        <v>1856</v>
      </c>
      <c r="L146" s="127" t="s">
        <v>1976</v>
      </c>
      <c r="M146" s="927" t="s">
        <v>2251</v>
      </c>
      <c r="N146" s="949" t="s">
        <v>2394</v>
      </c>
      <c r="O146" s="69"/>
      <c r="P146" s="68"/>
      <c r="Q146" s="68"/>
      <c r="R146" s="68"/>
    </row>
    <row r="147" spans="2:18" x14ac:dyDescent="0.25">
      <c r="B147" s="903" t="str">
        <f t="shared" si="8"/>
        <v>Round of 32 - 6</v>
      </c>
      <c r="D147" s="121">
        <v>6</v>
      </c>
      <c r="E147" s="907" t="str">
        <f t="shared" si="7"/>
        <v>Round of 32 - 6</v>
      </c>
      <c r="F147" s="126" t="s">
        <v>915</v>
      </c>
      <c r="G147" s="127" t="s">
        <v>1822</v>
      </c>
      <c r="H147" s="125" t="s">
        <v>1839</v>
      </c>
      <c r="I147" s="128" t="s">
        <v>1804</v>
      </c>
      <c r="J147" s="125" t="s">
        <v>861</v>
      </c>
      <c r="K147" s="614" t="s">
        <v>1857</v>
      </c>
      <c r="L147" s="127" t="s">
        <v>1977</v>
      </c>
      <c r="M147" s="927" t="s">
        <v>2252</v>
      </c>
      <c r="N147" s="949" t="s">
        <v>2395</v>
      </c>
      <c r="O147" s="69"/>
      <c r="P147" s="68"/>
      <c r="Q147" s="68"/>
      <c r="R147" s="68"/>
    </row>
    <row r="148" spans="2:18" x14ac:dyDescent="0.25">
      <c r="B148" s="903" t="str">
        <f t="shared" si="8"/>
        <v>Round of 32 - 7</v>
      </c>
      <c r="D148" s="121">
        <v>7</v>
      </c>
      <c r="E148" s="907" t="str">
        <f t="shared" si="7"/>
        <v>Round of 32 - 7</v>
      </c>
      <c r="F148" s="126" t="s">
        <v>916</v>
      </c>
      <c r="G148" s="127" t="s">
        <v>1823</v>
      </c>
      <c r="H148" s="125" t="s">
        <v>1840</v>
      </c>
      <c r="I148" s="128" t="s">
        <v>1805</v>
      </c>
      <c r="J148" s="125" t="s">
        <v>862</v>
      </c>
      <c r="K148" s="614" t="s">
        <v>1858</v>
      </c>
      <c r="L148" s="127" t="s">
        <v>1978</v>
      </c>
      <c r="M148" s="927" t="s">
        <v>2253</v>
      </c>
      <c r="N148" s="949" t="s">
        <v>2396</v>
      </c>
      <c r="O148" s="69"/>
      <c r="P148" s="68"/>
      <c r="Q148" s="68"/>
      <c r="R148" s="68"/>
    </row>
    <row r="149" spans="2:18" x14ac:dyDescent="0.25">
      <c r="B149" s="903" t="str">
        <f t="shared" si="8"/>
        <v>Round of 32 - 8</v>
      </c>
      <c r="D149" s="373">
        <v>8</v>
      </c>
      <c r="E149" s="907" t="str">
        <f t="shared" si="7"/>
        <v>Round of 32 - 8</v>
      </c>
      <c r="F149" s="126" t="s">
        <v>917</v>
      </c>
      <c r="G149" s="127" t="s">
        <v>1824</v>
      </c>
      <c r="H149" s="125" t="s">
        <v>1841</v>
      </c>
      <c r="I149" s="128" t="s">
        <v>1806</v>
      </c>
      <c r="J149" s="125" t="s">
        <v>863</v>
      </c>
      <c r="K149" s="614" t="s">
        <v>1859</v>
      </c>
      <c r="L149" s="127" t="s">
        <v>1979</v>
      </c>
      <c r="M149" s="927" t="s">
        <v>2254</v>
      </c>
      <c r="N149" s="949" t="s">
        <v>2397</v>
      </c>
      <c r="O149" s="69"/>
      <c r="P149" s="68"/>
      <c r="Q149" s="68"/>
      <c r="R149" s="68"/>
    </row>
    <row r="150" spans="2:18" x14ac:dyDescent="0.25">
      <c r="B150" s="903" t="str">
        <f t="shared" si="8"/>
        <v>Round of 32 - 9</v>
      </c>
      <c r="D150" s="121">
        <v>9</v>
      </c>
      <c r="E150" s="907" t="str">
        <f t="shared" si="7"/>
        <v>Round of 32 - 9</v>
      </c>
      <c r="F150" s="126" t="s">
        <v>918</v>
      </c>
      <c r="G150" s="127" t="s">
        <v>1825</v>
      </c>
      <c r="H150" s="125" t="s">
        <v>1842</v>
      </c>
      <c r="I150" s="128" t="s">
        <v>1807</v>
      </c>
      <c r="J150" s="125" t="s">
        <v>864</v>
      </c>
      <c r="K150" s="614" t="s">
        <v>1860</v>
      </c>
      <c r="L150" s="127" t="s">
        <v>1980</v>
      </c>
      <c r="M150" s="927" t="s">
        <v>2255</v>
      </c>
      <c r="N150" s="949" t="s">
        <v>2398</v>
      </c>
      <c r="O150" s="69"/>
      <c r="P150" s="68"/>
      <c r="Q150" s="68"/>
      <c r="R150" s="68"/>
    </row>
    <row r="151" spans="2:18" x14ac:dyDescent="0.25">
      <c r="B151" s="903" t="str">
        <f t="shared" si="8"/>
        <v>Round of 32 - 10</v>
      </c>
      <c r="D151" s="373">
        <v>10</v>
      </c>
      <c r="E151" s="907" t="str">
        <f t="shared" si="7"/>
        <v>Round of 32 - 10</v>
      </c>
      <c r="F151" s="126" t="s">
        <v>919</v>
      </c>
      <c r="G151" s="127" t="s">
        <v>1826</v>
      </c>
      <c r="H151" s="125" t="s">
        <v>1843</v>
      </c>
      <c r="I151" s="128" t="s">
        <v>1808</v>
      </c>
      <c r="J151" s="125" t="s">
        <v>865</v>
      </c>
      <c r="K151" s="614" t="s">
        <v>1861</v>
      </c>
      <c r="L151" s="127" t="s">
        <v>1981</v>
      </c>
      <c r="M151" s="927" t="s">
        <v>2256</v>
      </c>
      <c r="N151" s="949" t="s">
        <v>2399</v>
      </c>
      <c r="O151" s="69"/>
      <c r="P151" s="68"/>
      <c r="Q151" s="68"/>
      <c r="R151" s="68"/>
    </row>
    <row r="152" spans="2:18" x14ac:dyDescent="0.25">
      <c r="B152" s="903" t="str">
        <f t="shared" si="8"/>
        <v>Round of 32 - 11</v>
      </c>
      <c r="D152" s="121">
        <v>11</v>
      </c>
      <c r="E152" s="907" t="str">
        <f t="shared" si="7"/>
        <v>Round of 32 - 11</v>
      </c>
      <c r="F152" s="126" t="s">
        <v>920</v>
      </c>
      <c r="G152" s="127" t="s">
        <v>1827</v>
      </c>
      <c r="H152" s="125" t="s">
        <v>1844</v>
      </c>
      <c r="I152" s="128" t="s">
        <v>1809</v>
      </c>
      <c r="J152" s="125" t="s">
        <v>866</v>
      </c>
      <c r="K152" s="614" t="s">
        <v>1862</v>
      </c>
      <c r="L152" s="127" t="s">
        <v>1982</v>
      </c>
      <c r="M152" s="927" t="s">
        <v>2257</v>
      </c>
      <c r="N152" s="949" t="s">
        <v>2400</v>
      </c>
      <c r="O152" s="69"/>
      <c r="P152" s="68"/>
      <c r="Q152" s="68"/>
      <c r="R152" s="68"/>
    </row>
    <row r="153" spans="2:18" x14ac:dyDescent="0.25">
      <c r="B153" s="903" t="str">
        <f t="shared" si="8"/>
        <v>Round of 32 - 12</v>
      </c>
      <c r="D153" s="373">
        <v>12</v>
      </c>
      <c r="E153" s="907" t="str">
        <f t="shared" si="7"/>
        <v>Round of 32 - 12</v>
      </c>
      <c r="F153" s="126" t="s">
        <v>921</v>
      </c>
      <c r="G153" s="127" t="s">
        <v>1828</v>
      </c>
      <c r="H153" s="125" t="s">
        <v>1845</v>
      </c>
      <c r="I153" s="128" t="s">
        <v>1810</v>
      </c>
      <c r="J153" s="125" t="s">
        <v>867</v>
      </c>
      <c r="K153" s="614" t="s">
        <v>1863</v>
      </c>
      <c r="L153" s="127" t="s">
        <v>1983</v>
      </c>
      <c r="M153" s="927" t="s">
        <v>2258</v>
      </c>
      <c r="N153" s="949" t="s">
        <v>2401</v>
      </c>
      <c r="O153" s="69"/>
      <c r="P153" s="68"/>
      <c r="Q153" s="68"/>
      <c r="R153" s="68"/>
    </row>
    <row r="154" spans="2:18" x14ac:dyDescent="0.25">
      <c r="B154" s="903" t="str">
        <f t="shared" si="8"/>
        <v>Round of 32 - 13</v>
      </c>
      <c r="D154" s="121">
        <v>13</v>
      </c>
      <c r="E154" s="907" t="str">
        <f t="shared" si="7"/>
        <v>Round of 32 - 13</v>
      </c>
      <c r="F154" s="126" t="s">
        <v>922</v>
      </c>
      <c r="G154" s="127" t="s">
        <v>1829</v>
      </c>
      <c r="H154" s="125" t="s">
        <v>1846</v>
      </c>
      <c r="I154" s="128" t="s">
        <v>1811</v>
      </c>
      <c r="J154" s="125" t="s">
        <v>868</v>
      </c>
      <c r="K154" s="614" t="s">
        <v>1864</v>
      </c>
      <c r="L154" s="127" t="s">
        <v>1984</v>
      </c>
      <c r="M154" s="927" t="s">
        <v>2259</v>
      </c>
      <c r="N154" s="949" t="s">
        <v>2402</v>
      </c>
      <c r="O154" s="69"/>
      <c r="P154" s="68"/>
      <c r="Q154" s="68"/>
      <c r="R154" s="68"/>
    </row>
    <row r="155" spans="2:18" x14ac:dyDescent="0.25">
      <c r="B155" s="903" t="str">
        <f t="shared" si="8"/>
        <v>Round of 32 - 14</v>
      </c>
      <c r="D155" s="373">
        <v>14</v>
      </c>
      <c r="E155" s="907" t="str">
        <f t="shared" si="7"/>
        <v>Round of 32 - 14</v>
      </c>
      <c r="F155" s="126" t="s">
        <v>923</v>
      </c>
      <c r="G155" s="127" t="s">
        <v>1830</v>
      </c>
      <c r="H155" s="125" t="s">
        <v>1847</v>
      </c>
      <c r="I155" s="128" t="s">
        <v>1812</v>
      </c>
      <c r="J155" s="125" t="s">
        <v>869</v>
      </c>
      <c r="K155" s="614" t="s">
        <v>1865</v>
      </c>
      <c r="L155" s="127" t="s">
        <v>1985</v>
      </c>
      <c r="M155" s="927" t="s">
        <v>2260</v>
      </c>
      <c r="N155" s="949" t="s">
        <v>2403</v>
      </c>
      <c r="O155" s="69"/>
      <c r="P155" s="68"/>
      <c r="Q155" s="68"/>
      <c r="R155" s="68"/>
    </row>
    <row r="156" spans="2:18" x14ac:dyDescent="0.25">
      <c r="B156" s="903" t="str">
        <f t="shared" si="8"/>
        <v>Round of 32 - 15</v>
      </c>
      <c r="D156" s="121">
        <v>15</v>
      </c>
      <c r="E156" s="907" t="str">
        <f t="shared" si="7"/>
        <v>Round of 32 - 15</v>
      </c>
      <c r="F156" s="126" t="s">
        <v>924</v>
      </c>
      <c r="G156" s="127" t="s">
        <v>1831</v>
      </c>
      <c r="H156" s="125" t="s">
        <v>1848</v>
      </c>
      <c r="I156" s="128" t="s">
        <v>1813</v>
      </c>
      <c r="J156" s="125" t="s">
        <v>870</v>
      </c>
      <c r="K156" s="614" t="s">
        <v>1866</v>
      </c>
      <c r="L156" s="127" t="s">
        <v>1986</v>
      </c>
      <c r="M156" s="927" t="s">
        <v>2261</v>
      </c>
      <c r="N156" s="949" t="s">
        <v>2404</v>
      </c>
      <c r="O156" s="69"/>
      <c r="P156" s="68"/>
      <c r="Q156" s="68"/>
      <c r="R156" s="68"/>
    </row>
    <row r="157" spans="2:18" ht="15.75" thickBot="1" x14ac:dyDescent="0.3">
      <c r="B157" s="903" t="str">
        <f t="shared" si="8"/>
        <v>Round of 32 - 16</v>
      </c>
      <c r="D157" s="123">
        <v>16</v>
      </c>
      <c r="E157" s="907" t="str">
        <f t="shared" si="7"/>
        <v>Round of 32 - 16</v>
      </c>
      <c r="F157" s="126" t="s">
        <v>925</v>
      </c>
      <c r="G157" s="127" t="s">
        <v>1832</v>
      </c>
      <c r="H157" s="125" t="s">
        <v>1849</v>
      </c>
      <c r="I157" s="128" t="s">
        <v>1814</v>
      </c>
      <c r="J157" s="125" t="s">
        <v>871</v>
      </c>
      <c r="K157" s="614" t="s">
        <v>1867</v>
      </c>
      <c r="L157" s="127" t="s">
        <v>1987</v>
      </c>
      <c r="M157" s="927" t="s">
        <v>2262</v>
      </c>
      <c r="N157" s="949" t="s">
        <v>2405</v>
      </c>
      <c r="O157" s="69"/>
      <c r="P157" s="68"/>
      <c r="Q157" s="68"/>
      <c r="R157" s="68"/>
    </row>
    <row r="158" spans="2:18" ht="15.75" thickTop="1" x14ac:dyDescent="0.25">
      <c r="B158" s="903" t="str">
        <f t="shared" si="8"/>
        <v>Round of 16 - 1</v>
      </c>
      <c r="D158" s="193">
        <v>1</v>
      </c>
      <c r="E158" s="907" t="str">
        <f t="shared" si="7"/>
        <v>Round of 16 - 1</v>
      </c>
      <c r="F158" s="126" t="s">
        <v>49</v>
      </c>
      <c r="G158" s="127" t="s">
        <v>201</v>
      </c>
      <c r="H158" s="125" t="s">
        <v>209</v>
      </c>
      <c r="I158" s="128" t="s">
        <v>217</v>
      </c>
      <c r="J158" s="125" t="s">
        <v>153</v>
      </c>
      <c r="K158" s="614" t="s">
        <v>777</v>
      </c>
      <c r="L158" s="127" t="s">
        <v>1988</v>
      </c>
      <c r="M158" s="927" t="s">
        <v>2263</v>
      </c>
      <c r="N158" s="949" t="s">
        <v>2406</v>
      </c>
      <c r="O158" s="69"/>
      <c r="P158" s="68"/>
      <c r="Q158" s="68"/>
      <c r="R158" s="68"/>
    </row>
    <row r="159" spans="2:18" x14ac:dyDescent="0.25">
      <c r="B159" s="903" t="str">
        <f t="shared" si="8"/>
        <v>Round of 16 - 2</v>
      </c>
      <c r="D159" s="121">
        <v>2</v>
      </c>
      <c r="E159" s="907" t="str">
        <f t="shared" si="7"/>
        <v>Round of 16 - 2</v>
      </c>
      <c r="F159" s="126" t="s">
        <v>47</v>
      </c>
      <c r="G159" s="127" t="s">
        <v>202</v>
      </c>
      <c r="H159" s="125" t="s">
        <v>210</v>
      </c>
      <c r="I159" s="128" t="s">
        <v>218</v>
      </c>
      <c r="J159" s="125" t="s">
        <v>154</v>
      </c>
      <c r="K159" s="614" t="s">
        <v>778</v>
      </c>
      <c r="L159" s="127" t="s">
        <v>1989</v>
      </c>
      <c r="M159" s="927" t="s">
        <v>2264</v>
      </c>
      <c r="N159" s="949" t="s">
        <v>2407</v>
      </c>
      <c r="O159" s="69"/>
      <c r="P159" s="68"/>
      <c r="Q159" s="68"/>
      <c r="R159" s="68"/>
    </row>
    <row r="160" spans="2:18" x14ac:dyDescent="0.25">
      <c r="B160" s="903" t="str">
        <f t="shared" si="8"/>
        <v>Round of 16 - 3</v>
      </c>
      <c r="D160" s="121">
        <v>3</v>
      </c>
      <c r="E160" s="907" t="str">
        <f t="shared" si="7"/>
        <v>Round of 16 - 3</v>
      </c>
      <c r="F160" s="126" t="s">
        <v>50</v>
      </c>
      <c r="G160" s="127" t="s">
        <v>203</v>
      </c>
      <c r="H160" s="125" t="s">
        <v>211</v>
      </c>
      <c r="I160" s="128" t="s">
        <v>219</v>
      </c>
      <c r="J160" s="125" t="s">
        <v>155</v>
      </c>
      <c r="K160" s="614" t="s">
        <v>779</v>
      </c>
      <c r="L160" s="127" t="s">
        <v>1990</v>
      </c>
      <c r="M160" s="927" t="s">
        <v>2265</v>
      </c>
      <c r="N160" s="949" t="s">
        <v>2408</v>
      </c>
      <c r="O160" s="69"/>
      <c r="P160" s="68"/>
      <c r="Q160" s="68"/>
      <c r="R160" s="68"/>
    </row>
    <row r="161" spans="2:18" x14ac:dyDescent="0.25">
      <c r="B161" s="903" t="str">
        <f t="shared" si="8"/>
        <v>Round of 16 - 4</v>
      </c>
      <c r="D161" s="121">
        <v>4</v>
      </c>
      <c r="E161" s="907" t="str">
        <f t="shared" si="7"/>
        <v>Round of 16 - 4</v>
      </c>
      <c r="F161" s="126" t="s">
        <v>48</v>
      </c>
      <c r="G161" s="127" t="s">
        <v>204</v>
      </c>
      <c r="H161" s="125" t="s">
        <v>212</v>
      </c>
      <c r="I161" s="128" t="s">
        <v>220</v>
      </c>
      <c r="J161" s="125" t="s">
        <v>156</v>
      </c>
      <c r="K161" s="614" t="s">
        <v>780</v>
      </c>
      <c r="L161" s="127" t="s">
        <v>1991</v>
      </c>
      <c r="M161" s="927" t="s">
        <v>2266</v>
      </c>
      <c r="N161" s="949" t="s">
        <v>2409</v>
      </c>
      <c r="O161" s="69"/>
      <c r="P161" s="68"/>
      <c r="Q161" s="68"/>
      <c r="R161" s="68"/>
    </row>
    <row r="162" spans="2:18" x14ac:dyDescent="0.25">
      <c r="B162" s="903" t="str">
        <f t="shared" si="8"/>
        <v>Round of 16 - 5</v>
      </c>
      <c r="D162" s="121">
        <v>5</v>
      </c>
      <c r="E162" s="907" t="str">
        <f t="shared" si="7"/>
        <v>Round of 16 - 5</v>
      </c>
      <c r="F162" s="126" t="s">
        <v>45</v>
      </c>
      <c r="G162" s="127" t="s">
        <v>205</v>
      </c>
      <c r="H162" s="125" t="s">
        <v>213</v>
      </c>
      <c r="I162" s="128" t="s">
        <v>221</v>
      </c>
      <c r="J162" s="125" t="s">
        <v>157</v>
      </c>
      <c r="K162" s="614" t="s">
        <v>781</v>
      </c>
      <c r="L162" s="127" t="s">
        <v>1992</v>
      </c>
      <c r="M162" s="927" t="s">
        <v>2267</v>
      </c>
      <c r="N162" s="949" t="s">
        <v>2410</v>
      </c>
      <c r="O162" s="69"/>
      <c r="P162" s="68"/>
      <c r="Q162" s="68"/>
      <c r="R162" s="68"/>
    </row>
    <row r="163" spans="2:18" x14ac:dyDescent="0.25">
      <c r="B163" s="903" t="str">
        <f t="shared" si="8"/>
        <v>Round of 16 - 6</v>
      </c>
      <c r="D163" s="121">
        <v>6</v>
      </c>
      <c r="E163" s="907" t="str">
        <f t="shared" si="7"/>
        <v>Round of 16 - 6</v>
      </c>
      <c r="F163" s="126" t="s">
        <v>46</v>
      </c>
      <c r="G163" s="127" t="s">
        <v>206</v>
      </c>
      <c r="H163" s="125" t="s">
        <v>214</v>
      </c>
      <c r="I163" s="128" t="s">
        <v>222</v>
      </c>
      <c r="J163" s="125" t="s">
        <v>158</v>
      </c>
      <c r="K163" s="614" t="s">
        <v>782</v>
      </c>
      <c r="L163" s="127" t="s">
        <v>1993</v>
      </c>
      <c r="M163" s="927" t="s">
        <v>2268</v>
      </c>
      <c r="N163" s="949" t="s">
        <v>2411</v>
      </c>
      <c r="O163" s="69"/>
      <c r="P163" s="68"/>
      <c r="Q163" s="68"/>
      <c r="R163" s="68"/>
    </row>
    <row r="164" spans="2:18" x14ac:dyDescent="0.25">
      <c r="B164" s="903" t="str">
        <f t="shared" si="8"/>
        <v>Round of 16 - 7</v>
      </c>
      <c r="D164" s="121">
        <v>7</v>
      </c>
      <c r="E164" s="907" t="str">
        <f t="shared" si="7"/>
        <v>Round of 16 - 7</v>
      </c>
      <c r="F164" s="126" t="s">
        <v>51</v>
      </c>
      <c r="G164" s="127" t="s">
        <v>207</v>
      </c>
      <c r="H164" s="125" t="s">
        <v>215</v>
      </c>
      <c r="I164" s="128" t="s">
        <v>223</v>
      </c>
      <c r="J164" s="125" t="s">
        <v>159</v>
      </c>
      <c r="K164" s="614" t="s">
        <v>783</v>
      </c>
      <c r="L164" s="127" t="s">
        <v>1994</v>
      </c>
      <c r="M164" s="927" t="s">
        <v>2269</v>
      </c>
      <c r="N164" s="949" t="s">
        <v>2412</v>
      </c>
      <c r="O164" s="69"/>
    </row>
    <row r="165" spans="2:18" ht="15.75" thickBot="1" x14ac:dyDescent="0.3">
      <c r="B165" s="903" t="str">
        <f t="shared" si="8"/>
        <v>Round of 16 - 8</v>
      </c>
      <c r="D165" s="123">
        <v>8</v>
      </c>
      <c r="E165" s="907" t="str">
        <f t="shared" si="7"/>
        <v>Round of 16 - 8</v>
      </c>
      <c r="F165" s="126" t="s">
        <v>52</v>
      </c>
      <c r="G165" s="127" t="s">
        <v>208</v>
      </c>
      <c r="H165" s="125" t="s">
        <v>216</v>
      </c>
      <c r="I165" s="128" t="s">
        <v>224</v>
      </c>
      <c r="J165" s="125" t="s">
        <v>160</v>
      </c>
      <c r="K165" s="614" t="s">
        <v>784</v>
      </c>
      <c r="L165" s="127" t="s">
        <v>1995</v>
      </c>
      <c r="M165" s="927" t="s">
        <v>2270</v>
      </c>
      <c r="N165" s="949" t="s">
        <v>2413</v>
      </c>
      <c r="O165" s="69"/>
    </row>
    <row r="166" spans="2:18" ht="15.75" thickTop="1" x14ac:dyDescent="0.25">
      <c r="B166" s="903" t="str">
        <f t="shared" si="8"/>
        <v>Quarter final 1</v>
      </c>
      <c r="D166" s="193">
        <v>1</v>
      </c>
      <c r="E166" s="907" t="str">
        <f t="shared" si="7"/>
        <v>Quarter final 1</v>
      </c>
      <c r="F166" s="126" t="s">
        <v>361</v>
      </c>
      <c r="G166" s="127" t="s">
        <v>233</v>
      </c>
      <c r="H166" s="125" t="s">
        <v>229</v>
      </c>
      <c r="I166" s="128" t="s">
        <v>225</v>
      </c>
      <c r="J166" s="125" t="s">
        <v>161</v>
      </c>
      <c r="K166" s="614" t="s">
        <v>785</v>
      </c>
      <c r="L166" s="127" t="s">
        <v>1996</v>
      </c>
      <c r="M166" s="927" t="s">
        <v>2271</v>
      </c>
      <c r="N166" s="949" t="s">
        <v>2414</v>
      </c>
      <c r="O166" s="69"/>
    </row>
    <row r="167" spans="2:18" x14ac:dyDescent="0.25">
      <c r="B167" s="903" t="str">
        <f t="shared" si="8"/>
        <v>Quarter final 2</v>
      </c>
      <c r="D167" s="121">
        <v>2</v>
      </c>
      <c r="E167" s="907" t="str">
        <f t="shared" si="7"/>
        <v>Quarter final 2</v>
      </c>
      <c r="F167" s="126" t="s">
        <v>362</v>
      </c>
      <c r="G167" s="127" t="s">
        <v>234</v>
      </c>
      <c r="H167" s="125" t="s">
        <v>230</v>
      </c>
      <c r="I167" s="128" t="s">
        <v>226</v>
      </c>
      <c r="J167" s="125" t="s">
        <v>162</v>
      </c>
      <c r="K167" s="614" t="s">
        <v>786</v>
      </c>
      <c r="L167" s="127" t="s">
        <v>1997</v>
      </c>
      <c r="M167" s="927" t="s">
        <v>2272</v>
      </c>
      <c r="N167" s="949" t="s">
        <v>2415</v>
      </c>
      <c r="O167" s="69"/>
    </row>
    <row r="168" spans="2:18" x14ac:dyDescent="0.25">
      <c r="B168" s="903" t="str">
        <f t="shared" si="8"/>
        <v>Quarter final 3</v>
      </c>
      <c r="D168" s="121">
        <v>3</v>
      </c>
      <c r="E168" s="907" t="str">
        <f t="shared" si="7"/>
        <v>Quarter final 3</v>
      </c>
      <c r="F168" s="126" t="s">
        <v>363</v>
      </c>
      <c r="G168" s="127" t="s">
        <v>235</v>
      </c>
      <c r="H168" s="125" t="s">
        <v>231</v>
      </c>
      <c r="I168" s="128" t="s">
        <v>227</v>
      </c>
      <c r="J168" s="125" t="s">
        <v>163</v>
      </c>
      <c r="K168" s="614" t="s">
        <v>787</v>
      </c>
      <c r="L168" s="127" t="s">
        <v>1998</v>
      </c>
      <c r="M168" s="927" t="s">
        <v>2273</v>
      </c>
      <c r="N168" s="949" t="s">
        <v>2416</v>
      </c>
      <c r="O168" s="69"/>
    </row>
    <row r="169" spans="2:18" ht="15.75" thickBot="1" x14ac:dyDescent="0.3">
      <c r="B169" s="903" t="str">
        <f t="shared" si="8"/>
        <v>Quarter final 4</v>
      </c>
      <c r="D169" s="123">
        <v>4</v>
      </c>
      <c r="E169" s="907" t="str">
        <f t="shared" si="7"/>
        <v>Quarter final 4</v>
      </c>
      <c r="F169" s="126" t="s">
        <v>364</v>
      </c>
      <c r="G169" s="127" t="s">
        <v>236</v>
      </c>
      <c r="H169" s="125" t="s">
        <v>232</v>
      </c>
      <c r="I169" s="128" t="s">
        <v>228</v>
      </c>
      <c r="J169" s="125" t="s">
        <v>164</v>
      </c>
      <c r="K169" s="614" t="s">
        <v>788</v>
      </c>
      <c r="L169" s="127" t="s">
        <v>1999</v>
      </c>
      <c r="M169" s="927" t="s">
        <v>2274</v>
      </c>
      <c r="N169" s="949" t="s">
        <v>2417</v>
      </c>
      <c r="O169" s="69"/>
    </row>
    <row r="170" spans="2:18" ht="15.75" thickTop="1" x14ac:dyDescent="0.25">
      <c r="B170" s="903" t="str">
        <f t="shared" si="8"/>
        <v>Semi-Final 1</v>
      </c>
      <c r="E170" s="907" t="str">
        <f t="shared" si="7"/>
        <v>Semi-Final 1</v>
      </c>
      <c r="F170" s="126" t="s">
        <v>53</v>
      </c>
      <c r="G170" s="127" t="s">
        <v>237</v>
      </c>
      <c r="H170" s="125" t="s">
        <v>239</v>
      </c>
      <c r="I170" s="128" t="s">
        <v>241</v>
      </c>
      <c r="J170" s="125" t="s">
        <v>165</v>
      </c>
      <c r="K170" s="614" t="s">
        <v>789</v>
      </c>
      <c r="L170" s="127" t="s">
        <v>2000</v>
      </c>
      <c r="M170" s="927" t="s">
        <v>2275</v>
      </c>
      <c r="N170" s="949" t="s">
        <v>2418</v>
      </c>
      <c r="O170" s="69"/>
    </row>
    <row r="171" spans="2:18" x14ac:dyDescent="0.25">
      <c r="B171" s="903" t="str">
        <f t="shared" si="8"/>
        <v>Semi-Final 2</v>
      </c>
      <c r="E171" s="907" t="str">
        <f t="shared" si="7"/>
        <v>Semi-Final 2</v>
      </c>
      <c r="F171" s="126" t="s">
        <v>54</v>
      </c>
      <c r="G171" s="127" t="s">
        <v>238</v>
      </c>
      <c r="H171" s="125" t="s">
        <v>240</v>
      </c>
      <c r="I171" s="128" t="s">
        <v>242</v>
      </c>
      <c r="J171" s="125" t="s">
        <v>166</v>
      </c>
      <c r="K171" s="614" t="s">
        <v>790</v>
      </c>
      <c r="L171" s="127" t="s">
        <v>2001</v>
      </c>
      <c r="M171" s="927" t="s">
        <v>2276</v>
      </c>
      <c r="N171" s="949" t="s">
        <v>2419</v>
      </c>
      <c r="O171" s="69"/>
    </row>
    <row r="172" spans="2:18" x14ac:dyDescent="0.25">
      <c r="B172" s="903" t="str">
        <f t="shared" si="8"/>
        <v>Third place</v>
      </c>
      <c r="E172" s="907" t="str">
        <f t="shared" si="7"/>
        <v>Third place</v>
      </c>
      <c r="F172" s="126" t="s">
        <v>152</v>
      </c>
      <c r="G172" s="127" t="s">
        <v>390</v>
      </c>
      <c r="H172" s="125" t="s">
        <v>391</v>
      </c>
      <c r="I172" s="128" t="s">
        <v>243</v>
      </c>
      <c r="J172" s="125" t="s">
        <v>167</v>
      </c>
      <c r="K172" s="614" t="s">
        <v>1873</v>
      </c>
      <c r="L172" s="127" t="s">
        <v>2002</v>
      </c>
      <c r="M172" s="927" t="s">
        <v>2277</v>
      </c>
      <c r="N172" s="949" t="s">
        <v>2420</v>
      </c>
      <c r="O172" s="69"/>
    </row>
    <row r="173" spans="2:18" x14ac:dyDescent="0.25">
      <c r="B173" s="903" t="str">
        <f t="shared" si="8"/>
        <v>Final</v>
      </c>
      <c r="E173" s="907" t="str">
        <f t="shared" si="7"/>
        <v>Final</v>
      </c>
      <c r="F173" s="126" t="s">
        <v>55</v>
      </c>
      <c r="G173" s="127" t="s">
        <v>55</v>
      </c>
      <c r="H173" s="125" t="s">
        <v>168</v>
      </c>
      <c r="I173" s="128" t="s">
        <v>55</v>
      </c>
      <c r="J173" s="125" t="s">
        <v>168</v>
      </c>
      <c r="K173" s="614" t="s">
        <v>168</v>
      </c>
      <c r="L173" s="127" t="s">
        <v>55</v>
      </c>
      <c r="M173" s="927" t="s">
        <v>2278</v>
      </c>
      <c r="N173" s="949" t="s">
        <v>55</v>
      </c>
      <c r="O173" s="69"/>
    </row>
    <row r="174" spans="2:18" ht="45.75" customHeight="1" x14ac:dyDescent="0.25">
      <c r="B174" s="903" t="str">
        <f t="shared" si="8"/>
        <v>Total fair play points</v>
      </c>
      <c r="E174" s="907" t="str">
        <f t="shared" si="7"/>
        <v>Total fair play points</v>
      </c>
      <c r="F174" s="568" t="s">
        <v>2067</v>
      </c>
      <c r="G174" s="569" t="s">
        <v>2068</v>
      </c>
      <c r="H174" s="570" t="s">
        <v>2069</v>
      </c>
      <c r="I174" s="571" t="s">
        <v>2070</v>
      </c>
      <c r="J174" s="570" t="s">
        <v>2112</v>
      </c>
      <c r="K174" s="614" t="s">
        <v>2071</v>
      </c>
      <c r="L174" s="569" t="s">
        <v>2072</v>
      </c>
      <c r="M174" s="934"/>
      <c r="N174" s="956" t="s">
        <v>2421</v>
      </c>
      <c r="O174" s="69"/>
    </row>
    <row r="175" spans="2:18" x14ac:dyDescent="0.25">
      <c r="B175" s="903" t="str">
        <f t="shared" si="8"/>
        <v>Penalty shoot-out:</v>
      </c>
      <c r="E175" s="907" t="str">
        <f t="shared" si="7"/>
        <v>Penalty shoot-out:</v>
      </c>
      <c r="F175" s="126" t="s">
        <v>536</v>
      </c>
      <c r="G175" s="127" t="s">
        <v>537</v>
      </c>
      <c r="H175" s="125" t="s">
        <v>538</v>
      </c>
      <c r="I175" s="128" t="s">
        <v>539</v>
      </c>
      <c r="J175" s="125" t="s">
        <v>540</v>
      </c>
      <c r="K175" s="614" t="s">
        <v>1874</v>
      </c>
      <c r="L175" s="127" t="s">
        <v>2003</v>
      </c>
      <c r="M175" s="927" t="s">
        <v>2279</v>
      </c>
      <c r="N175" s="949" t="s">
        <v>2422</v>
      </c>
      <c r="O175" s="69"/>
    </row>
    <row r="176" spans="2:18"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69"/>
    </row>
    <row r="177" spans="2:15" ht="41.25" customHeight="1" x14ac:dyDescent="0.25">
      <c r="B177" s="903" t="str">
        <f t="shared" si="8"/>
        <v>Group combination:</v>
      </c>
      <c r="E177" s="907" t="str">
        <f t="shared" si="7"/>
        <v>Group combination:</v>
      </c>
      <c r="F177" s="279" t="s">
        <v>1006</v>
      </c>
      <c r="G177" s="280" t="s">
        <v>1007</v>
      </c>
      <c r="H177" s="281" t="s">
        <v>1008</v>
      </c>
      <c r="I177" s="282" t="s">
        <v>1009</v>
      </c>
      <c r="J177" s="281" t="s">
        <v>1010</v>
      </c>
      <c r="K177" s="620" t="s">
        <v>1542</v>
      </c>
      <c r="L177" s="280" t="s">
        <v>2004</v>
      </c>
      <c r="M177" s="930" t="s">
        <v>2281</v>
      </c>
      <c r="N177" s="952" t="s">
        <v>2004</v>
      </c>
      <c r="O177" s="283"/>
    </row>
    <row r="178" spans="2:15" x14ac:dyDescent="0.25">
      <c r="B178" s="903" t="str">
        <f t="shared" si="8"/>
        <v>First in Group</v>
      </c>
      <c r="E178" s="907" t="str">
        <f t="shared" si="7"/>
        <v>First in Group</v>
      </c>
      <c r="F178" s="279" t="s">
        <v>1011</v>
      </c>
      <c r="G178" s="280" t="s">
        <v>1012</v>
      </c>
      <c r="H178" s="281" t="s">
        <v>1013</v>
      </c>
      <c r="I178" s="282" t="s">
        <v>1014</v>
      </c>
      <c r="J178" s="281" t="s">
        <v>1015</v>
      </c>
      <c r="K178" s="620" t="s">
        <v>1016</v>
      </c>
      <c r="L178" s="280" t="s">
        <v>2005</v>
      </c>
      <c r="M178" s="930" t="s">
        <v>2282</v>
      </c>
      <c r="N178" s="952" t="s">
        <v>2005</v>
      </c>
      <c r="O178" s="283"/>
    </row>
    <row r="179" spans="2:15" ht="32.25" customHeight="1" x14ac:dyDescent="0.25">
      <c r="B179" s="903" t="str">
        <f t="shared" si="8"/>
        <v>against third of Group</v>
      </c>
      <c r="E179" s="907" t="str">
        <f t="shared" si="7"/>
        <v>against third of Group</v>
      </c>
      <c r="F179" s="279" t="s">
        <v>1017</v>
      </c>
      <c r="G179" s="280" t="s">
        <v>1018</v>
      </c>
      <c r="H179" s="281" t="s">
        <v>1019</v>
      </c>
      <c r="I179" s="282" t="s">
        <v>1020</v>
      </c>
      <c r="J179" s="281" t="s">
        <v>1021</v>
      </c>
      <c r="K179" s="620" t="s">
        <v>1022</v>
      </c>
      <c r="L179" s="280" t="s">
        <v>2006</v>
      </c>
      <c r="M179" s="930" t="s">
        <v>2283</v>
      </c>
      <c r="N179" s="952" t="s">
        <v>2423</v>
      </c>
      <c r="O179" s="283"/>
    </row>
    <row r="180" spans="2:15" x14ac:dyDescent="0.25">
      <c r="B180" s="903" t="str">
        <f t="shared" si="8"/>
        <v>Third in the group</v>
      </c>
      <c r="E180" s="907" t="str">
        <f t="shared" si="7"/>
        <v>Third in the group</v>
      </c>
      <c r="F180" s="126" t="s">
        <v>1040</v>
      </c>
      <c r="G180" s="127" t="s">
        <v>1041</v>
      </c>
      <c r="H180" s="125" t="s">
        <v>1042</v>
      </c>
      <c r="I180" s="128" t="s">
        <v>1043</v>
      </c>
      <c r="J180" s="125" t="s">
        <v>1044</v>
      </c>
      <c r="K180" s="614" t="s">
        <v>1045</v>
      </c>
      <c r="L180" s="127" t="s">
        <v>2007</v>
      </c>
      <c r="M180" s="927" t="s">
        <v>2284</v>
      </c>
      <c r="N180" s="949" t="s">
        <v>2007</v>
      </c>
      <c r="O180" s="69"/>
    </row>
    <row r="181" spans="2:15"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69"/>
    </row>
    <row r="182" spans="2:15" ht="30" customHeight="1" x14ac:dyDescent="0.25">
      <c r="B182" s="903" t="str">
        <f t="shared" si="8"/>
        <v>Group combination:</v>
      </c>
      <c r="E182" s="908" t="str">
        <f t="shared" si="7"/>
        <v>Group combination:</v>
      </c>
      <c r="F182" s="279" t="s">
        <v>1006</v>
      </c>
      <c r="G182" s="280" t="s">
        <v>1007</v>
      </c>
      <c r="H182" s="281" t="s">
        <v>1008</v>
      </c>
      <c r="I182" s="282" t="s">
        <v>1009</v>
      </c>
      <c r="J182" s="281" t="s">
        <v>1541</v>
      </c>
      <c r="K182" s="620" t="s">
        <v>1542</v>
      </c>
      <c r="L182" s="280" t="s">
        <v>2004</v>
      </c>
      <c r="M182" s="930" t="s">
        <v>2281</v>
      </c>
      <c r="N182" s="952" t="s">
        <v>2004</v>
      </c>
      <c r="O182" s="283"/>
    </row>
    <row r="183" spans="2:15" x14ac:dyDescent="0.25">
      <c r="B183" s="903" t="str">
        <f t="shared" si="8"/>
        <v>Not qualified:</v>
      </c>
      <c r="E183" s="907" t="str">
        <f t="shared" si="7"/>
        <v>Not qualified:</v>
      </c>
      <c r="F183" s="126" t="s">
        <v>1543</v>
      </c>
      <c r="G183" s="127" t="s">
        <v>1544</v>
      </c>
      <c r="H183" s="125" t="s">
        <v>1545</v>
      </c>
      <c r="I183" s="128" t="s">
        <v>1546</v>
      </c>
      <c r="J183" s="125" t="s">
        <v>1547</v>
      </c>
      <c r="K183" s="614" t="s">
        <v>1548</v>
      </c>
      <c r="L183" s="127" t="s">
        <v>2008</v>
      </c>
      <c r="M183" s="927" t="s">
        <v>2285</v>
      </c>
      <c r="N183" s="949" t="s">
        <v>2008</v>
      </c>
      <c r="O183" s="69"/>
    </row>
    <row r="184" spans="2:15" x14ac:dyDescent="0.25">
      <c r="B184" s="903" t="str">
        <f t="shared" si="8"/>
        <v>TV channel</v>
      </c>
      <c r="E184" s="907" t="str">
        <f t="shared" si="7"/>
        <v>TV channel</v>
      </c>
      <c r="F184" s="126" t="s">
        <v>1629</v>
      </c>
      <c r="G184" s="127" t="s">
        <v>1630</v>
      </c>
      <c r="H184" s="125" t="s">
        <v>1631</v>
      </c>
      <c r="I184" s="128" t="s">
        <v>1632</v>
      </c>
      <c r="J184" s="125" t="s">
        <v>1628</v>
      </c>
      <c r="K184" s="614" t="s">
        <v>1633</v>
      </c>
      <c r="L184" s="127" t="s">
        <v>2009</v>
      </c>
      <c r="M184" s="927" t="s">
        <v>2286</v>
      </c>
      <c r="N184" s="949" t="s">
        <v>2009</v>
      </c>
      <c r="O184" s="69"/>
    </row>
    <row r="185" spans="2:15" x14ac:dyDescent="0.25">
      <c r="B185" s="903" t="str">
        <f t="shared" si="8"/>
        <v>Venue</v>
      </c>
      <c r="E185" s="907" t="str">
        <f t="shared" si="7"/>
        <v>Venue</v>
      </c>
      <c r="F185" s="126" t="s">
        <v>388</v>
      </c>
      <c r="G185" s="127" t="s">
        <v>1634</v>
      </c>
      <c r="H185" s="125" t="s">
        <v>1635</v>
      </c>
      <c r="I185" s="128" t="s">
        <v>1636</v>
      </c>
      <c r="J185" s="125" t="s">
        <v>1637</v>
      </c>
      <c r="K185" s="614" t="s">
        <v>1638</v>
      </c>
      <c r="L185" s="127" t="s">
        <v>2010</v>
      </c>
      <c r="M185" s="927" t="s">
        <v>2287</v>
      </c>
      <c r="N185" s="949" t="s">
        <v>2010</v>
      </c>
      <c r="O185" s="69"/>
    </row>
    <row r="186" spans="2:15" x14ac:dyDescent="0.25">
      <c r="B186" s="903" t="str">
        <f t="shared" si="8"/>
        <v>FIFA Rank</v>
      </c>
      <c r="E186" s="907" t="str">
        <f t="shared" si="7"/>
        <v>FIFA Rank</v>
      </c>
      <c r="F186" s="126" t="s">
        <v>1744</v>
      </c>
      <c r="G186" s="127" t="s">
        <v>1745</v>
      </c>
      <c r="H186" s="125" t="s">
        <v>1746</v>
      </c>
      <c r="I186" s="128" t="s">
        <v>1746</v>
      </c>
      <c r="J186" s="125" t="s">
        <v>1743</v>
      </c>
      <c r="K186" s="614" t="s">
        <v>1747</v>
      </c>
      <c r="L186" s="127" t="s">
        <v>2011</v>
      </c>
      <c r="M186" s="927" t="s">
        <v>2288</v>
      </c>
      <c r="N186" s="949" t="s">
        <v>2424</v>
      </c>
      <c r="O186" s="69"/>
    </row>
    <row r="187" spans="2:15" ht="33" customHeight="1" x14ac:dyDescent="0.25">
      <c r="B187" s="903" t="str">
        <f t="shared" si="8"/>
        <v>Number of yellow cards</v>
      </c>
      <c r="C187" s="883"/>
      <c r="D187" s="878"/>
      <c r="E187" s="907" t="str">
        <f t="shared" si="7"/>
        <v>Number of yellow cards</v>
      </c>
      <c r="F187" s="912" t="s">
        <v>2079</v>
      </c>
      <c r="G187" s="913" t="s">
        <v>2078</v>
      </c>
      <c r="H187" s="914" t="s">
        <v>2077</v>
      </c>
      <c r="I187" s="915" t="s">
        <v>2076</v>
      </c>
      <c r="J187" s="914" t="s">
        <v>2074</v>
      </c>
      <c r="K187" s="916" t="s">
        <v>2075</v>
      </c>
      <c r="L187" s="913" t="s">
        <v>2073</v>
      </c>
      <c r="M187" s="935" t="s">
        <v>2289</v>
      </c>
      <c r="N187" s="957" t="s">
        <v>2073</v>
      </c>
      <c r="O187" s="917"/>
    </row>
    <row r="188" spans="2:15" ht="30" customHeight="1" x14ac:dyDescent="0.25">
      <c r="B188" s="903" t="str">
        <f t="shared" si="8"/>
        <v>Number of indirect red cards (yellow/red)</v>
      </c>
      <c r="C188" s="883"/>
      <c r="D188" s="878"/>
      <c r="E188" s="907" t="str">
        <f t="shared" si="7"/>
        <v>Number of indirect red cards (yellow/red)</v>
      </c>
      <c r="F188" s="912" t="s">
        <v>2081</v>
      </c>
      <c r="G188" s="913" t="s">
        <v>2091</v>
      </c>
      <c r="H188" s="914" t="s">
        <v>2092</v>
      </c>
      <c r="I188" s="915" t="s">
        <v>2093</v>
      </c>
      <c r="J188" s="914" t="s">
        <v>2080</v>
      </c>
      <c r="K188" s="916" t="s">
        <v>2094</v>
      </c>
      <c r="L188" s="913" t="s">
        <v>2095</v>
      </c>
      <c r="M188" s="935" t="s">
        <v>2290</v>
      </c>
      <c r="N188" s="957" t="s">
        <v>2095</v>
      </c>
      <c r="O188" s="917"/>
    </row>
    <row r="189" spans="2:15" ht="30" customHeight="1" x14ac:dyDescent="0.25">
      <c r="B189" s="903" t="str">
        <f t="shared" si="8"/>
        <v>Number of straight red cards</v>
      </c>
      <c r="C189" s="883"/>
      <c r="D189" s="878"/>
      <c r="E189" s="907" t="str">
        <f t="shared" si="7"/>
        <v>Number of straight red cards</v>
      </c>
      <c r="F189" s="912" t="s">
        <v>2083</v>
      </c>
      <c r="G189" s="913" t="s">
        <v>2090</v>
      </c>
      <c r="H189" s="914" t="s">
        <v>2089</v>
      </c>
      <c r="I189" s="915" t="s">
        <v>2088</v>
      </c>
      <c r="J189" s="914" t="s">
        <v>2082</v>
      </c>
      <c r="K189" s="916" t="s">
        <v>2097</v>
      </c>
      <c r="L189" s="913" t="s">
        <v>2096</v>
      </c>
      <c r="M189" s="935" t="s">
        <v>2291</v>
      </c>
      <c r="N189" s="957" t="s">
        <v>2096</v>
      </c>
      <c r="O189" s="917"/>
    </row>
    <row r="190" spans="2:15" ht="30.75" customHeight="1" x14ac:dyDescent="0.25">
      <c r="B190" s="903" t="str">
        <f t="shared" si="8"/>
        <v>Number of yellow cards and straight red cards</v>
      </c>
      <c r="C190" s="883"/>
      <c r="D190" s="878"/>
      <c r="E190" s="907" t="str">
        <f t="shared" si="7"/>
        <v>Number of yellow cards and straight red cards</v>
      </c>
      <c r="F190" s="912" t="s">
        <v>2084</v>
      </c>
      <c r="G190" s="913" t="s">
        <v>2085</v>
      </c>
      <c r="H190" s="914" t="s">
        <v>2086</v>
      </c>
      <c r="I190" s="915" t="s">
        <v>2087</v>
      </c>
      <c r="J190" s="914" t="s">
        <v>2100</v>
      </c>
      <c r="K190" s="916" t="s">
        <v>2098</v>
      </c>
      <c r="L190" s="913" t="s">
        <v>2099</v>
      </c>
      <c r="M190" s="935" t="s">
        <v>2292</v>
      </c>
      <c r="N190" s="957" t="s">
        <v>2099</v>
      </c>
      <c r="O190" s="917"/>
    </row>
    <row r="191" spans="2:15" x14ac:dyDescent="0.25">
      <c r="B191" s="903">
        <f t="shared" si="8"/>
        <v>0</v>
      </c>
      <c r="E191" s="907">
        <f t="shared" si="7"/>
        <v>0</v>
      </c>
      <c r="F191" s="126"/>
      <c r="G191" s="127"/>
      <c r="H191" s="125"/>
      <c r="I191" s="128"/>
      <c r="J191" s="125"/>
      <c r="K191" s="614"/>
      <c r="L191" s="127"/>
      <c r="M191" s="927"/>
      <c r="N191" s="949"/>
      <c r="O191" s="69"/>
    </row>
    <row r="192" spans="2:15" x14ac:dyDescent="0.25">
      <c r="B192" s="903">
        <f t="shared" si="8"/>
        <v>0</v>
      </c>
      <c r="E192" s="907">
        <f t="shared" si="7"/>
        <v>0</v>
      </c>
      <c r="F192" s="126"/>
      <c r="G192" s="127"/>
      <c r="H192" s="125"/>
      <c r="I192" s="128"/>
      <c r="J192" s="125"/>
      <c r="K192" s="614"/>
      <c r="L192" s="127"/>
      <c r="M192" s="927"/>
      <c r="N192" s="949"/>
      <c r="O192" s="69"/>
    </row>
    <row r="193" spans="2:15" x14ac:dyDescent="0.25">
      <c r="B193" s="903">
        <f t="shared" si="8"/>
        <v>0</v>
      </c>
      <c r="E193" s="907">
        <f t="shared" si="7"/>
        <v>0</v>
      </c>
      <c r="F193" s="126"/>
      <c r="G193" s="127"/>
      <c r="H193" s="125"/>
      <c r="I193" s="128"/>
      <c r="J193" s="125"/>
      <c r="K193" s="614"/>
      <c r="L193" s="127"/>
      <c r="M193" s="927"/>
      <c r="N193" s="949"/>
      <c r="O193" s="69"/>
    </row>
    <row r="194" spans="2:15" ht="28.5" x14ac:dyDescent="0.45">
      <c r="E194" s="197"/>
      <c r="F194" s="75" t="s">
        <v>193</v>
      </c>
      <c r="G194" s="76"/>
      <c r="H194" s="76"/>
      <c r="I194" s="76"/>
      <c r="J194" s="76"/>
      <c r="K194" s="611"/>
      <c r="L194" s="76"/>
      <c r="M194" s="49"/>
      <c r="N194" s="49"/>
      <c r="O194" s="77"/>
    </row>
    <row r="195" spans="2:15" ht="54.75" customHeight="1" x14ac:dyDescent="0.25">
      <c r="B195" s="903" t="str">
        <f t="shared" si="8"/>
        <v>Groups with unresolved fair play valuation:</v>
      </c>
      <c r="E195" s="907" t="str">
        <f t="shared" ref="E195:E207" si="9">IF($B195=0,$F195,$B195)</f>
        <v>Groups with unresolved fair play valuation:</v>
      </c>
      <c r="F195" s="137" t="s">
        <v>1880</v>
      </c>
      <c r="G195" s="138" t="s">
        <v>1882</v>
      </c>
      <c r="H195" s="139" t="s">
        <v>1883</v>
      </c>
      <c r="I195" s="140" t="s">
        <v>1881</v>
      </c>
      <c r="J195" s="139" t="s">
        <v>1879</v>
      </c>
      <c r="K195" s="620" t="s">
        <v>1884</v>
      </c>
      <c r="L195" s="138" t="s">
        <v>2012</v>
      </c>
      <c r="M195" s="936" t="s">
        <v>2293</v>
      </c>
      <c r="N195" s="958" t="s">
        <v>2425</v>
      </c>
      <c r="O195" s="78"/>
    </row>
    <row r="196" spans="2:15" ht="51.75" customHeight="1" x14ac:dyDescent="0.25">
      <c r="B196" s="903" t="str">
        <f t="shared" si="8"/>
        <v>The placement has been clarified in all groups.</v>
      </c>
      <c r="E196" s="907" t="str">
        <f t="shared" si="9"/>
        <v>The placement has been clarified in all groups.</v>
      </c>
      <c r="F196" s="137" t="s">
        <v>280</v>
      </c>
      <c r="G196" s="138" t="s">
        <v>283</v>
      </c>
      <c r="H196" s="139" t="s">
        <v>282</v>
      </c>
      <c r="I196" s="140" t="s">
        <v>281</v>
      </c>
      <c r="J196" s="139" t="s">
        <v>279</v>
      </c>
      <c r="K196" s="620" t="s">
        <v>793</v>
      </c>
      <c r="L196" s="138" t="s">
        <v>2013</v>
      </c>
      <c r="M196" s="936" t="s">
        <v>2294</v>
      </c>
      <c r="N196" s="958" t="s">
        <v>2426</v>
      </c>
      <c r="O196" s="78"/>
    </row>
    <row r="197" spans="2:15" ht="16.5" customHeight="1" x14ac:dyDescent="0.25">
      <c r="B197" s="903" t="str">
        <f t="shared" si="8"/>
        <v xml:space="preserve"> and </v>
      </c>
      <c r="E197" s="907" t="str">
        <f t="shared" si="9"/>
        <v xml:space="preserve"> and </v>
      </c>
      <c r="F197" s="141" t="s">
        <v>305</v>
      </c>
      <c r="G197" s="142" t="s">
        <v>306</v>
      </c>
      <c r="H197" s="143" t="s">
        <v>307</v>
      </c>
      <c r="I197" s="144" t="s">
        <v>308</v>
      </c>
      <c r="J197" s="145" t="s">
        <v>309</v>
      </c>
      <c r="K197" s="620" t="s">
        <v>1878</v>
      </c>
      <c r="L197" s="142" t="s">
        <v>2014</v>
      </c>
      <c r="M197" s="937" t="s">
        <v>2295</v>
      </c>
      <c r="N197" s="959" t="s">
        <v>2014</v>
      </c>
      <c r="O197" s="101"/>
    </row>
    <row r="198" spans="2:15" ht="20.25" customHeight="1" x14ac:dyDescent="0.25">
      <c r="B198" s="903" t="str">
        <f t="shared" si="8"/>
        <v>Invalid result!</v>
      </c>
      <c r="E198" s="907" t="str">
        <f t="shared" si="9"/>
        <v>Invalid result!</v>
      </c>
      <c r="F198" s="146" t="s">
        <v>274</v>
      </c>
      <c r="G198" s="147" t="s">
        <v>276</v>
      </c>
      <c r="H198" s="148" t="s">
        <v>275</v>
      </c>
      <c r="I198" s="149" t="s">
        <v>277</v>
      </c>
      <c r="J198" s="148" t="s">
        <v>273</v>
      </c>
      <c r="K198" s="620" t="s">
        <v>794</v>
      </c>
      <c r="L198" s="147" t="s">
        <v>2015</v>
      </c>
      <c r="M198" s="938" t="s">
        <v>2296</v>
      </c>
      <c r="N198" s="960" t="s">
        <v>2015</v>
      </c>
      <c r="O198" s="79"/>
    </row>
    <row r="199" spans="2:15" ht="199.5" customHeight="1" x14ac:dyDescent="0.25">
      <c r="B199" s="903" t="str">
        <f t="shared" si="8"/>
        <v>Here, the number of yellow and red cards can be entered.
Yellow card: 1 penalty point
Yellow/Red card: 3 penalty points
Straight red card: 4 penalty points
Yellow card and straight red card: 5 penalty points</v>
      </c>
      <c r="E199" s="907" t="str">
        <f t="shared" si="9"/>
        <v>Here, the number of yellow and red cards can be entered.
Yellow card: 1 penalty point
Yellow/Red card: 3 penalty points
Straight red card: 4 penalty points
Yellow card and straight red card: 5 penalty points</v>
      </c>
      <c r="F199" s="150" t="s">
        <v>2107</v>
      </c>
      <c r="G199" s="151" t="s">
        <v>2106</v>
      </c>
      <c r="H199" s="152" t="s">
        <v>2105</v>
      </c>
      <c r="I199" s="153" t="s">
        <v>2104</v>
      </c>
      <c r="J199" s="152" t="s">
        <v>2101</v>
      </c>
      <c r="K199" s="620" t="s">
        <v>2103</v>
      </c>
      <c r="L199" s="151" t="s">
        <v>2102</v>
      </c>
      <c r="M199" s="939" t="s">
        <v>2297</v>
      </c>
      <c r="N199" s="961" t="s">
        <v>2427</v>
      </c>
      <c r="O199" s="116"/>
    </row>
    <row r="200" spans="2:15" ht="35.25" customHeight="1" x14ac:dyDescent="0.25">
      <c r="B200" s="903" t="str">
        <f t="shared" si="8"/>
        <v>Click here and
choose time zone:</v>
      </c>
      <c r="E200" s="907" t="str">
        <f t="shared" si="9"/>
        <v>Click here and
choose time zone:</v>
      </c>
      <c r="F200" s="150" t="s">
        <v>286</v>
      </c>
      <c r="G200" s="151" t="s">
        <v>380</v>
      </c>
      <c r="H200" s="152" t="s">
        <v>385</v>
      </c>
      <c r="I200" s="153" t="s">
        <v>384</v>
      </c>
      <c r="J200" s="173" t="s">
        <v>378</v>
      </c>
      <c r="K200" s="620" t="s">
        <v>795</v>
      </c>
      <c r="L200" s="151" t="s">
        <v>2016</v>
      </c>
      <c r="M200" s="939" t="s">
        <v>2298</v>
      </c>
      <c r="N200" s="961" t="s">
        <v>2016</v>
      </c>
      <c r="O200" s="116"/>
    </row>
    <row r="201" spans="2:15" ht="36.75" customHeight="1" x14ac:dyDescent="0.25">
      <c r="B201" s="903" t="str">
        <f t="shared" si="8"/>
        <v>Time zone of
the host country:</v>
      </c>
      <c r="E201" s="907" t="str">
        <f t="shared" si="9"/>
        <v>Time zone of
the host country:</v>
      </c>
      <c r="F201" s="150" t="s">
        <v>393</v>
      </c>
      <c r="G201" s="151" t="s">
        <v>394</v>
      </c>
      <c r="H201" s="152" t="s">
        <v>396</v>
      </c>
      <c r="I201" s="153" t="s">
        <v>397</v>
      </c>
      <c r="J201" s="173" t="s">
        <v>395</v>
      </c>
      <c r="K201" s="620" t="s">
        <v>796</v>
      </c>
      <c r="L201" s="151" t="s">
        <v>2017</v>
      </c>
      <c r="M201" s="939" t="s">
        <v>2299</v>
      </c>
      <c r="N201" s="961" t="s">
        <v>2017</v>
      </c>
      <c r="O201" s="116"/>
    </row>
    <row r="202" spans="2:15" ht="38.25" customHeight="1" x14ac:dyDescent="0.25">
      <c r="B202" s="903" t="str">
        <f t="shared" si="8"/>
        <v>Click here and choose language:</v>
      </c>
      <c r="E202" s="907" t="str">
        <f t="shared" si="9"/>
        <v>Click here and choose language:</v>
      </c>
      <c r="F202" s="150" t="s">
        <v>113</v>
      </c>
      <c r="G202" s="151" t="s">
        <v>381</v>
      </c>
      <c r="H202" s="152" t="s">
        <v>382</v>
      </c>
      <c r="I202" s="153" t="s">
        <v>383</v>
      </c>
      <c r="J202" s="173" t="s">
        <v>379</v>
      </c>
      <c r="K202" s="620" t="s">
        <v>797</v>
      </c>
      <c r="L202" s="151" t="s">
        <v>2018</v>
      </c>
      <c r="M202" s="939" t="s">
        <v>2300</v>
      </c>
      <c r="N202" s="961" t="s">
        <v>2018</v>
      </c>
      <c r="O202" s="116"/>
    </row>
    <row r="203" spans="2:15"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01"/>
    </row>
    <row r="204" spans="2:15" ht="96" customHeight="1" x14ac:dyDescent="0.25">
      <c r="B204" s="903" t="str">
        <f t="shared" ref="B204:B267" si="10">IFERROR(INDEX($F204:$O204,MATCH($Q$1,$F$3:$O$3,0)),$F204)</f>
        <v>For daylight saving time, the time zone must be adjusted accordingly (e.g. UTC+2 instead of UTC+1)</v>
      </c>
      <c r="E204" s="907" t="str">
        <f t="shared" si="9"/>
        <v>For daylight saving time, the time zone must be adjusted accordingly (e.g. UTC+2 instead of UTC+1)</v>
      </c>
      <c r="F204" s="150" t="s">
        <v>962</v>
      </c>
      <c r="G204" s="151" t="s">
        <v>963</v>
      </c>
      <c r="H204" s="152" t="s">
        <v>964</v>
      </c>
      <c r="I204" s="153" t="s">
        <v>965</v>
      </c>
      <c r="J204" s="173" t="s">
        <v>966</v>
      </c>
      <c r="K204" s="402" t="s">
        <v>967</v>
      </c>
      <c r="L204" s="151" t="s">
        <v>2020</v>
      </c>
      <c r="M204" s="939" t="s">
        <v>2301</v>
      </c>
      <c r="N204" s="961" t="s">
        <v>2428</v>
      </c>
      <c r="O204" s="116"/>
    </row>
    <row r="205" spans="2:15" ht="129" customHeight="1" x14ac:dyDescent="0.25">
      <c r="B205" s="903" t="str">
        <f t="shared" si="10"/>
        <v>A red dot means that the fair play rating or the FIFA world ranking will determine this team's placement</v>
      </c>
      <c r="E205" s="907" t="str">
        <f t="shared" si="9"/>
        <v>A red dot means that the fair play rating or the FIFA world ranking will determine this team's placement</v>
      </c>
      <c r="F205" s="150" t="s">
        <v>1730</v>
      </c>
      <c r="G205" s="151" t="s">
        <v>1731</v>
      </c>
      <c r="H205" s="152" t="s">
        <v>1733</v>
      </c>
      <c r="I205" s="153" t="s">
        <v>1732</v>
      </c>
      <c r="J205" s="173" t="s">
        <v>1729</v>
      </c>
      <c r="K205" s="402" t="s">
        <v>1734</v>
      </c>
      <c r="L205" s="151" t="s">
        <v>2021</v>
      </c>
      <c r="M205" s="939" t="s">
        <v>2302</v>
      </c>
      <c r="N205" s="961" t="s">
        <v>2429</v>
      </c>
      <c r="O205" s="116"/>
    </row>
    <row r="206" spans="2:15" ht="18" customHeight="1" x14ac:dyDescent="0.25">
      <c r="B206" s="903">
        <f t="shared" si="10"/>
        <v>0</v>
      </c>
      <c r="E206" s="907">
        <f t="shared" si="9"/>
        <v>0</v>
      </c>
      <c r="F206" s="150"/>
      <c r="G206" s="151"/>
      <c r="H206" s="152"/>
      <c r="I206" s="153"/>
      <c r="J206" s="173"/>
      <c r="K206" s="402"/>
      <c r="L206" s="151"/>
      <c r="M206" s="939"/>
      <c r="N206" s="961"/>
      <c r="O206" s="116"/>
    </row>
    <row r="207" spans="2:15" ht="15.75" thickBot="1" x14ac:dyDescent="0.3">
      <c r="B207" s="903">
        <f t="shared" si="10"/>
        <v>0</v>
      </c>
      <c r="E207" s="907">
        <f t="shared" si="9"/>
        <v>0</v>
      </c>
      <c r="F207" s="154"/>
      <c r="G207" s="155"/>
      <c r="H207" s="156"/>
      <c r="I207" s="157"/>
      <c r="J207" s="158"/>
      <c r="K207" s="615"/>
      <c r="L207" s="155"/>
      <c r="M207" s="940"/>
      <c r="N207" s="962"/>
      <c r="O207" s="117"/>
    </row>
    <row r="208" spans="2:15" ht="16.5" thickTop="1" thickBot="1" x14ac:dyDescent="0.3">
      <c r="E208" s="197"/>
      <c r="K208" s="616"/>
      <c r="M208" s="89"/>
      <c r="N208" s="89"/>
    </row>
    <row r="209" spans="2:15" ht="29.25" thickTop="1" x14ac:dyDescent="0.45">
      <c r="E209" s="197"/>
      <c r="F209" s="72" t="s">
        <v>554</v>
      </c>
      <c r="G209" s="257"/>
      <c r="H209" s="257"/>
      <c r="I209" s="257"/>
      <c r="J209" s="257"/>
      <c r="K209" s="619"/>
      <c r="L209" s="257"/>
      <c r="M209" s="947"/>
      <c r="N209" s="947"/>
      <c r="O209" s="258"/>
    </row>
    <row r="210" spans="2:15" x14ac:dyDescent="0.25">
      <c r="B210" s="903" t="str">
        <f t="shared" si="10"/>
        <v>Predictions</v>
      </c>
      <c r="E210" s="907" t="str">
        <f t="shared" ref="E210:E253" si="11">IF($B210=0,$F210,$B210)</f>
        <v>Predictions</v>
      </c>
      <c r="F210" s="126" t="s">
        <v>554</v>
      </c>
      <c r="G210" s="127" t="s">
        <v>595</v>
      </c>
      <c r="H210" s="125" t="s">
        <v>594</v>
      </c>
      <c r="I210" s="128" t="s">
        <v>593</v>
      </c>
      <c r="J210" s="125" t="s">
        <v>605</v>
      </c>
      <c r="K210" s="620" t="s">
        <v>798</v>
      </c>
      <c r="L210" s="127" t="s">
        <v>2022</v>
      </c>
      <c r="M210" s="928" t="s">
        <v>2303</v>
      </c>
      <c r="N210" s="950" t="s">
        <v>2430</v>
      </c>
      <c r="O210" s="101"/>
    </row>
    <row r="211" spans="2:15" x14ac:dyDescent="0.25">
      <c r="B211" s="903" t="str">
        <f t="shared" si="10"/>
        <v>Correct Results</v>
      </c>
      <c r="E211" s="907" t="str">
        <f t="shared" si="11"/>
        <v>Correct Results</v>
      </c>
      <c r="F211" s="126" t="s">
        <v>555</v>
      </c>
      <c r="G211" s="127" t="s">
        <v>590</v>
      </c>
      <c r="H211" s="125" t="s">
        <v>591</v>
      </c>
      <c r="I211" s="128" t="s">
        <v>592</v>
      </c>
      <c r="J211" s="125" t="s">
        <v>558</v>
      </c>
      <c r="K211" s="620" t="s">
        <v>799</v>
      </c>
      <c r="L211" s="127" t="s">
        <v>2023</v>
      </c>
      <c r="M211" s="928" t="s">
        <v>2304</v>
      </c>
      <c r="N211" s="950" t="s">
        <v>2023</v>
      </c>
      <c r="O211" s="101"/>
    </row>
    <row r="212" spans="2:15" x14ac:dyDescent="0.25">
      <c r="B212" s="903" t="str">
        <f t="shared" si="10"/>
        <v>Result</v>
      </c>
      <c r="E212" s="907" t="str">
        <f t="shared" si="11"/>
        <v>Result</v>
      </c>
      <c r="F212" s="126" t="s">
        <v>574</v>
      </c>
      <c r="G212" s="127" t="s">
        <v>589</v>
      </c>
      <c r="H212" s="125" t="s">
        <v>588</v>
      </c>
      <c r="I212" s="128" t="s">
        <v>587</v>
      </c>
      <c r="J212" s="125" t="s">
        <v>575</v>
      </c>
      <c r="K212" s="620" t="s">
        <v>800</v>
      </c>
      <c r="L212" s="127" t="s">
        <v>2024</v>
      </c>
      <c r="M212" s="928" t="s">
        <v>2305</v>
      </c>
      <c r="N212" s="950" t="s">
        <v>2024</v>
      </c>
      <c r="O212" s="101"/>
    </row>
    <row r="213" spans="2:15" x14ac:dyDescent="0.25">
      <c r="B213" s="903" t="str">
        <f t="shared" si="10"/>
        <v>Points:</v>
      </c>
      <c r="E213" s="907" t="str">
        <f t="shared" si="11"/>
        <v>Points:</v>
      </c>
      <c r="F213" s="126" t="s">
        <v>1614</v>
      </c>
      <c r="G213" s="127" t="s">
        <v>1616</v>
      </c>
      <c r="H213" s="125" t="s">
        <v>1617</v>
      </c>
      <c r="I213" s="128" t="s">
        <v>1614</v>
      </c>
      <c r="J213" s="125" t="s">
        <v>1613</v>
      </c>
      <c r="K213" s="620" t="s">
        <v>1615</v>
      </c>
      <c r="L213" s="127" t="s">
        <v>2025</v>
      </c>
      <c r="M213" s="928" t="s">
        <v>2306</v>
      </c>
      <c r="N213" s="950" t="s">
        <v>2025</v>
      </c>
      <c r="O213" s="101"/>
    </row>
    <row r="214" spans="2:15" x14ac:dyDescent="0.25">
      <c r="B214" s="903" t="str">
        <f t="shared" si="10"/>
        <v>Sum:</v>
      </c>
      <c r="E214" s="907" t="str">
        <f t="shared" si="11"/>
        <v>Sum:</v>
      </c>
      <c r="F214" s="126" t="s">
        <v>189</v>
      </c>
      <c r="G214" s="127" t="s">
        <v>586</v>
      </c>
      <c r="H214" s="125" t="s">
        <v>585</v>
      </c>
      <c r="I214" s="128" t="s">
        <v>586</v>
      </c>
      <c r="J214" s="125" t="s">
        <v>579</v>
      </c>
      <c r="K214" s="620" t="s">
        <v>801</v>
      </c>
      <c r="L214" s="127" t="s">
        <v>2026</v>
      </c>
      <c r="M214" s="928" t="s">
        <v>2240</v>
      </c>
      <c r="N214" s="950" t="s">
        <v>586</v>
      </c>
      <c r="O214" s="101"/>
    </row>
    <row r="215" spans="2:15" x14ac:dyDescent="0.25">
      <c r="B215" s="903" t="str">
        <f t="shared" si="10"/>
        <v>Result</v>
      </c>
      <c r="E215" s="907" t="str">
        <f t="shared" si="11"/>
        <v>Result</v>
      </c>
      <c r="F215" s="126" t="s">
        <v>574</v>
      </c>
      <c r="G215" s="127" t="s">
        <v>652</v>
      </c>
      <c r="H215" s="125" t="s">
        <v>651</v>
      </c>
      <c r="I215" s="128" t="s">
        <v>650</v>
      </c>
      <c r="J215" s="125" t="s">
        <v>575</v>
      </c>
      <c r="K215" s="620" t="s">
        <v>652</v>
      </c>
      <c r="L215" s="127" t="s">
        <v>2024</v>
      </c>
      <c r="M215" s="928" t="s">
        <v>2305</v>
      </c>
      <c r="N215" s="950" t="s">
        <v>2024</v>
      </c>
      <c r="O215" s="101"/>
    </row>
    <row r="216" spans="2:15" x14ac:dyDescent="0.25">
      <c r="B216" s="903" t="str">
        <f t="shared" si="10"/>
        <v>W/D/L</v>
      </c>
      <c r="E216" s="907" t="str">
        <f t="shared" si="11"/>
        <v>W/D/L</v>
      </c>
      <c r="F216" s="126" t="s">
        <v>646</v>
      </c>
      <c r="G216" s="127" t="s">
        <v>647</v>
      </c>
      <c r="H216" s="125" t="s">
        <v>648</v>
      </c>
      <c r="I216" s="128" t="s">
        <v>649</v>
      </c>
      <c r="J216" s="125" t="s">
        <v>645</v>
      </c>
      <c r="K216" s="620" t="s">
        <v>802</v>
      </c>
      <c r="L216" s="127" t="s">
        <v>2027</v>
      </c>
      <c r="M216" s="928" t="s">
        <v>2307</v>
      </c>
      <c r="N216" s="950" t="s">
        <v>2027</v>
      </c>
      <c r="O216" s="101"/>
    </row>
    <row r="217" spans="2:15" x14ac:dyDescent="0.25">
      <c r="B217" s="903" t="str">
        <f t="shared" si="10"/>
        <v>GD</v>
      </c>
      <c r="E217" s="907" t="str">
        <f t="shared" si="11"/>
        <v>GD</v>
      </c>
      <c r="F217" s="126" t="s">
        <v>190</v>
      </c>
      <c r="G217" s="127" t="s">
        <v>655</v>
      </c>
      <c r="H217" s="125" t="s">
        <v>653</v>
      </c>
      <c r="I217" s="128" t="s">
        <v>654</v>
      </c>
      <c r="J217" s="125" t="s">
        <v>656</v>
      </c>
      <c r="K217" s="620" t="s">
        <v>827</v>
      </c>
      <c r="L217" s="127" t="s">
        <v>1964</v>
      </c>
      <c r="M217" s="928" t="s">
        <v>2237</v>
      </c>
      <c r="N217" s="950" t="s">
        <v>2382</v>
      </c>
      <c r="O217" s="101"/>
    </row>
    <row r="218" spans="2:15" x14ac:dyDescent="0.25">
      <c r="B218" s="903" t="str">
        <f t="shared" si="10"/>
        <v>exact</v>
      </c>
      <c r="E218" s="907" t="str">
        <f t="shared" si="11"/>
        <v>exact</v>
      </c>
      <c r="F218" s="126" t="s">
        <v>577</v>
      </c>
      <c r="G218" s="127" t="s">
        <v>580</v>
      </c>
      <c r="H218" s="125" t="s">
        <v>581</v>
      </c>
      <c r="I218" s="128" t="s">
        <v>580</v>
      </c>
      <c r="J218" s="125" t="s">
        <v>576</v>
      </c>
      <c r="K218" s="620" t="s">
        <v>577</v>
      </c>
      <c r="L218" s="127" t="s">
        <v>2028</v>
      </c>
      <c r="M218" s="928" t="s">
        <v>2308</v>
      </c>
      <c r="N218" s="950" t="s">
        <v>2028</v>
      </c>
      <c r="O218" s="101"/>
    </row>
    <row r="219" spans="2:15"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01"/>
    </row>
    <row r="220" spans="2:15" x14ac:dyDescent="0.25">
      <c r="B220" s="903" t="str">
        <f t="shared" si="10"/>
        <v>Round of 32</v>
      </c>
      <c r="E220" s="907" t="str">
        <f t="shared" si="11"/>
        <v>Round of 32</v>
      </c>
      <c r="F220" s="126" t="s">
        <v>886</v>
      </c>
      <c r="G220" s="127" t="s">
        <v>1833</v>
      </c>
      <c r="H220" s="125" t="s">
        <v>1850</v>
      </c>
      <c r="I220" s="128" t="s">
        <v>888</v>
      </c>
      <c r="J220" s="125" t="s">
        <v>885</v>
      </c>
      <c r="K220" s="620" t="s">
        <v>887</v>
      </c>
      <c r="L220" s="127" t="s">
        <v>2030</v>
      </c>
      <c r="M220" s="928" t="s">
        <v>2310</v>
      </c>
      <c r="N220" s="950" t="s">
        <v>2432</v>
      </c>
      <c r="O220" s="101"/>
    </row>
    <row r="221" spans="2:15" x14ac:dyDescent="0.25">
      <c r="B221" s="903" t="str">
        <f t="shared" si="10"/>
        <v>Round of 16</v>
      </c>
      <c r="E221" s="907" t="str">
        <f t="shared" si="11"/>
        <v>Round of 16</v>
      </c>
      <c r="F221" s="126" t="s">
        <v>559</v>
      </c>
      <c r="G221" s="127" t="s">
        <v>560</v>
      </c>
      <c r="H221" s="125" t="s">
        <v>561</v>
      </c>
      <c r="I221" s="128" t="s">
        <v>562</v>
      </c>
      <c r="J221" s="125" t="s">
        <v>563</v>
      </c>
      <c r="K221" s="620" t="s">
        <v>803</v>
      </c>
      <c r="L221" s="127" t="s">
        <v>2031</v>
      </c>
      <c r="M221" s="928" t="s">
        <v>2311</v>
      </c>
      <c r="N221" s="950" t="s">
        <v>2433</v>
      </c>
      <c r="O221" s="101"/>
    </row>
    <row r="222" spans="2:15" x14ac:dyDescent="0.25">
      <c r="B222" s="903" t="str">
        <f t="shared" si="10"/>
        <v>Quarter final</v>
      </c>
      <c r="E222" s="907" t="str">
        <f t="shared" si="11"/>
        <v>Quarter final</v>
      </c>
      <c r="F222" s="170" t="s">
        <v>564</v>
      </c>
      <c r="G222" s="127" t="s">
        <v>565</v>
      </c>
      <c r="H222" s="125" t="s">
        <v>566</v>
      </c>
      <c r="I222" s="128" t="s">
        <v>567</v>
      </c>
      <c r="J222" s="125" t="s">
        <v>568</v>
      </c>
      <c r="K222" s="620" t="s">
        <v>804</v>
      </c>
      <c r="L222" s="127" t="s">
        <v>2032</v>
      </c>
      <c r="M222" s="928" t="s">
        <v>2312</v>
      </c>
      <c r="N222" s="950" t="s">
        <v>2434</v>
      </c>
      <c r="O222" s="101"/>
    </row>
    <row r="223" spans="2:15" x14ac:dyDescent="0.25">
      <c r="B223" s="903" t="str">
        <f t="shared" si="10"/>
        <v>Semi-Final</v>
      </c>
      <c r="E223" s="907" t="str">
        <f t="shared" si="11"/>
        <v>Semi-Final</v>
      </c>
      <c r="F223" s="126" t="s">
        <v>569</v>
      </c>
      <c r="G223" s="127" t="s">
        <v>570</v>
      </c>
      <c r="H223" s="125" t="s">
        <v>571</v>
      </c>
      <c r="I223" s="128" t="s">
        <v>572</v>
      </c>
      <c r="J223" s="125" t="s">
        <v>573</v>
      </c>
      <c r="K223" s="620" t="s">
        <v>805</v>
      </c>
      <c r="L223" s="127" t="s">
        <v>2033</v>
      </c>
      <c r="M223" s="928" t="s">
        <v>2313</v>
      </c>
      <c r="N223" s="950" t="s">
        <v>2435</v>
      </c>
      <c r="O223" s="101"/>
    </row>
    <row r="224" spans="2:15" x14ac:dyDescent="0.25">
      <c r="B224" s="903" t="str">
        <f t="shared" si="10"/>
        <v>Third place</v>
      </c>
      <c r="E224" s="907" t="str">
        <f t="shared" si="11"/>
        <v>Third place</v>
      </c>
      <c r="F224" s="126" t="s">
        <v>152</v>
      </c>
      <c r="G224" s="127" t="s">
        <v>390</v>
      </c>
      <c r="H224" s="125" t="s">
        <v>391</v>
      </c>
      <c r="I224" s="128" t="s">
        <v>243</v>
      </c>
      <c r="J224" s="125" t="s">
        <v>167</v>
      </c>
      <c r="K224" s="620" t="s">
        <v>791</v>
      </c>
      <c r="L224" s="127" t="s">
        <v>2002</v>
      </c>
      <c r="M224" s="928" t="s">
        <v>2277</v>
      </c>
      <c r="N224" s="950" t="s">
        <v>2420</v>
      </c>
      <c r="O224" s="101"/>
    </row>
    <row r="225" spans="2:15" x14ac:dyDescent="0.25">
      <c r="B225" s="903" t="str">
        <f t="shared" si="10"/>
        <v>Final</v>
      </c>
      <c r="E225" s="907" t="str">
        <f t="shared" si="11"/>
        <v>Final</v>
      </c>
      <c r="F225" s="126" t="s">
        <v>55</v>
      </c>
      <c r="G225" s="127" t="s">
        <v>55</v>
      </c>
      <c r="H225" s="125" t="s">
        <v>168</v>
      </c>
      <c r="I225" s="128" t="s">
        <v>55</v>
      </c>
      <c r="J225" s="125" t="s">
        <v>168</v>
      </c>
      <c r="K225" s="620" t="s">
        <v>168</v>
      </c>
      <c r="L225" s="127" t="s">
        <v>55</v>
      </c>
      <c r="M225" s="928" t="s">
        <v>2278</v>
      </c>
      <c r="N225" s="950" t="s">
        <v>55</v>
      </c>
      <c r="O225" s="101"/>
    </row>
    <row r="226" spans="2:15" x14ac:dyDescent="0.25">
      <c r="B226" s="903" t="str">
        <f t="shared" si="10"/>
        <v>World Champion</v>
      </c>
      <c r="E226" s="907" t="str">
        <f t="shared" si="11"/>
        <v>World Champion</v>
      </c>
      <c r="F226" s="201" t="s">
        <v>936</v>
      </c>
      <c r="G226" s="124" t="s">
        <v>937</v>
      </c>
      <c r="H226" s="202" t="s">
        <v>938</v>
      </c>
      <c r="I226" s="203" t="s">
        <v>939</v>
      </c>
      <c r="J226" s="202" t="s">
        <v>940</v>
      </c>
      <c r="K226" s="620" t="s">
        <v>941</v>
      </c>
      <c r="L226" s="124" t="s">
        <v>2034</v>
      </c>
      <c r="M226" s="928" t="s">
        <v>2314</v>
      </c>
      <c r="N226" s="950" t="s">
        <v>2034</v>
      </c>
      <c r="O226" s="278"/>
    </row>
    <row r="227" spans="2:15" x14ac:dyDescent="0.25">
      <c r="B227" s="903" t="str">
        <f t="shared" si="10"/>
        <v>Hint</v>
      </c>
      <c r="E227" s="907" t="str">
        <f t="shared" si="11"/>
        <v>Hint</v>
      </c>
      <c r="F227" s="201" t="s">
        <v>596</v>
      </c>
      <c r="G227" s="124" t="s">
        <v>598</v>
      </c>
      <c r="H227" s="202" t="s">
        <v>599</v>
      </c>
      <c r="I227" s="203" t="s">
        <v>600</v>
      </c>
      <c r="J227" s="202" t="s">
        <v>597</v>
      </c>
      <c r="K227" s="620" t="s">
        <v>806</v>
      </c>
      <c r="L227" s="124" t="s">
        <v>2035</v>
      </c>
      <c r="M227" s="928" t="s">
        <v>2315</v>
      </c>
      <c r="N227" s="950" t="s">
        <v>2436</v>
      </c>
      <c r="O227" s="278"/>
    </row>
    <row r="228" spans="2:15" x14ac:dyDescent="0.25">
      <c r="B228" s="903" t="str">
        <f t="shared" si="10"/>
        <v>Factors</v>
      </c>
      <c r="E228" s="907" t="str">
        <f t="shared" si="11"/>
        <v>Factors</v>
      </c>
      <c r="F228" s="201" t="s">
        <v>550</v>
      </c>
      <c r="G228" s="124" t="s">
        <v>604</v>
      </c>
      <c r="H228" s="202" t="s">
        <v>603</v>
      </c>
      <c r="I228" s="203" t="s">
        <v>602</v>
      </c>
      <c r="J228" s="202" t="s">
        <v>601</v>
      </c>
      <c r="K228" s="620" t="s">
        <v>807</v>
      </c>
      <c r="L228" s="124" t="s">
        <v>2036</v>
      </c>
      <c r="M228" s="928" t="s">
        <v>2316</v>
      </c>
      <c r="N228" s="950" t="s">
        <v>2036</v>
      </c>
      <c r="O228" s="278"/>
    </row>
    <row r="229" spans="2:15" x14ac:dyDescent="0.25">
      <c r="B229" s="903" t="str">
        <f t="shared" si="10"/>
        <v>Settings</v>
      </c>
      <c r="E229" s="907" t="str">
        <f t="shared" si="11"/>
        <v>Settings</v>
      </c>
      <c r="F229" s="201" t="s">
        <v>662</v>
      </c>
      <c r="G229" s="124" t="s">
        <v>664</v>
      </c>
      <c r="H229" s="202" t="s">
        <v>665</v>
      </c>
      <c r="I229" s="203" t="s">
        <v>666</v>
      </c>
      <c r="J229" s="202" t="s">
        <v>663</v>
      </c>
      <c r="K229" s="620" t="s">
        <v>808</v>
      </c>
      <c r="L229" s="124" t="s">
        <v>2037</v>
      </c>
      <c r="M229" s="928" t="s">
        <v>2317</v>
      </c>
      <c r="N229" s="950" t="s">
        <v>2437</v>
      </c>
      <c r="O229" s="278"/>
    </row>
    <row r="230" spans="2:15" x14ac:dyDescent="0.25">
      <c r="B230" s="903" t="str">
        <f t="shared" si="10"/>
        <v>many g.</v>
      </c>
      <c r="E230" s="907" t="str">
        <f t="shared" si="11"/>
        <v>many g.</v>
      </c>
      <c r="F230" s="126" t="s">
        <v>661</v>
      </c>
      <c r="G230" s="127" t="s">
        <v>660</v>
      </c>
      <c r="H230" s="125" t="s">
        <v>657</v>
      </c>
      <c r="I230" s="128" t="s">
        <v>658</v>
      </c>
      <c r="J230" s="125" t="s">
        <v>659</v>
      </c>
      <c r="K230" s="620" t="s">
        <v>809</v>
      </c>
      <c r="L230" s="127" t="s">
        <v>2038</v>
      </c>
      <c r="M230" s="928" t="s">
        <v>2318</v>
      </c>
      <c r="N230" s="950" t="s">
        <v>2038</v>
      </c>
      <c r="O230" s="278"/>
    </row>
    <row r="231" spans="2:15" ht="31.5" customHeight="1" x14ac:dyDescent="0.25">
      <c r="B231" s="903" t="str">
        <f t="shared" si="10"/>
        <v>Won/Draw/Loss:</v>
      </c>
      <c r="E231" s="907" t="str">
        <f t="shared" si="11"/>
        <v>Won/Draw/Loss:</v>
      </c>
      <c r="F231" s="150" t="s">
        <v>696</v>
      </c>
      <c r="G231" s="151" t="s">
        <v>695</v>
      </c>
      <c r="H231" s="152" t="s">
        <v>694</v>
      </c>
      <c r="I231" s="153" t="s">
        <v>693</v>
      </c>
      <c r="J231" s="152" t="s">
        <v>692</v>
      </c>
      <c r="K231" s="620" t="s">
        <v>810</v>
      </c>
      <c r="L231" s="151" t="s">
        <v>2039</v>
      </c>
      <c r="M231" s="939" t="s">
        <v>2319</v>
      </c>
      <c r="N231" s="961" t="s">
        <v>2039</v>
      </c>
      <c r="O231" s="116"/>
    </row>
    <row r="232" spans="2:15" ht="15" customHeight="1" x14ac:dyDescent="0.25">
      <c r="B232" s="903" t="str">
        <f t="shared" si="10"/>
        <v>goal difference:</v>
      </c>
      <c r="E232" s="907" t="str">
        <f t="shared" si="11"/>
        <v>goal difference:</v>
      </c>
      <c r="F232" s="150" t="s">
        <v>621</v>
      </c>
      <c r="G232" s="151" t="s">
        <v>622</v>
      </c>
      <c r="H232" s="152" t="s">
        <v>623</v>
      </c>
      <c r="I232" s="153" t="s">
        <v>624</v>
      </c>
      <c r="J232" s="152" t="s">
        <v>625</v>
      </c>
      <c r="K232" s="620" t="s">
        <v>811</v>
      </c>
      <c r="L232" s="151" t="s">
        <v>2040</v>
      </c>
      <c r="M232" s="939" t="s">
        <v>2237</v>
      </c>
      <c r="N232" s="961" t="s">
        <v>2438</v>
      </c>
      <c r="O232" s="116"/>
    </row>
    <row r="233" spans="2:15" ht="46.5" customHeight="1" x14ac:dyDescent="0.25">
      <c r="B233" s="903" t="str">
        <f t="shared" si="10"/>
        <v>Many goals - good approximation</v>
      </c>
      <c r="E233" s="907" t="str">
        <f t="shared" si="11"/>
        <v>Many goals - good approximation</v>
      </c>
      <c r="F233" s="150" t="s">
        <v>699</v>
      </c>
      <c r="G233" s="151" t="s">
        <v>700</v>
      </c>
      <c r="H233" s="152" t="s">
        <v>701</v>
      </c>
      <c r="I233" s="153" t="s">
        <v>697</v>
      </c>
      <c r="J233" s="152" t="s">
        <v>698</v>
      </c>
      <c r="K233" s="620" t="s">
        <v>812</v>
      </c>
      <c r="L233" s="151" t="s">
        <v>2041</v>
      </c>
      <c r="M233" s="939" t="s">
        <v>2320</v>
      </c>
      <c r="N233" s="961" t="s">
        <v>2439</v>
      </c>
      <c r="O233" s="116"/>
    </row>
    <row r="234" spans="2:15" ht="15" customHeight="1" x14ac:dyDescent="0.25">
      <c r="B234" s="903" t="str">
        <f t="shared" si="10"/>
        <v>goals exact:</v>
      </c>
      <c r="E234" s="907" t="str">
        <f t="shared" si="11"/>
        <v>goals exact:</v>
      </c>
      <c r="F234" s="150" t="s">
        <v>630</v>
      </c>
      <c r="G234" s="151" t="s">
        <v>629</v>
      </c>
      <c r="H234" s="152" t="s">
        <v>628</v>
      </c>
      <c r="I234" s="153" t="s">
        <v>627</v>
      </c>
      <c r="J234" s="152" t="s">
        <v>626</v>
      </c>
      <c r="K234" s="620" t="s">
        <v>813</v>
      </c>
      <c r="L234" s="151" t="s">
        <v>2042</v>
      </c>
      <c r="M234" s="939" t="s">
        <v>2321</v>
      </c>
      <c r="N234" s="961" t="s">
        <v>2440</v>
      </c>
      <c r="O234" s="116"/>
    </row>
    <row r="235" spans="2:15" ht="54.75" customHeight="1" x14ac:dyDescent="0.25">
      <c r="B235" s="903" t="str">
        <f t="shared" si="10"/>
        <v>correct team (knockout phase):</v>
      </c>
      <c r="E235" s="907" t="str">
        <f t="shared" si="11"/>
        <v>correct team (knockout phase):</v>
      </c>
      <c r="F235" s="150" t="s">
        <v>710</v>
      </c>
      <c r="G235" s="151" t="s">
        <v>709</v>
      </c>
      <c r="H235" s="152" t="s">
        <v>711</v>
      </c>
      <c r="I235" s="153" t="s">
        <v>708</v>
      </c>
      <c r="J235" s="152" t="s">
        <v>707</v>
      </c>
      <c r="K235" s="620" t="s">
        <v>1876</v>
      </c>
      <c r="L235" s="151" t="s">
        <v>2043</v>
      </c>
      <c r="M235" s="939" t="s">
        <v>2322</v>
      </c>
      <c r="N235" s="961" t="s">
        <v>2441</v>
      </c>
      <c r="O235" s="116"/>
    </row>
    <row r="236" spans="2:15" ht="137.25" customHeight="1" x14ac:dyDescent="0.25">
      <c r="B236" s="903" t="str">
        <f t="shared" si="10"/>
        <v>For example, to add ten more people, select columns HI through MG and copy them to the right. Finished.
(Remove sheet protection!)</v>
      </c>
      <c r="E236" s="907" t="str">
        <f t="shared" si="11"/>
        <v>For example, to add ten more people, select columns HI through MG and copy them to the right. Finished.
(Remove sheet protection!)</v>
      </c>
      <c r="F236" s="150" t="s">
        <v>889</v>
      </c>
      <c r="G236" s="151" t="s">
        <v>890</v>
      </c>
      <c r="H236" s="152" t="s">
        <v>891</v>
      </c>
      <c r="I236" s="153" t="s">
        <v>892</v>
      </c>
      <c r="J236" s="152" t="s">
        <v>893</v>
      </c>
      <c r="K236" s="620" t="s">
        <v>894</v>
      </c>
      <c r="L236" s="151" t="s">
        <v>2044</v>
      </c>
      <c r="M236" s="939" t="s">
        <v>2323</v>
      </c>
      <c r="N236" s="961" t="s">
        <v>2442</v>
      </c>
      <c r="O236" s="116"/>
    </row>
    <row r="237" spans="2:15" ht="94.5" customHeight="1" x14ac:dyDescent="0.25">
      <c r="B237" s="903" t="str">
        <f t="shared" si="10"/>
        <v>To predict the teams in the KO round, enter the team numbers in the yellow fields.</v>
      </c>
      <c r="E237" s="907" t="str">
        <f t="shared" si="11"/>
        <v>To predict the teams in the KO round, enter the team numbers in the yellow fields.</v>
      </c>
      <c r="F237" s="150" t="s">
        <v>644</v>
      </c>
      <c r="G237" s="151" t="s">
        <v>643</v>
      </c>
      <c r="H237" s="152" t="s">
        <v>642</v>
      </c>
      <c r="I237" s="153" t="s">
        <v>641</v>
      </c>
      <c r="J237" s="152" t="s">
        <v>640</v>
      </c>
      <c r="K237" s="620" t="s">
        <v>814</v>
      </c>
      <c r="L237" s="151" t="s">
        <v>2045</v>
      </c>
      <c r="M237" s="939" t="s">
        <v>2324</v>
      </c>
      <c r="N237" s="961" t="s">
        <v>2443</v>
      </c>
      <c r="O237" s="116"/>
    </row>
    <row r="238" spans="2:15" ht="109.5" customHeight="1" x14ac:dyDescent="0.25">
      <c r="B238" s="903" t="str">
        <f t="shared" si="10"/>
        <v>The factors for the individual categories and other presettings can be selected on the 'PrSettings' worksheet.</v>
      </c>
      <c r="E238" s="907" t="str">
        <f t="shared" si="11"/>
        <v>The factors for the individual categories and other presettings can be selected on the 'PrSettings' worksheet.</v>
      </c>
      <c r="F238" s="150" t="s">
        <v>705</v>
      </c>
      <c r="G238" s="151" t="s">
        <v>704</v>
      </c>
      <c r="H238" s="152" t="s">
        <v>703</v>
      </c>
      <c r="I238" s="153" t="s">
        <v>706</v>
      </c>
      <c r="J238" s="152" t="s">
        <v>702</v>
      </c>
      <c r="K238" s="620" t="s">
        <v>815</v>
      </c>
      <c r="L238" s="151" t="s">
        <v>2046</v>
      </c>
      <c r="M238" s="939" t="s">
        <v>2325</v>
      </c>
      <c r="N238" s="961" t="s">
        <v>2444</v>
      </c>
      <c r="O238" s="116"/>
    </row>
    <row r="239" spans="2:15" x14ac:dyDescent="0.25">
      <c r="B239" s="903" t="str">
        <f t="shared" si="10"/>
        <v>Access to file</v>
      </c>
      <c r="E239" s="907" t="str">
        <f t="shared" si="11"/>
        <v>Access to file</v>
      </c>
      <c r="F239" s="279" t="s">
        <v>606</v>
      </c>
      <c r="G239" s="280" t="s">
        <v>608</v>
      </c>
      <c r="H239" s="281" t="s">
        <v>609</v>
      </c>
      <c r="I239" s="282" t="s">
        <v>610</v>
      </c>
      <c r="J239" s="281" t="s">
        <v>607</v>
      </c>
      <c r="K239" s="620" t="s">
        <v>816</v>
      </c>
      <c r="L239" s="280" t="s">
        <v>2047</v>
      </c>
      <c r="M239" s="930" t="s">
        <v>2326</v>
      </c>
      <c r="N239" s="952" t="s">
        <v>2445</v>
      </c>
      <c r="O239" s="283"/>
    </row>
    <row r="240" spans="2:15" x14ac:dyDescent="0.25">
      <c r="B240" s="903" t="str">
        <f t="shared" si="10"/>
        <v>Worksheet</v>
      </c>
      <c r="E240" s="907" t="str">
        <f t="shared" si="11"/>
        <v>Worksheet</v>
      </c>
      <c r="F240" s="150" t="s">
        <v>612</v>
      </c>
      <c r="G240" s="151" t="s">
        <v>614</v>
      </c>
      <c r="H240" s="152" t="s">
        <v>615</v>
      </c>
      <c r="I240" s="153" t="s">
        <v>613</v>
      </c>
      <c r="J240" s="152" t="s">
        <v>611</v>
      </c>
      <c r="K240" s="620" t="s">
        <v>817</v>
      </c>
      <c r="L240" s="151" t="s">
        <v>2048</v>
      </c>
      <c r="M240" s="939" t="s">
        <v>2327</v>
      </c>
      <c r="N240" s="961" t="s">
        <v>2446</v>
      </c>
      <c r="O240" s="116"/>
    </row>
    <row r="241" spans="2:15" ht="38.25" customHeight="1" x14ac:dyDescent="0.25">
      <c r="B241" s="903" t="str">
        <f t="shared" si="10"/>
        <v>Final/Third-Place Winner:</v>
      </c>
      <c r="E241" s="907" t="str">
        <f t="shared" si="11"/>
        <v>Final/Third-Place Winner:</v>
      </c>
      <c r="F241" s="293" t="s">
        <v>616</v>
      </c>
      <c r="G241" s="294" t="s">
        <v>617</v>
      </c>
      <c r="H241" s="295" t="s">
        <v>618</v>
      </c>
      <c r="I241" s="296" t="s">
        <v>619</v>
      </c>
      <c r="J241" s="295" t="s">
        <v>620</v>
      </c>
      <c r="K241" s="620" t="s">
        <v>818</v>
      </c>
      <c r="L241" s="294" t="s">
        <v>2049</v>
      </c>
      <c r="M241" s="941" t="s">
        <v>2328</v>
      </c>
      <c r="N241" s="963" t="s">
        <v>2049</v>
      </c>
      <c r="O241" s="297"/>
    </row>
    <row r="242" spans="2:15" ht="45" x14ac:dyDescent="0.25">
      <c r="B242" s="903" t="str">
        <f t="shared" si="10"/>
        <v>Points for goal difference in the event of a tie:</v>
      </c>
      <c r="E242" s="907" t="str">
        <f t="shared" si="11"/>
        <v>Points for goal difference in the event of a tie:</v>
      </c>
      <c r="F242" s="279" t="s">
        <v>669</v>
      </c>
      <c r="G242" s="280" t="s">
        <v>670</v>
      </c>
      <c r="H242" s="281" t="s">
        <v>671</v>
      </c>
      <c r="I242" s="282" t="s">
        <v>668</v>
      </c>
      <c r="J242" s="281" t="s">
        <v>667</v>
      </c>
      <c r="K242" s="620" t="s">
        <v>819</v>
      </c>
      <c r="L242" s="280" t="s">
        <v>2050</v>
      </c>
      <c r="M242" s="930" t="s">
        <v>2329</v>
      </c>
      <c r="N242" s="952" t="s">
        <v>2447</v>
      </c>
      <c r="O242" s="283"/>
    </row>
    <row r="243" spans="2:15" x14ac:dyDescent="0.25">
      <c r="B243" s="903" t="str">
        <f t="shared" si="10"/>
        <v>yes</v>
      </c>
      <c r="E243" s="907" t="str">
        <f t="shared" si="11"/>
        <v>yes</v>
      </c>
      <c r="F243" s="279" t="s">
        <v>674</v>
      </c>
      <c r="G243" s="280" t="s">
        <v>677</v>
      </c>
      <c r="H243" s="281" t="s">
        <v>676</v>
      </c>
      <c r="I243" s="282" t="s">
        <v>678</v>
      </c>
      <c r="J243" s="281" t="s">
        <v>672</v>
      </c>
      <c r="K243" s="620" t="s">
        <v>672</v>
      </c>
      <c r="L243" s="280" t="s">
        <v>2051</v>
      </c>
      <c r="M243" s="930" t="s">
        <v>2330</v>
      </c>
      <c r="N243" s="952" t="s">
        <v>2051</v>
      </c>
      <c r="O243" s="283"/>
    </row>
    <row r="244" spans="2:15" x14ac:dyDescent="0.25">
      <c r="B244" s="903" t="str">
        <f t="shared" si="10"/>
        <v>no</v>
      </c>
      <c r="E244" s="907" t="str">
        <f t="shared" si="11"/>
        <v>no</v>
      </c>
      <c r="F244" s="279" t="s">
        <v>675</v>
      </c>
      <c r="G244" s="280" t="s">
        <v>675</v>
      </c>
      <c r="H244" s="281" t="s">
        <v>675</v>
      </c>
      <c r="I244" s="282" t="s">
        <v>679</v>
      </c>
      <c r="J244" s="281" t="s">
        <v>673</v>
      </c>
      <c r="K244" s="620" t="s">
        <v>820</v>
      </c>
      <c r="L244" s="280" t="s">
        <v>2052</v>
      </c>
      <c r="M244" s="930" t="s">
        <v>2331</v>
      </c>
      <c r="N244" s="952" t="s">
        <v>2052</v>
      </c>
      <c r="O244" s="283"/>
    </row>
    <row r="245" spans="2:15" ht="51" customHeight="1" x14ac:dyDescent="0.25">
      <c r="B245" s="903" t="str">
        <f t="shared" si="10"/>
        <v>Minimum number for 'Many Goals' in the event of a tie:</v>
      </c>
      <c r="E245" s="907" t="str">
        <f t="shared" si="11"/>
        <v>Minimum number for 'Many Goals' in the event of a tie:</v>
      </c>
      <c r="F245" s="150" t="s">
        <v>680</v>
      </c>
      <c r="G245" s="151" t="s">
        <v>681</v>
      </c>
      <c r="H245" s="152" t="s">
        <v>682</v>
      </c>
      <c r="I245" s="153" t="s">
        <v>689</v>
      </c>
      <c r="J245" s="152" t="s">
        <v>683</v>
      </c>
      <c r="K245" s="620" t="s">
        <v>821</v>
      </c>
      <c r="L245" s="151" t="s">
        <v>2053</v>
      </c>
      <c r="M245" s="939" t="s">
        <v>2332</v>
      </c>
      <c r="N245" s="961" t="s">
        <v>2448</v>
      </c>
      <c r="O245" s="116"/>
    </row>
    <row r="246" spans="2:15" ht="60" x14ac:dyDescent="0.25">
      <c r="B246" s="903" t="str">
        <f t="shared" si="10"/>
        <v>Minimum number for a large goal difference:</v>
      </c>
      <c r="E246" s="907" t="str">
        <f t="shared" si="11"/>
        <v>Minimum number for a large goal difference:</v>
      </c>
      <c r="F246" s="150" t="s">
        <v>688</v>
      </c>
      <c r="G246" s="151" t="s">
        <v>687</v>
      </c>
      <c r="H246" s="152" t="s">
        <v>686</v>
      </c>
      <c r="I246" s="153" t="s">
        <v>685</v>
      </c>
      <c r="J246" s="152" t="s">
        <v>684</v>
      </c>
      <c r="K246" s="620" t="s">
        <v>822</v>
      </c>
      <c r="L246" s="151" t="s">
        <v>2054</v>
      </c>
      <c r="M246" s="939" t="s">
        <v>2333</v>
      </c>
      <c r="N246" s="961" t="s">
        <v>2449</v>
      </c>
      <c r="O246" s="116"/>
    </row>
    <row r="247" spans="2:15" ht="409.5" x14ac:dyDescent="0.25">
      <c r="B247" s="903" t="str">
        <f t="shared" si="10"/>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E247" s="907" t="str">
        <f t="shared" si="11"/>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7" s="150" t="s">
        <v>728</v>
      </c>
      <c r="G247" s="151" t="s">
        <v>731</v>
      </c>
      <c r="H247" s="152" t="s">
        <v>729</v>
      </c>
      <c r="I247" s="153" t="s">
        <v>730</v>
      </c>
      <c r="J247" s="152" t="s">
        <v>727</v>
      </c>
      <c r="K247" s="620" t="s">
        <v>823</v>
      </c>
      <c r="L247" s="151" t="s">
        <v>2055</v>
      </c>
      <c r="M247" s="939" t="s">
        <v>2334</v>
      </c>
      <c r="N247" s="961" t="s">
        <v>2450</v>
      </c>
      <c r="O247" s="116"/>
    </row>
    <row r="248" spans="2:15" ht="258.75" customHeight="1" x14ac:dyDescent="0.25">
      <c r="B248" s="903" t="str">
        <f t="shared" si="10"/>
        <v>In the event of a tie, should points be awarded for goal difference?
Many are used to it. But for logical reasons these are free points because in this case the goal difference is automatically correct. In the settings above you can therefore choose 'yes' or 'no'.</v>
      </c>
      <c r="E248" s="907" t="str">
        <f t="shared" si="11"/>
        <v>In the event of a tie, should points be awarded for goal difference?
Many are used to it. But for logical reasons these are free points because in this case the goal difference is automatically correct. In the settings above you can therefore choose 'yes' or 'no'.</v>
      </c>
      <c r="F248" s="150" t="s">
        <v>714</v>
      </c>
      <c r="G248" s="151" t="s">
        <v>715</v>
      </c>
      <c r="H248" s="152" t="s">
        <v>716</v>
      </c>
      <c r="I248" s="153" t="s">
        <v>713</v>
      </c>
      <c r="J248" s="152" t="s">
        <v>712</v>
      </c>
      <c r="K248" s="620" t="s">
        <v>824</v>
      </c>
      <c r="L248" s="151" t="s">
        <v>2056</v>
      </c>
      <c r="M248" s="939" t="s">
        <v>2335</v>
      </c>
      <c r="N248" s="961" t="s">
        <v>2451</v>
      </c>
      <c r="O248" s="116"/>
    </row>
    <row r="249" spans="2:15" ht="47.25" customHeight="1" x14ac:dyDescent="0.25">
      <c r="B249" s="903" t="str">
        <f t="shared" si="10"/>
        <v>Minimum number for a large sum of goals:</v>
      </c>
      <c r="E249" s="907" t="str">
        <f t="shared" si="11"/>
        <v>Minimum number for a large sum of goals:</v>
      </c>
      <c r="F249" s="150" t="s">
        <v>717</v>
      </c>
      <c r="G249" s="151" t="s">
        <v>718</v>
      </c>
      <c r="H249" s="152" t="s">
        <v>719</v>
      </c>
      <c r="I249" s="153" t="s">
        <v>720</v>
      </c>
      <c r="J249" s="152" t="s">
        <v>721</v>
      </c>
      <c r="K249" s="620" t="s">
        <v>825</v>
      </c>
      <c r="L249" s="151" t="s">
        <v>2057</v>
      </c>
      <c r="M249" s="939" t="s">
        <v>2336</v>
      </c>
      <c r="N249" s="961" t="s">
        <v>2452</v>
      </c>
      <c r="O249" s="116"/>
    </row>
    <row r="250" spans="2:15" ht="242.25" customHeight="1" x14ac:dyDescent="0.25">
      <c r="B250" s="903" t="str">
        <f t="shared" si="10"/>
        <v>In the round of 16, quarter-finals and semi-finals, the result is predicted without a penalty shoot-out. A tie can also be entered. In the final and third-place match, the total score (including penalty shoot-outs) must be entered.</v>
      </c>
      <c r="E250" s="907" t="str">
        <f t="shared" si="11"/>
        <v>In the round of 16, quarter-finals and semi-finals, the result is predicted without a penalty shoot-out. A tie can also be entered. In the final and third-place match, the total score (including penalty shoot-outs) must be entered.</v>
      </c>
      <c r="F250" s="150" t="s">
        <v>722</v>
      </c>
      <c r="G250" s="151" t="s">
        <v>725</v>
      </c>
      <c r="H250" s="152" t="s">
        <v>723</v>
      </c>
      <c r="I250" s="153" t="s">
        <v>724</v>
      </c>
      <c r="J250" s="152" t="s">
        <v>726</v>
      </c>
      <c r="K250" s="620" t="s">
        <v>826</v>
      </c>
      <c r="L250" s="151" t="s">
        <v>2058</v>
      </c>
      <c r="M250" s="939" t="s">
        <v>2337</v>
      </c>
      <c r="N250" s="961" t="s">
        <v>2453</v>
      </c>
      <c r="O250" s="116"/>
    </row>
    <row r="251" spans="2:15" ht="18.75" customHeight="1" x14ac:dyDescent="0.25">
      <c r="B251" s="903" t="str">
        <f t="shared" si="10"/>
        <v>Number:</v>
      </c>
      <c r="E251" s="907" t="str">
        <f t="shared" si="11"/>
        <v>Number:</v>
      </c>
      <c r="F251" s="126" t="s">
        <v>1608</v>
      </c>
      <c r="G251" s="127" t="s">
        <v>1611</v>
      </c>
      <c r="H251" s="125" t="s">
        <v>1610</v>
      </c>
      <c r="I251" s="128" t="s">
        <v>1609</v>
      </c>
      <c r="J251" s="125" t="s">
        <v>1607</v>
      </c>
      <c r="K251" s="620" t="s">
        <v>1612</v>
      </c>
      <c r="L251" s="127" t="s">
        <v>1611</v>
      </c>
      <c r="M251" s="928" t="s">
        <v>2338</v>
      </c>
      <c r="N251" s="950" t="s">
        <v>1611</v>
      </c>
      <c r="O251" s="101"/>
    </row>
    <row r="252" spans="2:15" ht="47.25" customHeight="1" x14ac:dyDescent="0.25">
      <c r="B252" s="903">
        <f t="shared" si="10"/>
        <v>0</v>
      </c>
      <c r="E252" s="907">
        <f t="shared" si="11"/>
        <v>0</v>
      </c>
      <c r="F252" s="150"/>
      <c r="G252" s="151"/>
      <c r="H252" s="152"/>
      <c r="I252" s="153"/>
      <c r="J252" s="152"/>
      <c r="K252" s="614"/>
      <c r="L252" s="151"/>
      <c r="M252" s="939"/>
      <c r="N252" s="961"/>
      <c r="O252" s="116"/>
    </row>
    <row r="253" spans="2:15" ht="15.75" thickBot="1" x14ac:dyDescent="0.3">
      <c r="B253" s="903">
        <f t="shared" si="10"/>
        <v>0</v>
      </c>
      <c r="E253" s="907">
        <f t="shared" si="11"/>
        <v>0</v>
      </c>
      <c r="F253" s="273"/>
      <c r="G253" s="274"/>
      <c r="H253" s="275"/>
      <c r="I253" s="276"/>
      <c r="J253" s="275"/>
      <c r="K253" s="622"/>
      <c r="L253" s="274"/>
      <c r="M253" s="942"/>
      <c r="N253" s="964"/>
      <c r="O253" s="277"/>
    </row>
    <row r="254" spans="2:15" ht="16.5" thickTop="1" thickBot="1" x14ac:dyDescent="0.3">
      <c r="K254" s="71"/>
      <c r="M254" s="89"/>
      <c r="N254" s="89"/>
    </row>
    <row r="255" spans="2:15" ht="29.25" thickTop="1" x14ac:dyDescent="0.45">
      <c r="E255" s="197"/>
      <c r="F255" s="72" t="s">
        <v>1564</v>
      </c>
      <c r="G255" s="257"/>
      <c r="H255" s="257"/>
      <c r="I255" s="257"/>
      <c r="J255" s="257"/>
      <c r="K255" s="619"/>
      <c r="L255" s="257"/>
      <c r="M255" s="947"/>
      <c r="N255" s="947"/>
      <c r="O255" s="258"/>
    </row>
    <row r="256" spans="2:15" x14ac:dyDescent="0.25">
      <c r="B256" s="903" t="str">
        <f t="shared" si="10"/>
        <v>Daily schedule</v>
      </c>
      <c r="E256" s="907" t="str">
        <f t="shared" ref="E256:E269" si="12">IF($B256=0,$F256,$B256)</f>
        <v>Daily schedule</v>
      </c>
      <c r="F256" s="126" t="s">
        <v>1564</v>
      </c>
      <c r="G256" s="127" t="s">
        <v>1565</v>
      </c>
      <c r="H256" s="125" t="s">
        <v>1566</v>
      </c>
      <c r="I256" s="128" t="s">
        <v>1567</v>
      </c>
      <c r="J256" s="125" t="s">
        <v>1568</v>
      </c>
      <c r="K256" s="620" t="s">
        <v>1569</v>
      </c>
      <c r="L256" s="127" t="s">
        <v>2059</v>
      </c>
      <c r="M256" s="928" t="s">
        <v>2339</v>
      </c>
      <c r="N256" s="950" t="s">
        <v>2454</v>
      </c>
      <c r="O256" s="101"/>
    </row>
    <row r="257" spans="2:15" x14ac:dyDescent="0.25">
      <c r="B257" s="903" t="str">
        <f t="shared" si="10"/>
        <v>Match No.</v>
      </c>
      <c r="E257" s="907" t="str">
        <f t="shared" si="12"/>
        <v>Match No.</v>
      </c>
      <c r="F257" s="126" t="s">
        <v>389</v>
      </c>
      <c r="G257" s="127" t="s">
        <v>1570</v>
      </c>
      <c r="H257" s="125" t="s">
        <v>1571</v>
      </c>
      <c r="I257" s="128" t="s">
        <v>1572</v>
      </c>
      <c r="J257" s="125" t="s">
        <v>1573</v>
      </c>
      <c r="K257" s="620" t="s">
        <v>1875</v>
      </c>
      <c r="L257" s="127" t="s">
        <v>2060</v>
      </c>
      <c r="M257" s="928" t="s">
        <v>2340</v>
      </c>
      <c r="N257" s="950" t="s">
        <v>2455</v>
      </c>
      <c r="O257" s="101"/>
    </row>
    <row r="258" spans="2:15"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01"/>
    </row>
    <row r="259" spans="2:15" x14ac:dyDescent="0.25">
      <c r="B259" s="903" t="str">
        <f t="shared" si="10"/>
        <v>Time</v>
      </c>
      <c r="E259" s="907" t="str">
        <f t="shared" si="12"/>
        <v>Time</v>
      </c>
      <c r="F259" s="126" t="s">
        <v>1577</v>
      </c>
      <c r="G259" s="127" t="s">
        <v>1578</v>
      </c>
      <c r="H259" s="125" t="s">
        <v>1579</v>
      </c>
      <c r="I259" s="128" t="s">
        <v>1580</v>
      </c>
      <c r="J259" s="125" t="s">
        <v>1581</v>
      </c>
      <c r="K259" s="620" t="s">
        <v>1582</v>
      </c>
      <c r="L259" s="127" t="s">
        <v>2062</v>
      </c>
      <c r="M259" s="928" t="s">
        <v>2341</v>
      </c>
      <c r="N259" s="950" t="s">
        <v>2062</v>
      </c>
      <c r="O259" s="101"/>
    </row>
    <row r="260" spans="2:15"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01"/>
    </row>
    <row r="261" spans="2:15"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01"/>
    </row>
    <row r="262" spans="2:15" x14ac:dyDescent="0.25">
      <c r="B262" s="903" t="str">
        <f t="shared" si="10"/>
        <v>Round of 32</v>
      </c>
      <c r="E262" s="907" t="str">
        <f t="shared" si="12"/>
        <v>Round of 32</v>
      </c>
      <c r="F262" s="126" t="s">
        <v>886</v>
      </c>
      <c r="G262" s="127" t="s">
        <v>1833</v>
      </c>
      <c r="H262" s="125" t="s">
        <v>1850</v>
      </c>
      <c r="I262" s="128" t="s">
        <v>1815</v>
      </c>
      <c r="J262" s="125" t="s">
        <v>885</v>
      </c>
      <c r="K262" s="614" t="s">
        <v>1868</v>
      </c>
      <c r="L262" s="127" t="s">
        <v>2030</v>
      </c>
      <c r="M262" s="927" t="s">
        <v>2310</v>
      </c>
      <c r="N262" s="949" t="s">
        <v>2459</v>
      </c>
      <c r="O262" s="69"/>
    </row>
    <row r="263" spans="2:15" x14ac:dyDescent="0.25">
      <c r="B263" s="903" t="str">
        <f t="shared" si="10"/>
        <v>Round of 16</v>
      </c>
      <c r="E263" s="907" t="str">
        <f t="shared" si="12"/>
        <v>Round of 16</v>
      </c>
      <c r="F263" s="126" t="s">
        <v>559</v>
      </c>
      <c r="G263" s="127" t="s">
        <v>560</v>
      </c>
      <c r="H263" s="125" t="s">
        <v>561</v>
      </c>
      <c r="I263" s="128" t="s">
        <v>1589</v>
      </c>
      <c r="J263" s="125" t="s">
        <v>563</v>
      </c>
      <c r="K263" s="614" t="s">
        <v>803</v>
      </c>
      <c r="L263" s="127" t="s">
        <v>2031</v>
      </c>
      <c r="M263" s="928" t="s">
        <v>2311</v>
      </c>
      <c r="N263" s="950" t="s">
        <v>2433</v>
      </c>
      <c r="O263" s="101"/>
    </row>
    <row r="264" spans="2:15" x14ac:dyDescent="0.25">
      <c r="B264" s="903" t="str">
        <f t="shared" si="10"/>
        <v>Quarter final</v>
      </c>
      <c r="E264" s="907" t="str">
        <f t="shared" si="12"/>
        <v>Quarter final</v>
      </c>
      <c r="F264" s="170" t="s">
        <v>564</v>
      </c>
      <c r="G264" s="127" t="s">
        <v>565</v>
      </c>
      <c r="H264" s="125" t="s">
        <v>566</v>
      </c>
      <c r="I264" s="128" t="s">
        <v>567</v>
      </c>
      <c r="J264" s="125" t="s">
        <v>568</v>
      </c>
      <c r="K264" s="614" t="s">
        <v>804</v>
      </c>
      <c r="L264" s="127" t="s">
        <v>2032</v>
      </c>
      <c r="M264" s="928" t="s">
        <v>2312</v>
      </c>
      <c r="N264" s="950" t="s">
        <v>2460</v>
      </c>
      <c r="O264" s="101"/>
    </row>
    <row r="265" spans="2:15" x14ac:dyDescent="0.25">
      <c r="B265" s="903" t="str">
        <f t="shared" si="10"/>
        <v>Semi-Final</v>
      </c>
      <c r="E265" s="907" t="str">
        <f t="shared" si="12"/>
        <v>Semi-Final</v>
      </c>
      <c r="F265" s="126" t="s">
        <v>569</v>
      </c>
      <c r="G265" s="127" t="s">
        <v>570</v>
      </c>
      <c r="H265" s="125" t="s">
        <v>571</v>
      </c>
      <c r="I265" s="128" t="s">
        <v>572</v>
      </c>
      <c r="J265" s="125" t="s">
        <v>573</v>
      </c>
      <c r="K265" s="614" t="s">
        <v>805</v>
      </c>
      <c r="L265" s="127" t="s">
        <v>2033</v>
      </c>
      <c r="M265" s="928" t="s">
        <v>2313</v>
      </c>
      <c r="N265" s="950" t="s">
        <v>2435</v>
      </c>
      <c r="O265" s="101"/>
    </row>
    <row r="266" spans="2:15" x14ac:dyDescent="0.25">
      <c r="B266" s="903" t="str">
        <f t="shared" si="10"/>
        <v>Date</v>
      </c>
      <c r="E266" s="907" t="str">
        <f t="shared" si="12"/>
        <v>Date</v>
      </c>
      <c r="F266" s="126" t="s">
        <v>1590</v>
      </c>
      <c r="G266" s="127" t="s">
        <v>1591</v>
      </c>
      <c r="H266" s="125" t="s">
        <v>1592</v>
      </c>
      <c r="I266" s="128" t="s">
        <v>1590</v>
      </c>
      <c r="J266" s="125" t="s">
        <v>1593</v>
      </c>
      <c r="K266" s="620" t="s">
        <v>1593</v>
      </c>
      <c r="L266" s="127" t="s">
        <v>1592</v>
      </c>
      <c r="M266" s="928" t="s">
        <v>2344</v>
      </c>
      <c r="N266" s="950" t="s">
        <v>1592</v>
      </c>
      <c r="O266" s="101"/>
    </row>
    <row r="267" spans="2:15" x14ac:dyDescent="0.25">
      <c r="B267" s="903" t="str">
        <f t="shared" si="10"/>
        <v>Color favorites</v>
      </c>
      <c r="E267" s="907" t="str">
        <f t="shared" si="12"/>
        <v>Color favorites</v>
      </c>
      <c r="F267" s="126" t="s">
        <v>1594</v>
      </c>
      <c r="G267" s="127" t="s">
        <v>1595</v>
      </c>
      <c r="H267" s="125" t="s">
        <v>1596</v>
      </c>
      <c r="I267" s="128" t="s">
        <v>1597</v>
      </c>
      <c r="J267" s="125" t="s">
        <v>1598</v>
      </c>
      <c r="K267" s="620" t="s">
        <v>1599</v>
      </c>
      <c r="L267" s="127" t="s">
        <v>2065</v>
      </c>
      <c r="M267" s="928" t="s">
        <v>2345</v>
      </c>
      <c r="N267" s="950" t="s">
        <v>2461</v>
      </c>
      <c r="O267" s="101"/>
    </row>
    <row r="268" spans="2:15" ht="45" x14ac:dyDescent="0.25">
      <c r="B268" s="903" t="str">
        <f t="shared" ref="B268:B269" si="13">IFERROR(INDEX($F268:$O268,MATCH($Q$1,$F$3:$O$3,0)),$F268)</f>
        <v>Enter the group code here</v>
      </c>
      <c r="E268" s="907" t="str">
        <f t="shared" si="12"/>
        <v>Enter the group code here</v>
      </c>
      <c r="F268" s="568" t="s">
        <v>1600</v>
      </c>
      <c r="G268" s="569" t="s">
        <v>1601</v>
      </c>
      <c r="H268" s="570" t="s">
        <v>1602</v>
      </c>
      <c r="I268" s="571" t="s">
        <v>1603</v>
      </c>
      <c r="J268" s="570" t="s">
        <v>1604</v>
      </c>
      <c r="K268" s="620" t="s">
        <v>1605</v>
      </c>
      <c r="L268" s="569" t="s">
        <v>2066</v>
      </c>
      <c r="M268" s="943" t="s">
        <v>2346</v>
      </c>
      <c r="N268" s="965" t="s">
        <v>2462</v>
      </c>
      <c r="O268" s="101"/>
    </row>
    <row r="269" spans="2:15" ht="15.75" thickBot="1" x14ac:dyDescent="0.3">
      <c r="B269" s="903">
        <f t="shared" si="13"/>
        <v>0</v>
      </c>
      <c r="E269" s="907">
        <f t="shared" si="12"/>
        <v>0</v>
      </c>
      <c r="F269" s="129"/>
      <c r="G269" s="130"/>
      <c r="H269" s="131"/>
      <c r="I269" s="132"/>
      <c r="J269" s="131"/>
      <c r="K269" s="623"/>
      <c r="L269" s="130"/>
      <c r="M269" s="929"/>
      <c r="N269" s="951"/>
      <c r="O269" s="117"/>
    </row>
    <row r="270" spans="2:15" ht="15.75" thickTop="1" x14ac:dyDescent="0.25"/>
    <row r="271" spans="2:15" x14ac:dyDescent="0.25"/>
    <row r="272" spans="2:15" x14ac:dyDescent="0.25"/>
  </sheetData>
  <sheetProtection sheet="1" objects="1" scenarios="1" selectLockedCells="1"/>
  <sortState ref="D73:J90">
    <sortCondition ref="D73"/>
  </sortState>
  <mergeCells count="16">
    <mergeCell ref="C3:C4"/>
    <mergeCell ref="O3:O4"/>
    <mergeCell ref="F1:J1"/>
    <mergeCell ref="O1:P1"/>
    <mergeCell ref="F2:J2"/>
    <mergeCell ref="D3:D4"/>
    <mergeCell ref="J3:J4"/>
    <mergeCell ref="E3:E4"/>
    <mergeCell ref="F3:F4"/>
    <mergeCell ref="G3:G4"/>
    <mergeCell ref="H3:H4"/>
    <mergeCell ref="I3:I4"/>
    <mergeCell ref="K3:K4"/>
    <mergeCell ref="L3:L4"/>
    <mergeCell ref="M3:M4"/>
    <mergeCell ref="N3:N4"/>
  </mergeCells>
  <conditionalFormatting sqref="D3:D4">
    <cfRule type="expression" dxfId="13" priority="397">
      <formula>#REF!</formula>
    </cfRule>
  </conditionalFormatting>
  <conditionalFormatting sqref="C3:C4">
    <cfRule type="expression" dxfId="12" priority="1">
      <formula>#REF!</formula>
    </cfRule>
  </conditionalFormatting>
  <conditionalFormatting sqref="F3:O3 F4:M4 O4">
    <cfRule type="expression" dxfId="11" priority="2824">
      <formula>F$3=$Q$1</formula>
    </cfRule>
  </conditionalFormatting>
  <conditionalFormatting sqref="G3:G4">
    <cfRule type="expression" dxfId="10" priority="2825">
      <formula>$C$104</formula>
    </cfRule>
  </conditionalFormatting>
  <conditionalFormatting sqref="H3:H4">
    <cfRule type="expression" dxfId="9" priority="2826">
      <formula>$C$105</formula>
    </cfRule>
  </conditionalFormatting>
  <conditionalFormatting sqref="I3:I4">
    <cfRule type="expression" dxfId="8" priority="2827">
      <formula>$C$106</formula>
    </cfRule>
  </conditionalFormatting>
  <conditionalFormatting sqref="J3:J4">
    <cfRule type="expression" dxfId="7" priority="2828">
      <formula>$C$107</formula>
    </cfRule>
  </conditionalFormatting>
  <conditionalFormatting sqref="O3:O4">
    <cfRule type="expression" dxfId="6" priority="2829">
      <formula>$C$109</formula>
    </cfRule>
  </conditionalFormatting>
  <conditionalFormatting sqref="K3:N3 K4:M4">
    <cfRule type="expression" dxfId="5" priority="2830">
      <formula>$C$108</formula>
    </cfRule>
  </conditionalFormatting>
  <dataValidations count="3">
    <dataValidation type="whole" allowBlank="1" showInputMessage="1" showErrorMessage="1" sqref="Q2" xr:uid="{6B3C9837-FE53-476E-8643-96A2EEB36C2B}">
      <formula1>1</formula1>
      <formula2>5</formula2>
    </dataValidation>
    <dataValidation allowBlank="1" showErrorMessage="1" errorTitle="Language" error="Invalid language" promptTitle="Language" prompt="Please choose a language for the country names" sqref="P3" xr:uid="{4D3CF56D-2CA4-4BE5-9FA1-61CB292561F6}"/>
    <dataValidation type="list" allowBlank="1" showErrorMessage="1" errorTitle="Language" error="Invalid language" sqref="Q1" xr:uid="{E62BBF8D-53D3-46DA-98B6-E8D51E59B0A7}">
      <formula1>$F$3:$O$3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37" t="str">
        <f>Language!$E$124</f>
        <v>Choose time zone</v>
      </c>
      <c r="B1" s="1037"/>
      <c r="C1" s="1037"/>
      <c r="D1" s="1037"/>
      <c r="E1" s="1037"/>
      <c r="F1" s="1037"/>
      <c r="G1" s="383" t="str">
        <f>Language!$E$200</f>
        <v>Click here and
choose time zone:</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6" t="str">
        <f>Language!$E$204</f>
        <v>For daylight saving time, the time zone must be adjusted accordingly (e.g. UTC+2 instead of UTC+1)</v>
      </c>
      <c r="H4" s="1126"/>
      <c r="I4" s="1126"/>
      <c r="J4" s="164"/>
      <c r="K4" s="18"/>
      <c r="L4" s="30">
        <v>1</v>
      </c>
      <c r="M4" s="167" t="str">
        <f t="array" ref="M4:M19">IF(Language!$E$103:$E$118=0,"",Language!$E$103:$E$118)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6"/>
      <c r="H5" s="1126"/>
      <c r="I5" s="1126"/>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6"/>
      <c r="H6" s="1126"/>
      <c r="I6" s="1126"/>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7" t="s">
        <v>56</v>
      </c>
      <c r="D2" s="1127"/>
      <c r="E2" s="1127"/>
      <c r="F2" s="1127"/>
      <c r="G2" s="1127"/>
      <c r="H2" s="1127"/>
      <c r="I2" s="110"/>
      <c r="K2" s="109"/>
      <c r="L2" s="1127" t="s">
        <v>312</v>
      </c>
      <c r="M2" s="1127"/>
      <c r="N2" s="1127"/>
      <c r="O2" s="1127"/>
      <c r="P2" s="1127"/>
      <c r="Q2" s="1127"/>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4" t="s">
        <v>452</v>
      </c>
      <c r="C2" s="1114"/>
      <c r="D2" s="1114"/>
    </row>
    <row r="3" spans="2:5" ht="15.75" thickBot="1" x14ac:dyDescent="0.3"/>
    <row r="4" spans="2:5" ht="15.75" thickTop="1" x14ac:dyDescent="0.25">
      <c r="B4" s="1110" t="s">
        <v>401</v>
      </c>
      <c r="C4" s="1129" t="s">
        <v>400</v>
      </c>
      <c r="D4" s="1131" t="s">
        <v>399</v>
      </c>
      <c r="E4" s="579"/>
    </row>
    <row r="5" spans="2:5" x14ac:dyDescent="0.25">
      <c r="B5" s="1128"/>
      <c r="C5" s="1130"/>
      <c r="D5" s="1132"/>
      <c r="E5" s="580" t="s">
        <v>1627</v>
      </c>
    </row>
    <row r="6" spans="2:5" ht="15.75" x14ac:dyDescent="0.25">
      <c r="B6" s="120"/>
      <c r="C6" s="205"/>
      <c r="D6" s="206" t="s">
        <v>24</v>
      </c>
      <c r="E6" s="581"/>
    </row>
    <row r="7" spans="2:5" x14ac:dyDescent="0.25">
      <c r="B7" s="121" t="s">
        <v>171</v>
      </c>
      <c r="C7" s="124">
        <v>15</v>
      </c>
      <c r="D7" s="196" t="str">
        <f>VLOOKUP($C7,Language!$D$5:$E$100,2,0)</f>
        <v>Mexico</v>
      </c>
      <c r="E7" s="581" t="b">
        <f>OR(CalcA!$K$5&gt;0,CalcA!$I$5&gt;0)</f>
        <v>1</v>
      </c>
    </row>
    <row r="8" spans="2:5" x14ac:dyDescent="0.25">
      <c r="B8" s="121" t="s">
        <v>172</v>
      </c>
      <c r="C8" s="127">
        <v>60</v>
      </c>
      <c r="D8" s="196" t="str">
        <f>VLOOKUP($C8,Language!$D$5:$E$100,2,0)</f>
        <v>South Africa</v>
      </c>
      <c r="E8" s="581" t="b">
        <f>OR(CalcA!$K$6&gt;0,CalcA!$I$6&gt;0)</f>
        <v>1</v>
      </c>
    </row>
    <row r="9" spans="2:5" x14ac:dyDescent="0.25">
      <c r="B9" s="121" t="s">
        <v>173</v>
      </c>
      <c r="C9" s="127">
        <v>25</v>
      </c>
      <c r="D9" s="196" t="str">
        <f>VLOOKUP($C9,Language!$D$5:$E$100,2,0)</f>
        <v>South Korea</v>
      </c>
      <c r="E9" s="581" t="b">
        <f>OR(CalcA!$K$7&gt;0,CalcA!$I$7&gt;0)</f>
        <v>1</v>
      </c>
    </row>
    <row r="10" spans="2:5" x14ac:dyDescent="0.25">
      <c r="B10" s="121" t="s">
        <v>968</v>
      </c>
      <c r="C10" s="404">
        <v>41</v>
      </c>
      <c r="D10" s="196" t="str">
        <f>VLOOKUP($C10,Language!$D$5:$E$100,2,0)</f>
        <v>Czechia</v>
      </c>
      <c r="E10" s="581" t="b">
        <f>OR(CalcA!$K$8&gt;0,CalcA!$I$8&gt;0)</f>
        <v>1</v>
      </c>
    </row>
    <row r="11" spans="2:5" ht="15.75" x14ac:dyDescent="0.25">
      <c r="B11" s="122"/>
      <c r="C11" s="205"/>
      <c r="D11" s="206" t="s">
        <v>20</v>
      </c>
      <c r="E11" s="581"/>
    </row>
    <row r="12" spans="2:5" x14ac:dyDescent="0.25">
      <c r="B12" s="121" t="s">
        <v>174</v>
      </c>
      <c r="C12" s="127">
        <v>30</v>
      </c>
      <c r="D12" s="196" t="str">
        <f>VLOOKUP($C12,Language!$D$5:$E$100,2,0)</f>
        <v>Canada</v>
      </c>
      <c r="E12" s="581" t="b">
        <f>OR(CalcB!$K$5&gt;0,CalcB!$I$5&gt;0)</f>
        <v>1</v>
      </c>
    </row>
    <row r="13" spans="2:5" x14ac:dyDescent="0.25">
      <c r="B13" s="121" t="s">
        <v>175</v>
      </c>
      <c r="C13" s="124">
        <v>65</v>
      </c>
      <c r="D13" s="196" t="str">
        <f>VLOOKUP($C13,Language!$D$5:$E$100,2,0)</f>
        <v>Bosnia/Herzeg.</v>
      </c>
      <c r="E13" s="581" t="b">
        <f>OR(CalcB!$K$6&gt;0,CalcB!$I$6&gt;0)</f>
        <v>1</v>
      </c>
    </row>
    <row r="14" spans="2:5" x14ac:dyDescent="0.25">
      <c r="B14" s="121" t="s">
        <v>176</v>
      </c>
      <c r="C14" s="127">
        <v>55</v>
      </c>
      <c r="D14" s="196" t="str">
        <f>VLOOKUP($C14,Language!$D$5:$E$100,2,0)</f>
        <v>Qatar</v>
      </c>
      <c r="E14" s="581" t="b">
        <f>OR(CalcB!$K$7&gt;0,CalcB!$I$7&gt;0)</f>
        <v>1</v>
      </c>
    </row>
    <row r="15" spans="2:5" x14ac:dyDescent="0.25">
      <c r="B15" s="121" t="s">
        <v>969</v>
      </c>
      <c r="C15" s="404">
        <v>19</v>
      </c>
      <c r="D15" s="196" t="str">
        <f>VLOOKUP($C15,Language!$D$5:$E$100,2,0)</f>
        <v>Switzerland</v>
      </c>
      <c r="E15" s="581" t="b">
        <f>OR(CalcB!$K$8&gt;0,CalcB!$I$8&gt;0)</f>
        <v>1</v>
      </c>
    </row>
    <row r="16" spans="2:5" ht="15.75" x14ac:dyDescent="0.25">
      <c r="B16" s="122"/>
      <c r="C16" s="205"/>
      <c r="D16" s="206" t="s">
        <v>21</v>
      </c>
      <c r="E16" s="581"/>
    </row>
    <row r="17" spans="2:5" x14ac:dyDescent="0.25">
      <c r="B17" s="121" t="s">
        <v>177</v>
      </c>
      <c r="C17" s="127">
        <v>6</v>
      </c>
      <c r="D17" s="196" t="str">
        <f>VLOOKUP($C17,Language!$D$5:$E$100,2,0)</f>
        <v>Brazil</v>
      </c>
      <c r="E17" s="581" t="b">
        <f>OR(CalcC!$K$5&gt;0,CalcC!$I$5&gt;0)</f>
        <v>1</v>
      </c>
    </row>
    <row r="18" spans="2:5" x14ac:dyDescent="0.25">
      <c r="B18" s="121" t="s">
        <v>178</v>
      </c>
      <c r="C18" s="127">
        <v>8</v>
      </c>
      <c r="D18" s="196" t="str">
        <f>VLOOKUP($C18,Language!$D$5:$E$100,2,0)</f>
        <v>Morocco</v>
      </c>
      <c r="E18" s="581" t="b">
        <f>OR(CalcC!$K$6&gt;0,CalcC!$I$6&gt;0)</f>
        <v>1</v>
      </c>
    </row>
    <row r="19" spans="2:5" x14ac:dyDescent="0.25">
      <c r="B19" s="121" t="s">
        <v>179</v>
      </c>
      <c r="C19" s="127">
        <v>83</v>
      </c>
      <c r="D19" s="196" t="str">
        <f>VLOOKUP($C19,Language!$D$5:$E$100,2,0)</f>
        <v>Haiti</v>
      </c>
      <c r="E19" s="581" t="b">
        <f>OR(CalcC!$K$7&gt;0,CalcC!$I$7&gt;0)</f>
        <v>1</v>
      </c>
    </row>
    <row r="20" spans="2:5" x14ac:dyDescent="0.25">
      <c r="B20" s="121" t="s">
        <v>970</v>
      </c>
      <c r="C20" s="404">
        <v>43</v>
      </c>
      <c r="D20" s="196" t="str">
        <f>VLOOKUP($C20,Language!$D$5:$E$100,2,0)</f>
        <v>Scotland</v>
      </c>
      <c r="E20" s="581" t="b">
        <f>OR(CalcC!$K$8&gt;0,CalcC!$I$8&gt;0)</f>
        <v>1</v>
      </c>
    </row>
    <row r="21" spans="2:5" ht="15.75" x14ac:dyDescent="0.25">
      <c r="B21" s="122"/>
      <c r="C21" s="205"/>
      <c r="D21" s="206" t="s">
        <v>25</v>
      </c>
      <c r="E21" s="581"/>
    </row>
    <row r="22" spans="2:5" x14ac:dyDescent="0.25">
      <c r="B22" s="121" t="s">
        <v>180</v>
      </c>
      <c r="C22" s="127">
        <v>16</v>
      </c>
      <c r="D22" s="196" t="str">
        <f>VLOOKUP($C22,Language!$D$5:$E$100,2,0)</f>
        <v>USA</v>
      </c>
      <c r="E22" s="581" t="b">
        <f>OR(CalcD!$K$5&gt;0,CalcD!$I$5&gt;0)</f>
        <v>1</v>
      </c>
    </row>
    <row r="23" spans="2:5" x14ac:dyDescent="0.25">
      <c r="B23" s="121" t="s">
        <v>181</v>
      </c>
      <c r="C23" s="127">
        <v>40</v>
      </c>
      <c r="D23" s="196" t="str">
        <f>VLOOKUP($C23,Language!$D$5:$E$100,2,0)</f>
        <v>Paraguay</v>
      </c>
      <c r="E23" s="581" t="b">
        <f>OR(CalcD!$K$6&gt;0,CalcD!$I$6&gt;0)</f>
        <v>1</v>
      </c>
    </row>
    <row r="24" spans="2:5" x14ac:dyDescent="0.25">
      <c r="B24" s="121" t="s">
        <v>182</v>
      </c>
      <c r="C24" s="127">
        <v>27</v>
      </c>
      <c r="D24" s="196" t="str">
        <f>VLOOKUP($C24,Language!$D$5:$E$100,2,0)</f>
        <v>Australia</v>
      </c>
      <c r="E24" s="581" t="b">
        <f>OR(CalcD!$K$7&gt;0,CalcD!$I$7&gt;0)</f>
        <v>1</v>
      </c>
    </row>
    <row r="25" spans="2:5" x14ac:dyDescent="0.25">
      <c r="B25" s="121" t="s">
        <v>971</v>
      </c>
      <c r="C25" s="404">
        <v>22</v>
      </c>
      <c r="D25" s="196" t="str">
        <f>VLOOKUP($C25,Language!$D$5:$E$100,2,0)</f>
        <v>Turkiye</v>
      </c>
      <c r="E25" s="581" t="b">
        <f>OR(CalcD!$K$8&gt;0,CalcD!$I$8&gt;0)</f>
        <v>1</v>
      </c>
    </row>
    <row r="26" spans="2:5" ht="15.75" x14ac:dyDescent="0.25">
      <c r="B26" s="122"/>
      <c r="C26" s="205"/>
      <c r="D26" s="206" t="s">
        <v>22</v>
      </c>
      <c r="E26" s="581"/>
    </row>
    <row r="27" spans="2:5" x14ac:dyDescent="0.25">
      <c r="B27" s="121" t="s">
        <v>183</v>
      </c>
      <c r="C27" s="127">
        <v>10</v>
      </c>
      <c r="D27" s="196" t="str">
        <f>VLOOKUP($C27,Language!$D$5:$E$100,2,0)</f>
        <v>Germany</v>
      </c>
      <c r="E27" s="581" t="b">
        <f>OR(CalcE!$K$5&gt;0,CalcE!$I$5&gt;0)</f>
        <v>1</v>
      </c>
    </row>
    <row r="28" spans="2:5" x14ac:dyDescent="0.25">
      <c r="B28" s="121" t="s">
        <v>184</v>
      </c>
      <c r="C28" s="124">
        <v>82</v>
      </c>
      <c r="D28" s="196" t="str">
        <f>VLOOKUP($C28,Language!$D$5:$E$100,2,0)</f>
        <v>Curaçao</v>
      </c>
      <c r="E28" s="581" t="b">
        <f>OR(CalcE!$K$6&gt;0,CalcE!$I$6&gt;0)</f>
        <v>1</v>
      </c>
    </row>
    <row r="29" spans="2:5" x14ac:dyDescent="0.25">
      <c r="B29" s="121" t="s">
        <v>185</v>
      </c>
      <c r="C29" s="127">
        <v>34</v>
      </c>
      <c r="D29" s="196" t="str">
        <f>VLOOKUP($C29,Language!$D$5:$E$100,2,0)</f>
        <v>Cote d'Ivoire</v>
      </c>
      <c r="E29" s="581" t="b">
        <f>OR(CalcE!$K$7&gt;0,CalcE!$I$7&gt;0)</f>
        <v>1</v>
      </c>
    </row>
    <row r="30" spans="2:5" x14ac:dyDescent="0.25">
      <c r="B30" s="121" t="s">
        <v>972</v>
      </c>
      <c r="C30" s="404">
        <v>23</v>
      </c>
      <c r="D30" s="196" t="str">
        <f>VLOOKUP($C30,Language!$D$5:$E$100,2,0)</f>
        <v>Ecuador</v>
      </c>
      <c r="E30" s="581" t="b">
        <f>OR(CalcE!$K$8&gt;0,CalcE!$I$8&gt;0)</f>
        <v>1</v>
      </c>
    </row>
    <row r="31" spans="2:5" ht="15.75" x14ac:dyDescent="0.25">
      <c r="B31" s="122"/>
      <c r="C31" s="205"/>
      <c r="D31" s="206" t="s">
        <v>23</v>
      </c>
      <c r="E31" s="581"/>
    </row>
    <row r="32" spans="2:5" x14ac:dyDescent="0.25">
      <c r="B32" s="121" t="s">
        <v>266</v>
      </c>
      <c r="C32" s="124">
        <v>7</v>
      </c>
      <c r="D32" s="196" t="str">
        <f>VLOOKUP($C32,Language!$D$5:$E$100,2,0)</f>
        <v>Netherlands</v>
      </c>
      <c r="E32" s="581" t="b">
        <f>OR(CalcF!$K$5&gt;0,CalcF!$I$5&gt;0)</f>
        <v>1</v>
      </c>
    </row>
    <row r="33" spans="2:5" x14ac:dyDescent="0.25">
      <c r="B33" s="121" t="s">
        <v>267</v>
      </c>
      <c r="C33" s="127">
        <v>18</v>
      </c>
      <c r="D33" s="196" t="str">
        <f>VLOOKUP($C33,Language!$D$5:$E$100,2,0)</f>
        <v>Japan</v>
      </c>
      <c r="E33" s="581" t="b">
        <f>OR(CalcF!$K$6&gt;0,CalcF!$I$6&gt;0)</f>
        <v>1</v>
      </c>
    </row>
    <row r="34" spans="2:5" x14ac:dyDescent="0.25">
      <c r="B34" s="121" t="s">
        <v>268</v>
      </c>
      <c r="C34" s="124">
        <v>38</v>
      </c>
      <c r="D34" s="196" t="str">
        <f>VLOOKUP($C34,Language!$D$5:$E$100,2,0)</f>
        <v>Sweden</v>
      </c>
      <c r="E34" s="581" t="b">
        <f>OR(CalcF!$K$7&gt;0,CalcF!$I$7&gt;0)</f>
        <v>1</v>
      </c>
    </row>
    <row r="35" spans="2:5" x14ac:dyDescent="0.25">
      <c r="B35" s="121" t="s">
        <v>973</v>
      </c>
      <c r="C35" s="405">
        <v>44</v>
      </c>
      <c r="D35" s="196" t="str">
        <f>VLOOKUP($C35,Language!$D$5:$E$100,2,0)</f>
        <v>Tunisia</v>
      </c>
      <c r="E35" s="581" t="b">
        <f>OR(CalcF!$K$8&gt;0,CalcF!$I$8&gt;0)</f>
        <v>1</v>
      </c>
    </row>
    <row r="36" spans="2:5" ht="15.75" x14ac:dyDescent="0.25">
      <c r="B36" s="122"/>
      <c r="C36" s="205"/>
      <c r="D36" s="206" t="s">
        <v>272</v>
      </c>
      <c r="E36" s="581"/>
    </row>
    <row r="37" spans="2:5" x14ac:dyDescent="0.25">
      <c r="B37" s="121" t="s">
        <v>186</v>
      </c>
      <c r="C37" s="127">
        <v>9</v>
      </c>
      <c r="D37" s="196" t="str">
        <f>VLOOKUP($C37,Language!$D$5:$E$100,2,0)</f>
        <v>Belgium</v>
      </c>
      <c r="E37" s="581" t="b">
        <f>OR(CalcG!$K$5&gt;0,CalcG!$I$5&gt;0)</f>
        <v>1</v>
      </c>
    </row>
    <row r="38" spans="2:5" x14ac:dyDescent="0.25">
      <c r="B38" s="121" t="s">
        <v>187</v>
      </c>
      <c r="C38" s="127">
        <v>29</v>
      </c>
      <c r="D38" s="196" t="str">
        <f>VLOOKUP($C38,Language!$D$5:$E$100,2,0)</f>
        <v>Egypt</v>
      </c>
      <c r="E38" s="581" t="b">
        <f>OR(CalcG!$K$6&gt;0,CalcG!$I$6&gt;0)</f>
        <v>1</v>
      </c>
    </row>
    <row r="39" spans="2:5" x14ac:dyDescent="0.25">
      <c r="B39" s="121" t="s">
        <v>188</v>
      </c>
      <c r="C39" s="127">
        <v>21</v>
      </c>
      <c r="D39" s="196" t="str">
        <f>VLOOKUP($C39,Language!$D$5:$E$100,2,0)</f>
        <v>IR Iran</v>
      </c>
      <c r="E39" s="581" t="b">
        <f>OR(CalcG!$K$7&gt;0,CalcG!$I$7&gt;0)</f>
        <v>1</v>
      </c>
    </row>
    <row r="40" spans="2:5" x14ac:dyDescent="0.25">
      <c r="B40" s="121" t="s">
        <v>974</v>
      </c>
      <c r="C40" s="404">
        <v>85</v>
      </c>
      <c r="D40" s="196" t="str">
        <f>VLOOKUP($C40,Language!$D$5:$E$100,2,0)</f>
        <v>New Zealand</v>
      </c>
      <c r="E40" s="581" t="b">
        <f>OR(CalcG!$K$8&gt;0,CalcG!$I$8&gt;0)</f>
        <v>1</v>
      </c>
    </row>
    <row r="41" spans="2:5" ht="15.75" x14ac:dyDescent="0.25">
      <c r="B41" s="122"/>
      <c r="C41" s="205"/>
      <c r="D41" s="206" t="s">
        <v>31</v>
      </c>
      <c r="E41" s="581"/>
    </row>
    <row r="42" spans="2:5" x14ac:dyDescent="0.25">
      <c r="B42" s="121" t="s">
        <v>269</v>
      </c>
      <c r="C42" s="127">
        <v>2</v>
      </c>
      <c r="D42" s="199" t="str">
        <f>VLOOKUP($C42,Language!$D$5:$E$100,2,0)</f>
        <v>Spain</v>
      </c>
      <c r="E42" s="581" t="b">
        <f>OR(CalcH!$K$5&gt;0,CalcH!$I$5&gt;0)</f>
        <v>1</v>
      </c>
    </row>
    <row r="43" spans="2:5" x14ac:dyDescent="0.25">
      <c r="B43" s="121" t="s">
        <v>270</v>
      </c>
      <c r="C43" s="127">
        <v>69</v>
      </c>
      <c r="D43" s="199" t="str">
        <f>VLOOKUP($C43,Language!$D$5:$E$100,2,0)</f>
        <v>Cabo Verde</v>
      </c>
      <c r="E43" s="581" t="b">
        <f>OR(CalcH!$K$6&gt;0,CalcH!$I$6&gt;0)</f>
        <v>1</v>
      </c>
    </row>
    <row r="44" spans="2:5" x14ac:dyDescent="0.25">
      <c r="B44" s="121" t="s">
        <v>271</v>
      </c>
      <c r="C44" s="127">
        <v>61</v>
      </c>
      <c r="D44" s="199" t="str">
        <f>VLOOKUP($C44,Language!$D$5:$E$100,2,0)</f>
        <v>Saudi Arabia</v>
      </c>
      <c r="E44" s="581" t="b">
        <f>OR(CalcH!$K$7&gt;0,CalcH!$I$7&gt;0)</f>
        <v>1</v>
      </c>
    </row>
    <row r="45" spans="2:5" x14ac:dyDescent="0.25">
      <c r="B45" s="175" t="s">
        <v>975</v>
      </c>
      <c r="C45" s="404">
        <v>17</v>
      </c>
      <c r="D45" s="199" t="str">
        <f>VLOOKUP($C45,Language!$D$5:$E$100,2,0)</f>
        <v>Uruguay</v>
      </c>
      <c r="E45" s="581" t="b">
        <f>OR(CalcH!$K$8&gt;0,CalcH!$I$8&gt;0)</f>
        <v>1</v>
      </c>
    </row>
    <row r="46" spans="2:5" ht="15.75" x14ac:dyDescent="0.25">
      <c r="B46" s="120"/>
      <c r="C46" s="205"/>
      <c r="D46" s="206" t="s">
        <v>32</v>
      </c>
      <c r="E46" s="581"/>
    </row>
    <row r="47" spans="2:5" x14ac:dyDescent="0.25">
      <c r="B47" s="121" t="s">
        <v>831</v>
      </c>
      <c r="C47" s="124">
        <v>1</v>
      </c>
      <c r="D47" s="196" t="str">
        <f>VLOOKUP($C47,Language!$D$5:$E$100,2,0)</f>
        <v>France</v>
      </c>
      <c r="E47" s="581" t="b">
        <f>OR(CalcI!$K$5&gt;0,CalcI!$I$5&gt;0)</f>
        <v>1</v>
      </c>
    </row>
    <row r="48" spans="2:5" x14ac:dyDescent="0.25">
      <c r="B48" s="121" t="s">
        <v>832</v>
      </c>
      <c r="C48" s="127">
        <v>14</v>
      </c>
      <c r="D48" s="196" t="str">
        <f>VLOOKUP($C48,Language!$D$5:$E$100,2,0)</f>
        <v>Senegal</v>
      </c>
      <c r="E48" s="581" t="b">
        <f>OR(CalcI!$K$6&gt;0,CalcI!$I$6&gt;0)</f>
        <v>1</v>
      </c>
    </row>
    <row r="49" spans="2:5" x14ac:dyDescent="0.25">
      <c r="B49" s="121" t="s">
        <v>833</v>
      </c>
      <c r="C49" s="127">
        <v>57</v>
      </c>
      <c r="D49" s="196" t="str">
        <f>VLOOKUP($C49,Language!$D$5:$E$100,2,0)</f>
        <v>Iraq</v>
      </c>
      <c r="E49" s="581" t="b">
        <f>OR(CalcI!$K$7&gt;0,CalcI!$I$7&gt;0)</f>
        <v>1</v>
      </c>
    </row>
    <row r="50" spans="2:5" x14ac:dyDescent="0.25">
      <c r="B50" s="121" t="s">
        <v>976</v>
      </c>
      <c r="C50" s="404">
        <v>31</v>
      </c>
      <c r="D50" s="196" t="str">
        <f>VLOOKUP($C50,Language!$D$5:$E$100,2,0)</f>
        <v>Norway</v>
      </c>
      <c r="E50" s="581" t="b">
        <f>OR(CalcI!$K$8&gt;0,CalcI!$I$8&gt;0)</f>
        <v>1</v>
      </c>
    </row>
    <row r="51" spans="2:5" ht="15.75" x14ac:dyDescent="0.25">
      <c r="B51" s="122"/>
      <c r="C51" s="205"/>
      <c r="D51" s="206" t="s">
        <v>830</v>
      </c>
      <c r="E51" s="581"/>
    </row>
    <row r="52" spans="2:5" x14ac:dyDescent="0.25">
      <c r="B52" s="121" t="s">
        <v>834</v>
      </c>
      <c r="C52" s="127">
        <v>3</v>
      </c>
      <c r="D52" s="196" t="str">
        <f>VLOOKUP($C52,Language!$D$5:$E$100,2,0)</f>
        <v>Argentina</v>
      </c>
      <c r="E52" s="581" t="b">
        <f>OR(CalcJ!$K$5&gt;0,CalcJ!$I$5&gt;0)</f>
        <v>1</v>
      </c>
    </row>
    <row r="53" spans="2:5" x14ac:dyDescent="0.25">
      <c r="B53" s="121" t="s">
        <v>835</v>
      </c>
      <c r="C53" s="124">
        <v>28</v>
      </c>
      <c r="D53" s="196" t="str">
        <f>VLOOKUP($C53,Language!$D$5:$E$100,2,0)</f>
        <v>Algeria</v>
      </c>
      <c r="E53" s="581" t="b">
        <f>OR(CalcJ!$K$6&gt;0,CalcJ!$I$6&gt;0)</f>
        <v>1</v>
      </c>
    </row>
    <row r="54" spans="2:5" x14ac:dyDescent="0.25">
      <c r="B54" s="121" t="s">
        <v>836</v>
      </c>
      <c r="C54" s="127">
        <v>24</v>
      </c>
      <c r="D54" s="196" t="str">
        <f>VLOOKUP($C54,Language!$D$5:$E$100,2,0)</f>
        <v>Austria</v>
      </c>
      <c r="E54" s="581" t="b">
        <f>OR(CalcJ!$K$7&gt;0,CalcJ!$I$7&gt;0)</f>
        <v>1</v>
      </c>
    </row>
    <row r="55" spans="2:5" x14ac:dyDescent="0.25">
      <c r="B55" s="121" t="s">
        <v>977</v>
      </c>
      <c r="C55" s="404">
        <v>63</v>
      </c>
      <c r="D55" s="196" t="str">
        <f>VLOOKUP($C55,Language!$D$5:$E$100,2,0)</f>
        <v>Jordan</v>
      </c>
      <c r="E55" s="581" t="b">
        <f>OR(CalcJ!$K$8&gt;0,CalcJ!$I$8&gt;0)</f>
        <v>1</v>
      </c>
    </row>
    <row r="56" spans="2:5" ht="15.75" x14ac:dyDescent="0.25">
      <c r="B56" s="122"/>
      <c r="C56" s="205"/>
      <c r="D56" s="206" t="s">
        <v>33</v>
      </c>
      <c r="E56" s="581"/>
    </row>
    <row r="57" spans="2:5" x14ac:dyDescent="0.25">
      <c r="B57" s="121" t="s">
        <v>837</v>
      </c>
      <c r="C57" s="127">
        <v>5</v>
      </c>
      <c r="D57" s="196" t="str">
        <f>VLOOKUP($C57,Language!$D$5:$E$100,2,0)</f>
        <v>Portugal</v>
      </c>
      <c r="E57" s="581" t="b">
        <f>OR(CalcK!$K$5&gt;0,CalcK!$I$5&gt;0)</f>
        <v>1</v>
      </c>
    </row>
    <row r="58" spans="2:5" x14ac:dyDescent="0.25">
      <c r="B58" s="121" t="s">
        <v>838</v>
      </c>
      <c r="C58" s="127">
        <v>46</v>
      </c>
      <c r="D58" s="196" t="str">
        <f>VLOOKUP($C58,Language!$D$5:$E$100,2,0)</f>
        <v>DR Congo</v>
      </c>
      <c r="E58" s="581" t="b">
        <f>OR(CalcK!$K$6&gt;0,CalcK!$I$6&gt;0)</f>
        <v>1</v>
      </c>
    </row>
    <row r="59" spans="2:5" x14ac:dyDescent="0.25">
      <c r="B59" s="121" t="s">
        <v>839</v>
      </c>
      <c r="C59" s="127">
        <v>50</v>
      </c>
      <c r="D59" s="196" t="str">
        <f>VLOOKUP($C59,Language!$D$5:$E$100,2,0)</f>
        <v>Uzbekistan</v>
      </c>
      <c r="E59" s="581" t="b">
        <f>OR(CalcK!$K$7&gt;0,CalcK!$I$7&gt;0)</f>
        <v>1</v>
      </c>
    </row>
    <row r="60" spans="2:5" x14ac:dyDescent="0.25">
      <c r="B60" s="121" t="s">
        <v>978</v>
      </c>
      <c r="C60" s="406">
        <v>13</v>
      </c>
      <c r="D60" s="196" t="str">
        <f>VLOOKUP($C60,Language!$D$5:$E$100,2,0)</f>
        <v>Colombia</v>
      </c>
      <c r="E60" s="581" t="b">
        <f>OR(CalcK!$K$8&gt;0,CalcK!$I$8&gt;0)</f>
        <v>1</v>
      </c>
    </row>
    <row r="61" spans="2:5" ht="15.75" x14ac:dyDescent="0.25">
      <c r="B61" s="122"/>
      <c r="C61" s="205"/>
      <c r="D61" s="206" t="s">
        <v>34</v>
      </c>
      <c r="E61" s="581"/>
    </row>
    <row r="62" spans="2:5" x14ac:dyDescent="0.25">
      <c r="B62" s="121" t="s">
        <v>840</v>
      </c>
      <c r="C62" s="127">
        <v>4</v>
      </c>
      <c r="D62" s="196" t="str">
        <f>VLOOKUP($C62,Language!$D$5:$E$100,2,0)</f>
        <v>England</v>
      </c>
      <c r="E62" s="581" t="b">
        <f>OR(CalcL!$K$5&gt;0,CalcL!$I$5&gt;0)</f>
        <v>1</v>
      </c>
    </row>
    <row r="63" spans="2:5" x14ac:dyDescent="0.25">
      <c r="B63" s="121" t="s">
        <v>841</v>
      </c>
      <c r="C63" s="127">
        <v>11</v>
      </c>
      <c r="D63" s="196" t="str">
        <f>VLOOKUP($C63,Language!$D$5:$E$100,2,0)</f>
        <v>Croatia</v>
      </c>
      <c r="E63" s="581" t="b">
        <f>OR(CalcL!$K$6&gt;0,CalcL!$I$6&gt;0)</f>
        <v>1</v>
      </c>
    </row>
    <row r="64" spans="2:5" x14ac:dyDescent="0.25">
      <c r="B64" s="121" t="s">
        <v>842</v>
      </c>
      <c r="C64" s="127">
        <v>74</v>
      </c>
      <c r="D64" s="196" t="str">
        <f>VLOOKUP($C64,Language!$D$5:$E$100,2,0)</f>
        <v>Ghana</v>
      </c>
      <c r="E64" s="581" t="b">
        <f>OR(CalcL!$K$7&gt;0,CalcL!$I$7&gt;0)</f>
        <v>1</v>
      </c>
    </row>
    <row r="65" spans="2:5" ht="15.75" thickBot="1" x14ac:dyDescent="0.3">
      <c r="B65" s="123" t="s">
        <v>979</v>
      </c>
      <c r="C65" s="407">
        <v>33</v>
      </c>
      <c r="D65" s="408" t="str">
        <f>VLOOKUP($C65,Language!$D$5:$E$100,2,0)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3" t="str">
        <f>Language!$E$125</f>
        <v>Matches</v>
      </c>
      <c r="C1" s="1133"/>
      <c r="D1" s="1133"/>
      <c r="E1" s="1133"/>
      <c r="F1" s="1133"/>
      <c r="G1" s="1133"/>
      <c r="H1" s="1133"/>
      <c r="I1" s="1133"/>
      <c r="J1" s="1133"/>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4" t="s">
        <v>303</v>
      </c>
      <c r="D3" s="1134"/>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$E4-VLOOKUP($G4,TimeZone!$L$4:$O$19,4,0)+VLOOKUP(TimeZone!$H$1,TimeZone!$C$4:$E$40,3,0)</f>
        <v>46184.875</v>
      </c>
      <c r="G4" s="179">
        <v>14</v>
      </c>
      <c r="H4" s="178" t="str">
        <f>VLOOKUP($G4,Language!$D$103:$E$118,2,0)</f>
        <v>Mexico City</v>
      </c>
      <c r="I4" s="103" t="str">
        <f>VLOOKUP(C4,Groups!$B$7:$D$65,3,0)</f>
        <v>Mexico</v>
      </c>
      <c r="J4" s="103" t="str">
        <f>VLOOKUP(D4,Groups!$B$7:$D$65,3,0)</f>
        <v>South Africa</v>
      </c>
      <c r="K4" s="95"/>
      <c r="N4" s="85"/>
    </row>
    <row r="5" spans="1:24" x14ac:dyDescent="0.25">
      <c r="B5" s="188">
        <v>2</v>
      </c>
      <c r="C5" s="186" t="s">
        <v>173</v>
      </c>
      <c r="D5" s="187" t="s">
        <v>968</v>
      </c>
      <c r="E5" s="168">
        <v>46184.916666666664</v>
      </c>
      <c r="F5" s="66">
        <f>$E5-VLOOKUP($G5,TimeZone!$L$4:$O$19,4,0)+VLOOKUP(TimeZone!$H$1,TimeZone!$C$4:$E$40,3,0)</f>
        <v>46185.166666666664</v>
      </c>
      <c r="G5" s="181">
        <v>15</v>
      </c>
      <c r="H5" s="178" t="str">
        <f>VLOOKUP($G5,Language!$D$103:$E$118,2,0)</f>
        <v>Guadalajara</v>
      </c>
      <c r="I5" s="103" t="str">
        <f>VLOOKUP(C5,Groups!$B$7:$D$65,3,0)</f>
        <v>South Korea</v>
      </c>
      <c r="J5" s="103" t="str">
        <f>VLOOKUP(D5,Groups!$B$7:$D$65,3,0)</f>
        <v>Czechia</v>
      </c>
      <c r="K5" s="95"/>
    </row>
    <row r="6" spans="1:24" x14ac:dyDescent="0.25">
      <c r="B6" s="188">
        <v>3</v>
      </c>
      <c r="C6" s="186" t="s">
        <v>174</v>
      </c>
      <c r="D6" s="187" t="s">
        <v>175</v>
      </c>
      <c r="E6" s="168">
        <v>46185.625</v>
      </c>
      <c r="F6" s="66">
        <f>$E6-VLOOKUP($G6,TimeZone!$L$4:$O$19,4,0)+VLOOKUP(TimeZone!$H$1,TimeZone!$C$4:$E$40,3,0)</f>
        <v>46185.875</v>
      </c>
      <c r="G6" s="181">
        <v>2</v>
      </c>
      <c r="H6" s="178" t="str">
        <f>VLOOKUP($G6,Language!$D$103:$E$118,2,0)</f>
        <v>Toronto</v>
      </c>
      <c r="I6" s="103" t="str">
        <f>VLOOKUP(C6,Groups!$B$7:$D$65,3,0)</f>
        <v>Canada</v>
      </c>
      <c r="J6" s="103" t="str">
        <f>VLOOKUP(D6,Groups!$B$7:$D$65,3,0)</f>
        <v>Bosnia/Herzeg.</v>
      </c>
      <c r="K6" s="95"/>
    </row>
    <row r="7" spans="1:24" x14ac:dyDescent="0.25">
      <c r="B7" s="188">
        <v>4</v>
      </c>
      <c r="C7" s="186" t="s">
        <v>180</v>
      </c>
      <c r="D7" s="187" t="s">
        <v>181</v>
      </c>
      <c r="E7" s="168">
        <v>46185.875</v>
      </c>
      <c r="F7" s="66">
        <f>$E7-VLOOKUP($G7,TimeZone!$L$4:$O$19,4,0)+VLOOKUP(TimeZone!$H$1,TimeZone!$C$4:$E$40,3,0)</f>
        <v>46186.125</v>
      </c>
      <c r="G7" s="181">
        <v>8</v>
      </c>
      <c r="H7" s="178" t="str">
        <f>VLOOKUP($G7,Language!$D$103:$E$118,2,0)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$E8-VLOOKUP($G8,TimeZone!$L$4:$O$19,4,0)+VLOOKUP(TimeZone!$H$1,TimeZone!$C$4:$E$40,3,0)</f>
        <v>46187.125</v>
      </c>
      <c r="G8" s="181">
        <v>12</v>
      </c>
      <c r="H8" s="178" t="str">
        <f>VLOOKUP($G8,Language!$D$103:$E$118,2,0)</f>
        <v>Boston</v>
      </c>
      <c r="I8" s="103" t="str">
        <f>VLOOKUP(C8,Groups!$B$7:$D$65,3,0)</f>
        <v>Haiti</v>
      </c>
      <c r="J8" s="103" t="str">
        <f>VLOOKUP(D8,Groups!$B$7:$D$65,3,0)</f>
        <v>Scotland</v>
      </c>
      <c r="K8" s="95"/>
    </row>
    <row r="9" spans="1:24" x14ac:dyDescent="0.25">
      <c r="B9" s="188">
        <v>6</v>
      </c>
      <c r="C9" s="186" t="s">
        <v>182</v>
      </c>
      <c r="D9" s="187" t="s">
        <v>971</v>
      </c>
      <c r="E9" s="168">
        <v>46187</v>
      </c>
      <c r="F9" s="66">
        <f>$E9-VLOOKUP($G9,TimeZone!$L$4:$O$19,4,0)+VLOOKUP(TimeZone!$H$1,TimeZone!$C$4:$E$40,3,0)</f>
        <v>46187.25</v>
      </c>
      <c r="G9" s="181">
        <v>1</v>
      </c>
      <c r="H9" s="178" t="str">
        <f>VLOOKUP($G9,Language!$D$103:$E$118,2,0)</f>
        <v>Vancouver</v>
      </c>
      <c r="I9" s="103" t="str">
        <f>VLOOKUP(C9,Groups!$B$7:$D$65,3,0)</f>
        <v>Australia</v>
      </c>
      <c r="J9" s="103" t="str">
        <f>VLOOKUP(D9,Groups!$B$7:$D$65,3,0)</f>
        <v>Turkiye</v>
      </c>
      <c r="K9" s="95"/>
    </row>
    <row r="10" spans="1:24" x14ac:dyDescent="0.25">
      <c r="B10" s="188">
        <v>7</v>
      </c>
      <c r="C10" s="186" t="s">
        <v>177</v>
      </c>
      <c r="D10" s="187" t="s">
        <v>178</v>
      </c>
      <c r="E10" s="168">
        <v>46186.75</v>
      </c>
      <c r="F10" s="66">
        <f>$E10-VLOOKUP($G10,TimeZone!$L$4:$O$19,4,0)+VLOOKUP(TimeZone!$H$1,TimeZone!$C$4:$E$40,3,0)</f>
        <v>46187</v>
      </c>
      <c r="G10" s="181">
        <v>3</v>
      </c>
      <c r="H10" s="178" t="str">
        <f>VLOOKUP($G10,Language!$D$103:$E$118,2,0)</f>
        <v>New York/New Jersey</v>
      </c>
      <c r="I10" s="103" t="str">
        <f>VLOOKUP(C10,Groups!$B$7:$D$65,3,0)</f>
        <v>Brazil</v>
      </c>
      <c r="J10" s="103" t="str">
        <f>VLOOKUP(D10,Groups!$B$7:$D$65,3,0)</f>
        <v>Morocco</v>
      </c>
      <c r="K10" s="95"/>
    </row>
    <row r="11" spans="1:24" x14ac:dyDescent="0.25">
      <c r="B11" s="188">
        <v>8</v>
      </c>
      <c r="C11" s="186" t="s">
        <v>176</v>
      </c>
      <c r="D11" s="187" t="s">
        <v>969</v>
      </c>
      <c r="E11" s="168">
        <v>46186.625</v>
      </c>
      <c r="F11" s="66">
        <f>$E11-VLOOKUP($G11,TimeZone!$L$4:$O$19,4,0)+VLOOKUP(TimeZone!$H$1,TimeZone!$C$4:$E$40,3,0)</f>
        <v>46186.875</v>
      </c>
      <c r="G11" s="181">
        <v>11</v>
      </c>
      <c r="H11" s="178" t="str">
        <f>VLOOKUP($G11,Language!$D$103:$E$118,2,0)</f>
        <v>San Francisco Bay Area</v>
      </c>
      <c r="I11" s="103" t="str">
        <f>VLOOKUP(C11,Groups!$B$7:$D$65,3,0)</f>
        <v>Qatar</v>
      </c>
      <c r="J11" s="103" t="str">
        <f>VLOOKUP(D11,Groups!$B$7:$D$65,3,0)</f>
        <v>Switzerland</v>
      </c>
      <c r="K11" s="95"/>
    </row>
    <row r="12" spans="1:24" x14ac:dyDescent="0.25">
      <c r="B12" s="188">
        <v>9</v>
      </c>
      <c r="C12" s="186" t="s">
        <v>185</v>
      </c>
      <c r="D12" s="187" t="s">
        <v>972</v>
      </c>
      <c r="E12" s="168">
        <v>46187.791666666664</v>
      </c>
      <c r="F12" s="66">
        <f>$E12-VLOOKUP($G12,TimeZone!$L$4:$O$19,4,0)+VLOOKUP(TimeZone!$H$1,TimeZone!$C$4:$E$40,3,0)</f>
        <v>46188.041666666664</v>
      </c>
      <c r="G12" s="181">
        <v>9</v>
      </c>
      <c r="H12" s="178" t="str">
        <f>VLOOKUP($G12,Language!$D$103:$E$118,2,0)</f>
        <v>Philadelphia</v>
      </c>
      <c r="I12" s="103" t="str">
        <f>VLOOKUP(C12,Groups!$B$7:$D$65,3,0)</f>
        <v>Cote d'Ivoire</v>
      </c>
      <c r="J12" s="103" t="str">
        <f>VLOOKUP(D12,Groups!$B$7:$D$65,3,0)</f>
        <v>Ecuador</v>
      </c>
      <c r="K12" s="95"/>
    </row>
    <row r="13" spans="1:24" x14ac:dyDescent="0.25">
      <c r="B13" s="188">
        <v>10</v>
      </c>
      <c r="C13" s="186" t="s">
        <v>183</v>
      </c>
      <c r="D13" s="187" t="s">
        <v>184</v>
      </c>
      <c r="E13" s="168">
        <v>46187.541666666664</v>
      </c>
      <c r="F13" s="66">
        <f>$E13-VLOOKUP($G13,TimeZone!$L$4:$O$19,4,0)+VLOOKUP(TimeZone!$H$1,TimeZone!$C$4:$E$40,3,0)</f>
        <v>46187.791666666664</v>
      </c>
      <c r="G13" s="181">
        <v>6</v>
      </c>
      <c r="H13" s="178" t="str">
        <f>VLOOKUP($G13,Language!$D$103:$E$118,2,0)</f>
        <v>Houston</v>
      </c>
      <c r="I13" s="103" t="str">
        <f>VLOOKUP(C13,Groups!$B$7:$D$65,3,0)</f>
        <v>Germany</v>
      </c>
      <c r="J13" s="103" t="str">
        <f>VLOOKUP(D13,Groups!$B$7:$D$65,3,0)</f>
        <v>Curaçao</v>
      </c>
      <c r="K13" s="95"/>
    </row>
    <row r="14" spans="1:24" x14ac:dyDescent="0.25">
      <c r="B14" s="188">
        <v>11</v>
      </c>
      <c r="C14" s="186" t="s">
        <v>266</v>
      </c>
      <c r="D14" s="187" t="s">
        <v>267</v>
      </c>
      <c r="E14" s="168">
        <v>46187.666666666664</v>
      </c>
      <c r="F14" s="66">
        <f>$E14-VLOOKUP($G14,TimeZone!$L$4:$O$19,4,0)+VLOOKUP(TimeZone!$H$1,TimeZone!$C$4:$E$40,3,0)</f>
        <v>46187.916666666664</v>
      </c>
      <c r="G14" s="181">
        <v>5</v>
      </c>
      <c r="H14" s="178" t="str">
        <f>VLOOKUP($G14,Language!$D$103:$E$118,2,0)</f>
        <v>Dallas</v>
      </c>
      <c r="I14" s="103" t="str">
        <f>VLOOKUP(C14,Groups!$B$7:$D$65,3,0)</f>
        <v>Netherlands</v>
      </c>
      <c r="J14" s="103" t="str">
        <f>VLOOKUP(D14,Groups!$B$7:$D$65,3,0)</f>
        <v>Japan</v>
      </c>
      <c r="K14" s="95"/>
    </row>
    <row r="15" spans="1:24" x14ac:dyDescent="0.25">
      <c r="B15" s="188">
        <v>12</v>
      </c>
      <c r="C15" s="186" t="s">
        <v>268</v>
      </c>
      <c r="D15" s="187" t="s">
        <v>973</v>
      </c>
      <c r="E15" s="168">
        <v>46187.916666666664</v>
      </c>
      <c r="F15" s="66">
        <f>$E15-VLOOKUP($G15,TimeZone!$L$4:$O$19,4,0)+VLOOKUP(TimeZone!$H$1,TimeZone!$C$4:$E$40,3,0)</f>
        <v>46188.166666666664</v>
      </c>
      <c r="G15" s="181">
        <v>16</v>
      </c>
      <c r="H15" s="178" t="str">
        <f>VLOOKUP($G15,Language!$D$103:$E$118,2,0)</f>
        <v>Monterrey</v>
      </c>
      <c r="I15" s="103" t="str">
        <f>VLOOKUP(C15,Groups!$B$7:$D$65,3,0)</f>
        <v>Sweden</v>
      </c>
      <c r="J15" s="103" t="str">
        <f>VLOOKUP(D15,Groups!$B$7:$D$65,3,0)</f>
        <v>Tunisia</v>
      </c>
      <c r="K15" s="95"/>
    </row>
    <row r="16" spans="1:24" x14ac:dyDescent="0.25">
      <c r="B16" s="188">
        <v>13</v>
      </c>
      <c r="C16" s="186" t="s">
        <v>271</v>
      </c>
      <c r="D16" s="187" t="s">
        <v>975</v>
      </c>
      <c r="E16" s="168">
        <v>46188.75</v>
      </c>
      <c r="F16" s="66">
        <f>$E16-VLOOKUP($G16,TimeZone!$L$4:$O$19,4,0)+VLOOKUP(TimeZone!$H$1,TimeZone!$C$4:$E$40,3,0)</f>
        <v>46189</v>
      </c>
      <c r="G16" s="181">
        <v>13</v>
      </c>
      <c r="H16" s="178" t="str">
        <f>VLOOKUP($G16,Language!$D$103:$E$118,2,0)</f>
        <v>Miami</v>
      </c>
      <c r="I16" s="103" t="str">
        <f>VLOOKUP(C16,Groups!$B$7:$D$65,3,0)</f>
        <v>Saudi Arabia</v>
      </c>
      <c r="J16" s="103" t="str">
        <f>VLOOKUP(D16,Groups!$B$7:$D$65,3,0)</f>
        <v>Uruguay</v>
      </c>
      <c r="K16" s="95"/>
    </row>
    <row r="17" spans="2:24" x14ac:dyDescent="0.25">
      <c r="B17" s="188">
        <v>14</v>
      </c>
      <c r="C17" s="186" t="s">
        <v>269</v>
      </c>
      <c r="D17" s="187" t="s">
        <v>270</v>
      </c>
      <c r="E17" s="168">
        <v>46188.5</v>
      </c>
      <c r="F17" s="66">
        <f>$E17-VLOOKUP($G17,TimeZone!$L$4:$O$19,4,0)+VLOOKUP(TimeZone!$H$1,TimeZone!$C$4:$E$40,3,0)</f>
        <v>46188.75</v>
      </c>
      <c r="G17" s="181">
        <v>7</v>
      </c>
      <c r="H17" s="178" t="str">
        <f>VLOOKUP($G17,Language!$D$103:$E$118,2,0)</f>
        <v>Atlanta</v>
      </c>
      <c r="I17" s="103" t="str">
        <f>VLOOKUP(C17,Groups!$B$7:$D$65,3,0)</f>
        <v>Spain</v>
      </c>
      <c r="J17" s="103" t="str">
        <f>VLOOKUP(D17,Groups!$B$7:$D$65,3,0)</f>
        <v>Cabo Verde</v>
      </c>
      <c r="K17" s="95"/>
    </row>
    <row r="18" spans="2:24" x14ac:dyDescent="0.25">
      <c r="B18" s="188">
        <v>15</v>
      </c>
      <c r="C18" s="186" t="s">
        <v>188</v>
      </c>
      <c r="D18" s="187" t="s">
        <v>974</v>
      </c>
      <c r="E18" s="168">
        <v>46188.875</v>
      </c>
      <c r="F18" s="66">
        <f>$E18-VLOOKUP($G18,TimeZone!$L$4:$O$19,4,0)+VLOOKUP(TimeZone!$H$1,TimeZone!$C$4:$E$40,3,0)</f>
        <v>46189.125</v>
      </c>
      <c r="G18" s="181">
        <v>8</v>
      </c>
      <c r="H18" s="178" t="str">
        <f>VLOOKUP($G18,Language!$D$103:$E$118,2,0)</f>
        <v>Los Angeles</v>
      </c>
      <c r="I18" s="103" t="str">
        <f>VLOOKUP(C18,Groups!$B$7:$D$65,3,0)</f>
        <v>IR Iran</v>
      </c>
      <c r="J18" s="103" t="str">
        <f>VLOOKUP(D18,Groups!$B$7:$D$65,3,0)</f>
        <v>New Zealand</v>
      </c>
      <c r="K18" s="95"/>
    </row>
    <row r="19" spans="2:24" x14ac:dyDescent="0.25">
      <c r="B19" s="188">
        <v>16</v>
      </c>
      <c r="C19" s="186" t="s">
        <v>186</v>
      </c>
      <c r="D19" s="187" t="s">
        <v>187</v>
      </c>
      <c r="E19" s="168">
        <v>46188.625</v>
      </c>
      <c r="F19" s="66">
        <f>$E19-VLOOKUP($G19,TimeZone!$L$4:$O$19,4,0)+VLOOKUP(TimeZone!$H$1,TimeZone!$C$4:$E$40,3,0)</f>
        <v>46188.875</v>
      </c>
      <c r="G19" s="181">
        <v>10</v>
      </c>
      <c r="H19" s="178" t="str">
        <f>VLOOKUP($G19,Language!$D$103:$E$118,2,0)</f>
        <v>Seattle</v>
      </c>
      <c r="I19" s="103" t="str">
        <f>VLOOKUP(C19,Groups!$B$7:$D$65,3,0)</f>
        <v>Belgium</v>
      </c>
      <c r="J19" s="103" t="str">
        <f>VLOOKUP(D19,Groups!$B$7:$D$65,3,0)</f>
        <v>Egypt</v>
      </c>
      <c r="K19" s="95"/>
    </row>
    <row r="20" spans="2:24" x14ac:dyDescent="0.25">
      <c r="B20" s="188">
        <v>17</v>
      </c>
      <c r="C20" s="186" t="s">
        <v>831</v>
      </c>
      <c r="D20" s="187" t="s">
        <v>832</v>
      </c>
      <c r="E20" s="168">
        <v>46189.625</v>
      </c>
      <c r="F20" s="66">
        <f>$E20-VLOOKUP($G20,TimeZone!$L$4:$O$19,4,0)+VLOOKUP(TimeZone!$H$1,TimeZone!$C$4:$E$40,3,0)</f>
        <v>46189.875</v>
      </c>
      <c r="G20" s="181">
        <v>3</v>
      </c>
      <c r="H20" s="178" t="str">
        <f>VLOOKUP($G20,Language!$D$103:$E$118,2,0)</f>
        <v>New York/New Jersey</v>
      </c>
      <c r="I20" s="103" t="str">
        <f>VLOOKUP(C20,Groups!$B$7:$D$65,3,0)</f>
        <v>France</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$E21-VLOOKUP($G21,TimeZone!$L$4:$O$19,4,0)+VLOOKUP(TimeZone!$H$1,TimeZone!$C$4:$E$40,3,0)</f>
        <v>46190</v>
      </c>
      <c r="G21" s="181">
        <v>12</v>
      </c>
      <c r="H21" s="178" t="str">
        <f>VLOOKUP($G21,Language!$D$103:$E$118,2,0)</f>
        <v>Boston</v>
      </c>
      <c r="I21" s="103" t="str">
        <f>VLOOKUP(C21,Groups!$B$7:$D$65,3,0)</f>
        <v>Iraq</v>
      </c>
      <c r="J21" s="103" t="str">
        <f>VLOOKUP(D21,Groups!$B$7:$D$65,3,0)</f>
        <v>Norway</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$E22-VLOOKUP($G22,TimeZone!$L$4:$O$19,4,0)+VLOOKUP(TimeZone!$H$1,TimeZone!$C$4:$E$40,3,0)</f>
        <v>46190.125</v>
      </c>
      <c r="G22" s="181">
        <v>4</v>
      </c>
      <c r="H22" s="178" t="str">
        <f>VLOOKUP($G22,Language!$D$103:$E$118,2,0)</f>
        <v>Kansas City</v>
      </c>
      <c r="I22" s="103" t="str">
        <f>VLOOKUP(C22,Groups!$B$7:$D$65,3,0)</f>
        <v>Argentina</v>
      </c>
      <c r="J22" s="103" t="str">
        <f>VLOOKUP(D22,Groups!$B$7:$D$65,3,0)</f>
        <v>Algeria</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$E23-VLOOKUP($G23,TimeZone!$L$4:$O$19,4,0)+VLOOKUP(TimeZone!$H$1,TimeZone!$C$4:$E$40,3,0)</f>
        <v>46190.25</v>
      </c>
      <c r="G23" s="181">
        <v>11</v>
      </c>
      <c r="H23" s="178" t="str">
        <f>VLOOKUP($G23,Language!$D$103:$E$118,2,0)</f>
        <v>San Francisco Bay Area</v>
      </c>
      <c r="I23" s="103" t="str">
        <f>VLOOKUP(C23,Groups!$B$7:$D$65,3,0)</f>
        <v>Austria</v>
      </c>
      <c r="J23" s="103" t="str">
        <f>VLOOKUP(D23,Groups!$B$7:$D$65,3,0)</f>
        <v>Jordan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$E24-VLOOKUP($G24,TimeZone!$L$4:$O$19,4,0)+VLOOKUP(TimeZone!$H$1,TimeZone!$C$4:$E$40,3,0)</f>
        <v>46191.041666666664</v>
      </c>
      <c r="G24" s="181">
        <v>2</v>
      </c>
      <c r="H24" s="178" t="str">
        <f>VLOOKUP($G24,Language!$D$103:$E$118,2,0)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$E25-VLOOKUP($G25,TimeZone!$L$4:$O$19,4,0)+VLOOKUP(TimeZone!$H$1,TimeZone!$C$4:$E$40,3,0)</f>
        <v>46190.916666666664</v>
      </c>
      <c r="G25" s="181">
        <v>5</v>
      </c>
      <c r="H25" s="178" t="str">
        <f>VLOOKUP($G25,Language!$D$103:$E$118,2,0)</f>
        <v>Dallas</v>
      </c>
      <c r="I25" s="103" t="str">
        <f>VLOOKUP(C25,Groups!$B$7:$D$65,3,0)</f>
        <v>England</v>
      </c>
      <c r="J25" s="103" t="str">
        <f>VLOOKUP(D25,Groups!$B$7:$D$65,3,0)</f>
        <v>Croatia</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$E26-VLOOKUP($G26,TimeZone!$L$4:$O$19,4,0)+VLOOKUP(TimeZone!$H$1,TimeZone!$C$4:$E$40,3,0)</f>
        <v>46190.791666666664</v>
      </c>
      <c r="G26" s="181">
        <v>6</v>
      </c>
      <c r="H26" s="178" t="str">
        <f>VLOOKUP($G26,Language!$D$103:$E$118,2,0)</f>
        <v>Houston</v>
      </c>
      <c r="I26" s="103" t="str">
        <f>VLOOKUP(C26,Groups!$B$7:$D$65,3,0)</f>
        <v>Portugal</v>
      </c>
      <c r="J26" s="103" t="str">
        <f>VLOOKUP(D26,Groups!$B$7:$D$65,3,0)</f>
        <v>DR Congo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$E27-VLOOKUP($G27,TimeZone!$L$4:$O$19,4,0)+VLOOKUP(TimeZone!$H$1,TimeZone!$C$4:$E$40,3,0)</f>
        <v>46191.166666666664</v>
      </c>
      <c r="G27" s="179">
        <v>14</v>
      </c>
      <c r="H27" s="178" t="str">
        <f>VLOOKUP($G27,Language!$D$103:$E$118,2,0)</f>
        <v>Mexico City</v>
      </c>
      <c r="I27" s="103" t="str">
        <f>VLOOKUP(C27,Groups!$B$7:$D$65,3,0)</f>
        <v>Uzbekistan</v>
      </c>
      <c r="J27" s="103" t="str">
        <f>VLOOKUP(D27,Groups!$B$7:$D$65,3,0)</f>
        <v>Colombia</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$E28-VLOOKUP($G28,TimeZone!$L$4:$O$19,4,0)+VLOOKUP(TimeZone!$H$1,TimeZone!$C$4:$E$40,3,0)</f>
        <v>46191.75</v>
      </c>
      <c r="G28" s="181">
        <v>7</v>
      </c>
      <c r="H28" s="178" t="str">
        <f>VLOOKUP($G28,Language!$D$103:$E$118,2,0)</f>
        <v>Atlanta</v>
      </c>
      <c r="I28" s="103" t="str">
        <f>VLOOKUP(C28,Groups!$B$7:$D$65,3,0)</f>
        <v>Czechia</v>
      </c>
      <c r="J28" s="103" t="str">
        <f>VLOOKUP(D28,Groups!$B$7:$D$65,3,0)</f>
        <v>South Africa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$E29-VLOOKUP($G29,TimeZone!$L$4:$O$19,4,0)+VLOOKUP(TimeZone!$H$1,TimeZone!$C$4:$E$40,3,0)</f>
        <v>46191.875</v>
      </c>
      <c r="G29" s="181">
        <v>8</v>
      </c>
      <c r="H29" s="178" t="str">
        <f>VLOOKUP($G29,Language!$D$103:$E$118,2,0)</f>
        <v>Los Angeles</v>
      </c>
      <c r="I29" s="103" t="str">
        <f>VLOOKUP(C29,Groups!$B$7:$D$65,3,0)</f>
        <v>Switzerland</v>
      </c>
      <c r="J29" s="103" t="str">
        <f>VLOOKUP(D29,Groups!$B$7:$D$65,3,0)</f>
        <v>Bosnia/Herzeg.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$E30-VLOOKUP($G30,TimeZone!$L$4:$O$19,4,0)+VLOOKUP(TimeZone!$H$1,TimeZone!$C$4:$E$40,3,0)</f>
        <v>46192</v>
      </c>
      <c r="G30" s="181">
        <v>1</v>
      </c>
      <c r="H30" s="178" t="str">
        <f>VLOOKUP($G30,Language!$D$103:$E$118,2,0)</f>
        <v>Vancouver</v>
      </c>
      <c r="I30" s="103" t="str">
        <f>VLOOKUP(C30,Groups!$B$7:$D$65,3,0)</f>
        <v>Canada</v>
      </c>
      <c r="J30" s="103" t="str">
        <f>VLOOKUP(D30,Groups!$B$7:$D$65,3,0)</f>
        <v>Qatar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$E31-VLOOKUP($G31,TimeZone!$L$4:$O$19,4,0)+VLOOKUP(TimeZone!$H$1,TimeZone!$C$4:$E$40,3,0)</f>
        <v>46192.125</v>
      </c>
      <c r="G31" s="181">
        <v>15</v>
      </c>
      <c r="H31" s="178" t="str">
        <f>VLOOKUP($G31,Language!$D$103:$E$118,2,0)</f>
        <v>Guadalajara</v>
      </c>
      <c r="I31" s="103" t="str">
        <f>VLOOKUP(C31,Groups!$B$7:$D$65,3,0)</f>
        <v>Mexico</v>
      </c>
      <c r="J31" s="103" t="str">
        <f>VLOOKUP(D31,Groups!$B$7:$D$65,3,0)</f>
        <v>South 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$E32-VLOOKUP($G32,TimeZone!$L$4:$O$19,4,0)+VLOOKUP(TimeZone!$H$1,TimeZone!$C$4:$E$40,3,0)</f>
        <v>46193.104166666664</v>
      </c>
      <c r="G32" s="181">
        <v>9</v>
      </c>
      <c r="H32" s="178" t="str">
        <f>VLOOKUP($G32,Language!$D$103:$E$118,2,0)</f>
        <v>Philadelphia</v>
      </c>
      <c r="I32" s="103" t="str">
        <f>VLOOKUP(C32,Groups!$B$7:$D$65,3,0)</f>
        <v>Brazil</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$E33-VLOOKUP($G33,TimeZone!$L$4:$O$19,4,0)+VLOOKUP(TimeZone!$H$1,TimeZone!$C$4:$E$40,3,0)</f>
        <v>46193</v>
      </c>
      <c r="G33" s="181">
        <v>12</v>
      </c>
      <c r="H33" s="178" t="str">
        <f>VLOOKUP($G33,Language!$D$103:$E$118,2,0)</f>
        <v>Boston</v>
      </c>
      <c r="I33" s="103" t="str">
        <f>VLOOKUP(C33,Groups!$B$7:$D$65,3,0)</f>
        <v>Scotland</v>
      </c>
      <c r="J33" s="103" t="str">
        <f>VLOOKUP(D33,Groups!$B$7:$D$65,3,0)</f>
        <v>Morocco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$E34-VLOOKUP($G34,TimeZone!$L$4:$O$19,4,0)+VLOOKUP(TimeZone!$H$1,TimeZone!$C$4:$E$40,3,0)</f>
        <v>46193.208333333336</v>
      </c>
      <c r="G34" s="181">
        <v>11</v>
      </c>
      <c r="H34" s="178" t="str">
        <f>VLOOKUP($G34,Language!$D$103:$E$118,2,0)</f>
        <v>San Francisco Bay Area</v>
      </c>
      <c r="I34" s="103" t="str">
        <f>VLOOKUP(C34,Groups!$B$7:$D$65,3,0)</f>
        <v>Turkiye</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$E35-VLOOKUP($G35,TimeZone!$L$4:$O$19,4,0)+VLOOKUP(TimeZone!$H$1,TimeZone!$C$4:$E$40,3,0)</f>
        <v>46192.875</v>
      </c>
      <c r="G35" s="181">
        <v>10</v>
      </c>
      <c r="H35" s="178" t="str">
        <f>VLOOKUP($G35,Language!$D$103:$E$118,2,0)</f>
        <v>Seattle</v>
      </c>
      <c r="I35" s="103" t="str">
        <f>VLOOKUP(C35,Groups!$B$7:$D$65,3,0)</f>
        <v>USA</v>
      </c>
      <c r="J35" s="103" t="str">
        <f>VLOOKUP(D35,Groups!$B$7:$D$65,3,0)</f>
        <v>Australia</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$E36-VLOOKUP($G36,TimeZone!$L$4:$O$19,4,0)+VLOOKUP(TimeZone!$H$1,TimeZone!$C$4:$E$40,3,0)</f>
        <v>46193.916666666664</v>
      </c>
      <c r="G36" s="181">
        <v>2</v>
      </c>
      <c r="H36" s="178" t="str">
        <f>VLOOKUP($G36,Language!$D$103:$E$118,2,0)</f>
        <v>Toronto</v>
      </c>
      <c r="I36" s="103" t="str">
        <f>VLOOKUP(C36,Groups!$B$7:$D$65,3,0)</f>
        <v>Germany</v>
      </c>
      <c r="J36" s="103" t="str">
        <f>VLOOKUP(D36,Groups!$B$7:$D$65,3,0)</f>
        <v>Cote d'Ivoire</v>
      </c>
      <c r="K36" s="95"/>
    </row>
    <row r="37" spans="2:24" x14ac:dyDescent="0.25">
      <c r="B37" s="188">
        <v>34</v>
      </c>
      <c r="C37" s="186" t="s">
        <v>972</v>
      </c>
      <c r="D37" s="187" t="s">
        <v>184</v>
      </c>
      <c r="E37" s="168">
        <v>46193.833333333336</v>
      </c>
      <c r="F37" s="66">
        <f>$E37-VLOOKUP($G37,TimeZone!$L$4:$O$19,4,0)+VLOOKUP(TimeZone!$H$1,TimeZone!$C$4:$E$40,3,0)</f>
        <v>46194.083333333336</v>
      </c>
      <c r="G37" s="181">
        <v>4</v>
      </c>
      <c r="H37" s="178" t="str">
        <f>VLOOKUP($G37,Language!$D$103:$E$118,2,0)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$E38-VLOOKUP($G38,TimeZone!$L$4:$O$19,4,0)+VLOOKUP(TimeZone!$H$1,TimeZone!$C$4:$E$40,3,0)</f>
        <v>46193.791666666664</v>
      </c>
      <c r="G38" s="181">
        <v>6</v>
      </c>
      <c r="H38" s="178" t="str">
        <f>VLOOKUP($G38,Language!$D$103:$E$118,2,0)</f>
        <v>Houston</v>
      </c>
      <c r="I38" s="103" t="str">
        <f>VLOOKUP(C38,Groups!$B$7:$D$65,3,0)</f>
        <v>Netherlands</v>
      </c>
      <c r="J38" s="103" t="str">
        <f>VLOOKUP(D38,Groups!$B$7:$D$65,3,0)</f>
        <v>Sweden</v>
      </c>
      <c r="K38" s="95"/>
    </row>
    <row r="39" spans="2:24" x14ac:dyDescent="0.25">
      <c r="B39" s="188">
        <v>36</v>
      </c>
      <c r="C39" s="186" t="s">
        <v>973</v>
      </c>
      <c r="D39" s="187" t="s">
        <v>267</v>
      </c>
      <c r="E39" s="168">
        <v>46194</v>
      </c>
      <c r="F39" s="66">
        <f>$E39-VLOOKUP($G39,TimeZone!$L$4:$O$19,4,0)+VLOOKUP(TimeZone!$H$1,TimeZone!$C$4:$E$40,3,0)</f>
        <v>46194.25</v>
      </c>
      <c r="G39" s="181">
        <v>16</v>
      </c>
      <c r="H39" s="178" t="str">
        <f>VLOOKUP($G39,Language!$D$103:$E$118,2,0)</f>
        <v>Monterrey</v>
      </c>
      <c r="I39" s="103" t="str">
        <f>VLOOKUP(C39,Groups!$B$7:$D$65,3,0)</f>
        <v>Tunisia</v>
      </c>
      <c r="J39" s="103" t="str">
        <f>VLOOKUP(D39,Groups!$B$7:$D$65,3,0)</f>
        <v>Japan</v>
      </c>
      <c r="K39" s="95"/>
    </row>
    <row r="40" spans="2:24" x14ac:dyDescent="0.25">
      <c r="B40" s="188">
        <v>37</v>
      </c>
      <c r="C40" s="186" t="s">
        <v>975</v>
      </c>
      <c r="D40" s="187" t="s">
        <v>270</v>
      </c>
      <c r="E40" s="168">
        <v>46194.75</v>
      </c>
      <c r="F40" s="66">
        <f>$E40-VLOOKUP($G40,TimeZone!$L$4:$O$19,4,0)+VLOOKUP(TimeZone!$H$1,TimeZone!$C$4:$E$40,3,0)</f>
        <v>46195</v>
      </c>
      <c r="G40" s="181">
        <v>13</v>
      </c>
      <c r="H40" s="178" t="str">
        <f>VLOOKUP($G40,Language!$D$103:$E$118,2,0)</f>
        <v>Miami</v>
      </c>
      <c r="I40" s="103" t="str">
        <f>VLOOKUP(C40,Groups!$B$7:$D$65,3,0)</f>
        <v>Uruguay</v>
      </c>
      <c r="J40" s="103" t="str">
        <f>VLOOKUP(D40,Groups!$B$7:$D$65,3,0)</f>
        <v>Cabo Verde</v>
      </c>
      <c r="K40" s="95"/>
    </row>
    <row r="41" spans="2:24" x14ac:dyDescent="0.25">
      <c r="B41" s="188">
        <v>38</v>
      </c>
      <c r="C41" s="186" t="s">
        <v>269</v>
      </c>
      <c r="D41" s="187" t="s">
        <v>271</v>
      </c>
      <c r="E41" s="168">
        <v>46194.5</v>
      </c>
      <c r="F41" s="66">
        <f>$E41-VLOOKUP($G41,TimeZone!$L$4:$O$19,4,0)+VLOOKUP(TimeZone!$H$1,TimeZone!$C$4:$E$40,3,0)</f>
        <v>46194.75</v>
      </c>
      <c r="G41" s="181">
        <v>7</v>
      </c>
      <c r="H41" s="178" t="str">
        <f>VLOOKUP($G41,Language!$D$103:$E$118,2,0)</f>
        <v>Atlanta</v>
      </c>
      <c r="I41" s="103" t="str">
        <f>VLOOKUP(C41,Groups!$B$7:$D$65,3,0)</f>
        <v>Spain</v>
      </c>
      <c r="J41" s="103" t="str">
        <f>VLOOKUP(D41,Groups!$B$7:$D$65,3,0)</f>
        <v>Saudi Arabia</v>
      </c>
      <c r="K41" s="95"/>
    </row>
    <row r="42" spans="2:24" x14ac:dyDescent="0.25">
      <c r="B42" s="188">
        <v>39</v>
      </c>
      <c r="C42" s="186" t="s">
        <v>186</v>
      </c>
      <c r="D42" s="187" t="s">
        <v>188</v>
      </c>
      <c r="E42" s="168">
        <v>46194.625</v>
      </c>
      <c r="F42" s="66">
        <f>$E42-VLOOKUP($G42,TimeZone!$L$4:$O$19,4,0)+VLOOKUP(TimeZone!$H$1,TimeZone!$C$4:$E$40,3,0)</f>
        <v>46194.875</v>
      </c>
      <c r="G42" s="181">
        <v>8</v>
      </c>
      <c r="H42" s="178" t="str">
        <f>VLOOKUP($G42,Language!$D$103:$E$118,2,0)</f>
        <v>Los Angeles</v>
      </c>
      <c r="I42" s="103" t="str">
        <f>VLOOKUP(C42,Groups!$B$7:$D$65,3,0)</f>
        <v>Belgium</v>
      </c>
      <c r="J42" s="103" t="str">
        <f>VLOOKUP(D42,Groups!$B$7:$D$65,3,0)</f>
        <v>IR Iran</v>
      </c>
      <c r="K42" s="95"/>
    </row>
    <row r="43" spans="2:24" x14ac:dyDescent="0.25">
      <c r="B43" s="188">
        <v>40</v>
      </c>
      <c r="C43" s="186" t="s">
        <v>974</v>
      </c>
      <c r="D43" s="187" t="s">
        <v>187</v>
      </c>
      <c r="E43" s="168">
        <v>46194.875</v>
      </c>
      <c r="F43" s="66">
        <f>$E43-VLOOKUP($G43,TimeZone!$L$4:$O$19,4,0)+VLOOKUP(TimeZone!$H$1,TimeZone!$C$4:$E$40,3,0)</f>
        <v>46195.125</v>
      </c>
      <c r="G43" s="181">
        <v>1</v>
      </c>
      <c r="H43" s="178" t="str">
        <f>VLOOKUP($G43,Language!$D$103:$E$118,2,0)</f>
        <v>Vancouver</v>
      </c>
      <c r="I43" s="103" t="str">
        <f>VLOOKUP(C43,Groups!$B$7:$D$65,3,0)</f>
        <v>New Zealand</v>
      </c>
      <c r="J43" s="103" t="str">
        <f>VLOOKUP(D43,Groups!$B$7:$D$65,3,0)</f>
        <v>Egypt</v>
      </c>
      <c r="K43" s="95"/>
    </row>
    <row r="44" spans="2:24" x14ac:dyDescent="0.25">
      <c r="B44" s="188">
        <v>41</v>
      </c>
      <c r="C44" s="186" t="s">
        <v>976</v>
      </c>
      <c r="D44" s="187" t="s">
        <v>832</v>
      </c>
      <c r="E44" s="168">
        <v>46195.833333333336</v>
      </c>
      <c r="F44" s="66">
        <f>$E44-VLOOKUP($G44,TimeZone!$L$4:$O$19,4,0)+VLOOKUP(TimeZone!$H$1,TimeZone!$C$4:$E$40,3,0)</f>
        <v>46196.083333333336</v>
      </c>
      <c r="G44" s="181">
        <v>3</v>
      </c>
      <c r="H44" s="178" t="str">
        <f>VLOOKUP($G44,Language!$D$103:$E$118,2,0)</f>
        <v>New York/New Jersey</v>
      </c>
      <c r="I44" s="103" t="str">
        <f>VLOOKUP(C44,Groups!$B$7:$D$65,3,0)</f>
        <v>Norway</v>
      </c>
      <c r="J44" s="103" t="str">
        <f>VLOOKUP(D44,Groups!$B$7:$D$65,3,0)</f>
        <v>Senegal</v>
      </c>
      <c r="K44" s="95"/>
    </row>
    <row r="45" spans="2:24" x14ac:dyDescent="0.25">
      <c r="B45" s="188">
        <v>42</v>
      </c>
      <c r="C45" s="186" t="s">
        <v>831</v>
      </c>
      <c r="D45" s="187" t="s">
        <v>833</v>
      </c>
      <c r="E45" s="168">
        <v>46195.708333333336</v>
      </c>
      <c r="F45" s="66">
        <f>$E45-VLOOKUP($G45,TimeZone!$L$4:$O$19,4,0)+VLOOKUP(TimeZone!$H$1,TimeZone!$C$4:$E$40,3,0)</f>
        <v>46195.958333333336</v>
      </c>
      <c r="G45" s="181">
        <v>9</v>
      </c>
      <c r="H45" s="178" t="str">
        <f>VLOOKUP($G45,Language!$D$103:$E$118,2,0)</f>
        <v>Philadelphia</v>
      </c>
      <c r="I45" s="103" t="str">
        <f>VLOOKUP(C45,Groups!$B$7:$D$65,3,0)</f>
        <v>France</v>
      </c>
      <c r="J45" s="103" t="str">
        <f>VLOOKUP(D45,Groups!$B$7:$D$65,3,0)</f>
        <v>Iraq</v>
      </c>
      <c r="K45" s="95"/>
    </row>
    <row r="46" spans="2:24" x14ac:dyDescent="0.25">
      <c r="B46" s="188">
        <v>43</v>
      </c>
      <c r="C46" s="186" t="s">
        <v>834</v>
      </c>
      <c r="D46" s="187" t="s">
        <v>836</v>
      </c>
      <c r="E46" s="168">
        <v>46195.541666666664</v>
      </c>
      <c r="F46" s="66">
        <f>$E46-VLOOKUP($G46,TimeZone!$L$4:$O$19,4,0)+VLOOKUP(TimeZone!$H$1,TimeZone!$C$4:$E$40,3,0)</f>
        <v>46195.791666666664</v>
      </c>
      <c r="G46" s="181">
        <v>5</v>
      </c>
      <c r="H46" s="178" t="str">
        <f>VLOOKUP($G46,Language!$D$103:$E$118,2,0)</f>
        <v>Dallas</v>
      </c>
      <c r="I46" s="103" t="str">
        <f>VLOOKUP(C46,Groups!$B$7:$D$65,3,0)</f>
        <v>Argentina</v>
      </c>
      <c r="J46" s="103" t="str">
        <f>VLOOKUP(D46,Groups!$B$7:$D$65,3,0)</f>
        <v>Austria</v>
      </c>
      <c r="K46" s="95"/>
    </row>
    <row r="47" spans="2:24" x14ac:dyDescent="0.25">
      <c r="B47" s="188">
        <v>44</v>
      </c>
      <c r="C47" s="186" t="s">
        <v>977</v>
      </c>
      <c r="D47" s="187" t="s">
        <v>835</v>
      </c>
      <c r="E47" s="168">
        <v>46195.958333333336</v>
      </c>
      <c r="F47" s="66">
        <f>$E47-VLOOKUP($G47,TimeZone!$L$4:$O$19,4,0)+VLOOKUP(TimeZone!$H$1,TimeZone!$C$4:$E$40,3,0)</f>
        <v>46196.208333333336</v>
      </c>
      <c r="G47" s="181">
        <v>11</v>
      </c>
      <c r="H47" s="178" t="str">
        <f>VLOOKUP($G47,Language!$D$103:$E$118,2,0)</f>
        <v>San Francisco Bay Area</v>
      </c>
      <c r="I47" s="103" t="str">
        <f>VLOOKUP(C47,Groups!$B$7:$D$65,3,0)</f>
        <v>Jordan</v>
      </c>
      <c r="J47" s="103" t="str">
        <f>VLOOKUP(D47,Groups!$B$7:$D$65,3,0)</f>
        <v>Algeria</v>
      </c>
      <c r="K47" s="95"/>
    </row>
    <row r="48" spans="2:24" x14ac:dyDescent="0.25">
      <c r="B48" s="188">
        <v>45</v>
      </c>
      <c r="C48" s="186" t="s">
        <v>840</v>
      </c>
      <c r="D48" s="187" t="s">
        <v>842</v>
      </c>
      <c r="E48" s="168">
        <v>46196.666666666664</v>
      </c>
      <c r="F48" s="66">
        <f>$E48-VLOOKUP($G48,TimeZone!$L$4:$O$19,4,0)+VLOOKUP(TimeZone!$H$1,TimeZone!$C$4:$E$40,3,0)</f>
        <v>46196.916666666664</v>
      </c>
      <c r="G48" s="181">
        <v>12</v>
      </c>
      <c r="H48" s="178" t="str">
        <f>VLOOKUP($G48,Language!$D$103:$E$118,2,0)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$E49-VLOOKUP($G49,TimeZone!$L$4:$O$19,4,0)+VLOOKUP(TimeZone!$H$1,TimeZone!$C$4:$E$40,3,0)</f>
        <v>46197.041666666664</v>
      </c>
      <c r="G49" s="181">
        <v>2</v>
      </c>
      <c r="H49" s="178" t="str">
        <f>VLOOKUP($G49,Language!$D$103:$E$118,2,0)</f>
        <v>Toronto</v>
      </c>
      <c r="I49" s="103" t="str">
        <f>VLOOKUP(C49,Groups!$B$7:$D$65,3,0)</f>
        <v>Panama</v>
      </c>
      <c r="J49" s="103" t="str">
        <f>VLOOKUP(D49,Groups!$B$7:$D$65,3,0)</f>
        <v>Croatia</v>
      </c>
      <c r="K49" s="95"/>
    </row>
    <row r="50" spans="2:24" x14ac:dyDescent="0.25">
      <c r="B50" s="188">
        <v>47</v>
      </c>
      <c r="C50" s="186" t="s">
        <v>837</v>
      </c>
      <c r="D50" s="187" t="s">
        <v>839</v>
      </c>
      <c r="E50" s="168">
        <v>46196.541666666664</v>
      </c>
      <c r="F50" s="66">
        <f>$E50-VLOOKUP($G50,TimeZone!$L$4:$O$19,4,0)+VLOOKUP(TimeZone!$H$1,TimeZone!$C$4:$E$40,3,0)</f>
        <v>46196.791666666664</v>
      </c>
      <c r="G50" s="181">
        <v>6</v>
      </c>
      <c r="H50" s="178" t="str">
        <f>VLOOKUP($G50,Language!$D$103:$E$118,2,0)</f>
        <v>Houston</v>
      </c>
      <c r="I50" s="103" t="str">
        <f>VLOOKUP(C50,Groups!$B$7:$D$65,3,0)</f>
        <v>Portugal</v>
      </c>
      <c r="J50" s="103" t="str">
        <f>VLOOKUP(D50,Groups!$B$7:$D$65,3,0)</f>
        <v>Uzbekistan</v>
      </c>
      <c r="K50" s="95"/>
    </row>
    <row r="51" spans="2:24" x14ac:dyDescent="0.25">
      <c r="B51" s="188">
        <v>48</v>
      </c>
      <c r="C51" s="186" t="s">
        <v>978</v>
      </c>
      <c r="D51" s="187" t="s">
        <v>838</v>
      </c>
      <c r="E51" s="168">
        <v>46196.916666666664</v>
      </c>
      <c r="F51" s="66">
        <f>$E51-VLOOKUP($G51,TimeZone!$L$4:$O$19,4,0)+VLOOKUP(TimeZone!$H$1,TimeZone!$C$4:$E$40,3,0)</f>
        <v>46197.166666666664</v>
      </c>
      <c r="G51" s="181">
        <v>15</v>
      </c>
      <c r="H51" s="178" t="str">
        <f>VLOOKUP($G51,Language!$D$103:$E$118,2,0)</f>
        <v>Guadalajara</v>
      </c>
      <c r="I51" s="103" t="str">
        <f>VLOOKUP(C51,Groups!$B$7:$D$65,3,0)</f>
        <v>Colombia</v>
      </c>
      <c r="J51" s="103" t="str">
        <f>VLOOKUP(D51,Groups!$B$7:$D$65,3,0)</f>
        <v>DR Congo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$E52-VLOOKUP($G52,TimeZone!$L$4:$O$19,4,0)+VLOOKUP(TimeZone!$H$1,TimeZone!$C$4:$E$40,3,0)</f>
        <v>46198</v>
      </c>
      <c r="G52" s="181">
        <v>13</v>
      </c>
      <c r="H52" s="178" t="str">
        <f>VLOOKUP($G52,Language!$D$103:$E$118,2,0)</f>
        <v>Miami</v>
      </c>
      <c r="I52" s="103" t="str">
        <f>VLOOKUP(C52,Groups!$B$7:$D$65,3,0)</f>
        <v>Scotland</v>
      </c>
      <c r="J52" s="103" t="str">
        <f>VLOOKUP(D52,Groups!$B$7:$D$65,3,0)</f>
        <v>Brazil</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$E53-VLOOKUP($G53,TimeZone!$L$4:$O$19,4,0)+VLOOKUP(TimeZone!$H$1,TimeZone!$C$4:$E$40,3,0)</f>
        <v>46198</v>
      </c>
      <c r="G53" s="181">
        <v>7</v>
      </c>
      <c r="H53" s="178" t="str">
        <f>VLOOKUP($G53,Language!$D$103:$E$118,2,0)</f>
        <v>Atlanta</v>
      </c>
      <c r="I53" s="103" t="str">
        <f>VLOOKUP(C53,Groups!$B$7:$D$65,3,0)</f>
        <v>Morocco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$E54-VLOOKUP($G54,TimeZone!$L$4:$O$19,4,0)+VLOOKUP(TimeZone!$H$1,TimeZone!$C$4:$E$40,3,0)</f>
        <v>46197.875</v>
      </c>
      <c r="G54" s="181">
        <v>1</v>
      </c>
      <c r="H54" s="178" t="str">
        <f>VLOOKUP($G54,Language!$D$103:$E$118,2,0)</f>
        <v>Vancouver</v>
      </c>
      <c r="I54" s="103" t="str">
        <f>VLOOKUP(C54,Groups!$B$7:$D$65,3,0)</f>
        <v>Switzerland</v>
      </c>
      <c r="J54" s="103" t="str">
        <f>VLOOKUP(D54,Groups!$B$7:$D$65,3,0)</f>
        <v>Canada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$E55-VLOOKUP($G55,TimeZone!$L$4:$O$19,4,0)+VLOOKUP(TimeZone!$H$1,TimeZone!$C$4:$E$40,3,0)</f>
        <v>46197.875</v>
      </c>
      <c r="G55" s="181">
        <v>10</v>
      </c>
      <c r="H55" s="178" t="str">
        <f>VLOOKUP($G55,Language!$D$103:$E$118,2,0)</f>
        <v>Seattle</v>
      </c>
      <c r="I55" s="103" t="str">
        <f>VLOOKUP(C55,Groups!$B$7:$D$65,3,0)</f>
        <v>Bosnia/Herzeg.</v>
      </c>
      <c r="J55" s="103" t="str">
        <f>VLOOKUP(D55,Groups!$B$7:$D$65,3,0)</f>
        <v>Qatar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$E56-VLOOKUP($G56,TimeZone!$L$4:$O$19,4,0)+VLOOKUP(TimeZone!$H$1,TimeZone!$C$4:$E$40,3,0)</f>
        <v>46198.125</v>
      </c>
      <c r="G56" s="179">
        <v>14</v>
      </c>
      <c r="H56" s="178" t="str">
        <f>VLOOKUP($G56,Language!$D$103:$E$118,2,0)</f>
        <v>Mexico City</v>
      </c>
      <c r="I56" s="103" t="str">
        <f>VLOOKUP(C56,Groups!$B$7:$D$65,3,0)</f>
        <v>Czechia</v>
      </c>
      <c r="J56" s="103" t="str">
        <f>VLOOKUP(D56,Groups!$B$7:$D$65,3,0)</f>
        <v>Mexico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$E57-VLOOKUP($G57,TimeZone!$L$4:$O$19,4,0)+VLOOKUP(TimeZone!$H$1,TimeZone!$C$4:$E$40,3,0)</f>
        <v>46198.125</v>
      </c>
      <c r="G57" s="181">
        <v>16</v>
      </c>
      <c r="H57" s="178" t="str">
        <f>VLOOKUP($G57,Language!$D$103:$E$118,2,0)</f>
        <v>Monterrey</v>
      </c>
      <c r="I57" s="103" t="str">
        <f>VLOOKUP(C57,Groups!$B$7:$D$65,3,0)</f>
        <v>South Africa</v>
      </c>
      <c r="J57" s="103" t="str">
        <f>VLOOKUP(D57,Groups!$B$7:$D$65,3,0)</f>
        <v>South 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$E58-VLOOKUP($G58,TimeZone!$L$4:$O$19,4,0)+VLOOKUP(TimeZone!$H$1,TimeZone!$C$4:$E$40,3,0)</f>
        <v>46198.916666666664</v>
      </c>
      <c r="G58" s="181">
        <v>9</v>
      </c>
      <c r="H58" s="178" t="str">
        <f>VLOOKUP($G58,Language!$D$103:$E$118,2,0)</f>
        <v>Philadelphia</v>
      </c>
      <c r="I58" s="103" t="str">
        <f>VLOOKUP(C58,Groups!$B$7:$D$65,3,0)</f>
        <v>Curaçao</v>
      </c>
      <c r="J58" s="103" t="str">
        <f>VLOOKUP(D58,Groups!$B$7:$D$65,3,0)</f>
        <v>Cote d'Ivoire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$E59-VLOOKUP($G59,TimeZone!$L$4:$O$19,4,0)+VLOOKUP(TimeZone!$H$1,TimeZone!$C$4:$E$40,3,0)</f>
        <v>46198.916666666664</v>
      </c>
      <c r="G59" s="181">
        <v>3</v>
      </c>
      <c r="H59" s="178" t="str">
        <f>VLOOKUP($G59,Language!$D$103:$E$118,2,0)</f>
        <v>New York/New Jersey</v>
      </c>
      <c r="I59" s="103" t="str">
        <f>VLOOKUP(C59,Groups!$B$7:$D$65,3,0)</f>
        <v>Ecuador</v>
      </c>
      <c r="J59" s="103" t="str">
        <f>VLOOKUP(D59,Groups!$B$7:$D$65,3,0)</f>
        <v>Germany</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$E60-VLOOKUP($G60,TimeZone!$L$4:$O$19,4,0)+VLOOKUP(TimeZone!$H$1,TimeZone!$C$4:$E$40,3,0)</f>
        <v>46199.041666666664</v>
      </c>
      <c r="G60" s="181">
        <v>5</v>
      </c>
      <c r="H60" s="178" t="str">
        <f>VLOOKUP($G60,Language!$D$103:$E$118,2,0)</f>
        <v>Dallas</v>
      </c>
      <c r="I60" s="103" t="str">
        <f>VLOOKUP(C60,Groups!$B$7:$D$65,3,0)</f>
        <v>Japan</v>
      </c>
      <c r="J60" s="103" t="str">
        <f>VLOOKUP(D60,Groups!$B$7:$D$65,3,0)</f>
        <v>Sweden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$E61-VLOOKUP($G61,TimeZone!$L$4:$O$19,4,0)+VLOOKUP(TimeZone!$H$1,TimeZone!$C$4:$E$40,3,0)</f>
        <v>46199.041666666664</v>
      </c>
      <c r="G61" s="181">
        <v>4</v>
      </c>
      <c r="H61" s="178" t="str">
        <f>VLOOKUP($G61,Language!$D$103:$E$118,2,0)</f>
        <v>Kansas City</v>
      </c>
      <c r="I61" s="103" t="str">
        <f>VLOOKUP(C61,Groups!$B$7:$D$65,3,0)</f>
        <v>Tunisia</v>
      </c>
      <c r="J61" s="103" t="str">
        <f>VLOOKUP(D61,Groups!$B$7:$D$65,3,0)</f>
        <v>Netherlands</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$E62-VLOOKUP($G62,TimeZone!$L$4:$O$19,4,0)+VLOOKUP(TimeZone!$H$1,TimeZone!$C$4:$E$40,3,0)</f>
        <v>46199.166666666664</v>
      </c>
      <c r="G62" s="181">
        <v>8</v>
      </c>
      <c r="H62" s="178" t="str">
        <f>VLOOKUP($G62,Language!$D$103:$E$118,2,0)</f>
        <v>Los Angeles</v>
      </c>
      <c r="I62" s="103" t="str">
        <f>VLOOKUP(C62,Groups!$B$7:$D$65,3,0)</f>
        <v>Turkiye</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$E63-VLOOKUP($G63,TimeZone!$L$4:$O$19,4,0)+VLOOKUP(TimeZone!$H$1,TimeZone!$C$4:$E$40,3,0)</f>
        <v>46199.166666666664</v>
      </c>
      <c r="G63" s="181">
        <v>11</v>
      </c>
      <c r="H63" s="178" t="str">
        <f>VLOOKUP($G63,Language!$D$103:$E$118,2,0)</f>
        <v>San Francisco Bay Area</v>
      </c>
      <c r="I63" s="103" t="str">
        <f>VLOOKUP(C63,Groups!$B$7:$D$65,3,0)</f>
        <v>Paraguay</v>
      </c>
      <c r="J63" s="103" t="str">
        <f>VLOOKUP(D63,Groups!$B$7:$D$65,3,0)</f>
        <v>Australia</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$E64-VLOOKUP($G64,TimeZone!$L$4:$O$19,4,0)+VLOOKUP(TimeZone!$H$1,TimeZone!$C$4:$E$40,3,0)</f>
        <v>46199.875</v>
      </c>
      <c r="G64" s="181">
        <v>12</v>
      </c>
      <c r="H64" s="178" t="str">
        <f>VLOOKUP($G64,Language!$D$103:$E$118,2,0)</f>
        <v>Boston</v>
      </c>
      <c r="I64" s="103" t="str">
        <f>VLOOKUP(C64,Groups!$B$7:$D$65,3,0)</f>
        <v>Norway</v>
      </c>
      <c r="J64" s="103" t="str">
        <f>VLOOKUP(D64,Groups!$B$7:$D$65,3,0)</f>
        <v>France</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$E65-VLOOKUP($G65,TimeZone!$L$4:$O$19,4,0)+VLOOKUP(TimeZone!$H$1,TimeZone!$C$4:$E$40,3,0)</f>
        <v>46199.875</v>
      </c>
      <c r="G65" s="181">
        <v>2</v>
      </c>
      <c r="H65" s="178" t="str">
        <f>VLOOKUP($G65,Language!$D$103:$E$118,2,0)</f>
        <v>Toronto</v>
      </c>
      <c r="I65" s="103" t="str">
        <f>VLOOKUP(C65,Groups!$B$7:$D$65,3,0)</f>
        <v>Senegal</v>
      </c>
      <c r="J65" s="103" t="str">
        <f>VLOOKUP(D65,Groups!$B$7:$D$65,3,0)</f>
        <v>Iraq</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$E66-VLOOKUP($G66,TimeZone!$L$4:$O$19,4,0)+VLOOKUP(TimeZone!$H$1,TimeZone!$C$4:$E$40,3,0)</f>
        <v>46200.208333333336</v>
      </c>
      <c r="G66" s="181">
        <v>10</v>
      </c>
      <c r="H66" s="178" t="str">
        <f>VLOOKUP($G66,Language!$D$103:$E$118,2,0)</f>
        <v>Seattle</v>
      </c>
      <c r="I66" s="103" t="str">
        <f>VLOOKUP(C66,Groups!$B$7:$D$65,3,0)</f>
        <v>Egypt</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$E67-VLOOKUP($G67,TimeZone!$L$4:$O$19,4,0)+VLOOKUP(TimeZone!$H$1,TimeZone!$C$4:$E$40,3,0)</f>
        <v>46200.208333333336</v>
      </c>
      <c r="G67" s="181">
        <v>1</v>
      </c>
      <c r="H67" s="178" t="str">
        <f>VLOOKUP($G67,Language!$D$103:$E$118,2,0)</f>
        <v>Vancouver</v>
      </c>
      <c r="I67" s="103" t="str">
        <f>VLOOKUP(C67,Groups!$B$7:$D$65,3,0)</f>
        <v>New Zealand</v>
      </c>
      <c r="J67" s="103" t="str">
        <f>VLOOKUP(D67,Groups!$B$7:$D$65,3,0)</f>
        <v>Belgium</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$E68-VLOOKUP($G68,TimeZone!$L$4:$O$19,4,0)+VLOOKUP(TimeZone!$H$1,TimeZone!$C$4:$E$40,3,0)</f>
        <v>46200.083333333336</v>
      </c>
      <c r="G68" s="181">
        <v>6</v>
      </c>
      <c r="H68" s="178" t="str">
        <f>VLOOKUP($G68,Language!$D$103:$E$118,2,0)</f>
        <v>Houston</v>
      </c>
      <c r="I68" s="103" t="str">
        <f>VLOOKUP(C68,Groups!$B$7:$D$65,3,0)</f>
        <v>Cabo Verde</v>
      </c>
      <c r="J68" s="103" t="str">
        <f>VLOOKUP(D68,Groups!$B$7:$D$65,3,0)</f>
        <v>Saudi Arabia</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$E69-VLOOKUP($G69,TimeZone!$L$4:$O$19,4,0)+VLOOKUP(TimeZone!$H$1,TimeZone!$C$4:$E$40,3,0)</f>
        <v>46200.083333333336</v>
      </c>
      <c r="G69" s="181">
        <v>15</v>
      </c>
      <c r="H69" s="178" t="str">
        <f>VLOOKUP($G69,Language!$D$103:$E$118,2,0)</f>
        <v>Guadalajara</v>
      </c>
      <c r="I69" s="103" t="str">
        <f>VLOOKUP(C69,Groups!$B$7:$D$65,3,0)</f>
        <v>Uruguay</v>
      </c>
      <c r="J69" s="103" t="str">
        <f>VLOOKUP(D69,Groups!$B$7:$D$65,3,0)</f>
        <v>Spain</v>
      </c>
      <c r="K69" s="95"/>
      <c r="L69" s="589" t="b">
        <f>IFERROR(VLOOKUP(N69,Groups!$D$7:$E$65,2,0),FALSE)</f>
        <v>1</v>
      </c>
      <c r="M69" s="590" t="str">
        <f>M101</f>
        <v>3-CEFHI</v>
      </c>
      <c r="N69" s="591" t="str">
        <f>IF(Distinctness!$G$17&gt;0,INDEX(ThirdPlaced!$C$4:$C$15,MATCH(O69,ThirdPlaced!$I$4:$I$15),0),"")</f>
        <v>Cabo Verde</v>
      </c>
      <c r="O69" s="592" t="str">
        <f>IFERROR(VLOOKUP(ThirdPlaced!$I$30,AssignThird!$C$8:$K$502,2,0),"")</f>
        <v>H</v>
      </c>
      <c r="P69" s="372"/>
      <c r="Q69" s="372"/>
      <c r="R69" s="372"/>
      <c r="S69" s="372"/>
      <c r="T69" s="372"/>
      <c r="U69" s="372"/>
      <c r="V69" s="372"/>
      <c r="W69" s="372"/>
      <c r="X69" s="372"/>
    </row>
    <row r="70" spans="2:24" x14ac:dyDescent="0.25">
      <c r="B70" s="188">
        <v>67</v>
      </c>
      <c r="C70" s="186" t="s">
        <v>979</v>
      </c>
      <c r="D70" s="187" t="s">
        <v>840</v>
      </c>
      <c r="E70" s="168">
        <v>46200.708333333336</v>
      </c>
      <c r="F70" s="66">
        <f>$E70-VLOOKUP($G70,TimeZone!$L$4:$O$19,4,0)+VLOOKUP(TimeZone!$H$1,TimeZone!$C$4:$E$40,3,0)</f>
        <v>46200.958333333336</v>
      </c>
      <c r="G70" s="181">
        <v>3</v>
      </c>
      <c r="H70" s="178" t="str">
        <f>VLOOKUP($G70,Language!$D$103:$E$118,2,0)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Belgium</v>
      </c>
      <c r="O70" s="596" t="str">
        <f>IFERROR(VLOOKUP(ThirdPlaced!$I$30,AssignThird!$C$8:$K$502,3,0),"")</f>
        <v>G</v>
      </c>
      <c r="P70" s="372"/>
      <c r="Q70" s="372"/>
      <c r="R70" s="372"/>
      <c r="S70" s="372"/>
      <c r="T70" s="372"/>
      <c r="U70" s="372"/>
      <c r="V70" s="372"/>
      <c r="W70" s="372"/>
      <c r="X70" s="372"/>
    </row>
    <row r="71" spans="2:24" x14ac:dyDescent="0.25">
      <c r="B71" s="188">
        <v>68</v>
      </c>
      <c r="C71" s="186" t="s">
        <v>841</v>
      </c>
      <c r="D71" s="187" t="s">
        <v>842</v>
      </c>
      <c r="E71" s="168">
        <v>46200.708333333336</v>
      </c>
      <c r="F71" s="66">
        <f>$E71-VLOOKUP($G71,TimeZone!$L$4:$O$19,4,0)+VLOOKUP(TimeZone!$H$1,TimeZone!$C$4:$E$40,3,0)</f>
        <v>46200.958333333336</v>
      </c>
      <c r="G71" s="181">
        <v>9</v>
      </c>
      <c r="H71" s="178" t="str">
        <f>VLOOKUP($G71,Language!$D$103:$E$118,2,0)</f>
        <v>Philadelphia</v>
      </c>
      <c r="I71" s="103" t="str">
        <f>VLOOKUP(C71,Groups!$B$7:$D$65,3,0)</f>
        <v>Croatia</v>
      </c>
      <c r="J71" s="103" t="str">
        <f>VLOOKUP(D71,Groups!$B$7:$D$65,3,0)</f>
        <v>Ghana</v>
      </c>
      <c r="K71" s="95"/>
      <c r="L71" s="593" t="b">
        <f>IFERROR(VLOOKUP(N71,Groups!$D$7:$E$65,2,0),FALSE)</f>
        <v>1</v>
      </c>
      <c r="M71" s="594" t="str">
        <f t="shared" si="0"/>
        <v>3-BEFIJ</v>
      </c>
      <c r="N71" s="595" t="str">
        <f>IF(Distinctness!$G$17&gt;0,INDEX(ThirdPlaced!$C$4:$C$15,MATCH(O71,ThirdPlaced!$I$4:$I$15),0),"")</f>
        <v>Ecuador</v>
      </c>
      <c r="O71" s="596" t="str">
        <f>IFERROR(VLOOKUP(ThirdPlaced!$I$30,AssignThird!$C$8:$K$502,4,0),"")</f>
        <v>E</v>
      </c>
      <c r="P71" s="372"/>
      <c r="Q71" s="372"/>
      <c r="R71" s="372"/>
      <c r="S71" s="372"/>
      <c r="T71" s="372"/>
      <c r="U71" s="372"/>
      <c r="V71" s="372"/>
      <c r="W71" s="372"/>
      <c r="X71" s="372"/>
    </row>
    <row r="72" spans="2:24" x14ac:dyDescent="0.25">
      <c r="B72" s="188">
        <v>69</v>
      </c>
      <c r="C72" s="186" t="s">
        <v>835</v>
      </c>
      <c r="D72" s="187" t="s">
        <v>836</v>
      </c>
      <c r="E72" s="168">
        <v>46200.916666666664</v>
      </c>
      <c r="F72" s="66">
        <f>$E72-VLOOKUP($G72,TimeZone!$L$4:$O$19,4,0)+VLOOKUP(TimeZone!$H$1,TimeZone!$C$4:$E$40,3,0)</f>
        <v>46201.166666666664</v>
      </c>
      <c r="G72" s="181">
        <v>4</v>
      </c>
      <c r="H72" s="178" t="str">
        <f>VLOOKUP($G72,Language!$D$103:$E$118,2,0)</f>
        <v>Kansas City</v>
      </c>
      <c r="I72" s="103" t="str">
        <f>VLOOKUP(C72,Groups!$B$7:$D$65,3,0)</f>
        <v>Algeria</v>
      </c>
      <c r="J72" s="103" t="str">
        <f>VLOOKUP(D72,Groups!$B$7:$D$65,3,0)</f>
        <v>Austria</v>
      </c>
      <c r="K72" s="95"/>
      <c r="L72" s="593" t="b">
        <f>IFERROR(VLOOKUP(N72,Groups!$D$7:$E$65,2,0),FALSE)</f>
        <v>1</v>
      </c>
      <c r="M72" s="594" t="str">
        <f t="shared" si="0"/>
        <v>3-ABCDF</v>
      </c>
      <c r="N72" s="595" t="str">
        <f>IF(Distinctness!$G$17&gt;0,INDEX(ThirdPlaced!$C$4:$C$15,MATCH(O72,ThirdPlaced!$I$4:$I$15),0),"")</f>
        <v>Scotland</v>
      </c>
      <c r="O72" s="596" t="str">
        <f>IFERROR(VLOOKUP(ThirdPlaced!$I$30,AssignThird!$C$8:$K$502,5,0),"")</f>
        <v>C</v>
      </c>
      <c r="P72" s="372"/>
      <c r="Q72" s="372"/>
      <c r="R72" s="372"/>
      <c r="S72" s="372"/>
      <c r="T72" s="372"/>
      <c r="U72" s="372"/>
      <c r="V72" s="372"/>
      <c r="W72" s="372"/>
      <c r="X72" s="372"/>
    </row>
    <row r="73" spans="2:24" x14ac:dyDescent="0.25">
      <c r="B73" s="188">
        <v>70</v>
      </c>
      <c r="C73" s="186" t="s">
        <v>977</v>
      </c>
      <c r="D73" s="187" t="s">
        <v>834</v>
      </c>
      <c r="E73" s="168">
        <v>46200.916666666664</v>
      </c>
      <c r="F73" s="66">
        <f>$E73-VLOOKUP($G73,TimeZone!$L$4:$O$19,4,0)+VLOOKUP(TimeZone!$H$1,TimeZone!$C$4:$E$40,3,0)</f>
        <v>46201.166666666664</v>
      </c>
      <c r="G73" s="181">
        <v>5</v>
      </c>
      <c r="H73" s="178" t="str">
        <f>VLOOKUP($G73,Language!$D$103:$E$118,2,0)</f>
        <v>Dallas</v>
      </c>
      <c r="I73" s="103" t="str">
        <f>VLOOKUP(C73,Groups!$B$7:$D$65,3,0)</f>
        <v>Jordan</v>
      </c>
      <c r="J73" s="103" t="str">
        <f>VLOOKUP(D73,Groups!$B$7:$D$65,3,0)</f>
        <v>Argentina</v>
      </c>
      <c r="K73" s="95"/>
      <c r="L73" s="593" t="b">
        <f>IFERROR(VLOOKUP(N73,Groups!$D$7:$E$65,2,0),FALSE)</f>
        <v>1</v>
      </c>
      <c r="M73" s="594" t="str">
        <f t="shared" si="0"/>
        <v>3-AEHIJ</v>
      </c>
      <c r="N73" s="595" t="str">
        <f>IF(Distinctness!$G$17&gt;0,INDEX(ThirdPlaced!$C$4:$C$15,MATCH(O73,ThirdPlaced!$I$4:$I$15),0),"")</f>
        <v>Czechia</v>
      </c>
      <c r="O73" s="596" t="str">
        <f>IFERROR(VLOOKUP(ThirdPlaced!$I$30,AssignThird!$C$8:$K$502,6,0),"")</f>
        <v>A</v>
      </c>
      <c r="P73" s="372"/>
      <c r="Q73" s="372"/>
      <c r="R73" s="372"/>
      <c r="S73" s="372"/>
      <c r="T73" s="372"/>
      <c r="U73" s="372"/>
      <c r="V73" s="372"/>
      <c r="W73" s="372"/>
      <c r="X73" s="372"/>
    </row>
    <row r="74" spans="2:24" x14ac:dyDescent="0.25">
      <c r="B74" s="188">
        <v>71</v>
      </c>
      <c r="C74" s="186" t="s">
        <v>978</v>
      </c>
      <c r="D74" s="187" t="s">
        <v>837</v>
      </c>
      <c r="E74" s="168">
        <v>46200.8125</v>
      </c>
      <c r="F74" s="66">
        <f>$E74-VLOOKUP($G74,TimeZone!$L$4:$O$19,4,0)+VLOOKUP(TimeZone!$H$1,TimeZone!$C$4:$E$40,3,0)</f>
        <v>46201.0625</v>
      </c>
      <c r="G74" s="181">
        <v>13</v>
      </c>
      <c r="H74" s="178" t="str">
        <f>VLOOKUP($G74,Language!$D$103:$E$118,2,0)</f>
        <v>Miami</v>
      </c>
      <c r="I74" s="103" t="str">
        <f>VLOOKUP(C74,Groups!$B$7:$D$65,3,0)</f>
        <v>Colombia</v>
      </c>
      <c r="J74" s="103" t="str">
        <f>VLOOKUP(D74,Groups!$B$7:$D$65,3,0)</f>
        <v>Portugal</v>
      </c>
      <c r="K74" s="95"/>
      <c r="L74" s="593" t="b">
        <f>IFERROR(VLOOKUP(N74,Groups!$D$7:$E$65,2,0),FALSE)</f>
        <v>1</v>
      </c>
      <c r="M74" s="594" t="str">
        <f t="shared" si="0"/>
        <v>3-CDFGH</v>
      </c>
      <c r="N74" s="595" t="str">
        <f>IF(Distinctness!$G$17&gt;0,INDEX(ThirdPlaced!$C$4:$C$15,MATCH(O74,ThirdPlaced!$I$4:$I$15),0),"")</f>
        <v>Sweden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$E75-VLOOKUP($G75,TimeZone!$L$4:$O$19,4,0)+VLOOKUP(TimeZone!$H$1,TimeZone!$C$4:$E$40,3,0)</f>
        <v>46201.0625</v>
      </c>
      <c r="G75" s="181">
        <v>7</v>
      </c>
      <c r="H75" s="178" t="str">
        <f>VLOOKUP($G75,Language!$D$103:$E$118,2,0)</f>
        <v>Atlanta</v>
      </c>
      <c r="I75" s="103" t="str">
        <f>VLOOKUP(C75,Groups!$B$7:$D$65,3,0)</f>
        <v>DR Congo</v>
      </c>
      <c r="J75" s="103" t="str">
        <f>VLOOKUP(D75,Groups!$B$7:$D$65,3,0)</f>
        <v>Uzbekistan</v>
      </c>
      <c r="K75" s="95"/>
      <c r="L75" s="593" t="b">
        <f>IFERROR(VLOOKUP(N75,Groups!$D$7:$E$65,2,0),FALSE)</f>
        <v>1</v>
      </c>
      <c r="M75" s="594" t="str">
        <f t="shared" si="0"/>
        <v>3-DEIJL</v>
      </c>
      <c r="N75" s="595" t="str">
        <f>IF(Distinctness!$G$17&gt;0,INDEX(ThirdPlaced!$C$4:$C$15,MATCH(O75,ThirdPlaced!$I$4:$I$15),0),"")</f>
        <v>Paraguay</v>
      </c>
      <c r="O75" s="596" t="str">
        <f>IFERROR(VLOOKUP(ThirdPlaced!$I$30,AssignThird!$C$8:$K$502,8,0),"")</f>
        <v>D</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Portugal</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$E77-VLOOKUP($G77,TimeZone!$L$4:$O$19,4,0)+VLOOKUP(TimeZone!$H$1,TimeZone!$C$4:$E$40,3,0)</f>
        <v>46201.875</v>
      </c>
      <c r="G77" s="181">
        <v>8</v>
      </c>
      <c r="H77" s="178" t="str">
        <f>VLOOKUP($G77,Language!$D$103:$E$118,2,0)</f>
        <v>Los Angeles</v>
      </c>
      <c r="I77" s="103" t="str">
        <f>VLOOKUP(C77,$M$77:$N$108,2,0)</f>
        <v>South Korea</v>
      </c>
      <c r="J77" s="103" t="str">
        <f>VLOOKUP(D77,$M$77:$N$108,2,0)</f>
        <v>Switzerland</v>
      </c>
      <c r="K77" s="194">
        <v>1</v>
      </c>
      <c r="M77" s="583" t="s">
        <v>2</v>
      </c>
      <c r="N77" s="584" t="str">
        <f>'World Cup'!$B$42</f>
        <v>Mexico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$E78-VLOOKUP($G78,TimeZone!$L$4:$O$19,4,0)+VLOOKUP(TimeZone!$H$1,TimeZone!$C$4:$E$40,3,0)</f>
        <v>46202.9375</v>
      </c>
      <c r="G78" s="181">
        <v>12</v>
      </c>
      <c r="H78" s="178" t="str">
        <f>VLOOKUP($G78,Language!$D$103:$E$118,2,0)</f>
        <v>Boston</v>
      </c>
      <c r="I78" s="103" t="str">
        <f t="shared" ref="I78:I92" si="1">VLOOKUP(C78,$M$77:$N$108,2,0)</f>
        <v>Germany</v>
      </c>
      <c r="J78" s="103" t="str">
        <f t="shared" ref="J78:J92" si="2">VLOOKUP(D78,$M$77:$N$108,2,0)</f>
        <v>Scotland</v>
      </c>
      <c r="K78" s="194">
        <v>3</v>
      </c>
      <c r="M78" s="585" t="s">
        <v>8</v>
      </c>
      <c r="N78" s="586" t="str">
        <f>'World Cup'!$B$43</f>
        <v>South Korea</v>
      </c>
      <c r="O78" s="365"/>
      <c r="P78" s="365"/>
      <c r="Q78" s="365"/>
      <c r="R78" s="365"/>
      <c r="S78" s="365"/>
      <c r="T78" s="365"/>
      <c r="U78" s="365"/>
      <c r="V78" s="365"/>
      <c r="W78" s="365"/>
      <c r="X78" s="365"/>
    </row>
    <row r="79" spans="2:24" x14ac:dyDescent="0.25">
      <c r="B79" s="188">
        <v>75</v>
      </c>
      <c r="C79" s="186" t="s">
        <v>7</v>
      </c>
      <c r="D79" s="187" t="s">
        <v>10</v>
      </c>
      <c r="E79" s="168">
        <v>46202.875</v>
      </c>
      <c r="F79" s="66">
        <f>$E79-VLOOKUP($G79,TimeZone!$L$4:$O$19,4,0)+VLOOKUP(TimeZone!$H$1,TimeZone!$C$4:$E$40,3,0)</f>
        <v>46203.125</v>
      </c>
      <c r="G79" s="181">
        <v>16</v>
      </c>
      <c r="H79" s="178" t="str">
        <f>VLOOKUP($G79,Language!$D$103:$E$118,2,0)</f>
        <v>Monterrey</v>
      </c>
      <c r="I79" s="103" t="str">
        <f t="shared" si="1"/>
        <v>Netherlands</v>
      </c>
      <c r="J79" s="103" t="str">
        <f t="shared" si="2"/>
        <v>Morocco</v>
      </c>
      <c r="K79" s="194">
        <v>4</v>
      </c>
      <c r="M79" s="585" t="s">
        <v>3</v>
      </c>
      <c r="N79" s="586" t="str">
        <f>'World Cup'!$E$42</f>
        <v>Canada</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$E80-VLOOKUP($G80,TimeZone!$L$4:$O$19,4,0)+VLOOKUP(TimeZone!$H$1,TimeZone!$C$4:$E$40,3,0)</f>
        <v>46202.791666666664</v>
      </c>
      <c r="G80" s="181">
        <v>6</v>
      </c>
      <c r="H80" s="178" t="str">
        <f>VLOOKUP($G80,Language!$D$103:$E$118,2,0)</f>
        <v>Houston</v>
      </c>
      <c r="I80" s="103" t="str">
        <f t="shared" si="1"/>
        <v>Brazil</v>
      </c>
      <c r="J80" s="103" t="str">
        <f t="shared" si="2"/>
        <v>Japan</v>
      </c>
      <c r="K80" s="194">
        <v>2</v>
      </c>
      <c r="M80" s="585" t="s">
        <v>9</v>
      </c>
      <c r="N80" s="586" t="str">
        <f>'World Cup'!$E$43</f>
        <v>Switzerland</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$E81-VLOOKUP($G81,TimeZone!$L$4:$O$19,4,0)+VLOOKUP(TimeZone!$H$1,TimeZone!$C$4:$E$40,3,0)</f>
        <v>46203.958333333336</v>
      </c>
      <c r="G81" s="181">
        <v>3</v>
      </c>
      <c r="H81" s="178" t="str">
        <f>VLOOKUP($G81,Language!$D$103:$E$118,2,0)</f>
        <v>New York/New Jersey</v>
      </c>
      <c r="I81" s="103" t="str">
        <f t="shared" si="1"/>
        <v>Norway</v>
      </c>
      <c r="J81" s="103" t="str">
        <f t="shared" si="2"/>
        <v>Sweden</v>
      </c>
      <c r="K81" s="194">
        <v>6</v>
      </c>
      <c r="M81" s="585" t="s">
        <v>4</v>
      </c>
      <c r="N81" s="586" t="str">
        <f>'World Cup'!$H$42</f>
        <v>Brazil</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$E82-VLOOKUP($G82,TimeZone!$L$4:$O$19,4,0)+VLOOKUP(TimeZone!$H$1,TimeZone!$C$4:$E$40,3,0)</f>
        <v>46203.791666666664</v>
      </c>
      <c r="G82" s="181">
        <v>5</v>
      </c>
      <c r="H82" s="178" t="str">
        <f>VLOOKUP($G82,Language!$D$103:$E$118,2,0)</f>
        <v>Dallas</v>
      </c>
      <c r="I82" s="103" t="str">
        <f t="shared" si="1"/>
        <v>Cote d'Ivoire</v>
      </c>
      <c r="J82" s="103" t="str">
        <f t="shared" si="2"/>
        <v>France</v>
      </c>
      <c r="K82" s="194">
        <v>5</v>
      </c>
      <c r="M82" s="585" t="s">
        <v>10</v>
      </c>
      <c r="N82" s="586" t="str">
        <f>'World Cup'!$H$43</f>
        <v>Morocco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$E83-VLOOKUP($G83,TimeZone!$L$4:$O$19,4,0)+VLOOKUP(TimeZone!$H$1,TimeZone!$C$4:$E$40,3,0)</f>
        <v>46204.125</v>
      </c>
      <c r="G83" s="179">
        <v>14</v>
      </c>
      <c r="H83" s="178" t="str">
        <f>VLOOKUP($G83,Language!$D$103:$E$118,2,0)</f>
        <v>Mexico City</v>
      </c>
      <c r="I83" s="103" t="str">
        <f t="shared" si="1"/>
        <v>Mexico</v>
      </c>
      <c r="J83" s="103" t="str">
        <f t="shared" si="2"/>
        <v>Cabo Verde</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$E84-VLOOKUP($G84,TimeZone!$L$4:$O$19,4,0)+VLOOKUP(TimeZone!$H$1,TimeZone!$C$4:$E$40,3,0)</f>
        <v>46204.75</v>
      </c>
      <c r="G84" s="181">
        <v>7</v>
      </c>
      <c r="H84" s="178" t="str">
        <f>VLOOKUP($G84,Language!$D$103:$E$118,2,0)</f>
        <v>Atlanta</v>
      </c>
      <c r="I84" s="103" t="str">
        <f t="shared" si="1"/>
        <v>England</v>
      </c>
      <c r="J84" s="103" t="str">
        <f t="shared" si="2"/>
        <v>Portugal</v>
      </c>
      <c r="K84" s="194">
        <v>8</v>
      </c>
      <c r="M84" s="585" t="s">
        <v>11</v>
      </c>
      <c r="N84" s="586" t="str">
        <f>'World Cup'!$K$43</f>
        <v>Australia</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$E85-VLOOKUP($G85,TimeZone!$L$4:$O$19,4,0)+VLOOKUP(TimeZone!$H$1,TimeZone!$C$4:$E$40,3,0)</f>
        <v>46205.083333333336</v>
      </c>
      <c r="G85" s="181">
        <v>11</v>
      </c>
      <c r="H85" s="178" t="str">
        <f>VLOOKUP($G85,Language!$D$103:$E$118,2,0)</f>
        <v>San Francisco Bay Area</v>
      </c>
      <c r="I85" s="103" t="str">
        <f t="shared" si="1"/>
        <v>USA</v>
      </c>
      <c r="J85" s="103" t="str">
        <f t="shared" si="2"/>
        <v>Ecuador</v>
      </c>
      <c r="K85" s="194">
        <v>10</v>
      </c>
      <c r="M85" s="585" t="s">
        <v>6</v>
      </c>
      <c r="N85" s="586" t="str">
        <f>'World Cup'!$N$42</f>
        <v>Germany</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$E86-VLOOKUP($G86,TimeZone!$L$4:$O$19,4,0)+VLOOKUP(TimeZone!$H$1,TimeZone!$C$4:$E$40,3,0)</f>
        <v>46204.916666666664</v>
      </c>
      <c r="G86" s="181">
        <v>10</v>
      </c>
      <c r="H86" s="178" t="str">
        <f>VLOOKUP($G86,Language!$D$103:$E$118,2,0)</f>
        <v>Seattle</v>
      </c>
      <c r="I86" s="103" t="str">
        <f t="shared" si="1"/>
        <v>Egypt</v>
      </c>
      <c r="J86" s="103" t="str">
        <f t="shared" si="2"/>
        <v>Czechia</v>
      </c>
      <c r="K86" s="194">
        <v>9</v>
      </c>
      <c r="M86" s="585" t="s">
        <v>12</v>
      </c>
      <c r="N86" s="586" t="str">
        <f>'World Cup'!$N$43</f>
        <v>Cote d'Ivoire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$E87-VLOOKUP($G87,TimeZone!$L$4:$O$19,4,0)+VLOOKUP(TimeZone!$H$1,TimeZone!$C$4:$E$40,3,0)</f>
        <v>46206.041666666664</v>
      </c>
      <c r="G87" s="181">
        <v>2</v>
      </c>
      <c r="H87" s="178" t="str">
        <f>VLOOKUP($G87,Language!$D$103:$E$118,2,0)</f>
        <v>Toronto</v>
      </c>
      <c r="I87" s="103" t="str">
        <f t="shared" si="1"/>
        <v>DR Congo</v>
      </c>
      <c r="J87" s="103" t="str">
        <f t="shared" si="2"/>
        <v>Ghana</v>
      </c>
      <c r="K87" s="194">
        <v>12</v>
      </c>
      <c r="M87" s="585" t="s">
        <v>7</v>
      </c>
      <c r="N87" s="586" t="str">
        <f>'World Cup'!$Q$42</f>
        <v>Netherlands</v>
      </c>
      <c r="O87" s="365"/>
      <c r="P87" s="365"/>
      <c r="Q87" s="365"/>
      <c r="R87" s="365"/>
      <c r="S87" s="365"/>
      <c r="T87" s="365"/>
      <c r="U87" s="365"/>
      <c r="V87" s="365"/>
      <c r="W87" s="365"/>
      <c r="X87" s="365"/>
    </row>
    <row r="88" spans="2:24" x14ac:dyDescent="0.25">
      <c r="B88" s="188">
        <v>84</v>
      </c>
      <c r="C88" s="186" t="s">
        <v>96</v>
      </c>
      <c r="D88" s="187" t="s">
        <v>848</v>
      </c>
      <c r="E88" s="168">
        <v>46205.625</v>
      </c>
      <c r="F88" s="66">
        <f>$E88-VLOOKUP($G88,TimeZone!$L$4:$O$19,4,0)+VLOOKUP(TimeZone!$H$1,TimeZone!$C$4:$E$40,3,0)</f>
        <v>46205.875</v>
      </c>
      <c r="G88" s="181">
        <v>8</v>
      </c>
      <c r="H88" s="178" t="str">
        <f>VLOOKUP($G88,Language!$D$103:$E$118,2,0)</f>
        <v>Los Angeles</v>
      </c>
      <c r="I88" s="103" t="str">
        <f t="shared" si="1"/>
        <v>Spain</v>
      </c>
      <c r="J88" s="103" t="str">
        <f t="shared" si="2"/>
        <v>Austria</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$E89-VLOOKUP($G89,TimeZone!$L$4:$O$19,4,0)+VLOOKUP(TimeZone!$H$1,TimeZone!$C$4:$E$40,3,0)</f>
        <v>46206.208333333336</v>
      </c>
      <c r="G89" s="181">
        <v>1</v>
      </c>
      <c r="H89" s="178" t="str">
        <f>VLOOKUP($G89,Language!$D$103:$E$118,2,0)</f>
        <v>Vancouver</v>
      </c>
      <c r="I89" s="103" t="str">
        <f t="shared" si="1"/>
        <v>Canada</v>
      </c>
      <c r="J89" s="103" t="str">
        <f t="shared" si="2"/>
        <v>Belgium</v>
      </c>
      <c r="K89" s="194">
        <v>13</v>
      </c>
      <c r="M89" s="585" t="s">
        <v>93</v>
      </c>
      <c r="N89" s="586" t="str">
        <f>'World Cup'!$T$42</f>
        <v>Egypt</v>
      </c>
      <c r="O89" s="365"/>
      <c r="P89" s="365"/>
      <c r="Q89" s="365"/>
      <c r="R89" s="365"/>
      <c r="S89" s="365"/>
      <c r="T89" s="365"/>
      <c r="U89" s="365"/>
      <c r="V89" s="365"/>
      <c r="W89" s="365"/>
      <c r="X89" s="365"/>
    </row>
    <row r="90" spans="2:24" x14ac:dyDescent="0.25">
      <c r="B90" s="188">
        <v>86</v>
      </c>
      <c r="C90" s="186" t="s">
        <v>847</v>
      </c>
      <c r="D90" s="187" t="s">
        <v>97</v>
      </c>
      <c r="E90" s="168">
        <v>46206.75</v>
      </c>
      <c r="F90" s="66">
        <f>$E90-VLOOKUP($G90,TimeZone!$L$4:$O$19,4,0)+VLOOKUP(TimeZone!$H$1,TimeZone!$C$4:$E$40,3,0)</f>
        <v>46207</v>
      </c>
      <c r="G90" s="181">
        <v>13</v>
      </c>
      <c r="H90" s="178" t="str">
        <f>VLOOKUP($G90,Language!$D$103:$E$118,2,0)</f>
        <v>Miami</v>
      </c>
      <c r="I90" s="103" t="str">
        <f t="shared" si="1"/>
        <v>Argentina</v>
      </c>
      <c r="J90" s="103" t="str">
        <f t="shared" si="2"/>
        <v>Uruguay</v>
      </c>
      <c r="K90" s="194">
        <v>15</v>
      </c>
      <c r="M90" s="585" t="s">
        <v>94</v>
      </c>
      <c r="N90" s="586" t="str">
        <f>'World Cup'!$T$43</f>
        <v>IR Iran</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$E91-VLOOKUP($G91,TimeZone!$L$4:$O$19,4,0)+VLOOKUP(TimeZone!$H$1,TimeZone!$C$4:$E$40,3,0)</f>
        <v>46207.145833333336</v>
      </c>
      <c r="G91" s="181">
        <v>4</v>
      </c>
      <c r="H91" s="178" t="str">
        <f>VLOOKUP($G91,Language!$D$103:$E$118,2,0)</f>
        <v>Kansas City</v>
      </c>
      <c r="I91" s="103" t="str">
        <f t="shared" si="1"/>
        <v>Colombia</v>
      </c>
      <c r="J91" s="103" t="str">
        <f t="shared" si="2"/>
        <v>Paraguay</v>
      </c>
      <c r="K91" s="194">
        <v>16</v>
      </c>
      <c r="M91" s="585" t="s">
        <v>96</v>
      </c>
      <c r="N91" s="586" t="str">
        <f>'World Cup'!$W$42</f>
        <v>Spain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$E92-VLOOKUP($G92,TimeZone!$L$4:$O$19,4,0)+VLOOKUP(TimeZone!$H$1,TimeZone!$C$4:$E$40,3,0)</f>
        <v>46206.833333333336</v>
      </c>
      <c r="G92" s="181">
        <v>5</v>
      </c>
      <c r="H92" s="178" t="str">
        <f>VLOOKUP($G92,Language!$D$103:$E$118,2,0)</f>
        <v>Dallas</v>
      </c>
      <c r="I92" s="103" t="str">
        <f t="shared" si="1"/>
        <v>Australia</v>
      </c>
      <c r="J92" s="103" t="str">
        <f t="shared" si="2"/>
        <v>IR Iran</v>
      </c>
      <c r="K92" s="194">
        <v>14</v>
      </c>
      <c r="M92" s="587" t="s">
        <v>97</v>
      </c>
      <c r="N92" s="588" t="str">
        <f>'World Cup'!$W$43</f>
        <v>Uruguay</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Norway</v>
      </c>
    </row>
    <row r="94" spans="2:24" x14ac:dyDescent="0.25">
      <c r="B94" s="188">
        <v>89</v>
      </c>
      <c r="C94" s="186" t="s">
        <v>873</v>
      </c>
      <c r="D94" s="187" t="s">
        <v>876</v>
      </c>
      <c r="E94" s="168">
        <v>46207.708333333336</v>
      </c>
      <c r="F94" s="66">
        <f>$E94-VLOOKUP($G94,TimeZone!$L$4:$O$19,4,0)+VLOOKUP(TimeZone!$H$1,TimeZone!$C$4:$E$40,3,0)</f>
        <v>46207.958333333336</v>
      </c>
      <c r="G94" s="181">
        <v>9</v>
      </c>
      <c r="H94" s="178" t="str">
        <f>VLOOKUP($G94,Language!$D$103:$E$118,2,0)</f>
        <v>Philadelphia</v>
      </c>
      <c r="I94" s="374"/>
      <c r="J94" s="374"/>
      <c r="K94" s="194">
        <v>2</v>
      </c>
      <c r="L94" s="49"/>
      <c r="M94" s="585" t="s">
        <v>845</v>
      </c>
      <c r="N94" s="586" t="str">
        <f>'World Cup'!$Z$43</f>
        <v>France</v>
      </c>
    </row>
    <row r="95" spans="2:24" x14ac:dyDescent="0.25">
      <c r="B95" s="188">
        <v>90</v>
      </c>
      <c r="C95" s="186" t="s">
        <v>872</v>
      </c>
      <c r="D95" s="187" t="s">
        <v>874</v>
      </c>
      <c r="E95" s="168">
        <v>46207.541666666664</v>
      </c>
      <c r="F95" s="66">
        <f>$E95-VLOOKUP($G95,TimeZone!$L$4:$O$19,4,0)+VLOOKUP(TimeZone!$H$1,TimeZone!$C$4:$E$40,3,0)</f>
        <v>46207.791666666664</v>
      </c>
      <c r="G95" s="181">
        <v>6</v>
      </c>
      <c r="H95" s="178" t="str">
        <f>VLOOKUP($G95,Language!$D$103:$E$118,2,0)</f>
        <v>Houston</v>
      </c>
      <c r="I95" s="375"/>
      <c r="J95" s="375"/>
      <c r="K95" s="194">
        <v>1</v>
      </c>
      <c r="L95" s="49"/>
      <c r="M95" s="585" t="s">
        <v>847</v>
      </c>
      <c r="N95" s="586" t="str">
        <f>'World Cup'!$AC$42</f>
        <v>Argentina</v>
      </c>
    </row>
    <row r="96" spans="2:24" x14ac:dyDescent="0.25">
      <c r="B96" s="188">
        <v>91</v>
      </c>
      <c r="C96" s="186" t="s">
        <v>875</v>
      </c>
      <c r="D96" s="187" t="s">
        <v>877</v>
      </c>
      <c r="E96" s="168">
        <v>46208.666666666664</v>
      </c>
      <c r="F96" s="66">
        <f>$E96-VLOOKUP($G96,TimeZone!$L$4:$O$19,4,0)+VLOOKUP(TimeZone!$H$1,TimeZone!$C$4:$E$40,3,0)</f>
        <v>46208.916666666664</v>
      </c>
      <c r="G96" s="181">
        <v>3</v>
      </c>
      <c r="H96" s="178" t="str">
        <f>VLOOKUP($G96,Language!$D$103:$E$118,2,0)</f>
        <v>New York/New Jersey</v>
      </c>
      <c r="I96" s="375"/>
      <c r="J96" s="375"/>
      <c r="K96" s="194">
        <v>3</v>
      </c>
      <c r="L96" s="49"/>
      <c r="M96" s="585" t="s">
        <v>848</v>
      </c>
      <c r="N96" s="586" t="str">
        <f>'World Cup'!$AC$43</f>
        <v>Austria</v>
      </c>
    </row>
    <row r="97" spans="2:25" x14ac:dyDescent="0.25">
      <c r="B97" s="188">
        <v>92</v>
      </c>
      <c r="C97" s="186" t="s">
        <v>980</v>
      </c>
      <c r="D97" s="187" t="s">
        <v>985</v>
      </c>
      <c r="E97" s="168">
        <v>46208.833333333336</v>
      </c>
      <c r="F97" s="66">
        <f>$E97-VLOOKUP($G97,TimeZone!$L$4:$O$19,4,0)+VLOOKUP(TimeZone!$H$1,TimeZone!$C$4:$E$40,3,0)</f>
        <v>46209.083333333336</v>
      </c>
      <c r="G97" s="179">
        <v>14</v>
      </c>
      <c r="H97" s="178" t="str">
        <f>VLOOKUP($G97,Language!$D$103:$E$118,2,0)</f>
        <v>Mexico City</v>
      </c>
      <c r="I97" s="375"/>
      <c r="J97" s="375"/>
      <c r="K97" s="194">
        <v>4</v>
      </c>
      <c r="L97" s="49"/>
      <c r="M97" s="585" t="s">
        <v>850</v>
      </c>
      <c r="N97" s="586" t="str">
        <f>'World Cup'!$AF$42</f>
        <v>Colombia</v>
      </c>
    </row>
    <row r="98" spans="2:25" x14ac:dyDescent="0.25">
      <c r="B98" s="188">
        <v>93</v>
      </c>
      <c r="C98" s="186" t="s">
        <v>982</v>
      </c>
      <c r="D98" s="187" t="s">
        <v>987</v>
      </c>
      <c r="E98" s="168">
        <v>46209.625</v>
      </c>
      <c r="F98" s="66">
        <f>$E98-VLOOKUP($G98,TimeZone!$L$4:$O$19,4,0)+VLOOKUP(TimeZone!$H$1,TimeZone!$C$4:$E$40,3,0)</f>
        <v>46209.875</v>
      </c>
      <c r="G98" s="181">
        <v>5</v>
      </c>
      <c r="H98" s="178" t="str">
        <f>VLOOKUP($G98,Language!$D$103:$E$118,2,0)</f>
        <v>Dallas</v>
      </c>
      <c r="I98" s="375"/>
      <c r="J98" s="375"/>
      <c r="K98" s="194">
        <v>5</v>
      </c>
      <c r="L98" s="49"/>
      <c r="M98" s="585" t="s">
        <v>851</v>
      </c>
      <c r="N98" s="586" t="str">
        <f>'World Cup'!$AF$43</f>
        <v>DR Congo</v>
      </c>
    </row>
    <row r="99" spans="2:25" x14ac:dyDescent="0.25">
      <c r="B99" s="188">
        <v>94</v>
      </c>
      <c r="C99" s="186" t="s">
        <v>981</v>
      </c>
      <c r="D99" s="187" t="s">
        <v>986</v>
      </c>
      <c r="E99" s="168">
        <v>46209.833333333336</v>
      </c>
      <c r="F99" s="66">
        <f>$E99-VLOOKUP($G99,TimeZone!$L$4:$O$19,4,0)+VLOOKUP(TimeZone!$H$1,TimeZone!$C$4:$E$40,3,0)</f>
        <v>46210.083333333336</v>
      </c>
      <c r="G99" s="181">
        <v>10</v>
      </c>
      <c r="H99" s="178" t="str">
        <f>VLOOKUP($G99,Language!$D$103:$E$118,2,0)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$E100-VLOOKUP($G100,TimeZone!$L$4:$O$19,4,0)+VLOOKUP(TimeZone!$H$1,TimeZone!$C$4:$E$40,3,0)</f>
        <v>46210.75</v>
      </c>
      <c r="G100" s="181">
        <v>7</v>
      </c>
      <c r="H100" s="178" t="str">
        <f>VLOOKUP($G100,Language!$D$103:$E$118,2,0)</f>
        <v>Atlanta</v>
      </c>
      <c r="I100" s="375"/>
      <c r="J100" s="375"/>
      <c r="K100" s="194">
        <v>7</v>
      </c>
      <c r="L100" s="49"/>
      <c r="M100" s="585" t="s">
        <v>854</v>
      </c>
      <c r="N100" s="586" t="str">
        <f>'World Cup'!$AI$43</f>
        <v>Ghana</v>
      </c>
    </row>
    <row r="101" spans="2:25" x14ac:dyDescent="0.25">
      <c r="B101" s="188">
        <v>96</v>
      </c>
      <c r="C101" s="186" t="s">
        <v>983</v>
      </c>
      <c r="D101" s="187" t="s">
        <v>984</v>
      </c>
      <c r="E101" s="168">
        <v>46210.666666666664</v>
      </c>
      <c r="F101" s="66">
        <f>$E101-VLOOKUP($G101,TimeZone!$L$4:$O$19,4,0)+VLOOKUP(TimeZone!$H$1,TimeZone!$C$4:$E$40,3,0)</f>
        <v>46210.916666666664</v>
      </c>
      <c r="G101" s="180">
        <v>1</v>
      </c>
      <c r="H101" s="178" t="str">
        <f>VLOOKUP($G101,Language!$D$103:$E$118,2,0)</f>
        <v>Vancouver</v>
      </c>
      <c r="I101" s="376"/>
      <c r="J101" s="376"/>
      <c r="K101" s="194">
        <v>8</v>
      </c>
      <c r="L101" s="49"/>
      <c r="M101" s="585" t="str">
        <f>AssignThird!$D$4</f>
        <v>3-CEFHI</v>
      </c>
      <c r="N101" s="586" t="str">
        <f>IF(L69,N69,"")</f>
        <v>Cabo Verde</v>
      </c>
    </row>
    <row r="102" spans="2:25" x14ac:dyDescent="0.25">
      <c r="B102" s="67" t="s">
        <v>133</v>
      </c>
      <c r="C102" s="84"/>
      <c r="D102" s="84"/>
      <c r="E102" s="51"/>
      <c r="F102" s="52"/>
      <c r="G102" s="177"/>
      <c r="H102" s="52"/>
      <c r="I102" s="52"/>
      <c r="J102" s="52"/>
      <c r="K102" s="97"/>
      <c r="M102" s="585" t="str">
        <f>AssignThird!$E$4</f>
        <v>3-EFGIJ</v>
      </c>
      <c r="N102" s="586" t="str">
        <f t="shared" ref="N102:N108" si="3">IF(L70,N70,"")</f>
        <v>Belgium</v>
      </c>
    </row>
    <row r="103" spans="2:25" x14ac:dyDescent="0.25">
      <c r="B103" s="188">
        <v>97</v>
      </c>
      <c r="C103" s="186" t="s">
        <v>990</v>
      </c>
      <c r="D103" s="187" t="s">
        <v>994</v>
      </c>
      <c r="E103" s="168">
        <v>46212.666666666664</v>
      </c>
      <c r="F103" s="66">
        <f>$E103-VLOOKUP($G103,TimeZone!$L$4:$O$19,4,0)+VLOOKUP(TimeZone!$H$1,TimeZone!$C$4:$E$40,3,0)</f>
        <v>46212.916666666664</v>
      </c>
      <c r="G103" s="181">
        <v>12</v>
      </c>
      <c r="H103" s="178" t="str">
        <f>VLOOKUP($G103,Language!$D$103:$E$118,2,0)</f>
        <v>Boston</v>
      </c>
      <c r="I103" s="50"/>
      <c r="J103" s="50"/>
      <c r="K103" s="194">
        <v>1</v>
      </c>
      <c r="M103" s="585" t="str">
        <f>AssignThird!$F$4</f>
        <v>3-BEFIJ</v>
      </c>
      <c r="N103" s="586" t="str">
        <f t="shared" si="3"/>
        <v>Ecuador</v>
      </c>
    </row>
    <row r="104" spans="2:25" x14ac:dyDescent="0.25">
      <c r="B104" s="188">
        <v>98</v>
      </c>
      <c r="C104" s="186" t="s">
        <v>992</v>
      </c>
      <c r="D104" s="187" t="s">
        <v>996</v>
      </c>
      <c r="E104" s="168">
        <v>46213.625</v>
      </c>
      <c r="F104" s="66">
        <f>$E104-VLOOKUP($G104,TimeZone!$L$4:$O$19,4,0)+VLOOKUP(TimeZone!$H$1,TimeZone!$C$4:$E$40,3,0)</f>
        <v>46213.875</v>
      </c>
      <c r="G104" s="181">
        <v>8</v>
      </c>
      <c r="H104" s="178" t="str">
        <f>VLOOKUP($G104,Language!$D$103:$E$118,2,0)</f>
        <v>Los Angeles</v>
      </c>
      <c r="I104" s="49"/>
      <c r="J104" s="50"/>
      <c r="K104" s="194">
        <v>2</v>
      </c>
      <c r="M104" s="585" t="str">
        <f>AssignThird!$G$4</f>
        <v>3-ABCDF</v>
      </c>
      <c r="N104" s="586" t="str">
        <f t="shared" si="3"/>
        <v>Scotland</v>
      </c>
    </row>
    <row r="105" spans="2:25" x14ac:dyDescent="0.25">
      <c r="B105" s="188">
        <v>99</v>
      </c>
      <c r="C105" s="186" t="s">
        <v>991</v>
      </c>
      <c r="D105" s="187" t="s">
        <v>995</v>
      </c>
      <c r="E105" s="168">
        <v>46214.708333333336</v>
      </c>
      <c r="F105" s="66">
        <f>$E105-VLOOKUP($G105,TimeZone!$L$4:$O$19,4,0)+VLOOKUP(TimeZone!$H$1,TimeZone!$C$4:$E$40,3,0)</f>
        <v>46214.958333333336</v>
      </c>
      <c r="G105" s="181">
        <v>13</v>
      </c>
      <c r="H105" s="178" t="str">
        <f>VLOOKUP($G105,Language!$D$103:$E$118,2,0)</f>
        <v>Miami</v>
      </c>
      <c r="I105" s="50"/>
      <c r="J105" s="50"/>
      <c r="K105" s="194">
        <v>3</v>
      </c>
      <c r="M105" s="585" t="str">
        <f>AssignThird!$H$4</f>
        <v>3-AEHIJ</v>
      </c>
      <c r="N105" s="586" t="str">
        <f t="shared" si="3"/>
        <v>Czechia</v>
      </c>
    </row>
    <row r="106" spans="2:25" x14ac:dyDescent="0.25">
      <c r="B106" s="188">
        <v>100</v>
      </c>
      <c r="C106" s="186" t="s">
        <v>993</v>
      </c>
      <c r="D106" s="187" t="s">
        <v>997</v>
      </c>
      <c r="E106" s="168">
        <v>46214.875</v>
      </c>
      <c r="F106" s="66">
        <f>$E106-VLOOKUP($G106,TimeZone!$L$4:$O$19,4,0)+VLOOKUP(TimeZone!$H$1,TimeZone!$C$4:$E$40,3,0)</f>
        <v>46215.125</v>
      </c>
      <c r="G106" s="181">
        <v>4</v>
      </c>
      <c r="H106" s="178" t="str">
        <f>VLOOKUP($G106,Language!$D$103:$E$118,2,0)</f>
        <v>Kansas City</v>
      </c>
      <c r="I106" s="50"/>
      <c r="J106" s="50"/>
      <c r="K106" s="194">
        <v>4</v>
      </c>
      <c r="M106" s="585" t="str">
        <f>AssignThird!$I$4</f>
        <v>3-CDFGH</v>
      </c>
      <c r="N106" s="586" t="str">
        <f t="shared" si="3"/>
        <v>Sweden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Paraguay</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$E108-VLOOKUP($G108,TimeZone!$L$4:$O$19,4,0)+VLOOKUP(TimeZone!$H$1,TimeZone!$C$4:$E$40,3,0)</f>
        <v>46217.875</v>
      </c>
      <c r="G108" s="181">
        <v>5</v>
      </c>
      <c r="H108" s="178" t="str">
        <f>VLOOKUP($G108,Language!$D$103:$E$118,2,0)</f>
        <v>Dallas</v>
      </c>
      <c r="I108" s="50"/>
      <c r="J108" s="50"/>
      <c r="K108" s="169" t="str">
        <f>Language!$E$170</f>
        <v>Semi-Final 1</v>
      </c>
      <c r="M108" s="587" t="str">
        <f>AssignThird!$K$4</f>
        <v>3-EHIJK</v>
      </c>
      <c r="N108" s="588" t="str">
        <f t="shared" si="3"/>
        <v>Portugal</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$E109-VLOOKUP($G109,TimeZone!$L$4:$O$19,4,0)+VLOOKUP(TimeZone!$H$1,TimeZone!$C$4:$E$40,3,0)</f>
        <v>46218.875</v>
      </c>
      <c r="G109" s="181">
        <v>7</v>
      </c>
      <c r="H109" s="178" t="str">
        <f>VLOOKUP($G109,Language!$D$103:$E$118,2,0)</f>
        <v>Atlanta</v>
      </c>
      <c r="I109" s="50"/>
      <c r="J109" s="50"/>
      <c r="K109" s="169" t="str">
        <f>Language!$E$171</f>
        <v>Semi-Final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$E111-VLOOKUP($G111,TimeZone!$L$4:$O$19,4,0)+VLOOKUP(TimeZone!$H$1,TimeZone!$C$4:$E$40,3,0)</f>
        <v>46221.958333333336</v>
      </c>
      <c r="G111" s="181">
        <v>13</v>
      </c>
      <c r="H111" s="178" t="str">
        <f>VLOOKUP($G111,Language!$D$103:$E$118,2,0)</f>
        <v>Miami</v>
      </c>
      <c r="I111" s="50"/>
      <c r="J111" s="50"/>
      <c r="K111" s="104" t="str">
        <f>Language!$E$172</f>
        <v>Third place</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$E113-VLOOKUP($G113,TimeZone!$L$4:$O$19,4,0)+VLOOKUP(TimeZone!$H$1,TimeZone!$C$4:$E$40,3,0)</f>
        <v>46222.875</v>
      </c>
      <c r="G113" s="642">
        <v>3</v>
      </c>
      <c r="H113" s="643" t="str">
        <f>VLOOKUP($G113,Language!$D$103:$E$118,2,0)</f>
        <v>New York/New Jersey</v>
      </c>
      <c r="I113" s="644"/>
      <c r="J113" s="645"/>
      <c r="K113" s="646" t="str">
        <f>Language!$E$173</f>
        <v>Final</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5" t="str">
        <f>Language!$E$128</f>
        <v>Assignment of the group third in the round of 32</v>
      </c>
      <c r="D2" s="1135"/>
      <c r="E2" s="1135"/>
      <c r="F2" s="1135"/>
      <c r="G2" s="1135"/>
      <c r="H2" s="1135"/>
      <c r="I2" s="1135"/>
      <c r="J2" s="1135"/>
      <c r="K2" s="1135"/>
    </row>
    <row r="3" spans="1:11" ht="23.25" customHeight="1" x14ac:dyDescent="0.25">
      <c r="C3" s="1139" t="s">
        <v>1639</v>
      </c>
      <c r="D3" s="1139"/>
      <c r="E3" s="1139"/>
      <c r="F3" s="1139"/>
      <c r="G3" s="1139"/>
      <c r="H3" s="1139"/>
      <c r="I3" s="1139"/>
      <c r="J3" s="1139"/>
      <c r="K3" s="1139"/>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6" t="str">
        <f>Language!$E$177</f>
        <v>Group combination:</v>
      </c>
      <c r="D5" s="427" t="str">
        <f>Language!$E$178</f>
        <v>First in Group</v>
      </c>
      <c r="E5" s="428" t="str">
        <f>Language!$E$178</f>
        <v>First in Group</v>
      </c>
      <c r="F5" s="428" t="str">
        <f>Language!$E$178</f>
        <v>First in Group</v>
      </c>
      <c r="G5" s="428" t="str">
        <f>Language!$E$178</f>
        <v>First in Group</v>
      </c>
      <c r="H5" s="428" t="str">
        <f>Language!$E$178</f>
        <v>First in Group</v>
      </c>
      <c r="I5" s="428" t="str">
        <f>Language!$E$178</f>
        <v>First in Group</v>
      </c>
      <c r="J5" s="428" t="str">
        <f>Language!$E$178</f>
        <v>First in Group</v>
      </c>
      <c r="K5" s="429" t="str">
        <f>Language!$E$178</f>
        <v>First in Group</v>
      </c>
    </row>
    <row r="6" spans="1:11" ht="15.75" x14ac:dyDescent="0.25">
      <c r="C6" s="1137"/>
      <c r="D6" s="430" t="s">
        <v>24</v>
      </c>
      <c r="E6" s="431" t="s">
        <v>20</v>
      </c>
      <c r="F6" s="431" t="s">
        <v>25</v>
      </c>
      <c r="G6" s="431" t="s">
        <v>22</v>
      </c>
      <c r="H6" s="431" t="s">
        <v>272</v>
      </c>
      <c r="I6" s="431" t="s">
        <v>32</v>
      </c>
      <c r="J6" s="431" t="s">
        <v>33</v>
      </c>
      <c r="K6" s="432" t="s">
        <v>34</v>
      </c>
    </row>
    <row r="7" spans="1:11" ht="48" thickBot="1" x14ac:dyDescent="0.3">
      <c r="C7" s="1138"/>
      <c r="D7" s="433" t="str">
        <f>Language!$E$179</f>
        <v>against third of Group</v>
      </c>
      <c r="E7" s="434" t="str">
        <f>Language!$E$179</f>
        <v>against third of Group</v>
      </c>
      <c r="F7" s="434" t="str">
        <f>Language!$E$179</f>
        <v>against third of Group</v>
      </c>
      <c r="G7" s="434" t="str">
        <f>Language!$E$179</f>
        <v>against third of Group</v>
      </c>
      <c r="H7" s="434" t="str">
        <f>Language!$E$179</f>
        <v>against third of Group</v>
      </c>
      <c r="I7" s="434" t="str">
        <f>Language!$E$179</f>
        <v>against third of Group</v>
      </c>
      <c r="J7" s="434" t="str">
        <f>Language!$E$179</f>
        <v>against third of Group</v>
      </c>
      <c r="K7" s="435" t="str">
        <f>Language!$E$179</f>
        <v>against third of Group</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Language!$E$180</f>
        <v>Third in the group</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Czechia</v>
      </c>
      <c r="D4" s="511">
        <f>CalcA!$E$24</f>
        <v>1</v>
      </c>
      <c r="E4" s="511">
        <f>F4-G4</f>
        <v>-1</v>
      </c>
      <c r="F4" s="511">
        <f>CalcA!$F$24</f>
        <v>2</v>
      </c>
      <c r="G4" s="511">
        <f>CalcA!$G$24</f>
        <v>3</v>
      </c>
      <c r="H4" s="513">
        <f t="shared" ref="H4:H15" si="0">$D4*$S$4+($E4+$S$5/2)*$S$5+$F4*$S$6+$K4*$S$7+$L4*$S$8</f>
        <v>1499001.9990590001</v>
      </c>
      <c r="I4" s="511" t="s">
        <v>24</v>
      </c>
      <c r="J4" s="511"/>
      <c r="K4" s="511">
        <f>SUMIFS(FairPlay!$G$6:$G$27,FairPlay!$B$6:$B$27,$C4)+SUMIFS(FairPlay!$G$30:$G$51,FairPlay!$B$30:$B$51,$C4)+SUMIFS(FairPlay!$G$54:$G$75,FairPlay!$B$54:$B$75,$C4)</f>
        <v>-1</v>
      </c>
      <c r="L4" s="511">
        <f>100-INDEX(Language!$D$5:$D$100,MATCH($C4,Language!$E$5:$E$100,0),1)</f>
        <v>59</v>
      </c>
      <c r="R4" s="801" t="s">
        <v>1705</v>
      </c>
      <c r="S4" s="802">
        <v>1000000</v>
      </c>
    </row>
    <row r="5" spans="1:19" x14ac:dyDescent="0.25">
      <c r="A5" s="372"/>
      <c r="B5" s="456" t="s">
        <v>27</v>
      </c>
      <c r="C5" s="27" t="str">
        <f>CalcB!$D$24</f>
        <v>Bosnia/Herzeg.</v>
      </c>
      <c r="D5" s="456">
        <f>CalcB!$E$24</f>
        <v>1</v>
      </c>
      <c r="E5" s="456">
        <f t="shared" ref="E5:E15" si="1">F5-G5</f>
        <v>-3</v>
      </c>
      <c r="F5" s="456">
        <f>CalcB!$F$24</f>
        <v>2</v>
      </c>
      <c r="G5" s="456">
        <f>CalcB!$G$24</f>
        <v>5</v>
      </c>
      <c r="H5" s="514">
        <f t="shared" si="0"/>
        <v>1497001.991035</v>
      </c>
      <c r="I5" s="456" t="s">
        <v>20</v>
      </c>
      <c r="J5" s="456"/>
      <c r="K5" s="456">
        <f>SUMIFS(FairPlay!$G$6:$G$27,FairPlay!$B$6:$B$27,$C5)+SUMIFS(FairPlay!$G$30:$G$51,FairPlay!$B$30:$B$51,$C5)+SUMIFS(FairPlay!$G$54:$G$75,FairPlay!$B$54:$B$75,$C5)</f>
        <v>-9</v>
      </c>
      <c r="L5" s="456">
        <f>100-INDEX(Language!$D$5:$D$100,MATCH($C5,Language!$E$5:$E$100,0),1)</f>
        <v>35</v>
      </c>
      <c r="R5" s="803" t="s">
        <v>1704</v>
      </c>
      <c r="S5" s="804">
        <v>1000</v>
      </c>
    </row>
    <row r="6" spans="1:19" x14ac:dyDescent="0.25">
      <c r="A6" s="372"/>
      <c r="B6" s="456" t="s">
        <v>28</v>
      </c>
      <c r="C6" s="27" t="str">
        <f>CalcC!$D$24</f>
        <v>Scotland</v>
      </c>
      <c r="D6" s="456">
        <f>CalcC!$E$24</f>
        <v>3</v>
      </c>
      <c r="E6" s="456">
        <f t="shared" si="1"/>
        <v>0</v>
      </c>
      <c r="F6" s="456">
        <f>CalcC!$F$24</f>
        <v>1</v>
      </c>
      <c r="G6" s="456">
        <f>CalcC!$G$24</f>
        <v>1</v>
      </c>
      <c r="H6" s="514">
        <f t="shared" si="0"/>
        <v>3500000.996057</v>
      </c>
      <c r="I6" s="456" t="s">
        <v>21</v>
      </c>
      <c r="J6" s="456"/>
      <c r="K6" s="456">
        <f>SUMIFS(FairPlay!$G$6:$G$27,FairPlay!$B$6:$B$27,$C6)+SUMIFS(FairPlay!$G$30:$G$51,FairPlay!$B$30:$B$51,$C6)+SUMIFS(FairPlay!$G$54:$G$75,FairPlay!$B$54:$B$75,$C6)</f>
        <v>-4</v>
      </c>
      <c r="L6" s="456">
        <f>100-INDEX(Language!$D$5:$D$100,MATCH($C6,Language!$E$5:$E$100,0),1)</f>
        <v>57</v>
      </c>
      <c r="R6" s="803" t="s">
        <v>1703</v>
      </c>
      <c r="S6" s="804">
        <v>1</v>
      </c>
    </row>
    <row r="7" spans="1:19" x14ac:dyDescent="0.25">
      <c r="A7" s="372"/>
      <c r="B7" s="456" t="s">
        <v>29</v>
      </c>
      <c r="C7" s="27" t="str">
        <f>CalcD!$D$24</f>
        <v>Paraguay</v>
      </c>
      <c r="D7" s="456">
        <f>CalcD!$E$24</f>
        <v>3</v>
      </c>
      <c r="E7" s="456">
        <f t="shared" si="1"/>
        <v>-2</v>
      </c>
      <c r="F7" s="456">
        <f>CalcD!$F$24</f>
        <v>2</v>
      </c>
      <c r="G7" s="456">
        <f>CalcD!$G$24</f>
        <v>4</v>
      </c>
      <c r="H7" s="514">
        <f t="shared" si="0"/>
        <v>3498001.9900600002</v>
      </c>
      <c r="I7" s="456" t="s">
        <v>25</v>
      </c>
      <c r="J7" s="456"/>
      <c r="K7" s="456">
        <f>SUMIFS(FairPlay!$G$6:$G$27,FairPlay!$B$6:$B$27,$C7)+SUMIFS(FairPlay!$G$30:$G$51,FairPlay!$B$30:$B$51,$C7)+SUMIFS(FairPlay!$G$54:$G$75,FairPlay!$B$54:$B$75,$C7)</f>
        <v>-10</v>
      </c>
      <c r="L7" s="456">
        <f>100-INDEX(Language!$D$5:$D$100,MATCH($C7,Language!$E$5:$E$100,0),1)</f>
        <v>60</v>
      </c>
      <c r="R7" s="803" t="s">
        <v>1706</v>
      </c>
      <c r="S7" s="804">
        <v>1E-3</v>
      </c>
    </row>
    <row r="8" spans="1:19" x14ac:dyDescent="0.25">
      <c r="A8" s="372"/>
      <c r="B8" s="456" t="s">
        <v>1030</v>
      </c>
      <c r="C8" s="27" t="str">
        <f>CalcE!$D$24</f>
        <v>Ecuador</v>
      </c>
      <c r="D8" s="456">
        <f>CalcE!$E$24</f>
        <v>1</v>
      </c>
      <c r="E8" s="456">
        <f t="shared" si="1"/>
        <v>-1</v>
      </c>
      <c r="F8" s="456">
        <f>CalcE!$F$24</f>
        <v>0</v>
      </c>
      <c r="G8" s="456">
        <f>CalcE!$G$24</f>
        <v>1</v>
      </c>
      <c r="H8" s="514">
        <f t="shared" si="0"/>
        <v>1498999.9980769998</v>
      </c>
      <c r="I8" s="456" t="s">
        <v>22</v>
      </c>
      <c r="J8" s="456"/>
      <c r="K8" s="456">
        <f>SUMIFS(FairPlay!$G$6:$G$27,FairPlay!$B$6:$B$27,$C8)+SUMIFS(FairPlay!$G$30:$G$51,FairPlay!$B$30:$B$51,$C8)+SUMIFS(FairPlay!$G$54:$G$75,FairPlay!$B$54:$B$75,$C8)</f>
        <v>-2</v>
      </c>
      <c r="L8" s="456">
        <f>100-INDEX(Language!$D$5:$D$100,MATCH($C8,Language!$E$5:$E$100,0),1)</f>
        <v>77</v>
      </c>
      <c r="R8" s="805" t="s">
        <v>1707</v>
      </c>
      <c r="S8" s="806">
        <v>9.9999999999999995E-7</v>
      </c>
    </row>
    <row r="9" spans="1:19" x14ac:dyDescent="0.25">
      <c r="A9" s="372"/>
      <c r="B9" s="456" t="s">
        <v>1031</v>
      </c>
      <c r="C9" s="27" t="str">
        <f>CalcF!$D$24</f>
        <v>Sweden</v>
      </c>
      <c r="D9" s="456">
        <f>CalcF!$E$24</f>
        <v>3</v>
      </c>
      <c r="E9" s="456">
        <f t="shared" si="1"/>
        <v>0</v>
      </c>
      <c r="F9" s="456">
        <f>CalcF!$F$24</f>
        <v>6</v>
      </c>
      <c r="G9" s="456">
        <f>CalcF!$G$24</f>
        <v>6</v>
      </c>
      <c r="H9" s="514">
        <f t="shared" si="0"/>
        <v>3500005.997062</v>
      </c>
      <c r="I9" s="456" t="s">
        <v>23</v>
      </c>
      <c r="J9" s="456"/>
      <c r="K9" s="456">
        <f>SUMIFS(FairPlay!$G$6:$G$27,FairPlay!$B$6:$B$27,$C9)+SUMIFS(FairPlay!$G$30:$G$51,FairPlay!$B$30:$B$51,$C9)+SUMIFS(FairPlay!$G$54:$G$75,FairPlay!$B$54:$B$75,$C9)</f>
        <v>-3</v>
      </c>
      <c r="L9" s="456">
        <f>100-INDEX(Language!$D$5:$D$100,MATCH($C9,Language!$E$5:$E$100,0),1)</f>
        <v>62</v>
      </c>
    </row>
    <row r="10" spans="1:19" x14ac:dyDescent="0.25">
      <c r="A10" s="372"/>
      <c r="B10" s="456" t="s">
        <v>1034</v>
      </c>
      <c r="C10" s="27" t="str">
        <f>CalcG!$D$24</f>
        <v>Belgium</v>
      </c>
      <c r="D10" s="456">
        <f>CalcG!$E$24</f>
        <v>2</v>
      </c>
      <c r="E10" s="456">
        <f t="shared" si="1"/>
        <v>0</v>
      </c>
      <c r="F10" s="456">
        <f>CalcG!$F$24</f>
        <v>1</v>
      </c>
      <c r="G10" s="456">
        <f>CalcG!$G$24</f>
        <v>1</v>
      </c>
      <c r="H10" s="514">
        <f t="shared" si="0"/>
        <v>2500000.997091</v>
      </c>
      <c r="I10" s="456" t="s">
        <v>272</v>
      </c>
      <c r="J10" s="456"/>
      <c r="K10" s="456">
        <f>SUMIFS(FairPlay!$G$6:$G$27,FairPlay!$B$6:$B$27,$C10)+SUMIFS(FairPlay!$G$30:$G$51,FairPlay!$B$30:$B$51,$C10)+SUMIFS(FairPlay!$G$54:$G$75,FairPlay!$B$54:$B$75,$C10)</f>
        <v>-3</v>
      </c>
      <c r="L10" s="456">
        <f>100-INDEX(Language!$D$5:$D$100,MATCH($C10,Language!$E$5:$E$100,0),1)</f>
        <v>91</v>
      </c>
    </row>
    <row r="11" spans="1:19" x14ac:dyDescent="0.25">
      <c r="A11" s="372"/>
      <c r="B11" s="456" t="s">
        <v>1035</v>
      </c>
      <c r="C11" s="27" t="str">
        <f>CalcH!$D$24</f>
        <v>Cabo Verde</v>
      </c>
      <c r="D11" s="456">
        <f>CalcH!$E$24</f>
        <v>2</v>
      </c>
      <c r="E11" s="456">
        <f t="shared" si="1"/>
        <v>0</v>
      </c>
      <c r="F11" s="456">
        <f>CalcH!$F$24</f>
        <v>2</v>
      </c>
      <c r="G11" s="456">
        <f>CalcH!$G$24</f>
        <v>2</v>
      </c>
      <c r="H11" s="514">
        <f t="shared" si="0"/>
        <v>2500001.997031</v>
      </c>
      <c r="I11" s="456" t="s">
        <v>31</v>
      </c>
      <c r="J11" s="456"/>
      <c r="K11" s="456">
        <f>SUMIFS(FairPlay!$G$6:$G$27,FairPlay!$B$6:$B$27,$C11)+SUMIFS(FairPlay!$G$30:$G$51,FairPlay!$B$30:$B$51,$C11)+SUMIFS(FairPlay!$G$54:$G$75,FairPlay!$B$54:$B$75,$C11)</f>
        <v>-3</v>
      </c>
      <c r="L11" s="456">
        <f>100-INDEX(Language!$D$5:$D$100,MATCH($C11,Language!$E$5:$E$100,0),1)</f>
        <v>31</v>
      </c>
    </row>
    <row r="12" spans="1:19" x14ac:dyDescent="0.25">
      <c r="A12" s="372"/>
      <c r="B12" s="456" t="s">
        <v>1036</v>
      </c>
      <c r="C12" s="27" t="str">
        <f>CalcI!$D$24</f>
        <v>Senegal</v>
      </c>
      <c r="D12" s="456">
        <f>CalcI!$E$24</f>
        <v>0</v>
      </c>
      <c r="E12" s="456">
        <f t="shared" si="1"/>
        <v>-2</v>
      </c>
      <c r="F12" s="456">
        <f>CalcI!$F$24</f>
        <v>1</v>
      </c>
      <c r="G12" s="456">
        <f>CalcI!$G$24</f>
        <v>3</v>
      </c>
      <c r="H12" s="514">
        <f t="shared" si="0"/>
        <v>498001.00008600001</v>
      </c>
      <c r="I12" s="456" t="s">
        <v>32</v>
      </c>
      <c r="J12" s="456"/>
      <c r="K12" s="456">
        <f>SUMIFS(FairPlay!$G$6:$G$27,FairPlay!$B$6:$B$27,$C12)+SUMIFS(FairPlay!$G$30:$G$51,FairPlay!$B$30:$B$51,$C12)+SUMIFS(FairPlay!$G$54:$G$75,FairPlay!$B$54:$B$75,$C12)</f>
        <v>0</v>
      </c>
      <c r="L12" s="456">
        <f>100-INDEX(Language!$D$5:$D$100,MATCH($C12,Language!$E$5:$E$100,0),1)</f>
        <v>86</v>
      </c>
    </row>
    <row r="13" spans="1:19" x14ac:dyDescent="0.25">
      <c r="A13" s="372"/>
      <c r="B13" s="456" t="s">
        <v>1037</v>
      </c>
      <c r="C13" s="27" t="str">
        <f>CalcJ!$D$24</f>
        <v>Jordan</v>
      </c>
      <c r="D13" s="456">
        <f>CalcJ!$E$24</f>
        <v>0</v>
      </c>
      <c r="E13" s="456">
        <f t="shared" si="1"/>
        <v>-2</v>
      </c>
      <c r="F13" s="456">
        <f>CalcJ!$F$24</f>
        <v>1</v>
      </c>
      <c r="G13" s="456">
        <f>CalcJ!$G$24</f>
        <v>3</v>
      </c>
      <c r="H13" s="514">
        <f t="shared" si="0"/>
        <v>498001.00003699999</v>
      </c>
      <c r="I13" s="456" t="s">
        <v>830</v>
      </c>
      <c r="J13" s="456"/>
      <c r="K13" s="456">
        <f>SUMIFS(FairPlay!$G$6:$G$27,FairPlay!$B$6:$B$27,$C13)+SUMIFS(FairPlay!$G$30:$G$51,FairPlay!$B$30:$B$51,$C13)+SUMIFS(FairPlay!$G$54:$G$75,FairPlay!$B$54:$B$75,$C13)</f>
        <v>0</v>
      </c>
      <c r="L13" s="456">
        <f>100-INDEX(Language!$D$5:$D$100,MATCH($C13,Language!$E$5:$E$100,0),1)</f>
        <v>37</v>
      </c>
    </row>
    <row r="14" spans="1:19" x14ac:dyDescent="0.25">
      <c r="A14" s="372"/>
      <c r="B14" s="456" t="s">
        <v>1038</v>
      </c>
      <c r="C14" s="27" t="str">
        <f>CalcK!$D$24</f>
        <v>Portugal</v>
      </c>
      <c r="D14" s="456">
        <f>CalcK!$E$24</f>
        <v>1</v>
      </c>
      <c r="E14" s="456">
        <f t="shared" si="1"/>
        <v>0</v>
      </c>
      <c r="F14" s="456">
        <f>CalcK!$F$24</f>
        <v>1</v>
      </c>
      <c r="G14" s="456">
        <f>CalcK!$G$24</f>
        <v>1</v>
      </c>
      <c r="H14" s="514">
        <f t="shared" si="0"/>
        <v>1500000.997095</v>
      </c>
      <c r="I14" s="456" t="s">
        <v>33</v>
      </c>
      <c r="J14" s="456"/>
      <c r="K14" s="456">
        <f>SUMIFS(FairPlay!$G$6:$G$27,FairPlay!$B$6:$B$27,$C14)+SUMIFS(FairPlay!$G$30:$G$51,FairPlay!$B$30:$B$51,$C14)+SUMIFS(FairPlay!$G$54:$G$75,FairPlay!$B$54:$B$75,$C14)</f>
        <v>-3</v>
      </c>
      <c r="L14" s="456">
        <f>100-INDEX(Language!$D$5:$D$100,MATCH($C14,Language!$E$5:$E$100,0),1)</f>
        <v>95</v>
      </c>
    </row>
    <row r="15" spans="1:19" x14ac:dyDescent="0.25">
      <c r="A15" s="372"/>
      <c r="B15" s="35" t="s">
        <v>1039</v>
      </c>
      <c r="C15" s="34" t="str">
        <f>CalcL!$D$24</f>
        <v>Panama</v>
      </c>
      <c r="D15" s="35">
        <f>CalcL!$E$24</f>
        <v>0</v>
      </c>
      <c r="E15" s="35">
        <f t="shared" si="1"/>
        <v>-1</v>
      </c>
      <c r="F15" s="35">
        <f>CalcL!$F$24</f>
        <v>0</v>
      </c>
      <c r="G15" s="35">
        <f>CalcL!$G$24</f>
        <v>1</v>
      </c>
      <c r="H15" s="515">
        <f t="shared" si="0"/>
        <v>498999.99806700001</v>
      </c>
      <c r="I15" s="35" t="s">
        <v>34</v>
      </c>
      <c r="J15" s="35"/>
      <c r="K15" s="35">
        <f>SUMIFS(FairPlay!$G$6:$G$27,FairPlay!$B$6:$B$27,$C15)+SUMIFS(FairPlay!$G$30:$G$51,FairPlay!$B$30:$B$51,$C15)+SUMIFS(FairPlay!$G$54:$G$75,FairPlay!$B$54:$B$75,$C15)</f>
        <v>-2</v>
      </c>
      <c r="L15" s="35">
        <f>100-INDEX(Language!$D$5:$D$100,MATCH($C15,Language!$E$5:$E$100,0),1)</f>
        <v>67</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Sweden</v>
      </c>
      <c r="D17" s="462">
        <f t="shared" si="2"/>
        <v>3</v>
      </c>
      <c r="E17" s="463">
        <f t="shared" si="2"/>
        <v>0</v>
      </c>
      <c r="F17" s="464">
        <f t="shared" si="2"/>
        <v>6</v>
      </c>
      <c r="G17" s="465">
        <f t="shared" si="2"/>
        <v>6</v>
      </c>
      <c r="H17" s="466">
        <f t="shared" ref="H17:H22" si="3">LARGE($H$4:$H$15,ROW(A1))</f>
        <v>3500005.997062</v>
      </c>
      <c r="I17" s="467" t="str">
        <f t="shared" ref="I17:I22" si="4">INDEX(I$4:I$15,MATCH($H17,$H$4:$H$15,0))</f>
        <v>F</v>
      </c>
      <c r="J17" s="508"/>
      <c r="K17" s="468">
        <f t="array" ref="K17">SUM(IF($I$17:$I$24 &lt; $I17,1))</f>
        <v>4</v>
      </c>
      <c r="L17" s="463" t="str">
        <f>INDEX($I$17:$I$24,MATCH(ROW(A1)-1,$K$17:$K$24,0))</f>
        <v>A</v>
      </c>
      <c r="M17" s="462">
        <f>D17</f>
        <v>3</v>
      </c>
      <c r="N17" s="469">
        <f>F17</f>
        <v>6</v>
      </c>
      <c r="O17" s="470" t="s">
        <v>1032</v>
      </c>
      <c r="P17" s="471">
        <f>G17</f>
        <v>6</v>
      </c>
    </row>
    <row r="18" spans="2:16" x14ac:dyDescent="0.25">
      <c r="B18" s="472" t="s">
        <v>27</v>
      </c>
      <c r="C18" s="473" t="str">
        <f t="shared" si="2"/>
        <v>Scotland</v>
      </c>
      <c r="D18" s="474">
        <f t="shared" si="2"/>
        <v>3</v>
      </c>
      <c r="E18" s="475">
        <f t="shared" si="2"/>
        <v>0</v>
      </c>
      <c r="F18" s="476">
        <f t="shared" si="2"/>
        <v>1</v>
      </c>
      <c r="G18" s="477">
        <f t="shared" si="2"/>
        <v>1</v>
      </c>
      <c r="H18" s="478">
        <f t="shared" si="3"/>
        <v>3500000.996057</v>
      </c>
      <c r="I18" s="479" t="str">
        <f t="shared" si="4"/>
        <v>C</v>
      </c>
      <c r="J18" s="509"/>
      <c r="K18" s="480">
        <f t="array" ref="K18">SUM(IF($I$17:$I$24 &lt; $I18,1))</f>
        <v>1</v>
      </c>
      <c r="L18" s="475" t="str">
        <f>INDEX($I$17:$I$24,MATCH(ROW(A2)-1,$K$17:$K$24,0))</f>
        <v>C</v>
      </c>
      <c r="M18" s="474">
        <f t="shared" ref="M18:M22" si="5">D18</f>
        <v>3</v>
      </c>
      <c r="N18" s="481">
        <f t="shared" ref="N18:N22" si="6">F18</f>
        <v>1</v>
      </c>
      <c r="O18" s="482" t="s">
        <v>1032</v>
      </c>
      <c r="P18" s="483">
        <f t="shared" ref="P18:P22" si="7">G18</f>
        <v>1</v>
      </c>
    </row>
    <row r="19" spans="2:16" x14ac:dyDescent="0.25">
      <c r="B19" s="472" t="s">
        <v>28</v>
      </c>
      <c r="C19" s="473" t="str">
        <f t="shared" si="2"/>
        <v>Paraguay</v>
      </c>
      <c r="D19" s="474">
        <f t="shared" si="2"/>
        <v>3</v>
      </c>
      <c r="E19" s="475">
        <f t="shared" si="2"/>
        <v>-2</v>
      </c>
      <c r="F19" s="476">
        <f t="shared" si="2"/>
        <v>2</v>
      </c>
      <c r="G19" s="477">
        <f t="shared" si="2"/>
        <v>4</v>
      </c>
      <c r="H19" s="478">
        <f t="shared" si="3"/>
        <v>3498001.9900600002</v>
      </c>
      <c r="I19" s="479" t="str">
        <f t="shared" si="4"/>
        <v>D</v>
      </c>
      <c r="J19" s="509"/>
      <c r="K19" s="480">
        <f t="array" ref="K19">SUM(IF($I$17:$I$24 &lt; $I19,1))</f>
        <v>2</v>
      </c>
      <c r="L19" s="475" t="str">
        <f t="shared" ref="L19:L24" si="8">INDEX($I$17:$I$24,MATCH(ROW(A3)-1,$K$17:$K$24,0))</f>
        <v>D</v>
      </c>
      <c r="M19" s="474">
        <f t="shared" si="5"/>
        <v>3</v>
      </c>
      <c r="N19" s="481">
        <f t="shared" si="6"/>
        <v>2</v>
      </c>
      <c r="O19" s="482" t="s">
        <v>1032</v>
      </c>
      <c r="P19" s="483">
        <f t="shared" si="7"/>
        <v>4</v>
      </c>
    </row>
    <row r="20" spans="2:16" x14ac:dyDescent="0.25">
      <c r="B20" s="472" t="s">
        <v>29</v>
      </c>
      <c r="C20" s="473" t="str">
        <f t="shared" si="2"/>
        <v>Cabo Verde</v>
      </c>
      <c r="D20" s="474">
        <f t="shared" si="2"/>
        <v>2</v>
      </c>
      <c r="E20" s="475">
        <f t="shared" si="2"/>
        <v>0</v>
      </c>
      <c r="F20" s="476">
        <f t="shared" si="2"/>
        <v>2</v>
      </c>
      <c r="G20" s="477">
        <f t="shared" si="2"/>
        <v>2</v>
      </c>
      <c r="H20" s="478">
        <f t="shared" si="3"/>
        <v>2500001.997031</v>
      </c>
      <c r="I20" s="479" t="str">
        <f t="shared" si="4"/>
        <v>H</v>
      </c>
      <c r="J20" s="509"/>
      <c r="K20" s="480">
        <f t="array" ref="K20">SUM(IF($I$17:$I$24 &lt; $I20,1))</f>
        <v>6</v>
      </c>
      <c r="L20" s="475" t="str">
        <f t="shared" si="8"/>
        <v>E</v>
      </c>
      <c r="M20" s="474">
        <f t="shared" si="5"/>
        <v>2</v>
      </c>
      <c r="N20" s="481">
        <f t="shared" si="6"/>
        <v>2</v>
      </c>
      <c r="O20" s="482" t="s">
        <v>1032</v>
      </c>
      <c r="P20" s="483">
        <f t="shared" si="7"/>
        <v>2</v>
      </c>
    </row>
    <row r="21" spans="2:16" x14ac:dyDescent="0.25">
      <c r="B21" s="472" t="s">
        <v>1030</v>
      </c>
      <c r="C21" s="473" t="str">
        <f t="shared" si="2"/>
        <v>Belgium</v>
      </c>
      <c r="D21" s="474">
        <f t="shared" si="2"/>
        <v>2</v>
      </c>
      <c r="E21" s="475">
        <f t="shared" si="2"/>
        <v>0</v>
      </c>
      <c r="F21" s="476">
        <f t="shared" si="2"/>
        <v>1</v>
      </c>
      <c r="G21" s="477">
        <f t="shared" si="2"/>
        <v>1</v>
      </c>
      <c r="H21" s="478">
        <f t="shared" si="3"/>
        <v>2500000.997091</v>
      </c>
      <c r="I21" s="479" t="str">
        <f t="shared" si="4"/>
        <v>G</v>
      </c>
      <c r="J21" s="509"/>
      <c r="K21" s="480">
        <f t="array" ref="K21">SUM(IF($I$17:$I$24 &lt; $I21,1))</f>
        <v>5</v>
      </c>
      <c r="L21" s="475" t="str">
        <f t="shared" si="8"/>
        <v>F</v>
      </c>
      <c r="M21" s="474">
        <f t="shared" si="5"/>
        <v>2</v>
      </c>
      <c r="N21" s="481">
        <f t="shared" si="6"/>
        <v>1</v>
      </c>
      <c r="O21" s="482" t="s">
        <v>1032</v>
      </c>
      <c r="P21" s="483">
        <f t="shared" si="7"/>
        <v>1</v>
      </c>
    </row>
    <row r="22" spans="2:16" x14ac:dyDescent="0.25">
      <c r="B22" s="497" t="s">
        <v>1031</v>
      </c>
      <c r="C22" s="498" t="str">
        <f t="shared" si="2"/>
        <v>Portugal</v>
      </c>
      <c r="D22" s="499">
        <f t="shared" si="2"/>
        <v>1</v>
      </c>
      <c r="E22" s="500">
        <f t="shared" si="2"/>
        <v>0</v>
      </c>
      <c r="F22" s="501">
        <f t="shared" si="2"/>
        <v>1</v>
      </c>
      <c r="G22" s="502">
        <f t="shared" si="2"/>
        <v>1</v>
      </c>
      <c r="H22" s="503">
        <f t="shared" si="3"/>
        <v>1500000.997095</v>
      </c>
      <c r="I22" s="504" t="str">
        <f t="shared" si="4"/>
        <v>K</v>
      </c>
      <c r="J22" s="509"/>
      <c r="K22" s="480">
        <f t="array" ref="K22">SUM(IF($I$17:$I$24 &lt; $I22,1))</f>
        <v>7</v>
      </c>
      <c r="L22" s="475" t="str">
        <f t="shared" si="8"/>
        <v>G</v>
      </c>
      <c r="M22" s="499">
        <f t="shared" si="5"/>
        <v>1</v>
      </c>
      <c r="N22" s="505">
        <f t="shared" si="6"/>
        <v>1</v>
      </c>
      <c r="O22" s="506" t="s">
        <v>1032</v>
      </c>
      <c r="P22" s="507">
        <f t="shared" si="7"/>
        <v>1</v>
      </c>
    </row>
    <row r="23" spans="2:16" x14ac:dyDescent="0.25">
      <c r="B23" s="497" t="s">
        <v>1034</v>
      </c>
      <c r="C23" s="498" t="str">
        <f t="shared" ref="C23:G28" si="9">INDEX(C$4:C$15,MATCH($H23,$H$4:$H$15,0))</f>
        <v>Czechia</v>
      </c>
      <c r="D23" s="499">
        <f t="shared" si="9"/>
        <v>1</v>
      </c>
      <c r="E23" s="500">
        <f t="shared" si="9"/>
        <v>-1</v>
      </c>
      <c r="F23" s="501">
        <f t="shared" si="9"/>
        <v>2</v>
      </c>
      <c r="G23" s="502">
        <f t="shared" si="9"/>
        <v>3</v>
      </c>
      <c r="H23" s="503">
        <f t="shared" ref="H23:H28" si="10">LARGE($H$4:$H$15,ROW(A7))</f>
        <v>1499001.9990590001</v>
      </c>
      <c r="I23" s="504" t="str">
        <f t="shared" ref="I23:I28" si="11">INDEX(I$4:I$15,MATCH($H23,$H$4:$H$15,0))</f>
        <v>A</v>
      </c>
      <c r="J23" s="27"/>
      <c r="K23" s="480">
        <f t="array" ref="K23">SUM(IF($I$17:$I$24 &lt; $I23,1))</f>
        <v>0</v>
      </c>
      <c r="L23" s="475" t="str">
        <f t="shared" si="8"/>
        <v>H</v>
      </c>
      <c r="M23" s="499">
        <f t="shared" ref="M23:M28" si="12">D23</f>
        <v>1</v>
      </c>
      <c r="N23" s="505">
        <f t="shared" ref="N23:N28" si="13">F23</f>
        <v>2</v>
      </c>
      <c r="O23" s="506" t="s">
        <v>1032</v>
      </c>
      <c r="P23" s="507">
        <f t="shared" ref="P23:P28" si="14">G23</f>
        <v>3</v>
      </c>
    </row>
    <row r="24" spans="2:16" x14ac:dyDescent="0.25">
      <c r="B24" s="497" t="s">
        <v>1035</v>
      </c>
      <c r="C24" s="498" t="str">
        <f t="shared" si="9"/>
        <v>Ecuador</v>
      </c>
      <c r="D24" s="499">
        <f t="shared" si="9"/>
        <v>1</v>
      </c>
      <c r="E24" s="500">
        <f t="shared" si="9"/>
        <v>-1</v>
      </c>
      <c r="F24" s="501">
        <f t="shared" si="9"/>
        <v>0</v>
      </c>
      <c r="G24" s="502">
        <f t="shared" si="9"/>
        <v>1</v>
      </c>
      <c r="H24" s="503">
        <f t="shared" si="10"/>
        <v>1498999.9980769998</v>
      </c>
      <c r="I24" s="504" t="str">
        <f t="shared" si="11"/>
        <v>E</v>
      </c>
      <c r="J24" s="27"/>
      <c r="K24" s="480">
        <f t="array" ref="K24">SUM(IF($I$17:$I$24 &lt; $I24,1))</f>
        <v>3</v>
      </c>
      <c r="L24" s="475" t="str">
        <f t="shared" si="8"/>
        <v>K</v>
      </c>
      <c r="M24" s="499">
        <f t="shared" si="12"/>
        <v>1</v>
      </c>
      <c r="N24" s="505">
        <f t="shared" si="13"/>
        <v>0</v>
      </c>
      <c r="O24" s="506" t="s">
        <v>1032</v>
      </c>
      <c r="P24" s="507">
        <f t="shared" si="14"/>
        <v>1</v>
      </c>
    </row>
    <row r="25" spans="2:16" x14ac:dyDescent="0.25">
      <c r="B25" s="497" t="s">
        <v>1036</v>
      </c>
      <c r="C25" s="498" t="str">
        <f t="shared" si="9"/>
        <v>Bosnia/Herzeg.</v>
      </c>
      <c r="D25" s="499">
        <f t="shared" si="9"/>
        <v>1</v>
      </c>
      <c r="E25" s="500">
        <f t="shared" si="9"/>
        <v>-3</v>
      </c>
      <c r="F25" s="501">
        <f t="shared" si="9"/>
        <v>2</v>
      </c>
      <c r="G25" s="502">
        <f t="shared" si="9"/>
        <v>5</v>
      </c>
      <c r="H25" s="503">
        <f t="shared" si="10"/>
        <v>1497001.991035</v>
      </c>
      <c r="I25" s="504" t="str">
        <f t="shared" si="11"/>
        <v>B</v>
      </c>
      <c r="J25" s="27"/>
      <c r="K25" s="27"/>
      <c r="L25" s="53"/>
      <c r="M25" s="499">
        <f t="shared" si="12"/>
        <v>1</v>
      </c>
      <c r="N25" s="505">
        <f t="shared" si="13"/>
        <v>2</v>
      </c>
      <c r="O25" s="506" t="s">
        <v>1032</v>
      </c>
      <c r="P25" s="507">
        <f t="shared" si="14"/>
        <v>5</v>
      </c>
    </row>
    <row r="26" spans="2:16" x14ac:dyDescent="0.25">
      <c r="B26" s="497" t="s">
        <v>1037</v>
      </c>
      <c r="C26" s="498" t="str">
        <f t="shared" si="9"/>
        <v>Panama</v>
      </c>
      <c r="D26" s="499">
        <f t="shared" si="9"/>
        <v>0</v>
      </c>
      <c r="E26" s="500">
        <f t="shared" si="9"/>
        <v>-1</v>
      </c>
      <c r="F26" s="501">
        <f t="shared" si="9"/>
        <v>0</v>
      </c>
      <c r="G26" s="502">
        <f t="shared" si="9"/>
        <v>1</v>
      </c>
      <c r="H26" s="503">
        <f t="shared" si="10"/>
        <v>498999.99806700001</v>
      </c>
      <c r="I26" s="504" t="str">
        <f t="shared" si="11"/>
        <v>L</v>
      </c>
      <c r="J26" s="27"/>
      <c r="K26" s="27"/>
      <c r="L26" s="53"/>
      <c r="M26" s="499">
        <f t="shared" si="12"/>
        <v>0</v>
      </c>
      <c r="N26" s="505">
        <f t="shared" si="13"/>
        <v>0</v>
      </c>
      <c r="O26" s="506" t="s">
        <v>1032</v>
      </c>
      <c r="P26" s="507">
        <f t="shared" si="14"/>
        <v>1</v>
      </c>
    </row>
    <row r="27" spans="2:16" x14ac:dyDescent="0.25">
      <c r="B27" s="497" t="s">
        <v>1038</v>
      </c>
      <c r="C27" s="498" t="str">
        <f t="shared" si="9"/>
        <v>Senegal</v>
      </c>
      <c r="D27" s="499">
        <f t="shared" si="9"/>
        <v>0</v>
      </c>
      <c r="E27" s="500">
        <f t="shared" si="9"/>
        <v>-2</v>
      </c>
      <c r="F27" s="501">
        <f t="shared" si="9"/>
        <v>1</v>
      </c>
      <c r="G27" s="502">
        <f t="shared" si="9"/>
        <v>3</v>
      </c>
      <c r="H27" s="503">
        <f t="shared" si="10"/>
        <v>498001.00008600001</v>
      </c>
      <c r="I27" s="504" t="str">
        <f t="shared" si="11"/>
        <v>I</v>
      </c>
      <c r="J27" s="27"/>
      <c r="K27" s="27"/>
      <c r="L27" s="53"/>
      <c r="M27" s="499">
        <f t="shared" si="12"/>
        <v>0</v>
      </c>
      <c r="N27" s="505">
        <f t="shared" si="13"/>
        <v>1</v>
      </c>
      <c r="O27" s="506" t="s">
        <v>1032</v>
      </c>
      <c r="P27" s="507">
        <f t="shared" si="14"/>
        <v>3</v>
      </c>
    </row>
    <row r="28" spans="2:16" ht="15.75" thickBot="1" x14ac:dyDescent="0.3">
      <c r="B28" s="484" t="s">
        <v>1039</v>
      </c>
      <c r="C28" s="485" t="str">
        <f t="shared" si="9"/>
        <v>Jordan</v>
      </c>
      <c r="D28" s="486">
        <f t="shared" si="9"/>
        <v>0</v>
      </c>
      <c r="E28" s="487">
        <f t="shared" si="9"/>
        <v>-2</v>
      </c>
      <c r="F28" s="488">
        <f t="shared" si="9"/>
        <v>1</v>
      </c>
      <c r="G28" s="489">
        <f t="shared" si="9"/>
        <v>3</v>
      </c>
      <c r="H28" s="490">
        <f t="shared" si="10"/>
        <v>498001.00003699999</v>
      </c>
      <c r="I28" s="491" t="str">
        <f t="shared" si="11"/>
        <v>J</v>
      </c>
      <c r="J28" s="455"/>
      <c r="K28" s="455"/>
      <c r="L28" s="510"/>
      <c r="M28" s="486">
        <f t="shared" si="12"/>
        <v>0</v>
      </c>
      <c r="N28" s="492">
        <f t="shared" si="13"/>
        <v>1</v>
      </c>
      <c r="O28" s="493" t="s">
        <v>1032</v>
      </c>
      <c r="P28" s="494">
        <f t="shared" si="14"/>
        <v>3</v>
      </c>
    </row>
    <row r="29" spans="2:16" ht="15.75" thickTop="1" x14ac:dyDescent="0.25">
      <c r="L29" s="32"/>
    </row>
    <row r="30" spans="2:16" x14ac:dyDescent="0.25">
      <c r="B30" s="456"/>
      <c r="C30" s="27"/>
      <c r="D30" s="456"/>
      <c r="E30" s="456"/>
      <c r="F30" s="456"/>
      <c r="G30" s="1140" t="s">
        <v>1006</v>
      </c>
      <c r="H30" s="1140"/>
      <c r="I30" s="475" t="str">
        <f>IF(Distinctness!$G$17&gt;0,L17&amp;L18&amp;L19&amp;L20&amp;L21&amp;L22&amp;L23&amp;L24,"")</f>
        <v>ACDEFGHK</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",Language!$E$197)),"")</f>
        <v/>
      </c>
      <c r="J4" s="1141" t="str">
        <f>Language!$E$195&amp;"  "&amp;$K$13&amp;"."</f>
        <v>Groups with unresolved fair play valuation:  .</v>
      </c>
      <c r="K4" s="1142"/>
      <c r="L4" s="1142"/>
      <c r="M4" s="1142"/>
      <c r="N4" s="1142"/>
    </row>
    <row r="5" spans="2:14" x14ac:dyDescent="0.25">
      <c r="B5" s="26" t="s">
        <v>20</v>
      </c>
      <c r="C5" s="787" t="b">
        <f>CalcB!$AU$14</f>
        <v>0</v>
      </c>
      <c r="E5" s="787" t="str">
        <f t="shared" ref="E5:E15" si="0">IF($C5,$B5,"")</f>
        <v/>
      </c>
      <c r="F5" s="100">
        <f t="shared" ref="F5:F15" si="1">LEN($E5)</f>
        <v>0</v>
      </c>
      <c r="G5" s="100">
        <f>SUM($F$4:$F5)</f>
        <v>0</v>
      </c>
      <c r="H5" t="str">
        <f>IF($E5&lt;&gt;"",$E5&amp;IF($G5=$G$15,"",IF($G5&lt;$G$15-1,", ",Language!$E$197)),"")</f>
        <v/>
      </c>
      <c r="J5" s="1143" t="str">
        <f>Language!$E$196</f>
        <v>The placement has been clarified in all groups.</v>
      </c>
      <c r="K5" s="1143"/>
      <c r="L5" s="1143"/>
      <c r="M5" s="1143"/>
      <c r="N5" s="1143"/>
    </row>
    <row r="6" spans="2:14" x14ac:dyDescent="0.25">
      <c r="B6" s="26" t="s">
        <v>21</v>
      </c>
      <c r="C6" s="787" t="b">
        <f>CalcC!$AU$14</f>
        <v>0</v>
      </c>
      <c r="E6" s="787" t="str">
        <f t="shared" si="0"/>
        <v/>
      </c>
      <c r="F6" s="100">
        <f t="shared" si="1"/>
        <v>0</v>
      </c>
      <c r="G6" s="100">
        <f>SUM($F$4:$F6)</f>
        <v>0</v>
      </c>
      <c r="H6" t="str">
        <f>IF($E6&lt;&gt;"",$E6&amp;IF($G6=$G$15,"",IF($G6&lt;$G$15-1,", ",Language!$E$197)),"")</f>
        <v/>
      </c>
    </row>
    <row r="7" spans="2:14" x14ac:dyDescent="0.25">
      <c r="B7" s="26" t="s">
        <v>25</v>
      </c>
      <c r="C7" s="787" t="b">
        <f>CalcD!$AU$14</f>
        <v>0</v>
      </c>
      <c r="E7" s="787" t="str">
        <f t="shared" si="0"/>
        <v/>
      </c>
      <c r="F7" s="100">
        <f t="shared" si="1"/>
        <v>0</v>
      </c>
      <c r="G7" s="100">
        <f>SUM($F$4:$F7)</f>
        <v>0</v>
      </c>
      <c r="H7" t="str">
        <f>IF($E7&lt;&gt;"",$E7&amp;IF($G7=$G$15,"",IF($G7&lt;$G$15-1,", ",Language!$E$197)),"")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",Language!$E$197)),"")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",Language!$E$197)),"")</f>
        <v/>
      </c>
    </row>
    <row r="10" spans="2:14" x14ac:dyDescent="0.25">
      <c r="B10" s="26" t="s">
        <v>272</v>
      </c>
      <c r="C10" s="787" t="b">
        <f>CalcG!$AU$14</f>
        <v>0</v>
      </c>
      <c r="E10" s="787" t="str">
        <f t="shared" si="0"/>
        <v/>
      </c>
      <c r="F10" s="100">
        <f t="shared" si="1"/>
        <v>0</v>
      </c>
      <c r="G10" s="100">
        <f>SUM($F$4:$F10)</f>
        <v>0</v>
      </c>
      <c r="H10" t="str">
        <f>IF($E10&lt;&gt;"",$E10&amp;IF($G10=$G$15,"",IF($G10&lt;$G$15-1,", ",Language!$E$197)),"")</f>
        <v/>
      </c>
    </row>
    <row r="11" spans="2:14" x14ac:dyDescent="0.25">
      <c r="B11" s="26" t="s">
        <v>31</v>
      </c>
      <c r="C11" s="787" t="b">
        <f>CalcH!$AU$14</f>
        <v>0</v>
      </c>
      <c r="E11" s="787" t="str">
        <f t="shared" si="0"/>
        <v/>
      </c>
      <c r="F11" s="100">
        <f t="shared" si="1"/>
        <v>0</v>
      </c>
      <c r="G11" s="100">
        <f>SUM($F$4:$F11)</f>
        <v>0</v>
      </c>
      <c r="H11" t="str">
        <f>IF($E11&lt;&gt;"",$E11&amp;IF($G11=$G$15,"",IF($G11&lt;$G$15-1,", ",Language!$E$197)),"")</f>
        <v/>
      </c>
    </row>
    <row r="12" spans="2:14" x14ac:dyDescent="0.25">
      <c r="B12" s="364" t="s">
        <v>32</v>
      </c>
      <c r="C12" s="787" t="b">
        <f>CalcI!$AU$14</f>
        <v>0</v>
      </c>
      <c r="E12" s="787" t="str">
        <f t="shared" si="0"/>
        <v/>
      </c>
      <c r="F12" s="364">
        <f t="shared" si="1"/>
        <v>0</v>
      </c>
      <c r="G12" s="364">
        <f>SUM($F$4:$F12)</f>
        <v>0</v>
      </c>
      <c r="H12" t="str">
        <f>IF($E12&lt;&gt;"",$E12&amp;IF($G12=$G$15,"",IF($G12&lt;$G$15-1,", ",Language!$E$197)),"")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",Language!$E$197)),"")</f>
        <v/>
      </c>
      <c r="J13" s="38" t="s">
        <v>194</v>
      </c>
      <c r="K13" s="1144" t="str">
        <f>$H$4&amp;$H$5&amp;$H$6&amp;$H$7&amp;$H$8&amp;$H$9&amp;$H$10&amp;$H$11&amp;$H$12&amp;$H$13&amp;$H$14&amp;$H$15</f>
        <v/>
      </c>
      <c r="L13" s="1145"/>
      <c r="M13" s="1145"/>
      <c r="N13" s="1145"/>
    </row>
    <row r="14" spans="2:14" x14ac:dyDescent="0.25">
      <c r="B14" s="364" t="s">
        <v>33</v>
      </c>
      <c r="C14" s="787" t="b">
        <f>CalcK!$AU$14</f>
        <v>0</v>
      </c>
      <c r="E14" s="787" t="str">
        <f t="shared" si="0"/>
        <v/>
      </c>
      <c r="F14" s="364">
        <f t="shared" si="1"/>
        <v>0</v>
      </c>
      <c r="G14" s="364">
        <f>SUM($F$4:$F14)</f>
        <v>0</v>
      </c>
      <c r="H14" t="str">
        <f>IF($E14&lt;&gt;"",$E14&amp;IF($G14=$G$15,"",IF($G14&lt;$G$15-1,", ",Language!$E$197)),"")</f>
        <v/>
      </c>
    </row>
    <row r="15" spans="2:14" x14ac:dyDescent="0.25">
      <c r="B15" s="364" t="s">
        <v>34</v>
      </c>
      <c r="C15" s="787" t="b">
        <f>CalcL!$AU$14</f>
        <v>0</v>
      </c>
      <c r="E15" s="787" t="str">
        <f t="shared" si="0"/>
        <v/>
      </c>
      <c r="F15" s="364">
        <f t="shared" si="1"/>
        <v>0</v>
      </c>
      <c r="G15" s="364">
        <f>SUM($F$4:$F15)</f>
        <v>0</v>
      </c>
      <c r="H15" t="str">
        <f>IF($E15&lt;&gt;"",$E15&amp;IF($G15=$G$15,"",IF($G15&lt;$G$15-1,", ",Language!$E$197)),"")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40</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Mexico</v>
      </c>
      <c r="E5" s="859"/>
      <c r="F5" s="661"/>
      <c r="G5" s="672"/>
      <c r="H5" s="651">
        <f>SUMIFS($R$22:$R$27,$P$22:$P$27,$D5)+SUMIFS($S$22:$S$27,$Q$22:$Q$27,$D5)</f>
        <v>3</v>
      </c>
      <c r="I5" s="651">
        <f>SUMIFS($S$22:$S$27,$P$22:$P$27,$D5)+SUMIFS($R$22:$R$27,$Q$22:$Q$27,$D5)</f>
        <v>0</v>
      </c>
      <c r="J5" s="650">
        <f t="shared" ref="J5:J8" si="0">H5-I5</f>
        <v>3</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-5</v>
      </c>
      <c r="Q5" s="650">
        <f>INDEX(Language!$C$5:$C$100,MATCH($D5,Language!$E$5:$E$100,0),1)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South Africa</v>
      </c>
      <c r="E6" s="860"/>
      <c r="F6" s="661"/>
      <c r="G6" s="672"/>
      <c r="H6" s="651">
        <f>SUMIFS($R$22:$R$27,$P$22:$P$27,$D6)+SUMIFS($S$22:$S$27,$Q$22:$Q$27,$D6)</f>
        <v>1</v>
      </c>
      <c r="I6" s="651">
        <f>SUMIFS($S$22:$S$27,$P$22:$P$27,$D6)+SUMIFS($R$22:$R$27,$Q$22:$Q$27,$D6)</f>
        <v>3</v>
      </c>
      <c r="J6" s="650">
        <f t="shared" si="0"/>
        <v>-2</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-12</v>
      </c>
      <c r="Q6" s="650">
        <f>INDEX(Language!$C$5:$C$100,MATCH($D6,Language!$E$5:$E$100,0),1)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South Korea</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INDEX(Language!$C$5:$C$100,MATCH($D7,Language!$E$5:$E$100,0),1)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Czechia</v>
      </c>
      <c r="E8" s="860"/>
      <c r="F8" s="661"/>
      <c r="G8" s="672"/>
      <c r="H8" s="651">
        <f>SUMIFS($R$22:$R$27,$P$22:$P$27,$D8)+SUMIFS($S$22:$S$27,$Q$22:$Q$27,$D8)</f>
        <v>2</v>
      </c>
      <c r="I8" s="651">
        <f>SUMIFS($S$22:$S$27,$P$22:$P$27,$D8)+SUMIFS($R$22:$R$27,$Q$22:$Q$27,$D8)</f>
        <v>3</v>
      </c>
      <c r="J8" s="650">
        <f t="shared" si="0"/>
        <v>-1</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-1</v>
      </c>
      <c r="Q8" s="650">
        <f>INDEX(Language!$C$5:$C$100,MATCH($D8,Language!$E$5:$E$100,0),1)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2</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Czechia</v>
      </c>
      <c r="BH13" s="680" t="str">
        <v>South Africa</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Mexico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South Africa</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1</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1</v>
      </c>
      <c r="T15" s="650">
        <f>COUNTIFS($S$14:$S$17,"&gt;"&amp;$S15,$Q$14:$Q$17,"="&amp;$Q15)</f>
        <v>0</v>
      </c>
      <c r="U15" s="666">
        <f t="shared" si="12"/>
        <v>3</v>
      </c>
      <c r="V15" s="776"/>
      <c r="W15" s="651">
        <f t="array" ref="W15">SUMPRODUCT($U$22:$U$27*($P$22:$P$27=$D15)*ISNUMBER(MATCH($Q$22:$Q$27,IF($U$14:$U$17=$U15,$D$14:$D$17,""),0)))+SUMPRODUCT($V$22:$V$27*($Q$22:$Q$27=$D15)*ISNUMBER(MATCH($P$22:$P$27,IF($U$14:$U$17=$U15,$D$14:$D$17,""),0)))</f>
        <v>1</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1</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4</v>
      </c>
      <c r="AZ15" s="687" t="str">
        <v/>
      </c>
      <c r="BA15" s="672" t="str">
        <v/>
      </c>
      <c r="BB15" s="672" t="str">
        <v/>
      </c>
      <c r="BC15" s="692" t="str">
        <v/>
      </c>
      <c r="BE15" s="697" t="str">
        <v/>
      </c>
      <c r="BF15" s="698" t="str">
        <v/>
      </c>
      <c r="BG15" s="699" t="str">
        <v/>
      </c>
      <c r="BH15" s="700" t="str">
        <v/>
      </c>
      <c r="BI15" s="699"/>
      <c r="BK15" s="669">
        <v>3</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South Korea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0</v>
      </c>
      <c r="AZ16" s="687" t="str">
        <v>Czechia</v>
      </c>
      <c r="BA16" s="672">
        <v>1</v>
      </c>
      <c r="BB16" s="672">
        <v>0</v>
      </c>
      <c r="BC16" s="692">
        <v>1</v>
      </c>
      <c r="BE16" s="697" t="str">
        <v/>
      </c>
      <c r="BF16" s="699" t="str">
        <v/>
      </c>
      <c r="BG16" s="698" t="str">
        <v/>
      </c>
      <c r="BH16" s="700" t="str">
        <v>1 - 1</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Czechia</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South Africa</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Mexico</v>
      </c>
      <c r="I21" s="708" t="str">
        <v>South Korea</v>
      </c>
      <c r="J21" s="708" t="str">
        <v>Czechia</v>
      </c>
      <c r="K21" s="709" t="str">
        <v>South Africa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Mexico</v>
      </c>
      <c r="E22" s="782">
        <f>VLOOKUP($D22,$D$5:$K$8,8,0)</f>
        <v>6</v>
      </c>
      <c r="F22" s="713">
        <f>VLOOKUP($D22,$D$5:$K$8,5,0)</f>
        <v>3</v>
      </c>
      <c r="G22" s="783">
        <f>VLOOKUP($D22,$D$5:$K$8,6,0)</f>
        <v>0</v>
      </c>
      <c r="H22" s="712" t="str">
        <f t="array" ref="H22:K25">IFERROR(VLOOKUP($D$22:$D$25&amp;$H$21:$K$21,$Z$22:$AA$33,2,0),"")</f>
        <v/>
      </c>
      <c r="I22" s="713" t="str">
        <v>1 - 0</v>
      </c>
      <c r="J22" s="713" t="str">
        <v/>
      </c>
      <c r="K22" s="779" t="str">
        <v>2 - 0</v>
      </c>
      <c r="L22" s="767" t="b">
        <f>OR($E22&gt;0,$G22&gt;0)</f>
        <v>1</v>
      </c>
      <c r="M22" s="767" t="b">
        <f t="array" ref="M22:M25">VLOOKUP($D$22:$D$25,$D$14:$AV$17,45,0)</f>
        <v>0</v>
      </c>
      <c r="N22" s="651">
        <f>VLOOKUP($D22,$D$5:$Q$8,14,0)</f>
        <v>14</v>
      </c>
      <c r="O22" s="718" t="s">
        <v>26</v>
      </c>
      <c r="P22" s="754" t="str">
        <f>INDEX('World Cup'!$B$13:$AJ$38,1,1+(CODE($B$1)-65)*3)</f>
        <v>Mexico</v>
      </c>
      <c r="Q22" s="755" t="str">
        <f>INDEX('World Cup'!$B$13:$AJ$38,1,2+(CODE($B$1)-65)*3)</f>
        <v>South Africa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MexicoSouth Africa</v>
      </c>
      <c r="AA22" s="727" t="str">
        <f>IF($T22,$X22&amp;Language!$E$203&amp;$Y22,"")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South Korea</v>
      </c>
      <c r="E23" s="777">
        <f t="shared" ref="E23:E25" si="37">VLOOKUP($D23,$D$5:$K$8,8,0)</f>
        <v>3</v>
      </c>
      <c r="F23" s="650">
        <f t="shared" ref="F23:F25" si="38">VLOOKUP($D23,$D$5:$K$8,5,0)</f>
        <v>2</v>
      </c>
      <c r="G23" s="784">
        <f t="shared" ref="G23:G25" si="39">VLOOKUP($D23,$D$5:$K$8,6,0)</f>
        <v>2</v>
      </c>
      <c r="H23" s="714" t="str">
        <v>0 - 1</v>
      </c>
      <c r="I23" s="715" t="str">
        <v/>
      </c>
      <c r="J23" s="650" t="str">
        <v>2 - 1</v>
      </c>
      <c r="K23" s="780" t="str">
        <v/>
      </c>
      <c r="L23" s="767" t="b">
        <f t="shared" ref="L23:L25" si="40">OR($E23&gt;0,$G23&gt;0)</f>
        <v>1</v>
      </c>
      <c r="M23" s="767" t="b">
        <v>0</v>
      </c>
      <c r="N23" s="651">
        <f t="shared" ref="N23:N25" si="41">VLOOKUP($D23,$D$5:$Q$8,14,0)</f>
        <v>25</v>
      </c>
      <c r="O23" s="730" t="s">
        <v>27</v>
      </c>
      <c r="P23" s="757" t="str">
        <f>INDEX('World Cup'!$B$13:$AJ$38,6,1+(CODE($B$1)-65)*3)</f>
        <v>South Korea</v>
      </c>
      <c r="Q23" s="758" t="str">
        <f>INDEX('World Cup'!$B$13:$AJ$38,6,2+(CODE($B$1)-65)*3)</f>
        <v>Czechia</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South KoreaCzechia</v>
      </c>
      <c r="AA23" s="737" t="str">
        <f>IF($T23,$X23&amp;Language!$E$203&amp;$Y23,"")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Czechia</v>
      </c>
      <c r="E24" s="777">
        <f t="shared" si="37"/>
        <v>1</v>
      </c>
      <c r="F24" s="650">
        <f t="shared" si="38"/>
        <v>2</v>
      </c>
      <c r="G24" s="784">
        <f t="shared" si="39"/>
        <v>3</v>
      </c>
      <c r="H24" s="714" t="str">
        <v/>
      </c>
      <c r="I24" s="650" t="str">
        <v>1 - 2</v>
      </c>
      <c r="J24" s="715" t="str">
        <v/>
      </c>
      <c r="K24" s="780" t="str">
        <v>1 - 1</v>
      </c>
      <c r="L24" s="767" t="b">
        <f t="shared" si="40"/>
        <v>1</v>
      </c>
      <c r="M24" s="767" t="b">
        <v>0</v>
      </c>
      <c r="N24" s="651">
        <f t="shared" si="41"/>
        <v>40</v>
      </c>
      <c r="O24" s="730" t="s">
        <v>28</v>
      </c>
      <c r="P24" s="757" t="str">
        <f>INDEX('World Cup'!$B$13:$AJ$38,11,1+(CODE($B$1)-65)*3)</f>
        <v>Czechia</v>
      </c>
      <c r="Q24" s="758" t="str">
        <f>INDEX('World Cup'!$B$13:$AJ$38,11,2+(CODE($B$1)-65)*3)</f>
        <v>South Africa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CzechiaSouth Africa</v>
      </c>
      <c r="AA24" s="737" t="str">
        <f>IF($T24,$X24&amp;Language!$E$203&amp;$Y24,"")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South Africa</v>
      </c>
      <c r="E25" s="785">
        <f t="shared" si="37"/>
        <v>1</v>
      </c>
      <c r="F25" s="717">
        <f t="shared" si="38"/>
        <v>1</v>
      </c>
      <c r="G25" s="786">
        <f t="shared" si="39"/>
        <v>3</v>
      </c>
      <c r="H25" s="716" t="str">
        <v>0 - 2</v>
      </c>
      <c r="I25" s="717" t="str">
        <v/>
      </c>
      <c r="J25" s="717" t="str">
        <v>1 - 1</v>
      </c>
      <c r="K25" s="781" t="str">
        <v/>
      </c>
      <c r="L25" s="767" t="b">
        <f t="shared" si="40"/>
        <v>1</v>
      </c>
      <c r="M25" s="767" t="b">
        <v>0</v>
      </c>
      <c r="N25" s="651">
        <f t="shared" si="41"/>
        <v>60</v>
      </c>
      <c r="O25" s="730" t="s">
        <v>29</v>
      </c>
      <c r="P25" s="757" t="str">
        <f>INDEX('World Cup'!$B$13:$AJ$38,16,1+(CODE($B$1)-65)*3)</f>
        <v>Mexico</v>
      </c>
      <c r="Q25" s="758" t="str">
        <f>INDEX('World Cup'!$B$13:$AJ$38,16,2+(CODE($B$1)-65)*3)</f>
        <v>South 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MexicoSouth Korea</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Czechia</v>
      </c>
      <c r="Q26" s="758" t="str">
        <f>INDEX('World Cup'!$B$13:$AJ$38,21,2+(CODE($B$1)-65)*3)</f>
        <v>Mexico</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si="29"/>
        <v>0</v>
      </c>
      <c r="U26" s="732">
        <f t="shared" si="30"/>
        <v>0</v>
      </c>
      <c r="V26" s="650">
        <f t="shared" si="31"/>
        <v>0</v>
      </c>
      <c r="W26" s="733">
        <f t="shared" si="32"/>
        <v>0</v>
      </c>
      <c r="X26" s="734">
        <f t="shared" si="33"/>
        <v>0</v>
      </c>
      <c r="Y26" s="735">
        <f t="shared" si="34"/>
        <v>0</v>
      </c>
      <c r="Z26" s="736" t="str">
        <f t="shared" si="35"/>
        <v>CzechiaMexico</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South Africa</v>
      </c>
      <c r="Q27" s="761" t="str">
        <f>INDEX('World Cup'!$B$13:$AJ$38,26,2+(CODE($B$1)-65)*3)</f>
        <v>South Korea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29"/>
        <v>0</v>
      </c>
      <c r="U27" s="743">
        <f t="shared" si="30"/>
        <v>0</v>
      </c>
      <c r="V27" s="742">
        <f t="shared" si="31"/>
        <v>0</v>
      </c>
      <c r="W27" s="744">
        <f t="shared" si="32"/>
        <v>0</v>
      </c>
      <c r="X27" s="745">
        <f t="shared" si="33"/>
        <v>0</v>
      </c>
      <c r="Y27" s="746">
        <f t="shared" si="34"/>
        <v>0</v>
      </c>
      <c r="Z27" s="747" t="str">
        <f t="shared" si="35"/>
        <v>South AfricaSouth Korea</v>
      </c>
      <c r="AA27" s="748" t="str">
        <f>IF($T27,$X27&amp;Language!$E$203&amp;$Y27,"")</f>
        <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South AfricaMexico</v>
      </c>
      <c r="AA28" s="737" t="str">
        <f>IF($T22,$Y22&amp;Language!$E$203&amp;$X22,"")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CzechiaSouth Korea</v>
      </c>
      <c r="AA29" s="737" t="str">
        <f>IF($T23,$Y23&amp;Language!$E$203&amp;$X23,"")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South AfricaCzechia</v>
      </c>
      <c r="AA30" s="737" t="str">
        <f>IF($T24,$Y24&amp;Language!$E$203&amp;$X24,"")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South KoreaMexico</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MexicoCzechia</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South KoreaSouth Africa</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Canada</v>
      </c>
      <c r="E5" s="859"/>
      <c r="F5" s="661"/>
      <c r="G5" s="672"/>
      <c r="H5" s="651">
        <f>SUMIFS($R$22:$R$27,$P$22:$P$27,$D5)+SUMIFS($S$22:$S$27,$Q$22:$Q$27,$D5)</f>
        <v>7</v>
      </c>
      <c r="I5" s="651">
        <f>SUMIFS($S$22:$S$27,$P$22:$P$27,$D5)+SUMIFS($R$22:$R$27,$Q$22:$Q$27,$D5)</f>
        <v>1</v>
      </c>
      <c r="J5" s="650">
        <f t="shared" ref="J5:J8" si="0">H5-I5</f>
        <v>6</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Bosnia/Herzeg.</v>
      </c>
      <c r="E6" s="860"/>
      <c r="F6" s="661"/>
      <c r="G6" s="672"/>
      <c r="H6" s="651">
        <f>SUMIFS($R$22:$R$27,$P$22:$P$27,$D6)+SUMIFS($S$22:$S$27,$Q$22:$Q$27,$D6)</f>
        <v>2</v>
      </c>
      <c r="I6" s="651">
        <f>SUMIFS($S$22:$S$27,$P$22:$P$27,$D6)+SUMIFS($R$22:$R$27,$Q$22:$Q$27,$D6)</f>
        <v>5</v>
      </c>
      <c r="J6" s="650">
        <f t="shared" si="0"/>
        <v>-3</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-9</v>
      </c>
      <c r="Q6" s="650">
        <f>INDEX(Language!$C$5:$C$100,MATCH($D6,Language!$E$5:$E$100,0),1)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4</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Qatar</v>
      </c>
      <c r="E7" s="860"/>
      <c r="F7" s="661"/>
      <c r="G7" s="672"/>
      <c r="H7" s="651">
        <f>SUMIFS($R$22:$R$27,$P$22:$P$27,$D7)+SUMIFS($S$22:$S$27,$Q$22:$Q$27,$D7)</f>
        <v>1</v>
      </c>
      <c r="I7" s="651">
        <f>SUMIFS($S$22:$S$27,$P$22:$P$27,$D7)+SUMIFS($R$22:$R$27,$Q$22:$Q$27,$D7)</f>
        <v>7</v>
      </c>
      <c r="J7" s="650">
        <f t="shared" si="0"/>
        <v>-6</v>
      </c>
      <c r="K7" s="662">
        <f t="shared" si="1"/>
        <v>1</v>
      </c>
      <c r="L7" s="651">
        <f t="shared" si="2"/>
        <v>2</v>
      </c>
      <c r="M7" s="651">
        <f>SUMPRODUCT(($P$22:$P$27=D7)*($R$22:$R$27&gt;$S$22:$S$27))+SUMPRODUCT(($Q$22:$Q$27=D7)*($R$22:$R$27&lt;$S$22:$S$27))</f>
        <v>0</v>
      </c>
      <c r="N7" s="651">
        <f>SUMPRODUCT(($P$22:$Q$27=D7)*($R$22:$R$27=$S$22:$S$27)*($R$22:$R$27&lt;&gt;"")*($S$22:$S$27&lt;&gt;""))</f>
        <v>1</v>
      </c>
      <c r="O7" s="651">
        <f>SUMPRODUCT(($P$22:$P$27=D7)*($R$22:$R$27&lt;$S$22:$S$27))+SUMPRODUCT(($Q$22:$Q$27=D7)*($R$22:$R$27&gt;$S$22:$S$27))</f>
        <v>1</v>
      </c>
      <c r="P7" s="669">
        <f>SUMIFS(FairPlay!$G$6:$G$27,FairPlay!$B$6:$B$27,$D7)+SUMIFS(FairPlay!$G$30:$G$51,FairPlay!$B$30:$B$51,$D7)+SUMIFS(FairPlay!$G$54:$G$75,FairPlay!$B$54:$B$75,$D7)</f>
        <v>-11</v>
      </c>
      <c r="Q7" s="650">
        <f>INDEX(Language!$C$5:$C$100,MATCH($D7,Language!$E$5:$E$100,0),1)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2</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Switzerland</v>
      </c>
      <c r="E8" s="860"/>
      <c r="F8" s="661"/>
      <c r="G8" s="672"/>
      <c r="H8" s="651">
        <f>SUMIFS($R$22:$R$27,$P$22:$P$27,$D8)+SUMIFS($S$22:$S$27,$Q$22:$Q$27,$D8)</f>
        <v>5</v>
      </c>
      <c r="I8" s="651">
        <f>SUMIFS($S$22:$S$27,$P$22:$P$27,$D8)+SUMIFS($R$22:$R$27,$Q$22:$Q$27,$D8)</f>
        <v>2</v>
      </c>
      <c r="J8" s="650">
        <f t="shared" si="0"/>
        <v>3</v>
      </c>
      <c r="K8" s="662">
        <f t="shared" si="1"/>
        <v>4</v>
      </c>
      <c r="L8" s="651">
        <f t="shared" si="2"/>
        <v>2</v>
      </c>
      <c r="M8" s="651">
        <f>SUMPRODUCT(($P$22:$P$27=D8)*($R$22:$R$27&gt;$S$22:$S$27))+SUMPRODUCT(($Q$22:$Q$27=D8)*($R$22:$R$27&lt;$S$22:$S$27))</f>
        <v>1</v>
      </c>
      <c r="N8" s="651">
        <f>SUMPRODUCT(($P$22:$Q$27=D8)*($R$22:$R$27=$S$22:$S$27)*($R$22:$R$27&lt;&gt;"")*($S$22:$S$27&lt;&gt;""))</f>
        <v>1</v>
      </c>
      <c r="O8" s="651">
        <f>SUMPRODUCT(($P$22:$P$27=D8)*($R$22:$R$27&lt;$S$22:$S$27))+SUMPRODUCT(($Q$22:$Q$27=D8)*($R$22:$R$27&gt;$S$22:$S$27))</f>
        <v>0</v>
      </c>
      <c r="P8" s="766">
        <f>SUMIFS(FairPlay!$G$6:$G$27,FairPlay!$B$6:$B$27,$D8)+SUMIFS(FairPlay!$G$30:$G$51,FairPlay!$B$30:$B$51,$D8)+SUMIFS(FairPlay!$G$54:$G$75,FairPlay!$B$54:$B$75,$D8)</f>
        <v>-2</v>
      </c>
      <c r="Q8" s="650">
        <f>INDEX(Language!$C$5:$C$100,MATCH($D8,Language!$E$5:$E$100,0),1)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3</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Canada</v>
      </c>
      <c r="BF13" s="679" t="str">
        <v>Switzerland</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Canada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Canada</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Bosnia/Herzeg.</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Switzerland</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Qatar</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Switzerland</v>
      </c>
      <c r="E17" s="671">
        <f t="shared" si="19"/>
        <v>2</v>
      </c>
      <c r="F17" s="661">
        <f t="shared" si="20"/>
        <v>2.0169999999999999</v>
      </c>
      <c r="G17" s="800">
        <f t="shared" si="21"/>
        <v>2</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1</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2</v>
      </c>
      <c r="AZ17" s="688" t="str">
        <v/>
      </c>
      <c r="BA17" s="690" t="str">
        <v/>
      </c>
      <c r="BB17" s="690" t="str">
        <v/>
      </c>
      <c r="BC17" s="693" t="str">
        <v/>
      </c>
      <c r="BE17" s="701" t="str">
        <v/>
      </c>
      <c r="BF17" s="702" t="str">
        <v/>
      </c>
      <c r="BG17" s="702" t="str">
        <v/>
      </c>
      <c r="BH17" s="703" t="str">
        <v/>
      </c>
      <c r="BI17" s="699"/>
      <c r="BJ17" s="699"/>
      <c r="BK17" s="766">
        <v>1</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Canada</v>
      </c>
      <c r="I21" s="708" t="str">
        <v>Switzerland</v>
      </c>
      <c r="J21" s="708" t="str">
        <v>Bosnia/Herzeg.</v>
      </c>
      <c r="K21" s="709" t="str">
        <v>Qatar</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Bosnia/Herzeg.</v>
      </c>
      <c r="BH21" s="680" t="str">
        <v>Qatar</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Canada</v>
      </c>
      <c r="E22" s="782">
        <f>VLOOKUP($D22,$D$5:$K$8,8,0)</f>
        <v>4</v>
      </c>
      <c r="F22" s="713">
        <f>VLOOKUP($D22,$D$5:$K$8,5,0)</f>
        <v>7</v>
      </c>
      <c r="G22" s="783">
        <f>VLOOKUP($D22,$D$5:$K$8,6,0)</f>
        <v>1</v>
      </c>
      <c r="H22" s="712" t="str">
        <f t="array" ref="H22:K25">IFERROR(VLOOKUP($D$22:$D$25&amp;$H$21:$K$21,$Z$22:$AA$33,2,0),"")</f>
        <v/>
      </c>
      <c r="I22" s="713" t="str">
        <v/>
      </c>
      <c r="J22" s="713" t="str">
        <v>1 - 1</v>
      </c>
      <c r="K22" s="779" t="str">
        <v>6 - 0</v>
      </c>
      <c r="L22" s="767" t="b">
        <f>OR($E22&gt;0,$G22&gt;0)</f>
        <v>1</v>
      </c>
      <c r="M22" s="767" t="b">
        <f t="array" ref="M22:M25">VLOOKUP($D$22:$D$25,$D$14:$AV$17,45,0)</f>
        <v>0</v>
      </c>
      <c r="N22" s="651">
        <f>VLOOKUP($D22,$D$5:$Q$8,14,0)</f>
        <v>30</v>
      </c>
      <c r="O22" s="718" t="s">
        <v>26</v>
      </c>
      <c r="P22" s="754" t="str">
        <f>INDEX('World Cup'!$B$13:$AJ$38,1,1+(CODE($B$1)-65)*3)</f>
        <v>Canada</v>
      </c>
      <c r="Q22" s="755" t="str">
        <f>INDEX('World Cup'!$B$13:$AJ$38,1,2+(CODE($B$1)-65)*3)</f>
        <v>Bosnia/Herzeg.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CanadaBosnia/Herzeg.</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Switzerland</v>
      </c>
      <c r="E23" s="777">
        <f t="shared" ref="E23:E25" si="37">VLOOKUP($D23,$D$5:$K$8,8,0)</f>
        <v>4</v>
      </c>
      <c r="F23" s="650">
        <f t="shared" ref="F23:F25" si="38">VLOOKUP($D23,$D$5:$K$8,5,0)</f>
        <v>5</v>
      </c>
      <c r="G23" s="784">
        <f t="shared" ref="G23:G25" si="39">VLOOKUP($D23,$D$5:$K$8,6,0)</f>
        <v>2</v>
      </c>
      <c r="H23" s="714" t="str">
        <v/>
      </c>
      <c r="I23" s="715" t="str">
        <v/>
      </c>
      <c r="J23" s="650" t="str">
        <v>4 - 1</v>
      </c>
      <c r="K23" s="780" t="str">
        <v>1 - 1</v>
      </c>
      <c r="L23" s="767" t="b">
        <f t="shared" ref="L23:L25" si="40">OR($E23&gt;0,$G23&gt;0)</f>
        <v>1</v>
      </c>
      <c r="M23" s="767" t="b">
        <v>0</v>
      </c>
      <c r="N23" s="651">
        <f t="shared" ref="N23:N25" si="41">VLOOKUP($D23,$D$5:$Q$8,14,0)</f>
        <v>19</v>
      </c>
      <c r="O23" s="730" t="s">
        <v>27</v>
      </c>
      <c r="P23" s="757" t="str">
        <f>INDEX('World Cup'!$B$13:$AJ$38,6,1+(CODE($B$1)-65)*3)</f>
        <v>Qatar</v>
      </c>
      <c r="Q23" s="758" t="str">
        <f>INDEX('World Cup'!$B$13:$AJ$38,6,2+(CODE($B$1)-65)*3)</f>
        <v>Switzerland</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QatarSwitzerland</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3</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Bosnia/Herzeg.</v>
      </c>
      <c r="E24" s="777">
        <f t="shared" si="37"/>
        <v>1</v>
      </c>
      <c r="F24" s="650">
        <f t="shared" si="38"/>
        <v>2</v>
      </c>
      <c r="G24" s="784">
        <f t="shared" si="39"/>
        <v>5</v>
      </c>
      <c r="H24" s="714" t="str">
        <v>1 - 1</v>
      </c>
      <c r="I24" s="650" t="str">
        <v>1 - 4</v>
      </c>
      <c r="J24" s="715" t="str">
        <v/>
      </c>
      <c r="K24" s="780" t="str">
        <v/>
      </c>
      <c r="L24" s="767" t="b">
        <f t="shared" si="40"/>
        <v>1</v>
      </c>
      <c r="M24" s="767" t="b">
        <v>0</v>
      </c>
      <c r="N24" s="651">
        <f t="shared" si="41"/>
        <v>64</v>
      </c>
      <c r="O24" s="730" t="s">
        <v>28</v>
      </c>
      <c r="P24" s="757" t="str">
        <f>INDEX('World Cup'!$B$13:$AJ$38,11,1+(CODE($B$1)-65)*3)</f>
        <v>Switzerland</v>
      </c>
      <c r="Q24" s="758" t="str">
        <f>INDEX('World Cup'!$B$13:$AJ$38,11,2+(CODE($B$1)-65)*3)</f>
        <v>Bosnia/Herzeg.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SwitzerlandBosnia/Herzeg.</v>
      </c>
      <c r="AA24" s="737" t="str">
        <f>IF($T24,$X24&amp;Language!$E$203&amp;$Y24,"")</f>
        <v>4 - 1</v>
      </c>
      <c r="AB24" s="767"/>
      <c r="AC24" s="767" t="b">
        <v>0</v>
      </c>
      <c r="AD24" s="767"/>
      <c r="AE24" s="651"/>
      <c r="AF24" s="846"/>
      <c r="AG24" s="769"/>
      <c r="AH24" s="769"/>
      <c r="AI24" s="769"/>
      <c r="AJ24" s="672"/>
      <c r="AK24" s="728"/>
      <c r="AL24" s="672"/>
      <c r="AN24" s="672"/>
      <c r="AO24" s="672"/>
      <c r="AY24" s="699">
        <f t="shared" si="42"/>
        <v>4</v>
      </c>
      <c r="AZ24" s="687" t="str">
        <v>Bosnia/Herzeg.</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Qatar</v>
      </c>
      <c r="E25" s="785">
        <f t="shared" si="37"/>
        <v>1</v>
      </c>
      <c r="F25" s="717">
        <f t="shared" si="38"/>
        <v>1</v>
      </c>
      <c r="G25" s="786">
        <f t="shared" si="39"/>
        <v>7</v>
      </c>
      <c r="H25" s="716" t="str">
        <v>0 - 6</v>
      </c>
      <c r="I25" s="717" t="str">
        <v>1 - 1</v>
      </c>
      <c r="J25" s="717" t="str">
        <v/>
      </c>
      <c r="K25" s="781" t="str">
        <v/>
      </c>
      <c r="L25" s="767" t="b">
        <f t="shared" si="40"/>
        <v>1</v>
      </c>
      <c r="M25" s="767" t="b">
        <v>0</v>
      </c>
      <c r="N25" s="651">
        <f t="shared" si="41"/>
        <v>56</v>
      </c>
      <c r="O25" s="730" t="s">
        <v>29</v>
      </c>
      <c r="P25" s="757" t="str">
        <f>INDEX('World Cup'!$B$13:$AJ$38,16,1+(CODE($B$1)-65)*3)</f>
        <v>Canada</v>
      </c>
      <c r="Q25" s="758" t="str">
        <f>INDEX('World Cup'!$B$13:$AJ$38,16,2+(CODE($B$1)-65)*3)</f>
        <v>Qatar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CanadaQatar</v>
      </c>
      <c r="AA25" s="737" t="str">
        <f>IF($T25,$X25&amp;Language!$E$203&amp;$Y25,"")</f>
        <v>6 - 0</v>
      </c>
      <c r="AB25" s="767"/>
      <c r="AC25" s="767" t="b">
        <v>0</v>
      </c>
      <c r="AD25" s="767"/>
      <c r="AE25" s="651"/>
      <c r="AF25" s="846"/>
      <c r="AG25" s="769"/>
      <c r="AH25" s="769"/>
      <c r="AI25" s="769"/>
      <c r="AJ25" s="672"/>
      <c r="AK25" s="728"/>
      <c r="AL25" s="672"/>
      <c r="AN25" s="672"/>
      <c r="AO25" s="672"/>
      <c r="AY25" s="699">
        <f t="shared" si="42"/>
        <v>0</v>
      </c>
      <c r="AZ25" s="688" t="str">
        <v>Qatar</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Switzerland</v>
      </c>
      <c r="Q26" s="758" t="str">
        <f>INDEX('World Cup'!$B$13:$AJ$38,21,2+(CODE($B$1)-65)*3)</f>
        <v>Canada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SwitzerlandCanada</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Bosnia/Herzeg.</v>
      </c>
      <c r="Q27" s="761" t="str">
        <f>INDEX('World Cup'!$B$13:$AJ$38,26,2+(CODE($B$1)-65)*3)</f>
        <v>Qatar</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Bosnia/Herzeg.Qatar</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Bosnia/Herzeg.Canada</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SwitzerlandQatar</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Bosnia/Herzeg.Switzerland</v>
      </c>
      <c r="AA30" s="737" t="str">
        <f>IF($T24,$Y24&amp;Language!$E$203&amp;$X24,"")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QatarCanada</v>
      </c>
      <c r="AA31" s="737" t="str">
        <f>IF($T25,$Y25&amp;Language!$E$203&amp;$X25,"")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CanadaSwitzerland</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QatarBosnia/Herzeg.</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19" t="str">
        <f>Language!$E$256</f>
        <v>Daily schedule</v>
      </c>
      <c r="C1" s="1019"/>
      <c r="D1" s="1019"/>
      <c r="E1" s="1019"/>
      <c r="F1" s="1019"/>
      <c r="G1" s="1019"/>
      <c r="H1" s="1019"/>
      <c r="I1" s="612"/>
    </row>
    <row r="2" spans="1:14" ht="29.25" thickBot="1" x14ac:dyDescent="0.5">
      <c r="A2" s="537"/>
      <c r="B2" s="224"/>
      <c r="C2" s="224"/>
      <c r="D2" s="224"/>
      <c r="E2" s="224"/>
      <c r="F2" s="224"/>
      <c r="G2" s="224"/>
      <c r="H2" s="224"/>
      <c r="I2" s="224"/>
      <c r="M2" s="1020" t="str">
        <f>Language!$E$267</f>
        <v>Color favorites</v>
      </c>
      <c r="N2" s="1020"/>
    </row>
    <row r="3" spans="1:14" ht="16.5" thickTop="1" thickBot="1" x14ac:dyDescent="0.3">
      <c r="A3" s="537"/>
      <c r="B3" s="538" t="str">
        <f>Language!$E$266</f>
        <v>Date</v>
      </c>
      <c r="C3" s="539" t="str">
        <f>Language!$E$259</f>
        <v>Time</v>
      </c>
      <c r="D3" s="539" t="str">
        <f>Language!$E$260</f>
        <v>Team 1</v>
      </c>
      <c r="E3" s="624" t="str">
        <f>Language!$E$261</f>
        <v>Team 2</v>
      </c>
      <c r="F3" s="625" t="str">
        <f>Language!$E$257</f>
        <v>Match No.</v>
      </c>
      <c r="G3" s="1021" t="str">
        <f>Language!$E$258</f>
        <v>Teams</v>
      </c>
      <c r="H3" s="1021"/>
      <c r="I3" s="625" t="str">
        <f>Language!$E$185</f>
        <v>Venue</v>
      </c>
      <c r="J3" s="626" t="str">
        <f>Language!$E$184</f>
        <v>TV channel</v>
      </c>
      <c r="K3" s="613"/>
      <c r="M3" s="1022" t="str">
        <f>Language!$E$268</f>
        <v>Enter the group code here</v>
      </c>
      <c r="N3" s="1022"/>
    </row>
    <row r="4" spans="1:14" x14ac:dyDescent="0.25">
      <c r="A4" s="4"/>
      <c r="B4" s="540">
        <f>INDEX(Matches!$B$4:$J$113,MATCH($F4,Matches!$B$4:$B$113,0),5)</f>
        <v>46184.875</v>
      </c>
      <c r="C4" s="541">
        <f>INDEX(Matches!$B$4:$J$113,MATCH($F4,Matches!$B$4:$B$113,0),5)</f>
        <v>46184.875</v>
      </c>
      <c r="D4" s="542" t="str">
        <f>INDEX(Matches!$B$4:$J$113,MATCH($F4,Matches!$B$4:$B$113,0),8)</f>
        <v>Mexico</v>
      </c>
      <c r="E4" s="542" t="str">
        <f>INDEX(Matches!$B$4:$J$113,MATCH($F4,Matches!$B$4:$B$113,0),9)</f>
        <v>South Africa</v>
      </c>
      <c r="F4" s="543">
        <v>1</v>
      </c>
      <c r="G4" s="544" t="str">
        <f>INDEX(Matches!$B$4:$J$113,MATCH($F4,Matches!$B$4:$B$113,0),2)</f>
        <v>A1</v>
      </c>
      <c r="H4" s="544" t="str">
        <f>INDEX(Matches!$B$4:$J$113,MATCH($F4,Matches!$B$4:$B$113,0),3)</f>
        <v>A2</v>
      </c>
      <c r="I4" s="544" t="str">
        <f>IFERROR(VLOOKUP($F4,Matches!$B$4:$H$113,7,0),"")</f>
        <v>Mexico City</v>
      </c>
      <c r="J4" s="795"/>
      <c r="K4" s="796"/>
      <c r="M4" s="1022"/>
      <c r="N4" s="1022"/>
    </row>
    <row r="5" spans="1:14" x14ac:dyDescent="0.25">
      <c r="A5" s="4"/>
      <c r="B5" s="540">
        <f>INDEX(Matches!$B$4:$J$113,MATCH($F5,Matches!$B$4:$B$113,0),5)</f>
        <v>46185.166666666664</v>
      </c>
      <c r="C5" s="541">
        <f>INDEX(Matches!$B$4:$J$113,MATCH($F5,Matches!$B$4:$B$113,0),5)</f>
        <v>46185.166666666664</v>
      </c>
      <c r="D5" s="542" t="str">
        <f>INDEX(Matches!$B$4:$J$113,MATCH($F5,Matches!$B$4:$B$113,0),8)</f>
        <v>South Korea</v>
      </c>
      <c r="E5" s="542" t="str">
        <f>INDEX(Matches!$B$4:$J$113,MATCH($F5,Matches!$B$4:$B$113,0),9)</f>
        <v>Czechia</v>
      </c>
      <c r="F5" s="545">
        <v>2</v>
      </c>
      <c r="G5" s="544" t="str">
        <f>INDEX(Matches!$B$4:$J$113,MATCH($F5,Matches!$B$4:$B$113,0),2)</f>
        <v>A3</v>
      </c>
      <c r="H5" s="544" t="str">
        <f>INDEX(Matches!$B$4:$J$113,MATCH($F5,Matches!$B$4:$B$113,0),3)</f>
        <v>A4</v>
      </c>
      <c r="I5" s="544" t="str">
        <f>IFERROR(VLOOKUP($F5,Matches!$B$4:$H$113,7,0),"")</f>
        <v>Guadalajara</v>
      </c>
      <c r="J5" s="795"/>
      <c r="K5" s="796"/>
      <c r="M5" s="1022"/>
      <c r="N5" s="1022"/>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Canada</v>
      </c>
      <c r="E7" s="542" t="str">
        <f>INDEX(Matches!$B$4:$J$113,MATCH($F7,Matches!$B$4:$B$113,0),9)</f>
        <v>Bosnia/Herzeg.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Qatar</v>
      </c>
      <c r="E10" s="873" t="str">
        <f>INDEX(Matches!$B$4:$J$113,MATCH($F10,Matches!$B$4:$B$113,0),9)</f>
        <v>Switzerland</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Brazil</v>
      </c>
      <c r="E11" s="542" t="str">
        <f>INDEX(Matches!$B$4:$J$113,MATCH($F11,Matches!$B$4:$B$113,0),9)</f>
        <v>Morocco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Scotland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Australia</v>
      </c>
      <c r="E13" s="542" t="str">
        <f>INDEX(Matches!$B$4:$J$113,MATCH($F13,Matches!$B$4:$B$113,0),9)</f>
        <v>Turkiye</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Germany</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Netherlands</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Cote d'Ivoire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Sweden</v>
      </c>
      <c r="E18" s="542" t="str">
        <f>INDEX(Matches!$B$4:$J$113,MATCH($F18,Matches!$B$4:$B$113,0),9)</f>
        <v>Tunisia</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Spain</v>
      </c>
      <c r="E20" s="542" t="str">
        <f>INDEX(Matches!$B$4:$J$113,MATCH($F20,Matches!$B$4:$B$113,0),9)</f>
        <v>Cabo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Belgium</v>
      </c>
      <c r="E21" s="542" t="str">
        <f>INDEX(Matches!$B$4:$J$113,MATCH($F21,Matches!$B$4:$B$113,0),9)</f>
        <v>Egypt</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 Arabia</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New Zealand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France</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Iraq</v>
      </c>
      <c r="E26" s="542" t="str">
        <f>INDEX(Matches!$B$4:$J$113,MATCH($F26,Matches!$B$4:$B$113,0),9)</f>
        <v>Norway</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Argentina</v>
      </c>
      <c r="E27" s="542" t="str">
        <f>INDEX(Matches!$B$4:$J$113,MATCH($F27,Matches!$B$4:$B$113,0),9)</f>
        <v>Algeria</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Austria</v>
      </c>
      <c r="E28" s="542" t="str">
        <f>INDEX(Matches!$B$4:$J$113,MATCH($F28,Matches!$B$4:$B$113,0),9)</f>
        <v>Jordan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Congo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Croatia</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Uzbekistan</v>
      </c>
      <c r="E33" s="542" t="str">
        <f>INDEX(Matches!$B$4:$J$113,MATCH($F33,Matches!$B$4:$B$113,0),9)</f>
        <v>Colombia</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Czechia</v>
      </c>
      <c r="E35" s="542" t="str">
        <f>INDEX(Matches!$B$4:$J$113,MATCH($F35,Matches!$B$4:$B$113,0),9)</f>
        <v>South Africa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Switzerland</v>
      </c>
      <c r="E36" s="542" t="str">
        <f>INDEX(Matches!$B$4:$J$113,MATCH($F36,Matches!$B$4:$B$113,0),9)</f>
        <v>Bosnia/Herzeg.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Canada</v>
      </c>
      <c r="E37" s="542" t="str">
        <f>INDEX(Matches!$B$4:$J$113,MATCH($F37,Matches!$B$4:$B$113,0),9)</f>
        <v>Qatar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Mexico</v>
      </c>
      <c r="E38" s="542" t="str">
        <f>INDEX(Matches!$B$4:$J$113,MATCH($F38,Matches!$B$4:$B$113,0),9)</f>
        <v>South 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Australia</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Scotland</v>
      </c>
      <c r="E41" s="542" t="str">
        <f>INDEX(Matches!$B$4:$J$113,MATCH($F41,Matches!$B$4:$B$113,0),9)</f>
        <v>Morocco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Brazil</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Turkiye</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Netherlands</v>
      </c>
      <c r="E45" s="542" t="str">
        <f>INDEX(Matches!$B$4:$J$113,MATCH($F45,Matches!$B$4:$B$113,0),9)</f>
        <v>Sweden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Germany</v>
      </c>
      <c r="E46" s="542" t="str">
        <f>INDEX(Matches!$B$4:$J$113,MATCH($F46,Matches!$B$4:$B$113,0),9)</f>
        <v>Cote d'Ivoire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Tunisia</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Spain</v>
      </c>
      <c r="E50" s="542" t="str">
        <f>INDEX(Matches!$B$4:$J$113,MATCH($F50,Matches!$B$4:$B$113,0),9)</f>
        <v>Saudi Arabia</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Belgium</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Cabo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New Zealand</v>
      </c>
      <c r="E53" s="542" t="str">
        <f>INDEX(Matches!$B$4:$J$113,MATCH($F53,Matches!$B$4:$B$113,0),9)</f>
        <v>Egypt</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Argentina</v>
      </c>
      <c r="E55" s="542" t="str">
        <f>INDEX(Matches!$B$4:$J$113,MATCH($F55,Matches!$B$4:$B$113,0),9)</f>
        <v>Austria</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France</v>
      </c>
      <c r="E56" s="542" t="str">
        <f>INDEX(Matches!$B$4:$J$113,MATCH($F56,Matches!$B$4:$B$113,0),9)</f>
        <v>Iraq</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Norway</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v>
      </c>
      <c r="E58" s="542" t="str">
        <f>INDEX(Matches!$B$4:$J$113,MATCH($F58,Matches!$B$4:$B$113,0),9)</f>
        <v>Algeria</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Uzbekistan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Croatia</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Colombia</v>
      </c>
      <c r="E63" s="542" t="str">
        <f>INDEX(Matches!$B$4:$J$113,MATCH($F63,Matches!$B$4:$B$113,0),9)</f>
        <v>DR Congo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Switzerland</v>
      </c>
      <c r="E65" s="542" t="str">
        <f>INDEX(Matches!$B$4:$J$113,MATCH($F65,Matches!$B$4:$B$113,0),9)</f>
        <v>Canada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Bosnia/Herzeg.</v>
      </c>
      <c r="E66" s="542" t="str">
        <f>INDEX(Matches!$B$4:$J$113,MATCH($F66,Matches!$B$4:$B$113,0),9)</f>
        <v>Qatar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Scotland</v>
      </c>
      <c r="E67" s="542" t="str">
        <f>INDEX(Matches!$B$4:$J$113,MATCH($F67,Matches!$B$4:$B$113,0),9)</f>
        <v>Brazil</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Morocco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Czechia</v>
      </c>
      <c r="E69" s="542" t="str">
        <f>INDEX(Matches!$B$4:$J$113,MATCH($F69,Matches!$B$4:$B$113,0),9)</f>
        <v>Mexico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South Africa</v>
      </c>
      <c r="E70" s="542" t="str">
        <f>INDEX(Matches!$B$4:$J$113,MATCH($F70,Matches!$B$4:$B$113,0),9)</f>
        <v>South 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Cote d'Ivoire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Germany</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Tunisia</v>
      </c>
      <c r="E75" s="542" t="str">
        <f>INDEX(Matches!$B$4:$J$113,MATCH($F75,Matches!$B$4:$B$113,0),9)</f>
        <v>Netherlands</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Turkiye</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Australia</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Norway</v>
      </c>
      <c r="E79" s="542" t="str">
        <f>INDEX(Matches!$B$4:$J$113,MATCH($F79,Matches!$B$4:$B$113,0),9)</f>
        <v>France</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Iraq</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Cabo Verde</v>
      </c>
      <c r="E81" s="542" t="str">
        <f>INDEX(Matches!$B$4:$J$113,MATCH($F81,Matches!$B$4:$B$113,0),9)</f>
        <v>Saudi Arabia</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Spain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Egypt</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New Zealand</v>
      </c>
      <c r="E84" s="542" t="str">
        <f>INDEX(Matches!$B$4:$J$113,MATCH($F84,Matches!$B$4:$B$113,0),9)</f>
        <v>Belgium</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Croatia</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Colombia</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Congo</v>
      </c>
      <c r="E89" s="542" t="str">
        <f>INDEX(Matches!$B$4:$J$113,MATCH($F89,Matches!$B$4:$B$113,0),9)</f>
        <v>Uzbekistan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Algeria</v>
      </c>
      <c r="E90" s="542" t="str">
        <f>INDEX(Matches!$B$4:$J$113,MATCH($F90,Matches!$B$4:$B$113,0),9)</f>
        <v>Austria</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v>
      </c>
      <c r="E91" s="542" t="str">
        <f>INDEX(Matches!$B$4:$J$113,MATCH($F91,Matches!$B$4:$B$113,0),9)</f>
        <v>Argentina</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Language!$E$262</f>
        <v>Round of 32</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South Korea</v>
      </c>
      <c r="E94" s="542" t="str">
        <f>INDEX(Matches!$B$4:$J$113,MATCH($F94,Matches!$B$4:$B$113,0),9)</f>
        <v>Switzerland</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Brazil</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Germany</v>
      </c>
      <c r="E97" s="542" t="str">
        <f>INDEX(Matches!$B$4:$J$113,MATCH($F97,Matches!$B$4:$B$113,0),9)</f>
        <v>Scotland</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Netherlands</v>
      </c>
      <c r="E98" s="542" t="str">
        <f>INDEX(Matches!$B$4:$J$113,MATCH($F98,Matches!$B$4:$B$113,0),9)</f>
        <v>Morocco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Cote d'Ivoire</v>
      </c>
      <c r="E100" s="542" t="str">
        <f>INDEX(Matches!$B$4:$J$113,MATCH($F100,Matches!$B$4:$B$113,0),9)</f>
        <v>France</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Norway</v>
      </c>
      <c r="E101" s="542" t="str">
        <f>INDEX(Matches!$B$4:$J$113,MATCH($F101,Matches!$B$4:$B$113,0),9)</f>
        <v>Sweden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Mexico</v>
      </c>
      <c r="E102" s="542" t="str">
        <f>INDEX(Matches!$B$4:$J$113,MATCH($F102,Matches!$B$4:$B$113,0),9)</f>
        <v>Cabo Verde</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Portugal</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Egypt</v>
      </c>
      <c r="E105" s="542" t="str">
        <f>INDEX(Matches!$B$4:$J$113,MATCH($F105,Matches!$B$4:$B$113,0),9)</f>
        <v>Czechia</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Ecuador</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Spain</v>
      </c>
      <c r="E108" s="542" t="str">
        <f>INDEX(Matches!$B$4:$J$113,MATCH($F108,Matches!$B$4:$B$113,0),9)</f>
        <v>Austria</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DR Congo</v>
      </c>
      <c r="E109" s="542" t="str">
        <f>INDEX(Matches!$B$4:$J$113,MATCH($F109,Matches!$B$4:$B$113,0),9)</f>
        <v>Ghana</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Canada</v>
      </c>
      <c r="E110" s="542" t="str">
        <f>INDEX(Matches!$B$4:$J$113,MATCH($F110,Matches!$B$4:$B$113,0),9)</f>
        <v>Belgium</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Australia</v>
      </c>
      <c r="E112" s="542" t="str">
        <f>INDEX(Matches!$B$4:$J$113,MATCH($F112,Matches!$B$4:$B$113,0),9)</f>
        <v>IR Iran</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Argentina</v>
      </c>
      <c r="E113" s="542" t="str">
        <f>INDEX(Matches!$B$4:$J$113,MATCH($F113,Matches!$B$4:$B$113,0),9)</f>
        <v>Uruguay</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Colombia</v>
      </c>
      <c r="E114" s="542" t="str">
        <f>INDEX(Matches!$B$4:$J$113,MATCH($F114,Matches!$B$4:$B$113,0),9)</f>
        <v>Paraguay</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Language!$E$263</f>
        <v>Round of 16</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
      </c>
      <c r="E117" s="606" t="str">
        <f>'World Cup'!$F$60</f>
        <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
      </c>
      <c r="E118" s="606" t="str">
        <f>'World Cup'!$C$60</f>
        <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
      </c>
      <c r="E120" s="606" t="str">
        <f>'World Cup'!$O$60</f>
        <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
      </c>
      <c r="E121" s="606" t="str">
        <f>'World Cup'!$R$60</f>
        <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
      </c>
      <c r="E123" s="606" t="str">
        <f>'World Cup'!$I$60</f>
        <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
      </c>
      <c r="E124" s="606" t="str">
        <f>'World Cup'!$L$60</f>
        <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
      </c>
      <c r="E126" s="606" t="str">
        <f>'World Cup'!$U$60</f>
        <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
      </c>
      <c r="E127" s="606" t="str">
        <f>'World Cup'!$X$60</f>
        <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Language!$E$264</f>
        <v>Quarter final</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Language!$E$265</f>
        <v>Semi-Final</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Language!$E$172</f>
        <v>Third place</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Language!$E$173</f>
        <v>Final</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74" priority="133">
      <formula>INT(B4)=TODAY()</formula>
    </cfRule>
  </conditionalFormatting>
  <conditionalFormatting sqref="D4:E146">
    <cfRule type="expression" dxfId="1173" priority="1">
      <formula>AND(D4=$N$18,D4&lt;&gt;"")</formula>
    </cfRule>
    <cfRule type="expression" dxfId="1172" priority="2">
      <formula>AND(D4=$N$17,D4&lt;&gt;"")</formula>
    </cfRule>
    <cfRule type="expression" dxfId="1171" priority="3">
      <formula>AND(D4=$N$16,D4&lt;&gt;"")</formula>
    </cfRule>
    <cfRule type="expression" dxfId="1170" priority="4">
      <formula>AND(D4=$N$15,D4&lt;&gt;"")</formula>
    </cfRule>
    <cfRule type="expression" dxfId="1169" priority="5">
      <formula>AND(D4=$N$14,D4&lt;&gt;"")</formula>
    </cfRule>
    <cfRule type="expression" dxfId="1168" priority="6">
      <formula>AND(D4=$N$13,D4&lt;&gt;"")</formula>
    </cfRule>
    <cfRule type="expression" dxfId="1167" priority="7">
      <formula>AND(D4=$N$12,D4&lt;&gt;"")</formula>
    </cfRule>
    <cfRule type="expression" dxfId="1166" priority="8">
      <formula>AND(D4=$N$11,D4&lt;&gt;"")</formula>
    </cfRule>
    <cfRule type="expression" dxfId="1165" priority="134">
      <formula>AND(D4=$N$10,D4&lt;&gt;"")</formula>
    </cfRule>
    <cfRule type="expression" dxfId="1164" priority="135">
      <formula>AND(D4=$N$9,D4&lt;&gt;"")</formula>
    </cfRule>
    <cfRule type="expression" dxfId="1163" priority="136">
      <formula>AND(D4=$N$8,D4&lt;&gt;"")</formula>
    </cfRule>
    <cfRule type="expression" dxfId="1162"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Brazil</v>
      </c>
      <c r="E5" s="859"/>
      <c r="F5" s="661"/>
      <c r="G5" s="672"/>
      <c r="H5" s="651">
        <f>SUMIFS($R$22:$R$27,$P$22:$P$27,$D5)+SUMIFS($S$22:$S$27,$Q$22:$Q$27,$D5)</f>
        <v>4</v>
      </c>
      <c r="I5" s="651">
        <f>SUMIFS($S$22:$S$27,$P$22:$P$27,$D5)+SUMIFS($R$22:$R$27,$Q$22:$Q$27,$D5)</f>
        <v>1</v>
      </c>
      <c r="J5" s="650">
        <f t="shared" ref="J5:J8" si="0">H5-I5</f>
        <v>3</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Morocco</v>
      </c>
      <c r="E6" s="860"/>
      <c r="F6" s="661"/>
      <c r="G6" s="672"/>
      <c r="H6" s="651">
        <f>SUMIFS($R$22:$R$27,$P$22:$P$27,$D6)+SUMIFS($S$22:$S$27,$Q$22:$Q$27,$D6)</f>
        <v>2</v>
      </c>
      <c r="I6" s="651">
        <f>SUMIFS($S$22:$S$27,$P$22:$P$27,$D6)+SUMIFS($R$22:$R$27,$Q$22:$Q$27,$D6)</f>
        <v>1</v>
      </c>
      <c r="J6" s="650">
        <f t="shared" si="0"/>
        <v>1</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INDEX(Language!$C$5:$C$100,MATCH($D6,Language!$E$5:$E$100,0),1)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0</v>
      </c>
      <c r="I7" s="651">
        <f>SUMIFS($S$22:$S$27,$P$22:$P$27,$D7)+SUMIFS($R$22:$R$27,$Q$22:$Q$27,$D7)</f>
        <v>4</v>
      </c>
      <c r="J7" s="650">
        <f t="shared" si="0"/>
        <v>-4</v>
      </c>
      <c r="K7" s="662">
        <f t="shared" si="1"/>
        <v>0</v>
      </c>
      <c r="L7" s="651">
        <f t="shared" si="2"/>
        <v>2</v>
      </c>
      <c r="M7" s="651">
        <f>SUMPRODUCT(($P$22:$P$27=D7)*($R$22:$R$27&gt;$S$22:$S$27))+SUMPRODUCT(($Q$22:$Q$27=D7)*($R$22:$R$27&lt;$S$22:$S$27))</f>
        <v>0</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INDEX(Language!$C$5:$C$100,MATCH($D7,Language!$E$5:$E$100,0),1)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Scotland</v>
      </c>
      <c r="E8" s="860"/>
      <c r="F8" s="661"/>
      <c r="G8" s="672"/>
      <c r="H8" s="651">
        <f>SUMIFS($R$22:$R$27,$P$22:$P$27,$D8)+SUMIFS($S$22:$S$27,$Q$22:$Q$27,$D8)</f>
        <v>1</v>
      </c>
      <c r="I8" s="651">
        <f>SUMIFS($S$22:$S$27,$P$22:$P$27,$D8)+SUMIFS($R$22:$R$27,$Q$22:$Q$27,$D8)</f>
        <v>1</v>
      </c>
      <c r="J8" s="650">
        <f t="shared" si="0"/>
        <v>0</v>
      </c>
      <c r="K8" s="662">
        <f t="shared" si="1"/>
        <v>3</v>
      </c>
      <c r="L8" s="651">
        <f t="shared" si="2"/>
        <v>2</v>
      </c>
      <c r="M8" s="651">
        <f>SUMPRODUCT(($P$22:$P$27=D8)*($R$22:$R$27&gt;$S$22:$S$27))+SUMPRODUCT(($Q$22:$Q$27=D8)*($R$22:$R$27&lt;$S$22:$S$27))</f>
        <v>1</v>
      </c>
      <c r="N8" s="651">
        <f>SUMPRODUCT(($P$22:$Q$27=D8)*($R$22:$R$27=$S$22:$S$27)*($R$22:$R$27&lt;&gt;"")*($S$22:$S$27&lt;&gt;""))</f>
        <v>0</v>
      </c>
      <c r="O8" s="651">
        <f>SUMPRODUCT(($P$22:$P$27=D8)*($R$22:$R$27&lt;$S$22:$S$27))+SUMPRODUCT(($Q$22:$Q$27=D8)*($R$22:$R$27&gt;$S$22:$S$27))</f>
        <v>1</v>
      </c>
      <c r="P8" s="766">
        <f>SUMIFS(FairPlay!$G$6:$G$27,FairPlay!$B$6:$B$27,$D8)+SUMIFS(FairPlay!$G$30:$G$51,FairPlay!$B$30:$B$51,$D8)+SUMIFS(FairPlay!$G$54:$G$75,FairPlay!$B$54:$B$75,$D8)</f>
        <v>-4</v>
      </c>
      <c r="Q8" s="650">
        <f>INDEX(Language!$C$5:$C$100,MATCH($D8,Language!$E$5:$E$100,0),1)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Brazil</v>
      </c>
      <c r="BF13" s="679" t="str">
        <v>Morocco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Brazil</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Brazil</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Morocco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Morocco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Scotland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Brazil</v>
      </c>
      <c r="I21" s="708" t="str">
        <v>Morocco</v>
      </c>
      <c r="J21" s="708" t="str">
        <v>Scotland</v>
      </c>
      <c r="K21" s="709" t="str">
        <v>Haiti</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Brazil</v>
      </c>
      <c r="E22" s="782">
        <f>VLOOKUP($D22,$D$5:$K$8,8,0)</f>
        <v>4</v>
      </c>
      <c r="F22" s="713">
        <f>VLOOKUP($D22,$D$5:$K$8,5,0)</f>
        <v>4</v>
      </c>
      <c r="G22" s="783">
        <f>VLOOKUP($D22,$D$5:$K$8,6,0)</f>
        <v>1</v>
      </c>
      <c r="H22" s="712" t="str">
        <f t="array" ref="H22:K25">IFERROR(VLOOKUP($D$22:$D$25&amp;$H$21:$K$21,$Z$22:$AA$33,2,0),"")</f>
        <v/>
      </c>
      <c r="I22" s="713" t="str">
        <v>1 - 1</v>
      </c>
      <c r="J22" s="713" t="str">
        <v/>
      </c>
      <c r="K22" s="779" t="str">
        <v>3 - 0</v>
      </c>
      <c r="L22" s="767" t="b">
        <f>OR($E22&gt;0,$G22&gt;0)</f>
        <v>1</v>
      </c>
      <c r="M22" s="767" t="b">
        <f t="array" ref="M22:M25">VLOOKUP($D$22:$D$25,$D$14:$AV$17,45,0)</f>
        <v>0</v>
      </c>
      <c r="N22" s="651">
        <f>VLOOKUP($D22,$D$5:$Q$8,14,0)</f>
        <v>6</v>
      </c>
      <c r="O22" s="718" t="s">
        <v>26</v>
      </c>
      <c r="P22" s="754" t="str">
        <f>INDEX('World Cup'!$B$13:$AJ$38,1,1+(CODE($B$1)-65)*3)</f>
        <v>Brazil</v>
      </c>
      <c r="Q22" s="755" t="str">
        <f>INDEX('World Cup'!$B$13:$AJ$38,1,2+(CODE($B$1)-65)*3)</f>
        <v>Morocco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BrazilMorocco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Morocco</v>
      </c>
      <c r="E23" s="777">
        <f t="shared" ref="E23:E25" si="37">VLOOKUP($D23,$D$5:$K$8,8,0)</f>
        <v>4</v>
      </c>
      <c r="F23" s="650">
        <f t="shared" ref="F23:F25" si="38">VLOOKUP($D23,$D$5:$K$8,5,0)</f>
        <v>2</v>
      </c>
      <c r="G23" s="784">
        <f t="shared" ref="G23:G25" si="39">VLOOKUP($D23,$D$5:$K$8,6,0)</f>
        <v>1</v>
      </c>
      <c r="H23" s="714" t="str">
        <v>1 - 1</v>
      </c>
      <c r="I23" s="715" t="str">
        <v/>
      </c>
      <c r="J23" s="650" t="str">
        <v>1 - 0</v>
      </c>
      <c r="K23" s="780" t="str">
        <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Scotland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HaitiScotland</v>
      </c>
      <c r="AA23" s="737" t="str">
        <f>IF($T23,$X23&amp;Language!$E$203&amp;$Y23,"")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Scotland</v>
      </c>
      <c r="E24" s="777">
        <f t="shared" si="37"/>
        <v>3</v>
      </c>
      <c r="F24" s="650">
        <f t="shared" si="38"/>
        <v>1</v>
      </c>
      <c r="G24" s="784">
        <f t="shared" si="39"/>
        <v>1</v>
      </c>
      <c r="H24" s="714" t="str">
        <v/>
      </c>
      <c r="I24" s="650" t="str">
        <v>0 - 1</v>
      </c>
      <c r="J24" s="715" t="str">
        <v/>
      </c>
      <c r="K24" s="780" t="str">
        <v>1 - 0</v>
      </c>
      <c r="L24" s="767" t="b">
        <f t="shared" si="40"/>
        <v>1</v>
      </c>
      <c r="M24" s="767" t="b">
        <v>0</v>
      </c>
      <c r="N24" s="651">
        <f t="shared" si="41"/>
        <v>42</v>
      </c>
      <c r="O24" s="730" t="s">
        <v>28</v>
      </c>
      <c r="P24" s="757" t="str">
        <f>INDEX('World Cup'!$B$13:$AJ$38,11,1+(CODE($B$1)-65)*3)</f>
        <v>Scotland</v>
      </c>
      <c r="Q24" s="758" t="str">
        <f>INDEX('World Cup'!$B$13:$AJ$38,11,2+(CODE($B$1)-65)*3)</f>
        <v>Morocco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ScotlandMorocco</v>
      </c>
      <c r="AA24" s="737" t="str">
        <f>IF($T24,$X24&amp;Language!$E$203&amp;$Y24,"")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0</v>
      </c>
      <c r="G25" s="786">
        <f t="shared" si="39"/>
        <v>4</v>
      </c>
      <c r="H25" s="716" t="str">
        <v>0 - 3</v>
      </c>
      <c r="I25" s="717" t="str">
        <v/>
      </c>
      <c r="J25" s="717" t="str">
        <v>0 - 1</v>
      </c>
      <c r="K25" s="781" t="str">
        <v/>
      </c>
      <c r="L25" s="767" t="b">
        <f t="shared" si="40"/>
        <v>1</v>
      </c>
      <c r="M25" s="767" t="b">
        <v>0</v>
      </c>
      <c r="N25" s="651">
        <f t="shared" si="41"/>
        <v>83</v>
      </c>
      <c r="O25" s="730" t="s">
        <v>29</v>
      </c>
      <c r="P25" s="757" t="str">
        <f>INDEX('World Cup'!$B$13:$AJ$38,16,1+(CODE($B$1)-65)*3)</f>
        <v>Brazil</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BrazilHaiti</v>
      </c>
      <c r="AA25" s="737" t="str">
        <f>IF($T25,$X25&amp;Language!$E$203&amp;$Y25,"")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Scotland</v>
      </c>
      <c r="Q26" s="758" t="str">
        <f>INDEX('World Cup'!$B$13:$AJ$38,21,2+(CODE($B$1)-65)*3)</f>
        <v>Brazil</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ScotlandBrazil</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Morocco</v>
      </c>
      <c r="Q27" s="761" t="str">
        <f>INDEX('World Cup'!$B$13:$AJ$38,26,2+(CODE($B$1)-65)*3)</f>
        <v>Haiti</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MoroccoHaiti</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MoroccoBrazil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ScotlandHaiti</v>
      </c>
      <c r="AA29" s="737" t="str">
        <f>IF($T23,$Y23&amp;Language!$E$203&amp;$X23,"")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MoroccoScotland</v>
      </c>
      <c r="AA30" s="737" t="str">
        <f>IF($T24,$Y24&amp;Language!$E$203&amp;$X24,"")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HaitiBrazil</v>
      </c>
      <c r="AA31" s="737" t="str">
        <f>IF($T25,$Y25&amp;Language!$E$203&amp;$X25,"")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BrazilScotland</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HaitiMorocco</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6</v>
      </c>
      <c r="I5" s="651">
        <f>SUMIFS($S$22:$S$27,$P$22:$P$27,$D5)+SUMIFS($R$22:$R$27,$Q$22:$Q$27,$D5)</f>
        <v>1</v>
      </c>
      <c r="J5" s="650">
        <f t="shared" ref="J5:J8" si="0">H5-I5</f>
        <v>5</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-4</v>
      </c>
      <c r="Q5" s="650">
        <f>INDEX(Language!$C$5:$C$100,MATCH($D5,Language!$E$5:$E$100,0),1)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3</v>
      </c>
      <c r="L6" s="651">
        <f t="shared" ref="L6:L8" si="2">M6+N6+O6</f>
        <v>2</v>
      </c>
      <c r="M6" s="651">
        <f>SUMPRODUCT(($P$22:$P$27=D6)*($R$22:$R$27&gt;$S$22:$S$27))+SUMPRODUCT(($Q$22:$Q$27=D6)*($R$22:$R$27&lt;$S$22:$S$27))</f>
        <v>1</v>
      </c>
      <c r="N6" s="651">
        <f>SUMPRODUCT(($P$22:$Q$27=D6)*($R$22:$R$27=$S$22:$S$27)*($R$22:$R$27&lt;&gt;"")*($S$22:$S$27&lt;&gt;""))</f>
        <v>0</v>
      </c>
      <c r="O6" s="651">
        <f>SUMPRODUCT(($P$22:$P$27=D6)*($R$22:$R$27&lt;$S$22:$S$27))+SUMPRODUCT(($Q$22:$Q$27=D6)*($R$22:$R$27&gt;$S$22:$S$27))</f>
        <v>1</v>
      </c>
      <c r="P6" s="669">
        <f>SUMIFS(FairPlay!$G$6:$G$27,FairPlay!$B$6:$B$27,$D6)+SUMIFS(FairPlay!$G$30:$G$51,FairPlay!$B$30:$B$51,$D6)+SUMIFS(FairPlay!$G$54:$G$75,FairPlay!$B$54:$B$75,$D6)</f>
        <v>-10</v>
      </c>
      <c r="Q6" s="650">
        <f>INDEX(Language!$C$5:$C$100,MATCH($D6,Language!$E$5:$E$100,0),1)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Australia</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INDEX(Language!$C$5:$C$100,MATCH($D7,Language!$E$5:$E$100,0),1)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Turkiye</v>
      </c>
      <c r="E8" s="860"/>
      <c r="F8" s="661"/>
      <c r="G8" s="672"/>
      <c r="H8" s="651">
        <f>SUMIFS($R$22:$R$27,$P$22:$P$27,$D8)+SUMIFS($S$22:$S$27,$Q$22:$Q$27,$D8)</f>
        <v>0</v>
      </c>
      <c r="I8" s="651">
        <f>SUMIFS($S$22:$S$27,$P$22:$P$27,$D8)+SUMIFS($R$22:$R$27,$Q$22:$Q$27,$D8)</f>
        <v>3</v>
      </c>
      <c r="J8" s="650">
        <f t="shared" si="0"/>
        <v>-3</v>
      </c>
      <c r="K8" s="662">
        <f t="shared" si="1"/>
        <v>0</v>
      </c>
      <c r="L8" s="651">
        <f t="shared" si="2"/>
        <v>2</v>
      </c>
      <c r="M8" s="651">
        <f>SUMPRODUCT(($P$22:$P$27=D8)*($R$22:$R$27&gt;$S$22:$S$27))+SUMPRODUCT(($Q$22:$Q$27=D8)*($R$22:$R$27&lt;$S$22:$S$27))</f>
        <v>0</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INDEX(Language!$C$5:$C$100,MATCH($D8,Language!$E$5:$E$100,0),1)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Australia</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Australia</v>
      </c>
      <c r="BA15" s="672">
        <v>0</v>
      </c>
      <c r="BB15" s="672">
        <v>0</v>
      </c>
      <c r="BC15" s="692">
        <v>0</v>
      </c>
      <c r="BE15" s="697" t="str">
        <v/>
      </c>
      <c r="BF15" s="698" t="str">
        <v/>
      </c>
      <c r="BG15" s="699" t="str">
        <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0</v>
      </c>
      <c r="BB16" s="672">
        <v>0</v>
      </c>
      <c r="BC16" s="692">
        <v>0</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Turkiye</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Australia</v>
      </c>
      <c r="J21" s="708" t="str">
        <v>Paraguay</v>
      </c>
      <c r="K21" s="709" t="str">
        <v>Turkiye</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6</v>
      </c>
      <c r="G22" s="783">
        <f>VLOOKUP($D22,$D$5:$K$8,6,0)</f>
        <v>1</v>
      </c>
      <c r="H22" s="712" t="str">
        <f t="array" ref="H22:K25">IFERROR(VLOOKUP($D$22:$D$25&amp;$H$21:$K$21,$Z$22:$AA$33,2,0),"")</f>
        <v/>
      </c>
      <c r="I22" s="713" t="str">
        <v>2 - 0</v>
      </c>
      <c r="J22" s="713" t="str">
        <v>4 - 1</v>
      </c>
      <c r="K22" s="779" t="str">
        <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IF($T22,$X22&amp;Language!$E$203&amp;$Y22,"")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Australia</v>
      </c>
      <c r="E23" s="777">
        <f t="shared" ref="E23:E25" si="37">VLOOKUP($D23,$D$5:$K$8,8,0)</f>
        <v>3</v>
      </c>
      <c r="F23" s="650">
        <f t="shared" ref="F23:F25" si="38">VLOOKUP($D23,$D$5:$K$8,5,0)</f>
        <v>2</v>
      </c>
      <c r="G23" s="784">
        <f t="shared" ref="G23:G25" si="39">VLOOKUP($D23,$D$5:$K$8,6,0)</f>
        <v>2</v>
      </c>
      <c r="H23" s="714" t="str">
        <v>0 - 2</v>
      </c>
      <c r="I23" s="715" t="str">
        <v/>
      </c>
      <c r="J23" s="650" t="str">
        <v/>
      </c>
      <c r="K23" s="780" t="str">
        <v>2 - 0</v>
      </c>
      <c r="L23" s="767" t="b">
        <f t="shared" ref="L23:L25" si="40">OR($E23&gt;0,$G23&gt;0)</f>
        <v>1</v>
      </c>
      <c r="M23" s="767" t="b">
        <v>0</v>
      </c>
      <c r="N23" s="651">
        <f t="shared" ref="N23:N25" si="41">VLOOKUP($D23,$D$5:$Q$8,14,0)</f>
        <v>27</v>
      </c>
      <c r="O23" s="730" t="s">
        <v>27</v>
      </c>
      <c r="P23" s="757" t="str">
        <f>INDEX('World Cup'!$B$13:$AJ$38,6,1+(CODE($B$1)-65)*3)</f>
        <v>Australia</v>
      </c>
      <c r="Q23" s="758" t="str">
        <f>INDEX('World Cup'!$B$13:$AJ$38,6,2+(CODE($B$1)-65)*3)</f>
        <v>Turkiye</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AustraliaTurkiye</v>
      </c>
      <c r="AA23" s="737" t="str">
        <f>IF($T23,$X23&amp;Language!$E$203&amp;$Y23,"")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3</v>
      </c>
      <c r="F24" s="650">
        <f t="shared" si="38"/>
        <v>2</v>
      </c>
      <c r="G24" s="784">
        <f t="shared" si="39"/>
        <v>4</v>
      </c>
      <c r="H24" s="714" t="str">
        <v>1 - 4</v>
      </c>
      <c r="I24" s="650" t="str">
        <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Turkiye</v>
      </c>
      <c r="E25" s="785">
        <f t="shared" si="37"/>
        <v>0</v>
      </c>
      <c r="F25" s="717">
        <f t="shared" si="38"/>
        <v>0</v>
      </c>
      <c r="G25" s="786">
        <f t="shared" si="39"/>
        <v>3</v>
      </c>
      <c r="H25" s="716" t="str">
        <v/>
      </c>
      <c r="I25" s="717" t="str">
        <v>0 - 2</v>
      </c>
      <c r="J25" s="717" t="str">
        <v>0 - 1</v>
      </c>
      <c r="K25" s="781" t="str">
        <v/>
      </c>
      <c r="L25" s="767" t="b">
        <f t="shared" si="40"/>
        <v>1</v>
      </c>
      <c r="M25" s="767" t="b">
        <v>0</v>
      </c>
      <c r="N25" s="651">
        <f t="shared" si="41"/>
        <v>22</v>
      </c>
      <c r="O25" s="730" t="s">
        <v>29</v>
      </c>
      <c r="P25" s="757" t="str">
        <f>INDEX('World Cup'!$B$13:$AJ$38,16,1+(CODE($B$1)-65)*3)</f>
        <v>Turkiye</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TurkiyeParaguay</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Turkiye</v>
      </c>
      <c r="Q26" s="758" t="str">
        <f>INDEX('World Cup'!$B$13:$AJ$38,21,2+(CODE($B$1)-65)*3)</f>
        <v>USA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TurkiyeUSA</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ParaguayAustralia</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IF($T22,$Y22&amp;Language!$E$203&amp;$X22,"")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TurkiyeAustralia</v>
      </c>
      <c r="AA29" s="737" t="str">
        <f>IF($T23,$Y23&amp;Language!$E$203&amp;$X23,"")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AustraliaUSA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ParaguayTurkiye</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USATurkiye</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AustraliaParaguay</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Germany</v>
      </c>
      <c r="E5" s="859"/>
      <c r="F5" s="661"/>
      <c r="G5" s="672"/>
      <c r="H5" s="651">
        <f>SUMIFS($R$22:$R$27,$P$22:$P$27,$D5)+SUMIFS($S$22:$S$27,$Q$22:$Q$27,$D5)</f>
        <v>9</v>
      </c>
      <c r="I5" s="651">
        <f>SUMIFS($S$22:$S$27,$P$22:$P$27,$D5)+SUMIFS($R$22:$R$27,$Q$22:$Q$27,$D5)</f>
        <v>2</v>
      </c>
      <c r="J5" s="650">
        <f t="shared" ref="J5:J8" si="0">H5-I5</f>
        <v>7</v>
      </c>
      <c r="K5" s="662">
        <f>M5*3+N5</f>
        <v>6</v>
      </c>
      <c r="L5" s="651">
        <f>M5+N5+O5</f>
        <v>2</v>
      </c>
      <c r="M5" s="651">
        <f>SUMPRODUCT(($P$22:$P$27=D5)*($R$22:$R$27&gt;$S$22:$S$27))+SUMPRODUCT(($Q$22:$Q$27=D5)*($R$22:$R$27&lt;$S$22:$S$27))</f>
        <v>2</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INDEX(Language!$C$5:$C$100,MATCH($D5,Language!$E$5:$E$100,0),1)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7</v>
      </c>
      <c r="J6" s="650">
        <f t="shared" si="0"/>
        <v>-6</v>
      </c>
      <c r="K6" s="662">
        <f t="shared" ref="K6:K8" si="1">M6*3+N6</f>
        <v>1</v>
      </c>
      <c r="L6" s="651">
        <f t="shared" ref="L6:L8" si="2">M6+N6+O6</f>
        <v>2</v>
      </c>
      <c r="M6" s="651">
        <f>SUMPRODUCT(($P$22:$P$27=D6)*($R$22:$R$27&gt;$S$22:$S$27))+SUMPRODUCT(($Q$22:$Q$27=D6)*($R$22:$R$27&lt;$S$22:$S$27))</f>
        <v>0</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INDEX(Language!$C$5:$C$100,MATCH($D6,Language!$E$5:$E$100,0),1)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Cote d'Ivoire</v>
      </c>
      <c r="E7" s="860"/>
      <c r="F7" s="661"/>
      <c r="G7" s="672"/>
      <c r="H7" s="651">
        <f>SUMIFS($R$22:$R$27,$P$22:$P$27,$D7)+SUMIFS($S$22:$S$27,$Q$22:$Q$27,$D7)</f>
        <v>2</v>
      </c>
      <c r="I7" s="651">
        <f>SUMIFS($S$22:$S$27,$P$22:$P$27,$D7)+SUMIFS($R$22:$R$27,$Q$22:$Q$27,$D7)</f>
        <v>2</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INDEX(Language!$C$5:$C$100,MATCH($D7,Language!$E$5:$E$100,0),1)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Ecuador</v>
      </c>
      <c r="E8" s="860"/>
      <c r="F8" s="661"/>
      <c r="G8" s="672"/>
      <c r="H8" s="651">
        <f>SUMIFS($R$22:$R$27,$P$22:$P$27,$D8)+SUMIFS($S$22:$S$27,$Q$22:$Q$27,$D8)</f>
        <v>0</v>
      </c>
      <c r="I8" s="651">
        <f>SUMIFS($S$22:$S$27,$P$22:$P$27,$D8)+SUMIFS($R$22:$R$27,$Q$22:$Q$27,$D8)</f>
        <v>1</v>
      </c>
      <c r="J8" s="650">
        <f t="shared" si="0"/>
        <v>-1</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-2</v>
      </c>
      <c r="Q8" s="650">
        <f>INDEX(Language!$C$5:$C$100,MATCH($D8,Language!$E$5:$E$100,0),1)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2</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Ecuador</v>
      </c>
      <c r="BH13" s="680" t="str">
        <v>Curaçao</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Germany</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1</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1</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4</v>
      </c>
      <c r="AZ15" s="687" t="str">
        <v/>
      </c>
      <c r="BA15" s="672" t="str">
        <v/>
      </c>
      <c r="BB15" s="672" t="str">
        <v/>
      </c>
      <c r="BC15" s="692" t="str">
        <v/>
      </c>
      <c r="BE15" s="697" t="str">
        <v/>
      </c>
      <c r="BF15" s="698" t="str">
        <v/>
      </c>
      <c r="BG15" s="699" t="str">
        <v/>
      </c>
      <c r="BH15" s="700" t="str">
        <v/>
      </c>
      <c r="BI15" s="699"/>
      <c r="BK15" s="669">
        <v>3</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Cote d'Ivoire</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0</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0</v>
      </c>
      <c r="AZ16" s="687" t="str">
        <v>Ecuador</v>
      </c>
      <c r="BA16" s="672">
        <v>1</v>
      </c>
      <c r="BB16" s="672">
        <v>0</v>
      </c>
      <c r="BC16" s="692">
        <v>0</v>
      </c>
      <c r="BE16" s="697" t="str">
        <v/>
      </c>
      <c r="BF16" s="699" t="str">
        <v/>
      </c>
      <c r="BG16" s="698" t="str">
        <v/>
      </c>
      <c r="BH16" s="700" t="str">
        <v>0 - 0</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Curaçao</v>
      </c>
      <c r="BA17" s="690">
        <v>1</v>
      </c>
      <c r="BB17" s="690">
        <v>0</v>
      </c>
      <c r="BC17" s="693">
        <v>0</v>
      </c>
      <c r="BE17" s="701" t="str">
        <v/>
      </c>
      <c r="BF17" s="702" t="str">
        <v/>
      </c>
      <c r="BG17" s="702" t="str">
        <v>0 - 0</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Germany</v>
      </c>
      <c r="I21" s="708" t="str">
        <v>Cote d'Ivoire</v>
      </c>
      <c r="J21" s="708" t="str">
        <v>Ecuador</v>
      </c>
      <c r="K21" s="709" t="str">
        <v>Curaçao</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Germany</v>
      </c>
      <c r="E22" s="782">
        <f>VLOOKUP($D22,$D$5:$K$8,8,0)</f>
        <v>6</v>
      </c>
      <c r="F22" s="713">
        <f>VLOOKUP($D22,$D$5:$K$8,5,0)</f>
        <v>9</v>
      </c>
      <c r="G22" s="783">
        <f>VLOOKUP($D22,$D$5:$K$8,6,0)</f>
        <v>2</v>
      </c>
      <c r="H22" s="712" t="str">
        <f t="array" ref="H22:K25">IFERROR(VLOOKUP($D$22:$D$25&amp;$H$21:$K$21,$Z$22:$AA$33,2,0),"")</f>
        <v/>
      </c>
      <c r="I22" s="713" t="str">
        <v>2 - 1</v>
      </c>
      <c r="J22" s="713" t="str">
        <v/>
      </c>
      <c r="K22" s="779" t="str">
        <v>7 - 1</v>
      </c>
      <c r="L22" s="767" t="b">
        <f>OR($E22&gt;0,$G22&gt;0)</f>
        <v>1</v>
      </c>
      <c r="M22" s="767" t="b">
        <f t="array" ref="M22:M25">VLOOKUP($D$22:$D$25,$D$14:$AV$17,45,0)</f>
        <v>0</v>
      </c>
      <c r="N22" s="651">
        <f>VLOOKUP($D22,$D$5:$Q$8,14,0)</f>
        <v>10</v>
      </c>
      <c r="O22" s="718" t="s">
        <v>26</v>
      </c>
      <c r="P22" s="754" t="str">
        <f>INDEX('World Cup'!$B$13:$AJ$38,1,1+(CODE($B$1)-65)*3)</f>
        <v>Germany</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GermanyCuraçao</v>
      </c>
      <c r="AA22" s="727" t="str">
        <f>IF($T22,$X22&amp;Language!$E$203&amp;$Y22,"")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Cote d'Ivoire</v>
      </c>
      <c r="E23" s="777">
        <f t="shared" ref="E23:E25" si="37">VLOOKUP($D23,$D$5:$K$8,8,0)</f>
        <v>3</v>
      </c>
      <c r="F23" s="650">
        <f t="shared" ref="F23:F25" si="38">VLOOKUP($D23,$D$5:$K$8,5,0)</f>
        <v>2</v>
      </c>
      <c r="G23" s="784">
        <f t="shared" ref="G23:G25" si="39">VLOOKUP($D23,$D$5:$K$8,6,0)</f>
        <v>2</v>
      </c>
      <c r="H23" s="714" t="str">
        <v>1 - 2</v>
      </c>
      <c r="I23" s="715" t="str">
        <v/>
      </c>
      <c r="J23" s="650" t="str">
        <v>1 - 0</v>
      </c>
      <c r="K23" s="780" t="str">
        <v/>
      </c>
      <c r="L23" s="767" t="b">
        <f t="shared" ref="L23:L25" si="40">OR($E23&gt;0,$G23&gt;0)</f>
        <v>1</v>
      </c>
      <c r="M23" s="767" t="b">
        <v>0</v>
      </c>
      <c r="N23" s="651">
        <f t="shared" ref="N23:N25" si="41">VLOOKUP($D23,$D$5:$Q$8,14,0)</f>
        <v>33</v>
      </c>
      <c r="O23" s="730" t="s">
        <v>27</v>
      </c>
      <c r="P23" s="757" t="str">
        <f>INDEX('World Cup'!$B$13:$AJ$38,6,1+(CODE($B$1)-65)*3)</f>
        <v>Cote d'Ivoire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Cote d'IvoireEcuador</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1</v>
      </c>
      <c r="F24" s="650">
        <f t="shared" si="38"/>
        <v>0</v>
      </c>
      <c r="G24" s="784">
        <f t="shared" si="39"/>
        <v>1</v>
      </c>
      <c r="H24" s="714" t="str">
        <v/>
      </c>
      <c r="I24" s="650" t="str">
        <v>0 - 1</v>
      </c>
      <c r="J24" s="715" t="str">
        <v/>
      </c>
      <c r="K24" s="780" t="str">
        <v>0 - 0</v>
      </c>
      <c r="L24" s="767" t="b">
        <f t="shared" si="40"/>
        <v>1</v>
      </c>
      <c r="M24" s="767" t="b">
        <v>0</v>
      </c>
      <c r="N24" s="651">
        <f t="shared" si="41"/>
        <v>23</v>
      </c>
      <c r="O24" s="730" t="s">
        <v>28</v>
      </c>
      <c r="P24" s="757" t="str">
        <f>INDEX('World Cup'!$B$13:$AJ$38,11,1+(CODE($B$1)-65)*3)</f>
        <v>Germany</v>
      </c>
      <c r="Q24" s="758" t="str">
        <f>INDEX('World Cup'!$B$13:$AJ$38,11,2+(CODE($B$1)-65)*3)</f>
        <v>Cote d'Ivoire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GermanyCote d'Ivoire</v>
      </c>
      <c r="AA24" s="737" t="str">
        <f>IF($T24,$X24&amp;Language!$E$203&amp;$Y24,"")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7</v>
      </c>
      <c r="H25" s="716" t="str">
        <v>1 - 7</v>
      </c>
      <c r="I25" s="717" t="str">
        <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IF($T25,$X25&amp;Language!$E$203&amp;$Y25,"")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Cote d'Ivoire</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CuraçaoCote d'Ivoire</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Germany</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EcuadorGermany</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CuraçaoGermany</v>
      </c>
      <c r="AA28" s="737" t="str">
        <f>IF($T22,$Y22&amp;Language!$E$203&amp;$X22,"")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EcuadorCote d'Ivoire</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Cote d'IvoireGermany</v>
      </c>
      <c r="AA30" s="737" t="str">
        <f>IF($T24,$Y24&amp;Language!$E$203&amp;$X24,"")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IF($T25,$Y25&amp;Language!$E$203&amp;$X25,"")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Cote d'IvoireCuraçao</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GermanyEcuador</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Netherlands</v>
      </c>
      <c r="E5" s="859"/>
      <c r="F5" s="661"/>
      <c r="G5" s="672"/>
      <c r="H5" s="651">
        <f>SUMIFS($R$22:$R$27,$P$22:$P$27,$D5)+SUMIFS($S$22:$S$27,$Q$22:$Q$27,$D5)</f>
        <v>7</v>
      </c>
      <c r="I5" s="651">
        <f>SUMIFS($S$22:$S$27,$P$22:$P$27,$D5)+SUMIFS($R$22:$R$27,$Q$22:$Q$27,$D5)</f>
        <v>3</v>
      </c>
      <c r="J5" s="650">
        <f t="shared" ref="J5:J8" si="0">H5-I5</f>
        <v>4</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Japan</v>
      </c>
      <c r="E6" s="860"/>
      <c r="F6" s="661"/>
      <c r="G6" s="672"/>
      <c r="H6" s="651">
        <f>SUMIFS($R$22:$R$27,$P$22:$P$27,$D6)+SUMIFS($S$22:$S$27,$Q$22:$Q$27,$D6)</f>
        <v>6</v>
      </c>
      <c r="I6" s="651">
        <f>SUMIFS($S$22:$S$27,$P$22:$P$27,$D6)+SUMIFS($R$22:$R$27,$Q$22:$Q$27,$D6)</f>
        <v>2</v>
      </c>
      <c r="J6" s="650">
        <f t="shared" si="0"/>
        <v>4</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0</v>
      </c>
      <c r="Q6" s="650">
        <f>INDEX(Language!$C$5:$C$100,MATCH($D6,Language!$E$5:$E$100,0),1)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Sweden</v>
      </c>
      <c r="E7" s="860"/>
      <c r="F7" s="661"/>
      <c r="G7" s="672"/>
      <c r="H7" s="651">
        <f>SUMIFS($R$22:$R$27,$P$22:$P$27,$D7)+SUMIFS($S$22:$S$27,$Q$22:$Q$27,$D7)</f>
        <v>6</v>
      </c>
      <c r="I7" s="651">
        <f>SUMIFS($S$22:$S$27,$P$22:$P$27,$D7)+SUMIFS($R$22:$R$27,$Q$22:$Q$27,$D7)</f>
        <v>6</v>
      </c>
      <c r="J7" s="650">
        <f t="shared" si="0"/>
        <v>0</v>
      </c>
      <c r="K7" s="662">
        <f t="shared" si="1"/>
        <v>3</v>
      </c>
      <c r="L7" s="651">
        <f t="shared" si="2"/>
        <v>2</v>
      </c>
      <c r="M7" s="651">
        <f>SUMPRODUCT(($P$22:$P$27=D7)*($R$22:$R$27&gt;$S$22:$S$27))+SUMPRODUCT(($Q$22:$Q$27=D7)*($R$22:$R$27&lt;$S$22:$S$27))</f>
        <v>1</v>
      </c>
      <c r="N7" s="651">
        <f>SUMPRODUCT(($P$22:$Q$27=D7)*($R$22:$R$27=$S$22:$S$27)*($R$22:$R$27&lt;&gt;"")*($S$22:$S$27&lt;&gt;""))</f>
        <v>0</v>
      </c>
      <c r="O7" s="651">
        <f>SUMPRODUCT(($P$22:$P$27=D7)*($R$22:$R$27&lt;$S$22:$S$27))+SUMPRODUCT(($Q$22:$Q$27=D7)*($R$22:$R$27&gt;$S$22:$S$27))</f>
        <v>1</v>
      </c>
      <c r="P7" s="669">
        <f>SUMIFS(FairPlay!$G$6:$G$27,FairPlay!$B$6:$B$27,$D7)+SUMIFS(FairPlay!$G$30:$G$51,FairPlay!$B$30:$B$51,$D7)+SUMIFS(FairPlay!$G$54:$G$75,FairPlay!$B$54:$B$75,$D7)</f>
        <v>-3</v>
      </c>
      <c r="Q7" s="650">
        <f>INDEX(Language!$C$5:$C$100,MATCH($D7,Language!$E$5:$E$100,0),1)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Tunisia</v>
      </c>
      <c r="E8" s="860"/>
      <c r="F8" s="661"/>
      <c r="G8" s="672"/>
      <c r="H8" s="651">
        <f>SUMIFS($R$22:$R$27,$P$22:$P$27,$D8)+SUMIFS($S$22:$S$27,$Q$22:$Q$27,$D8)</f>
        <v>1</v>
      </c>
      <c r="I8" s="651">
        <f>SUMIFS($S$22:$S$27,$P$22:$P$27,$D8)+SUMIFS($R$22:$R$27,$Q$22:$Q$27,$D8)</f>
        <v>9</v>
      </c>
      <c r="J8" s="650">
        <f t="shared" si="0"/>
        <v>-8</v>
      </c>
      <c r="K8" s="662">
        <f t="shared" si="1"/>
        <v>0</v>
      </c>
      <c r="L8" s="651">
        <f t="shared" si="2"/>
        <v>2</v>
      </c>
      <c r="M8" s="651">
        <f>SUMPRODUCT(($P$22:$P$27=D8)*($R$22:$R$27&gt;$S$22:$S$27))+SUMPRODUCT(($Q$22:$Q$27=D8)*($R$22:$R$27&lt;$S$22:$S$27))</f>
        <v>0</v>
      </c>
      <c r="N8" s="651">
        <f>SUMPRODUCT(($P$22:$Q$27=D8)*($R$22:$R$27=$S$22:$S$27)*($R$22:$R$27&lt;&gt;"")*($S$22:$S$27&lt;&gt;""))</f>
        <v>0</v>
      </c>
      <c r="O8" s="651">
        <f>SUMPRODUCT(($P$22:$P$27=D8)*($R$22:$R$27&lt;$S$22:$S$27))+SUMPRODUCT(($Q$22:$Q$27=D8)*($R$22:$R$27&gt;$S$22:$S$27))</f>
        <v>2</v>
      </c>
      <c r="P8" s="766">
        <f>SUMIFS(FairPlay!$G$6:$G$27,FairPlay!$B$6:$B$27,$D8)+SUMIFS(FairPlay!$G$30:$G$51,FairPlay!$B$30:$B$51,$D8)+SUMIFS(FairPlay!$G$54:$G$75,FairPlay!$B$54:$B$75,$D8)</f>
        <v>-1</v>
      </c>
      <c r="Q8" s="650">
        <f>INDEX(Language!$C$5:$C$100,MATCH($D8,Language!$E$5:$E$100,0),1)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Netherlands</v>
      </c>
      <c r="BF13" s="679" t="str">
        <v>Japan</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Netherlands</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2</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Netherlands</v>
      </c>
      <c r="BA14" s="689">
        <f t="array" ref="BA14:BA17">IFERROR(VLOOKUP($BA$5:$BA$8,$C$14:$K$17,9,0),"")</f>
        <v>1</v>
      </c>
      <c r="BB14" s="689">
        <f t="array" ref="BB14:BB17">IFERROR(VLOOKUP($BA$5:$BA$8,$C$14:$O$17,13,0),"")</f>
        <v>0</v>
      </c>
      <c r="BC14" s="691">
        <f t="array" ref="BC14:BC17">IFERROR(VLOOKUP($BA$5:$BA$8,$C$14:$S$17,17,0),"")</f>
        <v>2</v>
      </c>
      <c r="BE14" s="694" t="str">
        <f t="array" ref="BE14:BH17">IFERROR(VLOOKUP($AZ$14:$AZ$17&amp;$BE$13:$BH$13,$Z$22:$AA$33,2,0),"")</f>
        <v/>
      </c>
      <c r="BF14" s="695" t="str">
        <v>2 - 2</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2</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2</v>
      </c>
      <c r="AF15" s="650">
        <f>COUNTIFS($AE$14:$AE$17,"&gt;"&amp;$AE15,$AC$14:$AC$17,"="&amp;$AC15)</f>
        <v>0</v>
      </c>
      <c r="AG15" s="666">
        <f t="shared" si="15"/>
        <v>1</v>
      </c>
      <c r="AH15" s="776"/>
      <c r="AI15" s="672">
        <f>COUNTIFS($J$5:$J$8,"&gt;"&amp;$J6,$AG$14:$AG$17,"="&amp;$AG15)</f>
        <v>0</v>
      </c>
      <c r="AJ15" s="666">
        <f t="shared" ref="AJ15:AJ17" si="23">AG15+AI15</f>
        <v>1</v>
      </c>
      <c r="AK15" s="665"/>
      <c r="AL15" s="672">
        <f>COUNTIFS($H$5:$H$8,"&gt;"&amp;$H6,$AJ$14:$AJ$17,"="&amp;$AJ15)</f>
        <v>1</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Japan</v>
      </c>
      <c r="BA15" s="672">
        <v>1</v>
      </c>
      <c r="BB15" s="672">
        <v>0</v>
      </c>
      <c r="BC15" s="692">
        <v>2</v>
      </c>
      <c r="BE15" s="697" t="str">
        <v>2 - 2</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Tunisia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Netherlands</v>
      </c>
      <c r="I21" s="708" t="str">
        <v>Japan</v>
      </c>
      <c r="J21" s="708" t="str">
        <v>Sweden</v>
      </c>
      <c r="K21" s="709" t="str">
        <v>Tunisia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Netherlands</v>
      </c>
      <c r="E22" s="782">
        <f>VLOOKUP($D22,$D$5:$K$8,8,0)</f>
        <v>4</v>
      </c>
      <c r="F22" s="713">
        <f>VLOOKUP($D22,$D$5:$K$8,5,0)</f>
        <v>7</v>
      </c>
      <c r="G22" s="783">
        <f>VLOOKUP($D22,$D$5:$K$8,6,0)</f>
        <v>3</v>
      </c>
      <c r="H22" s="712" t="str">
        <f t="array" ref="H22:K25">IFERROR(VLOOKUP($D$22:$D$25&amp;$H$21:$K$21,$Z$22:$AA$33,2,0),"")</f>
        <v/>
      </c>
      <c r="I22" s="713" t="str">
        <v>2 - 2</v>
      </c>
      <c r="J22" s="713" t="str">
        <v>5 - 1</v>
      </c>
      <c r="K22" s="779" t="str">
        <v/>
      </c>
      <c r="L22" s="767" t="b">
        <f>OR($E22&gt;0,$G22&gt;0)</f>
        <v>1</v>
      </c>
      <c r="M22" s="767" t="b">
        <f t="array" ref="M22:M25">VLOOKUP($D$22:$D$25,$D$14:$AV$17,45,0)</f>
        <v>0</v>
      </c>
      <c r="N22" s="651">
        <f>VLOOKUP($D22,$D$5:$Q$8,14,0)</f>
        <v>8</v>
      </c>
      <c r="O22" s="718" t="s">
        <v>26</v>
      </c>
      <c r="P22" s="754" t="str">
        <f>INDEX('World Cup'!$B$13:$AJ$38,1,1+(CODE($B$1)-65)*3)</f>
        <v>Netherlands</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NetherlandsJapan</v>
      </c>
      <c r="AA22" s="727" t="str">
        <f>IF($T22,$X22&amp;Language!$E$203&amp;$Y22,"")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4</v>
      </c>
      <c r="F23" s="650">
        <f t="shared" ref="F23:F25" si="38">VLOOKUP($D23,$D$5:$K$8,5,0)</f>
        <v>6</v>
      </c>
      <c r="G23" s="784">
        <f t="shared" ref="G23:G25" si="39">VLOOKUP($D23,$D$5:$K$8,6,0)</f>
        <v>2</v>
      </c>
      <c r="H23" s="714" t="str">
        <v>2 - 2</v>
      </c>
      <c r="I23" s="715" t="str">
        <v/>
      </c>
      <c r="J23" s="650" t="str">
        <v/>
      </c>
      <c r="K23" s="780" t="str">
        <v>4 - 0</v>
      </c>
      <c r="L23" s="767" t="b">
        <f t="shared" ref="L23:L25" si="40">OR($E23&gt;0,$G23&gt;0)</f>
        <v>1</v>
      </c>
      <c r="M23" s="767" t="b">
        <v>0</v>
      </c>
      <c r="N23" s="651">
        <f t="shared" ref="N23:N25" si="41">VLOOKUP($D23,$D$5:$Q$8,14,0)</f>
        <v>18</v>
      </c>
      <c r="O23" s="730" t="s">
        <v>27</v>
      </c>
      <c r="P23" s="757" t="str">
        <f>INDEX('World Cup'!$B$13:$AJ$38,6,1+(CODE($B$1)-65)*3)</f>
        <v>Sweden</v>
      </c>
      <c r="Q23" s="758" t="str">
        <f>INDEX('World Cup'!$B$13:$AJ$38,6,2+(CODE($B$1)-65)*3)</f>
        <v>Tunisia</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SwedenTunisia</v>
      </c>
      <c r="AA23" s="737" t="str">
        <f>IF($T23,$X23&amp;Language!$E$203&amp;$Y23,"")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Sweden</v>
      </c>
      <c r="E24" s="777">
        <f t="shared" si="37"/>
        <v>3</v>
      </c>
      <c r="F24" s="650">
        <f t="shared" si="38"/>
        <v>6</v>
      </c>
      <c r="G24" s="784">
        <f t="shared" si="39"/>
        <v>6</v>
      </c>
      <c r="H24" s="714" t="str">
        <v>1 - 5</v>
      </c>
      <c r="I24" s="650" t="str">
        <v/>
      </c>
      <c r="J24" s="715" t="str">
        <v/>
      </c>
      <c r="K24" s="780" t="str">
        <v>5 - 1</v>
      </c>
      <c r="L24" s="767" t="b">
        <f t="shared" si="40"/>
        <v>1</v>
      </c>
      <c r="M24" s="767" t="b">
        <v>0</v>
      </c>
      <c r="N24" s="651">
        <f t="shared" si="41"/>
        <v>38</v>
      </c>
      <c r="O24" s="730" t="s">
        <v>28</v>
      </c>
      <c r="P24" s="757" t="str">
        <f>INDEX('World Cup'!$B$13:$AJ$38,11,1+(CODE($B$1)-65)*3)</f>
        <v>Netherlands</v>
      </c>
      <c r="Q24" s="758" t="str">
        <f>INDEX('World Cup'!$B$13:$AJ$38,11,2+(CODE($B$1)-65)*3)</f>
        <v>Sweden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NetherlandsSweden</v>
      </c>
      <c r="AA24" s="737" t="str">
        <f>IF($T24,$X24&amp;Language!$E$203&amp;$Y24,"")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Tunisia</v>
      </c>
      <c r="E25" s="785">
        <f t="shared" si="37"/>
        <v>0</v>
      </c>
      <c r="F25" s="717">
        <f t="shared" si="38"/>
        <v>1</v>
      </c>
      <c r="G25" s="786">
        <f t="shared" si="39"/>
        <v>9</v>
      </c>
      <c r="H25" s="716" t="str">
        <v/>
      </c>
      <c r="I25" s="717" t="str">
        <v>0 - 4</v>
      </c>
      <c r="J25" s="717" t="str">
        <v>1 - 5</v>
      </c>
      <c r="K25" s="781" t="str">
        <v/>
      </c>
      <c r="L25" s="767" t="b">
        <f t="shared" si="40"/>
        <v>1</v>
      </c>
      <c r="M25" s="767" t="b">
        <v>0</v>
      </c>
      <c r="N25" s="651">
        <f t="shared" si="41"/>
        <v>45</v>
      </c>
      <c r="O25" s="730" t="s">
        <v>29</v>
      </c>
      <c r="P25" s="757" t="str">
        <f>INDEX('World Cup'!$B$13:$AJ$38,16,1+(CODE($B$1)-65)*3)</f>
        <v>Tunisia</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TunisiaJapan</v>
      </c>
      <c r="AA25" s="737" t="str">
        <f>IF($T25,$X25&amp;Language!$E$203&amp;$Y25,"")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Sweden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JapanSweden</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Tunisia</v>
      </c>
      <c r="Q27" s="761" t="str">
        <f>INDEX('World Cup'!$B$13:$AJ$38,26,2+(CODE($B$1)-65)*3)</f>
        <v>Netherlands</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TunisiaNetherlands</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JapanNetherlands</v>
      </c>
      <c r="AA28" s="737" t="str">
        <f>IF($T22,$Y22&amp;Language!$E$203&amp;$X22,"")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TunisiaSweden</v>
      </c>
      <c r="AA29" s="737" t="str">
        <f>IF($T23,$Y23&amp;Language!$E$203&amp;$X23,"")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SwedenNetherlands</v>
      </c>
      <c r="AA30" s="737" t="str">
        <f>IF($T24,$Y24&amp;Language!$E$203&amp;$X24,"")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JapanTunisia</v>
      </c>
      <c r="AA31" s="737" t="str">
        <f>IF($T25,$Y25&amp;Language!$E$203&amp;$X25,"")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SwedenJapan</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NetherlandsTunisia</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Belgium</v>
      </c>
      <c r="E5" s="859"/>
      <c r="F5" s="661"/>
      <c r="G5" s="672"/>
      <c r="H5" s="651">
        <f>SUMIFS($R$22:$R$27,$P$22:$P$27,$D5)+SUMIFS($S$22:$S$27,$Q$22:$Q$27,$D5)</f>
        <v>1</v>
      </c>
      <c r="I5" s="651">
        <f>SUMIFS($S$22:$S$27,$P$22:$P$27,$D5)+SUMIFS($R$22:$R$27,$Q$22:$Q$27,$D5)</f>
        <v>1</v>
      </c>
      <c r="J5" s="650">
        <f t="shared" ref="J5:J8" si="0">H5-I5</f>
        <v>0</v>
      </c>
      <c r="K5" s="662">
        <f>M5*3+N5</f>
        <v>2</v>
      </c>
      <c r="L5" s="651">
        <f>M5+N5+O5</f>
        <v>2</v>
      </c>
      <c r="M5" s="651">
        <f>SUMPRODUCT(($P$22:$P$27=D5)*($R$22:$R$27&gt;$S$22:$S$27))+SUMPRODUCT(($Q$22:$Q$27=D5)*($R$22:$R$27&lt;$S$22:$S$27))</f>
        <v>0</v>
      </c>
      <c r="N5" s="651">
        <f>SUMPRODUCT(($P$22:$Q$27=D5)*($R$22:$R$27=$S$22:$S$27)*($R$22:$R$27&lt;&gt;"")*($S$22:$S$27&lt;&gt;""))</f>
        <v>2</v>
      </c>
      <c r="O5" s="651">
        <f>SUMPRODUCT(($P$22:$P$27=D5)*($R$22:$R$27&lt;$S$22:$S$27))+SUMPRODUCT(($Q$22:$Q$27=D5)*($R$22:$R$27&gt;$S$22:$S$27))</f>
        <v>0</v>
      </c>
      <c r="P5" s="663">
        <f>SUMIFS(FairPlay!$G$6:$G$27,FairPlay!$B$6:$B$27,$D5)+SUMIFS(FairPlay!$G$30:$G$51,FairPlay!$B$30:$B$51,$D5)+SUMIFS(FairPlay!$G$54:$G$75,FairPlay!$B$54:$B$75,$D5)</f>
        <v>-3</v>
      </c>
      <c r="Q5" s="650">
        <f>INDEX(Language!$C$5:$C$100,MATCH($D5,Language!$E$5:$E$100,0),1)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Egypt</v>
      </c>
      <c r="E6" s="860"/>
      <c r="F6" s="661"/>
      <c r="G6" s="672"/>
      <c r="H6" s="651">
        <f>SUMIFS($R$22:$R$27,$P$22:$P$27,$D6)+SUMIFS($S$22:$S$27,$Q$22:$Q$27,$D6)</f>
        <v>4</v>
      </c>
      <c r="I6" s="651">
        <f>SUMIFS($S$22:$S$27,$P$22:$P$27,$D6)+SUMIFS($R$22:$R$27,$Q$22:$Q$27,$D6)</f>
        <v>2</v>
      </c>
      <c r="J6" s="650">
        <f t="shared" si="0"/>
        <v>2</v>
      </c>
      <c r="K6" s="662">
        <f t="shared" ref="K6:K8" si="1">M6*3+N6</f>
        <v>4</v>
      </c>
      <c r="L6" s="651">
        <f t="shared" ref="L6:L8" si="2">M6+N6+O6</f>
        <v>2</v>
      </c>
      <c r="M6" s="651">
        <f>SUMPRODUCT(($P$22:$P$27=D6)*($R$22:$R$27&gt;$S$22:$S$27))+SUMPRODUCT(($Q$22:$Q$27=D6)*($R$22:$R$27&lt;$S$22:$S$27))</f>
        <v>1</v>
      </c>
      <c r="N6" s="651">
        <f>SUMPRODUCT(($P$22:$Q$27=D6)*($R$22:$R$27=$S$22:$S$27)*($R$22:$R$27&lt;&gt;"")*($S$22:$S$27&lt;&gt;""))</f>
        <v>1</v>
      </c>
      <c r="O6" s="651">
        <f>SUMPRODUCT(($P$22:$P$27=D6)*($R$22:$R$27&lt;$S$22:$S$27))+SUMPRODUCT(($Q$22:$Q$27=D6)*($R$22:$R$27&gt;$S$22:$S$27))</f>
        <v>0</v>
      </c>
      <c r="P6" s="669">
        <f>SUMIFS(FairPlay!$G$6:$G$27,FairPlay!$B$6:$B$27,$D6)+SUMIFS(FairPlay!$G$30:$G$51,FairPlay!$B$30:$B$51,$D6)+SUMIFS(FairPlay!$G$54:$G$75,FairPlay!$B$54:$B$75,$D6)</f>
        <v>-3</v>
      </c>
      <c r="Q6" s="650">
        <f>INDEX(Language!$C$5:$C$100,MATCH($D6,Language!$E$5:$E$100,0),1)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2</v>
      </c>
      <c r="I7" s="651">
        <f>SUMIFS($S$22:$S$27,$P$22:$P$27,$D7)+SUMIFS($R$22:$R$27,$Q$22:$Q$27,$D7)</f>
        <v>2</v>
      </c>
      <c r="J7" s="650">
        <f t="shared" si="0"/>
        <v>0</v>
      </c>
      <c r="K7" s="662">
        <f t="shared" si="1"/>
        <v>2</v>
      </c>
      <c r="L7" s="651">
        <f t="shared" si="2"/>
        <v>2</v>
      </c>
      <c r="M7" s="651">
        <f>SUMPRODUCT(($P$22:$P$27=D7)*($R$22:$R$27&gt;$S$22:$S$27))+SUMPRODUCT(($Q$22:$Q$27=D7)*($R$22:$R$27&lt;$S$22:$S$27))</f>
        <v>0</v>
      </c>
      <c r="N7" s="651">
        <f>SUMPRODUCT(($P$22:$Q$27=D7)*($R$22:$R$27=$S$22:$S$27)*($R$22:$R$27&lt;&gt;"")*($S$22:$S$27&lt;&gt;""))</f>
        <v>2</v>
      </c>
      <c r="O7" s="651">
        <f>SUMPRODUCT(($P$22:$P$27=D7)*($R$22:$R$27&lt;$S$22:$S$27))+SUMPRODUCT(($Q$22:$Q$27=D7)*($R$22:$R$27&gt;$S$22:$S$27))</f>
        <v>0</v>
      </c>
      <c r="P7" s="669">
        <f>SUMIFS(FairPlay!$G$6:$G$27,FairPlay!$B$6:$B$27,$D7)+SUMIFS(FairPlay!$G$30:$G$51,FairPlay!$B$30:$B$51,$D7)+SUMIFS(FairPlay!$G$54:$G$75,FairPlay!$B$54:$B$75,$D7)</f>
        <v>-2</v>
      </c>
      <c r="Q7" s="650">
        <f>INDEX(Language!$C$5:$C$100,MATCH($D7,Language!$E$5:$E$100,0),1)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1</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New Zealand</v>
      </c>
      <c r="E8" s="860"/>
      <c r="F8" s="661"/>
      <c r="G8" s="672"/>
      <c r="H8" s="651">
        <f>SUMIFS($R$22:$R$27,$P$22:$P$27,$D8)+SUMIFS($S$22:$S$27,$Q$22:$Q$27,$D8)</f>
        <v>3</v>
      </c>
      <c r="I8" s="651">
        <f>SUMIFS($S$22:$S$27,$P$22:$P$27,$D8)+SUMIFS($R$22:$R$27,$Q$22:$Q$27,$D8)</f>
        <v>5</v>
      </c>
      <c r="J8" s="650">
        <f t="shared" si="0"/>
        <v>-2</v>
      </c>
      <c r="K8" s="662">
        <f t="shared" si="1"/>
        <v>1</v>
      </c>
      <c r="L8" s="651">
        <f t="shared" si="2"/>
        <v>2</v>
      </c>
      <c r="M8" s="651">
        <f>SUMPRODUCT(($P$22:$P$27=D8)*($R$22:$R$27&gt;$S$22:$S$27))+SUMPRODUCT(($Q$22:$Q$27=D8)*($R$22:$R$27&lt;$S$22:$S$27))</f>
        <v>0</v>
      </c>
      <c r="N8" s="651">
        <f>SUMPRODUCT(($P$22:$Q$27=D8)*($R$22:$R$27=$S$22:$S$27)*($R$22:$R$27&lt;&gt;"")*($S$22:$S$27&lt;&gt;""))</f>
        <v>1</v>
      </c>
      <c r="O8" s="651">
        <f>SUMPRODUCT(($P$22:$P$27=D8)*($R$22:$R$27&lt;$S$22:$S$27))+SUMPRODUCT(($Q$22:$Q$27=D8)*($R$22:$R$27&gt;$S$22:$S$27))</f>
        <v>1</v>
      </c>
      <c r="P8" s="766">
        <f>SUMIFS(FairPlay!$G$6:$G$27,FairPlay!$B$6:$B$27,$D8)+SUMIFS(FairPlay!$G$30:$G$51,FairPlay!$B$30:$B$51,$D8)+SUMIFS(FairPlay!$G$54:$G$75,FairPlay!$B$54:$B$75,$D8)</f>
        <v>-2</v>
      </c>
      <c r="Q8" s="650">
        <f>INDEX(Language!$C$5:$C$100,MATCH($D8,Language!$E$5:$E$100,0),1)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IR Iran</v>
      </c>
      <c r="BG13" s="679" t="str">
        <v>Belgium</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Belgium</v>
      </c>
      <c r="E14" s="660">
        <f>RANK(F14,$F$14:$F$17,1)</f>
        <v>3</v>
      </c>
      <c r="F14" s="661">
        <f>G14+ROW()/1000+(D14="")*10</f>
        <v>3.0139999999999998</v>
      </c>
      <c r="G14" s="800">
        <f>AS14</f>
        <v>3</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1</v>
      </c>
      <c r="AM14" s="685">
        <f>AJ14+AL14</f>
        <v>3</v>
      </c>
      <c r="AN14" s="665"/>
      <c r="AO14" s="684">
        <f>COUNTIFS($P$5:$P$8,"&gt;"&amp;$P5,$AM$14:$AM$17,"="&amp;$AM14)</f>
        <v>0</v>
      </c>
      <c r="AP14" s="685">
        <f t="shared" ref="AP14:AP17" si="16">AM14+AO14</f>
        <v>3</v>
      </c>
      <c r="AQ14" s="665"/>
      <c r="AR14" s="684">
        <f>COUNTIFS($R$5:$R$8,"&gt;"&amp;$R5,$AP$14:$AP$17,"="&amp;$AP14)</f>
        <v>0</v>
      </c>
      <c r="AS14" s="685">
        <f t="shared" ref="AS14:AS17" si="17">AP14+AR14</f>
        <v>3</v>
      </c>
      <c r="AT14" s="897" t="b">
        <f>AND($AV5,$AT5)</f>
        <v>0</v>
      </c>
      <c r="AU14" s="793" t="b">
        <f>OR($AV$14:$AV$17)</f>
        <v>0</v>
      </c>
      <c r="AV14" s="699" t="b">
        <f>AND($AU5,$AV5)</f>
        <v>0</v>
      </c>
      <c r="AX14" s="774">
        <f t="array" ref="AX14">IFERROR(SMALL(IF(COUNTIF($I$14:$I$17,$C$14:$C$17)&gt;1,$C$14:$C$17,""),1),"")</f>
        <v>2</v>
      </c>
      <c r="AY14" s="699">
        <f>IFERROR(INDEX($E$14:$E$17,IF($I14=$AX$14,$C14,99)),0)</f>
        <v>3</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Egypt</v>
      </c>
      <c r="E15" s="668">
        <f t="shared" ref="E15:E17" si="19">RANK(F15,$F$14:$F$17,1)</f>
        <v>1</v>
      </c>
      <c r="F15" s="661">
        <f t="shared" ref="F15:F17" si="20">G15+ROW()/1000+(D15="")*10</f>
        <v>1.0149999999999999</v>
      </c>
      <c r="G15" s="800">
        <f t="shared" ref="G15:G17" si="21">AS15</f>
        <v>1</v>
      </c>
      <c r="H15" s="665"/>
      <c r="I15" s="670">
        <f t="shared" ref="I15:I17" si="22">RANK($K6,$K$5:$K$8)</f>
        <v>1</v>
      </c>
      <c r="J15" s="776"/>
      <c r="K15" s="651">
        <f t="array" ref="K15">SUMPRODUCT($U$22:$U$27*($P$22:$P$27=$D15)*ISNUMBER(MATCH($Q$22:$Q$27,IF($I$14:$I$17=$I15,$D$14:$D$17,""),0)))+SUMPRODUCT($V$22:$V$27*($Q$22:$Q$27=$D15)*ISNUMBER(MATCH($P$22:$P$27,IF($I$14:$I$17=$I15,$D$14:$D$17,""),0)))</f>
        <v>0</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0</v>
      </c>
      <c r="T15" s="650">
        <f>COUNTIFS($S$14:$S$17,"&gt;"&amp;$S15,$Q$14:$Q$17,"="&amp;$Q15)</f>
        <v>0</v>
      </c>
      <c r="U15" s="666">
        <f t="shared" si="12"/>
        <v>1</v>
      </c>
      <c r="V15" s="776"/>
      <c r="W15" s="651">
        <f t="array" ref="W15">SUMPRODUCT($U$22:$U$27*($P$22:$P$27=$D15)*ISNUMBER(MATCH($Q$22:$Q$27,IF($U$14:$U$17=$U15,$D$14:$D$17,""),0)))+SUMPRODUCT($V$22:$V$27*($Q$22:$Q$27=$D15)*ISNUMBER(MATCH($P$22:$P$27,IF($U$14:$U$17=$U15,$D$14:$D$17,""),0)))</f>
        <v>0</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0</v>
      </c>
      <c r="AF15" s="650">
        <f>COUNTIFS($AE$14:$AE$17,"&gt;"&amp;$AE15,$AC$14:$AC$17,"="&amp;$AC15)</f>
        <v>0</v>
      </c>
      <c r="AG15" s="666">
        <f t="shared" si="15"/>
        <v>1</v>
      </c>
      <c r="AH15" s="776"/>
      <c r="AI15" s="672">
        <f>COUNTIFS($J$5:$J$8,"&gt;"&amp;$J6,$AG$14:$AG$17,"="&amp;$AG15)</f>
        <v>0</v>
      </c>
      <c r="AJ15" s="666">
        <f t="shared" ref="AJ15:AJ17" si="23">AG15+AI15</f>
        <v>1</v>
      </c>
      <c r="AK15" s="665"/>
      <c r="AL15" s="672">
        <f>COUNTIFS($H$5:$H$8,"&gt;"&amp;$H6,$AJ$14:$AJ$17,"="&amp;$AJ15)</f>
        <v>0</v>
      </c>
      <c r="AM15" s="666">
        <f t="shared" ref="AM15:AM17" si="24">AJ15+AL15</f>
        <v>1</v>
      </c>
      <c r="AN15" s="665"/>
      <c r="AO15" s="672">
        <f>COUNTIFS($P$5:$P$8,"&gt;"&amp;$P6,$AM$14:$AM$17,"="&amp;$AM15)</f>
        <v>0</v>
      </c>
      <c r="AP15" s="666">
        <f t="shared" si="16"/>
        <v>1</v>
      </c>
      <c r="AQ15" s="665"/>
      <c r="AR15" s="672">
        <f t="shared" ref="AR15:AR17" si="25">COUNTIFS($R$5:$R$8,"&gt;"&amp;$R6,$AP$14:$AP$17,"="&amp;$AP15)</f>
        <v>0</v>
      </c>
      <c r="AS15" s="666">
        <f t="shared" si="17"/>
        <v>1</v>
      </c>
      <c r="AT15" s="897" t="b">
        <f t="shared" ref="AT15:AT17" si="26">AND($AV6,$AT6)</f>
        <v>0</v>
      </c>
      <c r="AV15" s="699" t="b">
        <f t="shared" ref="AV15:AV17" si="27">AND($AU6,$AV6)</f>
        <v>0</v>
      </c>
      <c r="AX15" s="770"/>
      <c r="AY15" s="699">
        <f t="shared" ref="AY15:AY17" si="28">IFERROR(INDEX($E$14:$E$17,IF($I15=$AX$14,$C15,99)),0)</f>
        <v>0</v>
      </c>
      <c r="AZ15" s="687" t="str">
        <v>IR Iran</v>
      </c>
      <c r="BA15" s="672">
        <v>1</v>
      </c>
      <c r="BB15" s="672">
        <v>0</v>
      </c>
      <c r="BC15" s="692">
        <v>0</v>
      </c>
      <c r="BE15" s="697" t="str">
        <v/>
      </c>
      <c r="BF15" s="698" t="str">
        <v/>
      </c>
      <c r="BG15" s="699" t="str">
        <v>0 - 0</v>
      </c>
      <c r="BH15" s="700" t="str">
        <v/>
      </c>
      <c r="BI15" s="699"/>
      <c r="BK15" s="669">
        <v>0</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Belgium</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New Zealand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Egypt</v>
      </c>
      <c r="I21" s="708" t="str">
        <v>IR Iran</v>
      </c>
      <c r="J21" s="708" t="str">
        <v>Belgium</v>
      </c>
      <c r="K21" s="709" t="str">
        <v>New Zealand</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Egypt</v>
      </c>
      <c r="E22" s="782">
        <f>VLOOKUP($D22,$D$5:$K$8,8,0)</f>
        <v>4</v>
      </c>
      <c r="F22" s="713">
        <f>VLOOKUP($D22,$D$5:$K$8,5,0)</f>
        <v>4</v>
      </c>
      <c r="G22" s="783">
        <f>VLOOKUP($D22,$D$5:$K$8,6,0)</f>
        <v>2</v>
      </c>
      <c r="H22" s="712" t="str">
        <f t="array" ref="H22:K25">IFERROR(VLOOKUP($D$22:$D$25&amp;$H$21:$K$21,$Z$22:$AA$33,2,0),"")</f>
        <v/>
      </c>
      <c r="I22" s="713" t="str">
        <v/>
      </c>
      <c r="J22" s="713" t="str">
        <v>1 - 1</v>
      </c>
      <c r="K22" s="779" t="str">
        <v>3 - 1</v>
      </c>
      <c r="L22" s="767" t="b">
        <f>OR($E22&gt;0,$G22&gt;0)</f>
        <v>1</v>
      </c>
      <c r="M22" s="767" t="b">
        <f t="array" ref="M22:M25">VLOOKUP($D$22:$D$25,$D$14:$AV$17,45,0)</f>
        <v>0</v>
      </c>
      <c r="N22" s="651">
        <f>VLOOKUP($D22,$D$5:$Q$8,14,0)</f>
        <v>29</v>
      </c>
      <c r="O22" s="718" t="s">
        <v>26</v>
      </c>
      <c r="P22" s="754" t="str">
        <f>INDEX('World Cup'!$B$13:$AJ$38,1,1+(CODE($B$1)-65)*3)</f>
        <v>Belgium</v>
      </c>
      <c r="Q22" s="755" t="str">
        <f>INDEX('World Cup'!$B$13:$AJ$38,1,2+(CODE($B$1)-65)*3)</f>
        <v>Egypt</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BelgiumEgypt</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IR Iran</v>
      </c>
      <c r="E23" s="777">
        <f t="shared" ref="E23:E25" si="37">VLOOKUP($D23,$D$5:$K$8,8,0)</f>
        <v>2</v>
      </c>
      <c r="F23" s="650">
        <f t="shared" ref="F23:F25" si="38">VLOOKUP($D23,$D$5:$K$8,5,0)</f>
        <v>2</v>
      </c>
      <c r="G23" s="784">
        <f t="shared" ref="G23:G25" si="39">VLOOKUP($D23,$D$5:$K$8,6,0)</f>
        <v>2</v>
      </c>
      <c r="H23" s="714" t="str">
        <v/>
      </c>
      <c r="I23" s="715" t="str">
        <v/>
      </c>
      <c r="J23" s="650" t="str">
        <v>0 - 0</v>
      </c>
      <c r="K23" s="780" t="str">
        <v>2 - 2</v>
      </c>
      <c r="L23" s="767" t="b">
        <f t="shared" ref="L23:L25" si="40">OR($E23&gt;0,$G23&gt;0)</f>
        <v>1</v>
      </c>
      <c r="M23" s="767" t="b">
        <v>0</v>
      </c>
      <c r="N23" s="651">
        <f t="shared" ref="N23:N25" si="41">VLOOKUP($D23,$D$5:$Q$8,14,0)</f>
        <v>20</v>
      </c>
      <c r="O23" s="730" t="s">
        <v>27</v>
      </c>
      <c r="P23" s="757" t="str">
        <f>INDEX('World Cup'!$B$13:$AJ$38,6,1+(CODE($B$1)-65)*3)</f>
        <v>IR Iran</v>
      </c>
      <c r="Q23" s="758" t="str">
        <f>INDEX('World Cup'!$B$13:$AJ$38,6,2+(CODE($B$1)-65)*3)</f>
        <v>New Zealand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IranNew Zealand</v>
      </c>
      <c r="AA23" s="737" t="str">
        <f>IF($T23,$X23&amp;Language!$E$203&amp;$Y23,"")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Belgium</v>
      </c>
      <c r="E24" s="777">
        <f t="shared" si="37"/>
        <v>2</v>
      </c>
      <c r="F24" s="650">
        <f t="shared" si="38"/>
        <v>1</v>
      </c>
      <c r="G24" s="784">
        <f t="shared" si="39"/>
        <v>1</v>
      </c>
      <c r="H24" s="714" t="str">
        <v>1 - 1</v>
      </c>
      <c r="I24" s="650" t="str">
        <v>0 - 0</v>
      </c>
      <c r="J24" s="715" t="str">
        <v/>
      </c>
      <c r="K24" s="780" t="str">
        <v/>
      </c>
      <c r="L24" s="767" t="b">
        <f t="shared" si="40"/>
        <v>1</v>
      </c>
      <c r="M24" s="767" t="b">
        <v>0</v>
      </c>
      <c r="N24" s="651">
        <f t="shared" si="41"/>
        <v>9</v>
      </c>
      <c r="O24" s="730" t="s">
        <v>28</v>
      </c>
      <c r="P24" s="757" t="str">
        <f>INDEX('World Cup'!$B$13:$AJ$38,11,1+(CODE($B$1)-65)*3)</f>
        <v>Belgium</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BelgiumIR Iran</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New Zealand</v>
      </c>
      <c r="E25" s="785">
        <f t="shared" si="37"/>
        <v>1</v>
      </c>
      <c r="F25" s="717">
        <f t="shared" si="38"/>
        <v>3</v>
      </c>
      <c r="G25" s="786">
        <f t="shared" si="39"/>
        <v>5</v>
      </c>
      <c r="H25" s="716" t="str">
        <v>1 - 3</v>
      </c>
      <c r="I25" s="717" t="str">
        <v>2 - 2</v>
      </c>
      <c r="J25" s="717" t="str">
        <v/>
      </c>
      <c r="K25" s="781" t="str">
        <v/>
      </c>
      <c r="L25" s="767" t="b">
        <f t="shared" si="40"/>
        <v>1</v>
      </c>
      <c r="M25" s="767" t="b">
        <v>0</v>
      </c>
      <c r="N25" s="651">
        <f t="shared" si="41"/>
        <v>85</v>
      </c>
      <c r="O25" s="730" t="s">
        <v>29</v>
      </c>
      <c r="P25" s="757" t="str">
        <f>INDEX('World Cup'!$B$13:$AJ$38,16,1+(CODE($B$1)-65)*3)</f>
        <v>New Zealand</v>
      </c>
      <c r="Q25" s="758" t="str">
        <f>INDEX('World Cup'!$B$13:$AJ$38,16,2+(CODE($B$1)-65)*3)</f>
        <v>Egypt</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New ZealandEgypt</v>
      </c>
      <c r="AA25" s="737" t="str">
        <f>IF($T25,$X25&amp;Language!$E$203&amp;$Y25,"")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Egypt</v>
      </c>
      <c r="Q26" s="758" t="str">
        <f>INDEX('World Cup'!$B$13:$AJ$38,21,2+(CODE($B$1)-65)*3)</f>
        <v>IR Iran</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EgyptIR Iran</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New Zealand</v>
      </c>
      <c r="Q27" s="761" t="str">
        <f>INDEX('World Cup'!$B$13:$AJ$38,26,2+(CODE($B$1)-65)*3)</f>
        <v>Belgium</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New ZealandBelgium</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EgyptBelgium</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New ZealandIR Iran</v>
      </c>
      <c r="AA29" s="737" t="str">
        <f>IF($T23,$Y23&amp;Language!$E$203&amp;$X23,"")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IranBelgium</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EgyptNew Zealand</v>
      </c>
      <c r="AA31" s="737" t="str">
        <f>IF($T25,$Y25&amp;Language!$E$203&amp;$X25,"")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IranEgypt</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BelgiumNew Zealand</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Spain</v>
      </c>
      <c r="E5" s="859"/>
      <c r="F5" s="661"/>
      <c r="G5" s="672"/>
      <c r="H5" s="651">
        <f>SUMIFS($R$22:$R$27,$P$22:$P$27,$D5)+SUMIFS($S$22:$S$27,$Q$22:$Q$27,$D5)</f>
        <v>4</v>
      </c>
      <c r="I5" s="651">
        <f>SUMIFS($S$22:$S$27,$P$22:$P$27,$D5)+SUMIFS($R$22:$R$27,$Q$22:$Q$27,$D5)</f>
        <v>0</v>
      </c>
      <c r="J5" s="650">
        <f t="shared" ref="J5:J8" si="0">H5-I5</f>
        <v>4</v>
      </c>
      <c r="K5" s="662">
        <f>M5*3+N5</f>
        <v>4</v>
      </c>
      <c r="L5" s="651">
        <f>M5+N5+O5</f>
        <v>2</v>
      </c>
      <c r="M5" s="651">
        <f>SUMPRODUCT(($P$22:$P$27=D5)*($R$22:$R$27&gt;$S$22:$S$27))+SUMPRODUCT(($Q$22:$Q$27=D5)*($R$22:$R$27&lt;$S$22:$S$27))</f>
        <v>1</v>
      </c>
      <c r="N5" s="651">
        <f>SUMPRODUCT(($P$22:$Q$27=D5)*($R$22:$R$27=$S$22:$S$27)*($R$22:$R$27&lt;&gt;"")*($S$22:$S$27&lt;&gt;""))</f>
        <v>1</v>
      </c>
      <c r="O5" s="651">
        <f>SUMPRODUCT(($P$22:$P$27=D5)*($R$22:$R$27&lt;$S$22:$S$27))+SUMPRODUCT(($Q$22:$Q$27=D5)*($R$22:$R$27&gt;$S$22:$S$27))</f>
        <v>0</v>
      </c>
      <c r="P5" s="663">
        <f>SUMIFS(FairPlay!$G$6:$G$27,FairPlay!$B$6:$B$27,$D5)+SUMIFS(FairPlay!$G$30:$G$51,FairPlay!$B$30:$B$51,$D5)+SUMIFS(FairPlay!$G$54:$G$75,FairPlay!$B$54:$B$75,$D5)</f>
        <v>-1</v>
      </c>
      <c r="Q5" s="650">
        <f>INDEX(Language!$C$5:$C$100,MATCH($D5,Language!$E$5:$E$100,0),1)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Cabo Verde</v>
      </c>
      <c r="E6" s="860"/>
      <c r="F6" s="661"/>
      <c r="G6" s="672"/>
      <c r="H6" s="651">
        <f>SUMIFS($R$22:$R$27,$P$22:$P$27,$D6)+SUMIFS($S$22:$S$27,$Q$22:$Q$27,$D6)</f>
        <v>2</v>
      </c>
      <c r="I6" s="651">
        <f>SUMIFS($S$22:$S$27,$P$22:$P$27,$D6)+SUMIFS($R$22:$R$27,$Q$22:$Q$27,$D6)</f>
        <v>2</v>
      </c>
      <c r="J6" s="650">
        <f t="shared" si="0"/>
        <v>0</v>
      </c>
      <c r="K6" s="662">
        <f t="shared" ref="K6:K8" si="1">M6*3+N6</f>
        <v>2</v>
      </c>
      <c r="L6" s="651">
        <f t="shared" ref="L6:L8" si="2">M6+N6+O6</f>
        <v>2</v>
      </c>
      <c r="M6" s="651">
        <f>SUMPRODUCT(($P$22:$P$27=D6)*($R$22:$R$27&gt;$S$22:$S$27))+SUMPRODUCT(($Q$22:$Q$27=D6)*($R$22:$R$27&lt;$S$22:$S$27))</f>
        <v>0</v>
      </c>
      <c r="N6" s="651">
        <f>SUMPRODUCT(($P$22:$Q$27=D6)*($R$22:$R$27=$S$22:$S$27)*($R$22:$R$27&lt;&gt;"")*($S$22:$S$27&lt;&gt;""))</f>
        <v>2</v>
      </c>
      <c r="O6" s="651">
        <f>SUMPRODUCT(($P$22:$P$27=D6)*($R$22:$R$27&lt;$S$22:$S$27))+SUMPRODUCT(($Q$22:$Q$27=D6)*($R$22:$R$27&gt;$S$22:$S$27))</f>
        <v>0</v>
      </c>
      <c r="P6" s="669">
        <f>SUMIFS(FairPlay!$G$6:$G$27,FairPlay!$B$6:$B$27,$D6)+SUMIFS(FairPlay!$G$30:$G$51,FairPlay!$B$30:$B$51,$D6)+SUMIFS(FairPlay!$G$54:$G$75,FairPlay!$B$54:$B$75,$D6)</f>
        <v>-3</v>
      </c>
      <c r="Q6" s="650">
        <f>INDEX(Language!$C$5:$C$100,MATCH($D6,Language!$E$5:$E$100,0),1)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4</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Saudi Arabia</v>
      </c>
      <c r="E7" s="860"/>
      <c r="F7" s="661"/>
      <c r="G7" s="672"/>
      <c r="H7" s="651">
        <f>SUMIFS($R$22:$R$27,$P$22:$P$27,$D7)+SUMIFS($S$22:$S$27,$Q$22:$Q$27,$D7)</f>
        <v>1</v>
      </c>
      <c r="I7" s="651">
        <f>SUMIFS($S$22:$S$27,$P$22:$P$27,$D7)+SUMIFS($R$22:$R$27,$Q$22:$Q$27,$D7)</f>
        <v>5</v>
      </c>
      <c r="J7" s="650">
        <f t="shared" si="0"/>
        <v>-4</v>
      </c>
      <c r="K7" s="662">
        <f t="shared" si="1"/>
        <v>1</v>
      </c>
      <c r="L7" s="651">
        <f t="shared" si="2"/>
        <v>2</v>
      </c>
      <c r="M7" s="651">
        <f>SUMPRODUCT(($P$22:$P$27=D7)*($R$22:$R$27&gt;$S$22:$S$27))+SUMPRODUCT(($Q$22:$Q$27=D7)*($R$22:$R$27&lt;$S$22:$S$27))</f>
        <v>0</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INDEX(Language!$C$5:$C$100,MATCH($D7,Language!$E$5:$E$100,0),1)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3</v>
      </c>
      <c r="J8" s="650">
        <f t="shared" si="0"/>
        <v>0</v>
      </c>
      <c r="K8" s="662">
        <f t="shared" si="1"/>
        <v>2</v>
      </c>
      <c r="L8" s="651">
        <f t="shared" si="2"/>
        <v>2</v>
      </c>
      <c r="M8" s="651">
        <f>SUMPRODUCT(($P$22:$P$27=D8)*($R$22:$R$27&gt;$S$22:$S$27))+SUMPRODUCT(($Q$22:$Q$27=D8)*($R$22:$R$27&lt;$S$22:$S$27))</f>
        <v>0</v>
      </c>
      <c r="N8" s="651">
        <f>SUMPRODUCT(($P$22:$Q$27=D8)*($R$22:$R$27=$S$22:$S$27)*($R$22:$R$27&lt;&gt;"")*($S$22:$S$27&lt;&gt;""))</f>
        <v>2</v>
      </c>
      <c r="O8" s="651">
        <f>SUMPRODUCT(($P$22:$P$27=D8)*($R$22:$R$27&lt;$S$22:$S$27))+SUMPRODUCT(($Q$22:$Q$27=D8)*($R$22:$R$27&gt;$S$22:$S$27))</f>
        <v>0</v>
      </c>
      <c r="P8" s="766">
        <f>SUMIFS(FairPlay!$G$6:$G$27,FairPlay!$B$6:$B$27,$D8)+SUMIFS(FairPlay!$G$30:$G$51,FairPlay!$B$30:$B$51,$D8)+SUMIFS(FairPlay!$G$54:$G$75,FairPlay!$B$54:$B$75,$D8)</f>
        <v>-2</v>
      </c>
      <c r="Q8" s="650">
        <f>INDEX(Language!$C$5:$C$100,MATCH($D8,Language!$E$5:$E$100,0),1)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4</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Uruguay</v>
      </c>
      <c r="BG13" s="679" t="str">
        <v>Cabo Verde</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Spain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Cabo Verde</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2</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2</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1</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Uruguay</v>
      </c>
      <c r="BA15" s="672">
        <v>1</v>
      </c>
      <c r="BB15" s="672">
        <v>0</v>
      </c>
      <c r="BC15" s="692">
        <v>2</v>
      </c>
      <c r="BE15" s="697" t="str">
        <v/>
      </c>
      <c r="BF15" s="698" t="str">
        <v/>
      </c>
      <c r="BG15" s="699" t="str">
        <v>2 - 2</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 Arabia</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Cabo Verde</v>
      </c>
      <c r="BA16" s="672">
        <v>1</v>
      </c>
      <c r="BB16" s="672">
        <v>0</v>
      </c>
      <c r="BC16" s="692">
        <v>2</v>
      </c>
      <c r="BE16" s="697" t="str">
        <v/>
      </c>
      <c r="BF16" s="699" t="str">
        <v>2 - 2</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1</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2</v>
      </c>
      <c r="T17" s="650">
        <f>COUNTIFS($S$14:$S$17,"&gt;"&amp;$S17,$Q$14:$Q$17,"="&amp;$Q17)</f>
        <v>0</v>
      </c>
      <c r="U17" s="666">
        <f t="shared" si="12"/>
        <v>2</v>
      </c>
      <c r="V17" s="776"/>
      <c r="W17" s="651">
        <f t="array" ref="W17">SUMPRODUCT($U$22:$U$27*($P$22:$P$27=$D17)*ISNUMBER(MATCH($Q$22:$Q$27,IF($U$14:$U$17=$U17,$D$14:$D$17,""),0)))+SUMPRODUCT($V$22:$V$27*($Q$22:$Q$27=$D17)*ISNUMBER(MATCH($P$22:$P$27,IF($U$14:$U$17=$U17,$D$14:$D$17,""),0)))</f>
        <v>1</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2</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2</v>
      </c>
      <c r="AZ17" s="688" t="str">
        <v/>
      </c>
      <c r="BA17" s="690" t="str">
        <v/>
      </c>
      <c r="BB17" s="690" t="str">
        <v/>
      </c>
      <c r="BC17" s="693" t="str">
        <v/>
      </c>
      <c r="BE17" s="701" t="str">
        <v/>
      </c>
      <c r="BF17" s="702" t="str">
        <v/>
      </c>
      <c r="BG17" s="702" t="str">
        <v/>
      </c>
      <c r="BH17" s="703" t="str">
        <v/>
      </c>
      <c r="BI17" s="699"/>
      <c r="BJ17" s="699"/>
      <c r="BK17" s="766">
        <v>2</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Spain</v>
      </c>
      <c r="I21" s="708" t="str">
        <v>Uruguay</v>
      </c>
      <c r="J21" s="708" t="str">
        <v>Cabo Verde</v>
      </c>
      <c r="K21" s="709" t="str">
        <v>Saudi Arabia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Spain</v>
      </c>
      <c r="E22" s="782">
        <f>VLOOKUP($D22,$D$5:$K$8,8,0)</f>
        <v>4</v>
      </c>
      <c r="F22" s="713">
        <f>VLOOKUP($D22,$D$5:$K$8,5,0)</f>
        <v>4</v>
      </c>
      <c r="G22" s="783">
        <f>VLOOKUP($D22,$D$5:$K$8,6,0)</f>
        <v>0</v>
      </c>
      <c r="H22" s="712" t="str">
        <f t="array" ref="H22:K25">IFERROR(VLOOKUP($D$22:$D$25&amp;$H$21:$K$21,$Z$22:$AA$33,2,0),"")</f>
        <v/>
      </c>
      <c r="I22" s="713" t="str">
        <v/>
      </c>
      <c r="J22" s="713" t="str">
        <v>0 - 0</v>
      </c>
      <c r="K22" s="779" t="str">
        <v>4 - 0</v>
      </c>
      <c r="L22" s="767" t="b">
        <f>OR($E22&gt;0,$G22&gt;0)</f>
        <v>1</v>
      </c>
      <c r="M22" s="767" t="b">
        <f t="array" ref="M22:M25">VLOOKUP($D$22:$D$25,$D$14:$AV$17,45,0)</f>
        <v>0</v>
      </c>
      <c r="N22" s="651">
        <f>VLOOKUP($D22,$D$5:$Q$8,14,0)</f>
        <v>2</v>
      </c>
      <c r="O22" s="718" t="s">
        <v>26</v>
      </c>
      <c r="P22" s="754" t="str">
        <f>INDEX('World Cup'!$B$13:$AJ$38,1,1+(CODE($B$1)-65)*3)</f>
        <v>Spain</v>
      </c>
      <c r="Q22" s="755" t="str">
        <f>INDEX('World Cup'!$B$13:$AJ$38,1,2+(CODE($B$1)-65)*3)</f>
        <v>Cabo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SpainCabo Verde</v>
      </c>
      <c r="AA22" s="727" t="str">
        <f>IF($T22,$X22&amp;Language!$E$203&amp;$Y22,"")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Uruguay</v>
      </c>
      <c r="E23" s="777">
        <f t="shared" ref="E23:E25" si="37">VLOOKUP($D23,$D$5:$K$8,8,0)</f>
        <v>2</v>
      </c>
      <c r="F23" s="650">
        <f t="shared" ref="F23:F25" si="38">VLOOKUP($D23,$D$5:$K$8,5,0)</f>
        <v>3</v>
      </c>
      <c r="G23" s="784">
        <f t="shared" ref="G23:G25" si="39">VLOOKUP($D23,$D$5:$K$8,6,0)</f>
        <v>3</v>
      </c>
      <c r="H23" s="714" t="str">
        <v/>
      </c>
      <c r="I23" s="715" t="str">
        <v/>
      </c>
      <c r="J23" s="650" t="str">
        <v>2 - 2</v>
      </c>
      <c r="K23" s="780" t="str">
        <v>1 - 1</v>
      </c>
      <c r="L23" s="767" t="b">
        <f t="shared" ref="L23:L25" si="40">OR($E23&gt;0,$G23&gt;0)</f>
        <v>1</v>
      </c>
      <c r="M23" s="767" t="b">
        <v>0</v>
      </c>
      <c r="N23" s="651">
        <f t="shared" ref="N23:N25" si="41">VLOOKUP($D23,$D$5:$Q$8,14,0)</f>
        <v>16</v>
      </c>
      <c r="O23" s="730" t="s">
        <v>27</v>
      </c>
      <c r="P23" s="757" t="str">
        <f>INDEX('World Cup'!$B$13:$AJ$38,6,1+(CODE($B$1)-65)*3)</f>
        <v>Saudi Arabia</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 ArabiaUruguay</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Cabo Verde</v>
      </c>
      <c r="E24" s="777">
        <f t="shared" si="37"/>
        <v>2</v>
      </c>
      <c r="F24" s="650">
        <f t="shared" si="38"/>
        <v>2</v>
      </c>
      <c r="G24" s="784">
        <f t="shared" si="39"/>
        <v>2</v>
      </c>
      <c r="H24" s="714" t="str">
        <v>0 - 0</v>
      </c>
      <c r="I24" s="650" t="str">
        <v>2 - 2</v>
      </c>
      <c r="J24" s="715" t="str">
        <v/>
      </c>
      <c r="K24" s="780" t="str">
        <v/>
      </c>
      <c r="L24" s="767" t="b">
        <f t="shared" si="40"/>
        <v>1</v>
      </c>
      <c r="M24" s="767" t="b">
        <v>0</v>
      </c>
      <c r="N24" s="651">
        <f t="shared" si="41"/>
        <v>67</v>
      </c>
      <c r="O24" s="730" t="s">
        <v>28</v>
      </c>
      <c r="P24" s="757" t="str">
        <f>INDEX('World Cup'!$B$13:$AJ$38,11,1+(CODE($B$1)-65)*3)</f>
        <v>Spain</v>
      </c>
      <c r="Q24" s="758" t="str">
        <f>INDEX('World Cup'!$B$13:$AJ$38,11,2+(CODE($B$1)-65)*3)</f>
        <v>Saudi Arabia</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SpainSaudi Arabia</v>
      </c>
      <c r="AA24" s="737" t="str">
        <f>IF($T24,$X24&amp;Language!$E$203&amp;$Y24,"")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 Arabia</v>
      </c>
      <c r="E25" s="785">
        <f t="shared" si="37"/>
        <v>1</v>
      </c>
      <c r="F25" s="717">
        <f t="shared" si="38"/>
        <v>1</v>
      </c>
      <c r="G25" s="786">
        <f t="shared" si="39"/>
        <v>5</v>
      </c>
      <c r="H25" s="716" t="str">
        <v>0 - 4</v>
      </c>
      <c r="I25" s="717" t="str">
        <v>1 - 1</v>
      </c>
      <c r="J25" s="717" t="str">
        <v/>
      </c>
      <c r="K25" s="781" t="str">
        <v/>
      </c>
      <c r="L25" s="767" t="b">
        <f t="shared" si="40"/>
        <v>1</v>
      </c>
      <c r="M25" s="767" t="b">
        <v>0</v>
      </c>
      <c r="N25" s="651">
        <f t="shared" si="41"/>
        <v>61</v>
      </c>
      <c r="O25" s="730" t="s">
        <v>29</v>
      </c>
      <c r="P25" s="757" t="str">
        <f>INDEX('World Cup'!$B$13:$AJ$38,16,1+(CODE($B$1)-65)*3)</f>
        <v>Uruguay</v>
      </c>
      <c r="Q25" s="758" t="str">
        <f>INDEX('World Cup'!$B$13:$AJ$38,16,2+(CODE($B$1)-65)*3)</f>
        <v>Cabo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UruguayCabo Verde</v>
      </c>
      <c r="AA25" s="737" t="str">
        <f>IF($T25,$X25&amp;Language!$E$203&amp;$Y25,"")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Cabo Verde</v>
      </c>
      <c r="Q26" s="758" t="str">
        <f>INDEX('World Cup'!$B$13:$AJ$38,21,2+(CODE($B$1)-65)*3)</f>
        <v>Saudi Arabia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Cabo VerdeSaudi Arabia</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Spain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UruguaySpain</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Cabo VerdeSpain</v>
      </c>
      <c r="AA28" s="737" t="str">
        <f>IF($T22,$Y22&amp;Language!$E$203&amp;$X22,"")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 Arabia</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 ArabiaSpain</v>
      </c>
      <c r="AA30" s="737" t="str">
        <f>IF($T24,$Y24&amp;Language!$E$203&amp;$X24,"")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Cabo VerdeUruguay</v>
      </c>
      <c r="AA31" s="737" t="str">
        <f>IF($T25,$Y25&amp;Language!$E$203&amp;$X25,"")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 ArabiaCabo Verde</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SpainUruguay</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France</v>
      </c>
      <c r="E5" s="859"/>
      <c r="F5" s="661"/>
      <c r="G5" s="672"/>
      <c r="H5" s="651">
        <f>SUMIFS($R$22:$R$27,$P$22:$P$27,$D5)+SUMIFS($S$22:$S$27,$Q$22:$Q$27,$D5)</f>
        <v>3</v>
      </c>
      <c r="I5" s="651">
        <f>SUMIFS($S$22:$S$27,$P$22:$P$27,$D5)+SUMIFS($R$22:$R$27,$Q$22:$Q$27,$D5)</f>
        <v>1</v>
      </c>
      <c r="J5" s="650">
        <f t="shared" ref="J5:J8" si="0">H5-I5</f>
        <v>2</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INDEX(Language!$C$5:$C$100,MATCH($D5,Language!$E$5:$E$100,0),1)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4</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Senegal</v>
      </c>
      <c r="E6" s="860"/>
      <c r="F6" s="661"/>
      <c r="G6" s="672"/>
      <c r="H6" s="651">
        <f>SUMIFS($R$22:$R$27,$P$22:$P$27,$D6)+SUMIFS($S$22:$S$27,$Q$22:$Q$27,$D6)</f>
        <v>1</v>
      </c>
      <c r="I6" s="651">
        <f>SUMIFS($S$22:$S$27,$P$22:$P$27,$D6)+SUMIFS($R$22:$R$27,$Q$22:$Q$27,$D6)</f>
        <v>3</v>
      </c>
      <c r="J6" s="650">
        <f t="shared" si="0"/>
        <v>-2</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INDEX(Language!$C$5:$C$100,MATCH($D6,Language!$E$5:$E$100,0),1)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Iraq</v>
      </c>
      <c r="E7" s="860"/>
      <c r="F7" s="661"/>
      <c r="G7" s="672"/>
      <c r="H7" s="651">
        <f>SUMIFS($R$22:$R$27,$P$22:$P$27,$D7)+SUMIFS($S$22:$S$27,$Q$22:$Q$27,$D7)</f>
        <v>1</v>
      </c>
      <c r="I7" s="651">
        <f>SUMIFS($S$22:$S$27,$P$22:$P$27,$D7)+SUMIFS($R$22:$R$27,$Q$22:$Q$27,$D7)</f>
        <v>4</v>
      </c>
      <c r="J7" s="650">
        <f t="shared" si="0"/>
        <v>-3</v>
      </c>
      <c r="K7" s="662">
        <f t="shared" si="1"/>
        <v>0</v>
      </c>
      <c r="L7" s="651">
        <f t="shared" si="2"/>
        <v>1</v>
      </c>
      <c r="M7" s="651">
        <f>SUMPRODUCT(($P$22:$P$27=D7)*($R$22:$R$27&gt;$S$22:$S$27))+SUMPRODUCT(($Q$22:$Q$27=D7)*($R$22:$R$27&lt;$S$22:$S$27))</f>
        <v>0</v>
      </c>
      <c r="N7" s="651">
        <f>SUMPRODUCT(($P$22:$Q$27=D7)*($R$22:$R$27=$S$22:$S$27)*($R$22:$R$27&lt;&gt;"")*($S$22:$S$27&lt;&gt;""))</f>
        <v>0</v>
      </c>
      <c r="O7" s="651">
        <f>SUMPRODUCT(($P$22:$P$27=D7)*($R$22:$R$27&lt;$S$22:$S$27))+SUMPRODUCT(($Q$22:$Q$27=D7)*($R$22:$R$27&gt;$S$22:$S$27))</f>
        <v>1</v>
      </c>
      <c r="P7" s="669">
        <f>SUMIFS(FairPlay!$G$6:$G$27,FairPlay!$B$6:$B$27,$D7)+SUMIFS(FairPlay!$G$30:$G$51,FairPlay!$B$30:$B$51,$D7)+SUMIFS(FairPlay!$G$54:$G$75,FairPlay!$B$54:$B$75,$D7)</f>
        <v>-1</v>
      </c>
      <c r="Q7" s="650">
        <f>INDEX(Language!$C$5:$C$100,MATCH($D7,Language!$E$5:$E$100,0),1)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2</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Norway</v>
      </c>
      <c r="E8" s="860"/>
      <c r="F8" s="661"/>
      <c r="G8" s="672"/>
      <c r="H8" s="651">
        <f>SUMIFS($R$22:$R$27,$P$22:$P$27,$D8)+SUMIFS($S$22:$S$27,$Q$22:$Q$27,$D8)</f>
        <v>4</v>
      </c>
      <c r="I8" s="651">
        <f>SUMIFS($S$22:$S$27,$P$22:$P$27,$D8)+SUMIFS($R$22:$R$27,$Q$22:$Q$27,$D8)</f>
        <v>1</v>
      </c>
      <c r="J8" s="650">
        <f t="shared" si="0"/>
        <v>3</v>
      </c>
      <c r="K8" s="662">
        <f t="shared" si="1"/>
        <v>3</v>
      </c>
      <c r="L8" s="651">
        <f t="shared" si="2"/>
        <v>1</v>
      </c>
      <c r="M8" s="651">
        <f>SUMPRODUCT(($P$22:$P$27=D8)*($R$22:$R$27&gt;$S$22:$S$27))+SUMPRODUCT(($Q$22:$Q$27=D8)*($R$22:$R$27&lt;$S$22:$S$27))</f>
        <v>1</v>
      </c>
      <c r="N8" s="651">
        <f>SUMPRODUCT(($P$22:$Q$27=D8)*($R$22:$R$27=$S$22:$S$27)*($R$22:$R$27&lt;&gt;"")*($S$22:$S$27&lt;&gt;""))</f>
        <v>0</v>
      </c>
      <c r="O8" s="651">
        <f>SUMPRODUCT(($P$22:$P$27=D8)*($R$22:$R$27&lt;$S$22:$S$27))+SUMPRODUCT(($Q$22:$Q$27=D8)*($R$22:$R$27&gt;$S$22:$S$27))</f>
        <v>0</v>
      </c>
      <c r="P8" s="766">
        <f>SUMIFS(FairPlay!$G$6:$G$27,FairPlay!$B$6:$B$27,$D8)+SUMIFS(FairPlay!$G$30:$G$51,FairPlay!$B$30:$B$51,$D8)+SUMIFS(FairPlay!$G$54:$G$75,FairPlay!$B$54:$B$75,$D8)</f>
        <v>0</v>
      </c>
      <c r="Q8" s="650">
        <f>INDEX(Language!$C$5:$C$100,MATCH($D8,Language!$E$5:$E$100,0),1)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3</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Norway</v>
      </c>
      <c r="BF13" s="679" t="str">
        <v>France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France</v>
      </c>
      <c r="E14" s="660">
        <f>RANK(F14,$F$14:$F$17,1)</f>
        <v>2</v>
      </c>
      <c r="F14" s="661">
        <f>G14+ROW()/1000+(D14="")*10</f>
        <v>2.0139999999999998</v>
      </c>
      <c r="G14" s="800">
        <f>AS14</f>
        <v>2</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1</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1</v>
      </c>
      <c r="AY14" s="699">
        <f>IFERROR(INDEX($E$14:$E$17,IF($I14=$AX$14,$C14,99)),0)</f>
        <v>2</v>
      </c>
      <c r="AZ14" s="686" t="str">
        <f t="array" ref="AZ14:AZ17">IFERROR(VLOOKUP($BA$5:$BA$8,$C$14:$D$17,2,0),"")</f>
        <v>Norway</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France</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Iraq</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Norway</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1</v>
      </c>
      <c r="AZ17" s="688" t="str">
        <v/>
      </c>
      <c r="BA17" s="690" t="str">
        <v/>
      </c>
      <c r="BB17" s="690" t="str">
        <v/>
      </c>
      <c r="BC17" s="693" t="str">
        <v/>
      </c>
      <c r="BE17" s="701" t="str">
        <v/>
      </c>
      <c r="BF17" s="702" t="str">
        <v/>
      </c>
      <c r="BG17" s="702" t="str">
        <v/>
      </c>
      <c r="BH17" s="703" t="str">
        <v/>
      </c>
      <c r="BI17" s="699"/>
      <c r="BJ17" s="699"/>
      <c r="BK17" s="766">
        <v>1</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Norway</v>
      </c>
      <c r="I21" s="708" t="str">
        <v>France</v>
      </c>
      <c r="J21" s="708" t="str">
        <v>Senegal</v>
      </c>
      <c r="K21" s="709" t="str">
        <v>Iraq</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Senegal</v>
      </c>
      <c r="BH21" s="680" t="str">
        <v>Iraq</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Norway</v>
      </c>
      <c r="E22" s="782">
        <f>VLOOKUP($D22,$D$5:$K$8,8,0)</f>
        <v>3</v>
      </c>
      <c r="F22" s="713">
        <f>VLOOKUP($D22,$D$5:$K$8,5,0)</f>
        <v>4</v>
      </c>
      <c r="G22" s="783">
        <f>VLOOKUP($D22,$D$5:$K$8,6,0)</f>
        <v>1</v>
      </c>
      <c r="H22" s="712" t="str">
        <f t="array" ref="H22:K25">IFERROR(VLOOKUP($D$22:$D$25&amp;$H$21:$K$21,$Z$22:$AA$33,2,0),"")</f>
        <v/>
      </c>
      <c r="I22" s="713" t="str">
        <v/>
      </c>
      <c r="J22" s="713" t="str">
        <v/>
      </c>
      <c r="K22" s="779" t="str">
        <v>4 - 1</v>
      </c>
      <c r="L22" s="767" t="b">
        <f>OR($E22&gt;0,$G22&gt;0)</f>
        <v>1</v>
      </c>
      <c r="M22" s="767" t="b">
        <f t="array" ref="M22:M25">VLOOKUP($D$22:$D$25,$D$14:$AV$17,45,0)</f>
        <v>0</v>
      </c>
      <c r="N22" s="651">
        <f>VLOOKUP($D22,$D$5:$Q$8,14,0)</f>
        <v>31</v>
      </c>
      <c r="O22" s="718" t="s">
        <v>26</v>
      </c>
      <c r="P22" s="754" t="str">
        <f>INDEX('World Cup'!$B$13:$AJ$38,1,1+(CODE($B$1)-65)*3)</f>
        <v>France</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FranceSenegal</v>
      </c>
      <c r="AA22" s="727" t="str">
        <f>IF($T22,$X22&amp;Language!$E$203&amp;$Y22,"")</f>
        <v>3 - 1</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France</v>
      </c>
      <c r="E23" s="777">
        <f t="shared" ref="E23:E25" si="37">VLOOKUP($D23,$D$5:$K$8,8,0)</f>
        <v>3</v>
      </c>
      <c r="F23" s="650">
        <f t="shared" ref="F23:F25" si="38">VLOOKUP($D23,$D$5:$K$8,5,0)</f>
        <v>3</v>
      </c>
      <c r="G23" s="784">
        <f t="shared" ref="G23:G25" si="39">VLOOKUP($D23,$D$5:$K$8,6,0)</f>
        <v>1</v>
      </c>
      <c r="H23" s="714" t="str">
        <v/>
      </c>
      <c r="I23" s="715" t="str">
        <v/>
      </c>
      <c r="J23" s="650" t="str">
        <v>3 - 1</v>
      </c>
      <c r="K23" s="780" t="str">
        <v/>
      </c>
      <c r="L23" s="767" t="b">
        <f t="shared" ref="L23:L25" si="40">OR($E23&gt;0,$G23&gt;0)</f>
        <v>1</v>
      </c>
      <c r="M23" s="767" t="b">
        <v>0</v>
      </c>
      <c r="N23" s="651">
        <f t="shared" ref="N23:N25" si="41">VLOOKUP($D23,$D$5:$Q$8,14,0)</f>
        <v>3</v>
      </c>
      <c r="O23" s="730" t="s">
        <v>27</v>
      </c>
      <c r="P23" s="757" t="str">
        <f>INDEX('World Cup'!$B$13:$AJ$38,6,1+(CODE($B$1)-65)*3)</f>
        <v>Iraq</v>
      </c>
      <c r="Q23" s="758" t="str">
        <f>INDEX('World Cup'!$B$13:$AJ$38,6,2+(CODE($B$1)-65)*3)</f>
        <v>Norway</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IraqNorway</v>
      </c>
      <c r="AA23" s="737" t="str">
        <f>IF($T23,$X23&amp;Language!$E$203&amp;$Y23,"")</f>
        <v>1 - 4</v>
      </c>
      <c r="AB23" s="767"/>
      <c r="AC23" s="767" t="b">
        <v>0</v>
      </c>
      <c r="AD23" s="767"/>
      <c r="AE23" s="651"/>
      <c r="AF23" s="846"/>
      <c r="AG23" s="769"/>
      <c r="AH23" s="769"/>
      <c r="AI23" s="769"/>
      <c r="AJ23" s="672"/>
      <c r="AK23" s="728"/>
      <c r="AL23" s="672"/>
      <c r="AN23" s="672"/>
      <c r="AO23" s="672"/>
      <c r="AY23" s="699">
        <f t="shared" ref="AY23:AY25" si="42">IFERROR(INDEX($E$14:$E$17,IF($I15=$AX$22,$C15,99)),0)</f>
        <v>3</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0</v>
      </c>
      <c r="F24" s="650">
        <f t="shared" si="38"/>
        <v>1</v>
      </c>
      <c r="G24" s="784">
        <f t="shared" si="39"/>
        <v>3</v>
      </c>
      <c r="H24" s="714" t="str">
        <v/>
      </c>
      <c r="I24" s="650" t="str">
        <v>1 - 3</v>
      </c>
      <c r="J24" s="715" t="str">
        <v/>
      </c>
      <c r="K24" s="780" t="str">
        <v/>
      </c>
      <c r="L24" s="767" t="b">
        <f t="shared" si="40"/>
        <v>1</v>
      </c>
      <c r="M24" s="767" t="b">
        <v>0</v>
      </c>
      <c r="N24" s="651">
        <f t="shared" si="41"/>
        <v>15</v>
      </c>
      <c r="O24" s="730" t="s">
        <v>28</v>
      </c>
      <c r="P24" s="757" t="str">
        <f>INDEX('World Cup'!$B$13:$AJ$38,11,1+(CODE($B$1)-65)*3)</f>
        <v>France</v>
      </c>
      <c r="Q24" s="758" t="str">
        <f>INDEX('World Cup'!$B$13:$AJ$38,11,2+(CODE($B$1)-65)*3)</f>
        <v>Iraq</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FranceIraq</v>
      </c>
      <c r="AA24" s="737" t="str">
        <f>IF($T24,$X24&amp;Language!$E$203&amp;$Y24,"")</f>
        <v/>
      </c>
      <c r="AB24" s="767"/>
      <c r="AC24" s="767" t="b">
        <v>0</v>
      </c>
      <c r="AD24" s="767"/>
      <c r="AE24" s="651"/>
      <c r="AF24" s="846"/>
      <c r="AG24" s="769"/>
      <c r="AH24" s="769"/>
      <c r="AI24" s="769"/>
      <c r="AJ24" s="672"/>
      <c r="AK24" s="728"/>
      <c r="AL24" s="672"/>
      <c r="AN24" s="672"/>
      <c r="AO24" s="672"/>
      <c r="AY24" s="699">
        <f t="shared" si="42"/>
        <v>4</v>
      </c>
      <c r="AZ24" s="687" t="str">
        <v>Senegal</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Iraq</v>
      </c>
      <c r="E25" s="785">
        <f t="shared" si="37"/>
        <v>0</v>
      </c>
      <c r="F25" s="717">
        <f t="shared" si="38"/>
        <v>1</v>
      </c>
      <c r="G25" s="786">
        <f t="shared" si="39"/>
        <v>4</v>
      </c>
      <c r="H25" s="716" t="str">
        <v>1 - 4</v>
      </c>
      <c r="I25" s="717" t="str">
        <v/>
      </c>
      <c r="J25" s="717" t="str">
        <v/>
      </c>
      <c r="K25" s="781" t="str">
        <v/>
      </c>
      <c r="L25" s="767" t="b">
        <f t="shared" si="40"/>
        <v>1</v>
      </c>
      <c r="M25" s="767" t="b">
        <v>0</v>
      </c>
      <c r="N25" s="651">
        <f t="shared" si="41"/>
        <v>57</v>
      </c>
      <c r="O25" s="730" t="s">
        <v>29</v>
      </c>
      <c r="P25" s="757" t="str">
        <f>INDEX('World Cup'!$B$13:$AJ$38,16,1+(CODE($B$1)-65)*3)</f>
        <v>Norway</v>
      </c>
      <c r="Q25" s="758" t="str">
        <f>INDEX('World Cup'!$B$13:$AJ$38,16,2+(CODE($B$1)-65)*3)</f>
        <v>Senegal</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NorwaySenegal</v>
      </c>
      <c r="AA25" s="737" t="str">
        <f>IF($T25,$X25&amp;Language!$E$203&amp;$Y25,"")</f>
        <v/>
      </c>
      <c r="AB25" s="767"/>
      <c r="AC25" s="767" t="b">
        <v>0</v>
      </c>
      <c r="AD25" s="767"/>
      <c r="AE25" s="651"/>
      <c r="AF25" s="846"/>
      <c r="AG25" s="769"/>
      <c r="AH25" s="769"/>
      <c r="AI25" s="769"/>
      <c r="AJ25" s="672"/>
      <c r="AK25" s="728"/>
      <c r="AL25" s="672"/>
      <c r="AN25" s="672"/>
      <c r="AO25" s="672"/>
      <c r="AY25" s="699">
        <f t="shared" si="42"/>
        <v>0</v>
      </c>
      <c r="AZ25" s="688" t="str">
        <v>Iraq</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Norway</v>
      </c>
      <c r="Q26" s="758" t="str">
        <f>INDEX('World Cup'!$B$13:$AJ$38,21,2+(CODE($B$1)-65)*3)</f>
        <v>France</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NorwayFrance</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Iraq</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SenegalIraq</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SenegalFrance</v>
      </c>
      <c r="AA28" s="737" t="str">
        <f>IF($T22,$Y22&amp;Language!$E$203&amp;$X22,"")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NorwayIraq</v>
      </c>
      <c r="AA29" s="737" t="str">
        <f>IF($T23,$Y23&amp;Language!$E$203&amp;$X23,"")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IraqFrance</v>
      </c>
      <c r="AA30" s="737" t="str">
        <f>IF($T24,$Y24&amp;Language!$E$203&amp;$X24,"")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SenegalNorway</v>
      </c>
      <c r="AA31" s="737" t="str">
        <f>IF($T25,$Y25&amp;Language!$E$203&amp;$X25,"")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FranceNorway</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IraqSenegal</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Argentina</v>
      </c>
      <c r="E5" s="859"/>
      <c r="F5" s="661"/>
      <c r="G5" s="672"/>
      <c r="H5" s="651">
        <f>SUMIFS($R$22:$R$27,$P$22:$P$27,$D5)+SUMIFS($S$22:$S$27,$Q$22:$Q$27,$D5)</f>
        <v>3</v>
      </c>
      <c r="I5" s="651">
        <f>SUMIFS($S$22:$S$27,$P$22:$P$27,$D5)+SUMIFS($R$22:$R$27,$Q$22:$Q$27,$D5)</f>
        <v>0</v>
      </c>
      <c r="J5" s="650">
        <f t="shared" ref="J5:J8" si="0">H5-I5</f>
        <v>3</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INDEX(Language!$C$5:$C$100,MATCH($D5,Language!$E$5:$E$100,0),1)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Algeria</v>
      </c>
      <c r="E6" s="860"/>
      <c r="F6" s="661"/>
      <c r="G6" s="672"/>
      <c r="H6" s="651">
        <f>SUMIFS($R$22:$R$27,$P$22:$P$27,$D6)+SUMIFS($S$22:$S$27,$Q$22:$Q$27,$D6)</f>
        <v>0</v>
      </c>
      <c r="I6" s="651">
        <f>SUMIFS($S$22:$S$27,$P$22:$P$27,$D6)+SUMIFS($R$22:$R$27,$Q$22:$Q$27,$D6)</f>
        <v>3</v>
      </c>
      <c r="J6" s="650">
        <f t="shared" si="0"/>
        <v>-3</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INDEX(Language!$C$5:$C$100,MATCH($D6,Language!$E$5:$E$100,0),1)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Austria</v>
      </c>
      <c r="E7" s="860"/>
      <c r="F7" s="661"/>
      <c r="G7" s="672"/>
      <c r="H7" s="651">
        <f>SUMIFS($R$22:$R$27,$P$22:$P$27,$D7)+SUMIFS($S$22:$S$27,$Q$22:$Q$27,$D7)</f>
        <v>3</v>
      </c>
      <c r="I7" s="651">
        <f>SUMIFS($S$22:$S$27,$P$22:$P$27,$D7)+SUMIFS($R$22:$R$27,$Q$22:$Q$27,$D7)</f>
        <v>1</v>
      </c>
      <c r="J7" s="650">
        <f t="shared" si="0"/>
        <v>2</v>
      </c>
      <c r="K7" s="662">
        <f t="shared" si="1"/>
        <v>3</v>
      </c>
      <c r="L7" s="651">
        <f t="shared" si="2"/>
        <v>1</v>
      </c>
      <c r="M7" s="651">
        <f>SUMPRODUCT(($P$22:$P$27=D7)*($R$22:$R$27&gt;$S$22:$S$27))+SUMPRODUCT(($Q$22:$Q$27=D7)*($R$22:$R$27&lt;$S$22:$S$27))</f>
        <v>1</v>
      </c>
      <c r="N7" s="651">
        <f>SUMPRODUCT(($P$22:$Q$27=D7)*($R$22:$R$27=$S$22:$S$27)*($R$22:$R$27&lt;&gt;"")*($S$22:$S$27&lt;&gt;""))</f>
        <v>0</v>
      </c>
      <c r="O7" s="651">
        <f>SUMPRODUCT(($P$22:$P$27=D7)*($R$22:$R$27&lt;$S$22:$S$27))+SUMPRODUCT(($Q$22:$Q$27=D7)*($R$22:$R$27&gt;$S$22:$S$27))</f>
        <v>0</v>
      </c>
      <c r="P7" s="669">
        <f>SUMIFS(FairPlay!$G$6:$G$27,FairPlay!$B$6:$B$27,$D7)+SUMIFS(FairPlay!$G$30:$G$51,FairPlay!$B$30:$B$51,$D7)+SUMIFS(FairPlay!$G$54:$G$75,FairPlay!$B$54:$B$75,$D7)</f>
        <v>-1</v>
      </c>
      <c r="Q7" s="650">
        <f>INDEX(Language!$C$5:$C$100,MATCH($D7,Language!$E$5:$E$100,0),1)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4</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Jordan</v>
      </c>
      <c r="E8" s="860"/>
      <c r="F8" s="661"/>
      <c r="G8" s="672"/>
      <c r="H8" s="651">
        <f>SUMIFS($R$22:$R$27,$P$22:$P$27,$D8)+SUMIFS($S$22:$S$27,$Q$22:$Q$27,$D8)</f>
        <v>1</v>
      </c>
      <c r="I8" s="651">
        <f>SUMIFS($S$22:$S$27,$P$22:$P$27,$D8)+SUMIFS($R$22:$R$27,$Q$22:$Q$27,$D8)</f>
        <v>3</v>
      </c>
      <c r="J8" s="650">
        <f t="shared" si="0"/>
        <v>-2</v>
      </c>
      <c r="K8" s="662">
        <f t="shared" si="1"/>
        <v>0</v>
      </c>
      <c r="L8" s="651">
        <f t="shared" si="2"/>
        <v>1</v>
      </c>
      <c r="M8" s="651">
        <f>SUMPRODUCT(($P$22:$P$27=D8)*($R$22:$R$27&gt;$S$22:$S$27))+SUMPRODUCT(($Q$22:$Q$27=D8)*($R$22:$R$27&lt;$S$22:$S$27))</f>
        <v>0</v>
      </c>
      <c r="N8" s="651">
        <f>SUMPRODUCT(($P$22:$Q$27=D8)*($R$22:$R$27=$S$22:$S$27)*($R$22:$R$27&lt;&gt;"")*($S$22:$S$27&lt;&gt;""))</f>
        <v>0</v>
      </c>
      <c r="O8" s="651">
        <f>SUMPRODUCT(($P$22:$P$27=D8)*($R$22:$R$27&lt;$S$22:$S$27))+SUMPRODUCT(($Q$22:$Q$27=D8)*($R$22:$R$27&gt;$S$22:$S$27))</f>
        <v>1</v>
      </c>
      <c r="P8" s="766">
        <f>SUMIFS(FairPlay!$G$6:$G$27,FairPlay!$B$6:$B$27,$D8)+SUMIFS(FairPlay!$G$30:$G$51,FairPlay!$B$30:$B$51,$D8)+SUMIFS(FairPlay!$G$54:$G$75,FairPlay!$B$54:$B$75,$D8)</f>
        <v>0</v>
      </c>
      <c r="Q8" s="650">
        <f>INDEX(Language!$C$5:$C$100,MATCH($D8,Language!$E$5:$E$100,0),1)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2</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Argentina</v>
      </c>
      <c r="BF13" s="679" t="str">
        <v>Austria</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Argentina</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Algeria</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Austria</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Austria</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0</v>
      </c>
      <c r="M16" s="666">
        <f t="shared" si="10"/>
        <v>1</v>
      </c>
      <c r="N16" s="665"/>
      <c r="O16" s="651">
        <f t="array" ref="O16">SUMPRODUCT($W$22:$W$27*($P$22:$P$27=$D16)*ISNUMBER(MATCH($Q$22:$Q$27,IF($I$14:$I$17=$I16,$D$14:$D$17,""),0)))+SUMPRODUCT(-$W$22:$W$27*($Q$22:$Q$27=$D16)*ISNUMBER(MATCH($P$22:$P$27,IF($I$14:$I$17=$I16,$D$14:$D$17,""),0)))</f>
        <v>0</v>
      </c>
      <c r="P16" s="650">
        <f>COUNTIFS($O$14:$O$17,"&gt;"&amp;$O16,$M$14:$M$17,"="&amp;$M16)</f>
        <v>0</v>
      </c>
      <c r="Q16" s="666">
        <f t="shared" si="11"/>
        <v>1</v>
      </c>
      <c r="R16" s="665"/>
      <c r="S16" s="651">
        <f t="array" ref="S16">SUMPRODUCT($X$22:$X$27*($P$22:$P$27=$D16)*ISNUMBER(MATCH($Q$22:$Q$27,IF($I$14:$I$17=$I16,$D$14:$D$17,""),0)))+SUMPRODUCT($Y$22:$Y$27*($Q$22:$Q$27=$D16)*ISNUMBER(MATCH($P$22:$P$27,IF($I$14:$I$17=$I16,$D$14:$D$17,""),0)))</f>
        <v>0</v>
      </c>
      <c r="T16" s="650">
        <f>COUNTIFS($S$14:$S$17,"&gt;"&amp;$S16,$Q$14:$Q$17,"="&amp;$Q16)</f>
        <v>0</v>
      </c>
      <c r="U16" s="666">
        <f t="shared" si="12"/>
        <v>1</v>
      </c>
      <c r="V16" s="776"/>
      <c r="W16" s="651">
        <f t="array" ref="W16">SUMPRODUCT($U$22:$U$27*($P$22:$P$27=$D16)*ISNUMBER(MATCH($Q$22:$Q$27,IF($U$14:$U$17=$U16,$D$14:$D$17,""),0)))+SUMPRODUCT($V$22:$V$27*($Q$22:$Q$27=$D16)*ISNUMBER(MATCH($P$22:$P$27,IF($U$14:$U$17=$U16,$D$14:$D$17,""),0)))</f>
        <v>0</v>
      </c>
      <c r="X16" s="650">
        <f>COUNTIFS($W$14:$W$17,"&gt;"&amp;$W16,$U$14:$U$17,"="&amp;$U16)</f>
        <v>0</v>
      </c>
      <c r="Y16" s="666">
        <f t="shared" si="13"/>
        <v>1</v>
      </c>
      <c r="Z16" s="665"/>
      <c r="AA16" s="651">
        <f t="array" ref="AA16">SUMPRODUCT($W$22:$W$27*($P$22:$P$27=$D16)*ISNUMBER(MATCH($Q$22:$Q$27,IF($U$14:$U$17=$U16,$D$14:$D$17,""),0)))+SUMPRODUCT(-$W$22:$W$27*($Q$22:$Q$27=$D16)*ISNUMBER(MATCH($P$22:$P$27,IF($U$14:$U$17=$U16,$D$14:$D$17,""),0)))</f>
        <v>0</v>
      </c>
      <c r="AB16" s="650">
        <f>COUNTIFS($AA$14:$AA$17,"&gt;"&amp;$AA16,$Y$14:$Y$17,"="&amp;$Y16)</f>
        <v>0</v>
      </c>
      <c r="AC16" s="666">
        <f t="shared" si="14"/>
        <v>1</v>
      </c>
      <c r="AD16" s="665"/>
      <c r="AE16" s="651">
        <f t="array" ref="AE16">SUMPRODUCT($X$22:$X$27*($P$22:$P$27=$D16)*ISNUMBER(MATCH($Q$22:$Q$27,IF($U$14:$U$17=$U16,$D$14:$D$17,""),0)))+SUMPRODUCT($Y$22:$Y$27*($Q$22:$Q$27=$D16)*ISNUMBER(MATCH($P$22:$P$27,IF($U$14:$U$17=$U16,$D$14:$D$17,""),0)))</f>
        <v>0</v>
      </c>
      <c r="AF16" s="650">
        <f>COUNTIFS($AE$14:$AE$17,"&gt;"&amp;$AE16,$AC$14:$AC$17,"="&amp;$AC16)</f>
        <v>0</v>
      </c>
      <c r="AG16" s="666">
        <f t="shared" si="15"/>
        <v>1</v>
      </c>
      <c r="AH16" s="776"/>
      <c r="AI16" s="672">
        <f>COUNTIFS($J$5:$J$8,"&gt;"&amp;$J7,$AG$14:$AG$17,"="&amp;$AG16)</f>
        <v>1</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1</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Argentina</v>
      </c>
      <c r="I21" s="708" t="str">
        <v>Austria</v>
      </c>
      <c r="J21" s="708" t="str">
        <v>Jordan</v>
      </c>
      <c r="K21" s="709" t="str">
        <v>Algeria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Jordan</v>
      </c>
      <c r="BH21" s="680" t="str">
        <v>Algeria</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Argentina</v>
      </c>
      <c r="E22" s="782">
        <f>VLOOKUP($D22,$D$5:$K$8,8,0)</f>
        <v>3</v>
      </c>
      <c r="F22" s="713">
        <f>VLOOKUP($D22,$D$5:$K$8,5,0)</f>
        <v>3</v>
      </c>
      <c r="G22" s="783">
        <f>VLOOKUP($D22,$D$5:$K$8,6,0)</f>
        <v>0</v>
      </c>
      <c r="H22" s="712" t="str">
        <f t="array" ref="H22:K25">IFERROR(VLOOKUP($D$22:$D$25&amp;$H$21:$K$21,$Z$22:$AA$33,2,0),"")</f>
        <v/>
      </c>
      <c r="I22" s="713" t="str">
        <v/>
      </c>
      <c r="J22" s="713" t="str">
        <v/>
      </c>
      <c r="K22" s="779" t="str">
        <v>3 - 0</v>
      </c>
      <c r="L22" s="767" t="b">
        <f>OR($E22&gt;0,$G22&gt;0)</f>
        <v>1</v>
      </c>
      <c r="M22" s="767" t="b">
        <f t="array" ref="M22:M25">VLOOKUP($D$22:$D$25,$D$14:$AV$17,45,0)</f>
        <v>0</v>
      </c>
      <c r="N22" s="651">
        <f>VLOOKUP($D22,$D$5:$Q$8,14,0)</f>
        <v>1</v>
      </c>
      <c r="O22" s="718" t="s">
        <v>26</v>
      </c>
      <c r="P22" s="754" t="str">
        <f>INDEX('World Cup'!$B$13:$AJ$38,1,1+(CODE($B$1)-65)*3)</f>
        <v>Argentina</v>
      </c>
      <c r="Q22" s="755" t="str">
        <f>INDEX('World Cup'!$B$13:$AJ$38,1,2+(CODE($B$1)-65)*3)</f>
        <v>Algeria</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ArgentinaAlgeria</v>
      </c>
      <c r="AA22" s="727" t="str">
        <f>IF($T22,$X22&amp;Language!$E$203&amp;$Y22,"")</f>
        <v>3 - 0</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Austria</v>
      </c>
      <c r="E23" s="777">
        <f t="shared" ref="E23:E25" si="37">VLOOKUP($D23,$D$5:$K$8,8,0)</f>
        <v>3</v>
      </c>
      <c r="F23" s="650">
        <f t="shared" ref="F23:F25" si="38">VLOOKUP($D23,$D$5:$K$8,5,0)</f>
        <v>3</v>
      </c>
      <c r="G23" s="784">
        <f t="shared" ref="G23:G25" si="39">VLOOKUP($D23,$D$5:$K$8,6,0)</f>
        <v>1</v>
      </c>
      <c r="H23" s="714" t="str">
        <v/>
      </c>
      <c r="I23" s="715" t="str">
        <v/>
      </c>
      <c r="J23" s="650" t="str">
        <v>3 - 1</v>
      </c>
      <c r="K23" s="780" t="str">
        <v/>
      </c>
      <c r="L23" s="767" t="b">
        <f t="shared" ref="L23:L25" si="40">OR($E23&gt;0,$G23&gt;0)</f>
        <v>1</v>
      </c>
      <c r="M23" s="767" t="b">
        <v>0</v>
      </c>
      <c r="N23" s="651">
        <f t="shared" ref="N23:N25" si="41">VLOOKUP($D23,$D$5:$Q$8,14,0)</f>
        <v>24</v>
      </c>
      <c r="O23" s="730" t="s">
        <v>27</v>
      </c>
      <c r="P23" s="757" t="str">
        <f>INDEX('World Cup'!$B$13:$AJ$38,6,1+(CODE($B$1)-65)*3)</f>
        <v>Austria</v>
      </c>
      <c r="Q23" s="758" t="str">
        <f>INDEX('World Cup'!$B$13:$AJ$38,6,2+(CODE($B$1)-65)*3)</f>
        <v>Jordan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AustriaJordan</v>
      </c>
      <c r="AA23" s="737" t="str">
        <f>IF($T23,$X23&amp;Language!$E$203&amp;$Y23,"")</f>
        <v>3 - 1</v>
      </c>
      <c r="AB23" s="767"/>
      <c r="AC23" s="767" t="b">
        <v>0</v>
      </c>
      <c r="AD23" s="767"/>
      <c r="AE23" s="651"/>
      <c r="AF23" s="846"/>
      <c r="AG23" s="769"/>
      <c r="AH23" s="769"/>
      <c r="AI23" s="769"/>
      <c r="AJ23" s="672"/>
      <c r="AK23" s="728"/>
      <c r="AL23" s="672"/>
      <c r="AN23" s="672"/>
      <c r="AO23" s="672"/>
      <c r="AY23" s="699">
        <f t="shared" ref="AY23:AY25" si="42">IFERROR(INDEX($E$14:$E$17,IF($I15=$AX$22,$C15,99)),0)</f>
        <v>4</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Jordan</v>
      </c>
      <c r="E24" s="777">
        <f t="shared" si="37"/>
        <v>0</v>
      </c>
      <c r="F24" s="650">
        <f t="shared" si="38"/>
        <v>1</v>
      </c>
      <c r="G24" s="784">
        <f t="shared" si="39"/>
        <v>3</v>
      </c>
      <c r="H24" s="714" t="str">
        <v/>
      </c>
      <c r="I24" s="650" t="str">
        <v>1 - 3</v>
      </c>
      <c r="J24" s="715" t="str">
        <v/>
      </c>
      <c r="K24" s="780" t="str">
        <v/>
      </c>
      <c r="L24" s="767" t="b">
        <f t="shared" si="40"/>
        <v>1</v>
      </c>
      <c r="M24" s="767" t="b">
        <v>0</v>
      </c>
      <c r="N24" s="651">
        <f t="shared" si="41"/>
        <v>63</v>
      </c>
      <c r="O24" s="730" t="s">
        <v>28</v>
      </c>
      <c r="P24" s="757" t="str">
        <f>INDEX('World Cup'!$B$13:$AJ$38,11,1+(CODE($B$1)-65)*3)</f>
        <v>Argentina</v>
      </c>
      <c r="Q24" s="758" t="str">
        <f>INDEX('World Cup'!$B$13:$AJ$38,11,2+(CODE($B$1)-65)*3)</f>
        <v>Austria</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ArgentinaAustria</v>
      </c>
      <c r="AA24" s="737" t="str">
        <f>IF($T24,$X24&amp;Language!$E$203&amp;$Y24,"")</f>
        <v/>
      </c>
      <c r="AB24" s="767"/>
      <c r="AC24" s="767" t="b">
        <v>0</v>
      </c>
      <c r="AD24" s="767"/>
      <c r="AE24" s="651"/>
      <c r="AF24" s="846"/>
      <c r="AG24" s="769"/>
      <c r="AH24" s="769"/>
      <c r="AI24" s="769"/>
      <c r="AJ24" s="672"/>
      <c r="AK24" s="728"/>
      <c r="AL24" s="672"/>
      <c r="AN24" s="672"/>
      <c r="AO24" s="672"/>
      <c r="AY24" s="699">
        <f t="shared" si="42"/>
        <v>0</v>
      </c>
      <c r="AZ24" s="687" t="str">
        <v>Jordan</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Algeria</v>
      </c>
      <c r="E25" s="785">
        <f t="shared" si="37"/>
        <v>0</v>
      </c>
      <c r="F25" s="717">
        <f t="shared" si="38"/>
        <v>0</v>
      </c>
      <c r="G25" s="786">
        <f t="shared" si="39"/>
        <v>3</v>
      </c>
      <c r="H25" s="716" t="str">
        <v>0 - 3</v>
      </c>
      <c r="I25" s="717" t="str">
        <v/>
      </c>
      <c r="J25" s="717" t="str">
        <v/>
      </c>
      <c r="K25" s="781" t="str">
        <v/>
      </c>
      <c r="L25" s="767" t="b">
        <f t="shared" si="40"/>
        <v>1</v>
      </c>
      <c r="M25" s="767" t="b">
        <v>0</v>
      </c>
      <c r="N25" s="651">
        <f t="shared" si="41"/>
        <v>28</v>
      </c>
      <c r="O25" s="730" t="s">
        <v>29</v>
      </c>
      <c r="P25" s="757" t="str">
        <f>INDEX('World Cup'!$B$13:$AJ$38,16,1+(CODE($B$1)-65)*3)</f>
        <v>Jordan</v>
      </c>
      <c r="Q25" s="758" t="str">
        <f>INDEX('World Cup'!$B$13:$AJ$38,16,2+(CODE($B$1)-65)*3)</f>
        <v>Algeria</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JordanAlgeria</v>
      </c>
      <c r="AA25" s="737" t="str">
        <f>IF($T25,$X25&amp;Language!$E$203&amp;$Y25,"")</f>
        <v/>
      </c>
      <c r="AB25" s="767"/>
      <c r="AC25" s="767" t="b">
        <v>0</v>
      </c>
      <c r="AD25" s="767"/>
      <c r="AE25" s="651"/>
      <c r="AF25" s="846"/>
      <c r="AG25" s="769"/>
      <c r="AH25" s="769"/>
      <c r="AI25" s="769"/>
      <c r="AJ25" s="672"/>
      <c r="AK25" s="728"/>
      <c r="AL25" s="672"/>
      <c r="AN25" s="672"/>
      <c r="AO25" s="672"/>
      <c r="AY25" s="699">
        <f t="shared" si="42"/>
        <v>3</v>
      </c>
      <c r="AZ25" s="688" t="str">
        <v>Algeria</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Algeria</v>
      </c>
      <c r="Q26" s="758" t="str">
        <f>INDEX('World Cup'!$B$13:$AJ$38,21,2+(CODE($B$1)-65)*3)</f>
        <v>Austria</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AlgeriaAustria</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v>
      </c>
      <c r="Q27" s="761" t="str">
        <f>INDEX('World Cup'!$B$13:$AJ$38,26,2+(CODE($B$1)-65)*3)</f>
        <v>Argentina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JordanArgentina</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AlgeriaArgentina</v>
      </c>
      <c r="AA28" s="737" t="str">
        <f>IF($T22,$Y22&amp;Language!$E$203&amp;$X22,"")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JordanAustria</v>
      </c>
      <c r="AA29" s="737" t="str">
        <f>IF($T23,$Y23&amp;Language!$E$203&amp;$X23,"")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AustriaArgentina</v>
      </c>
      <c r="AA30" s="737" t="str">
        <f>IF($T24,$Y24&amp;Language!$E$203&amp;$X24,"")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AlgeriaJordan</v>
      </c>
      <c r="AA31" s="737" t="str">
        <f>IF($T25,$Y25&amp;Language!$E$203&amp;$X25,"")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AustriaAlgeria</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ArgentinaJordan</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1</v>
      </c>
      <c r="I5" s="651">
        <f>SUMIFS($S$22:$S$27,$P$22:$P$27,$D5)+SUMIFS($R$22:$R$27,$Q$22:$Q$27,$D5)</f>
        <v>1</v>
      </c>
      <c r="J5" s="650">
        <f t="shared" ref="J5:J8" si="0">H5-I5</f>
        <v>0</v>
      </c>
      <c r="K5" s="662">
        <f>M5*3+N5</f>
        <v>1</v>
      </c>
      <c r="L5" s="651">
        <f>M5+N5+O5</f>
        <v>1</v>
      </c>
      <c r="M5" s="651">
        <f>SUMPRODUCT(($P$22:$P$27=D5)*($R$22:$R$27&gt;$S$22:$S$27))+SUMPRODUCT(($Q$22:$Q$27=D5)*($R$22:$R$27&lt;$S$22:$S$27))</f>
        <v>0</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1</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Congo</v>
      </c>
      <c r="E6" s="860"/>
      <c r="F6" s="661"/>
      <c r="G6" s="672"/>
      <c r="H6" s="651">
        <f>SUMIFS($R$22:$R$27,$P$22:$P$27,$D6)+SUMIFS($S$22:$S$27,$Q$22:$Q$27,$D6)</f>
        <v>1</v>
      </c>
      <c r="I6" s="651">
        <f>SUMIFS($S$22:$S$27,$P$22:$P$27,$D6)+SUMIFS($R$22:$R$27,$Q$22:$Q$27,$D6)</f>
        <v>1</v>
      </c>
      <c r="J6" s="650">
        <f t="shared" si="0"/>
        <v>0</v>
      </c>
      <c r="K6" s="662">
        <f t="shared" ref="K6:K8" si="1">M6*3+N6</f>
        <v>1</v>
      </c>
      <c r="L6" s="651">
        <f t="shared" ref="L6:L8" si="2">M6+N6+O6</f>
        <v>1</v>
      </c>
      <c r="M6" s="651">
        <f>SUMPRODUCT(($P$22:$P$27=D6)*($R$22:$R$27&gt;$S$22:$S$27))+SUMPRODUCT(($Q$22:$Q$27=D6)*($R$22:$R$27&lt;$S$22:$S$27))</f>
        <v>0</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INDEX(Language!$C$5:$C$100,MATCH($D6,Language!$E$5:$E$100,0),1)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1</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Uzbekistan</v>
      </c>
      <c r="E7" s="860"/>
      <c r="F7" s="661"/>
      <c r="G7" s="672"/>
      <c r="H7" s="651">
        <f>SUMIFS($R$22:$R$27,$P$22:$P$27,$D7)+SUMIFS($S$22:$S$27,$Q$22:$Q$27,$D7)</f>
        <v>1</v>
      </c>
      <c r="I7" s="651">
        <f>SUMIFS($S$22:$S$27,$P$22:$P$27,$D7)+SUMIFS($R$22:$R$27,$Q$22:$Q$27,$D7)</f>
        <v>3</v>
      </c>
      <c r="J7" s="650">
        <f t="shared" si="0"/>
        <v>-2</v>
      </c>
      <c r="K7" s="662">
        <f t="shared" si="1"/>
        <v>0</v>
      </c>
      <c r="L7" s="651">
        <f t="shared" si="2"/>
        <v>1</v>
      </c>
      <c r="M7" s="651">
        <f>SUMPRODUCT(($P$22:$P$27=D7)*($R$22:$R$27&gt;$S$22:$S$27))+SUMPRODUCT(($Q$22:$Q$27=D7)*($R$22:$R$27&lt;$S$22:$S$27))</f>
        <v>0</v>
      </c>
      <c r="N7" s="651">
        <f>SUMPRODUCT(($P$22:$Q$27=D7)*($R$22:$R$27=$S$22:$S$27)*($R$22:$R$27&lt;&gt;"")*($S$22:$S$27&lt;&gt;""))</f>
        <v>0</v>
      </c>
      <c r="O7" s="651">
        <f>SUMPRODUCT(($P$22:$P$27=D7)*($R$22:$R$27&lt;$S$22:$S$27))+SUMPRODUCT(($Q$22:$Q$27=D7)*($R$22:$R$27&gt;$S$22:$S$27))</f>
        <v>1</v>
      </c>
      <c r="P7" s="669">
        <f>SUMIFS(FairPlay!$G$6:$G$27,FairPlay!$B$6:$B$27,$D7)+SUMIFS(FairPlay!$G$30:$G$51,FairPlay!$B$30:$B$51,$D7)+SUMIFS(FairPlay!$G$54:$G$75,FairPlay!$B$54:$B$75,$D7)</f>
        <v>-1</v>
      </c>
      <c r="Q7" s="650">
        <f>INDEX(Language!$C$5:$C$100,MATCH($D7,Language!$E$5:$E$100,0),1)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1</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Colombia</v>
      </c>
      <c r="E8" s="860"/>
      <c r="F8" s="661"/>
      <c r="G8" s="672"/>
      <c r="H8" s="651">
        <f>SUMIFS($R$22:$R$27,$P$22:$P$27,$D8)+SUMIFS($S$22:$S$27,$Q$22:$Q$27,$D8)</f>
        <v>3</v>
      </c>
      <c r="I8" s="651">
        <f>SUMIFS($S$22:$S$27,$P$22:$P$27,$D8)+SUMIFS($R$22:$R$27,$Q$22:$Q$27,$D8)</f>
        <v>1</v>
      </c>
      <c r="J8" s="650">
        <f t="shared" si="0"/>
        <v>2</v>
      </c>
      <c r="K8" s="662">
        <f t="shared" si="1"/>
        <v>3</v>
      </c>
      <c r="L8" s="651">
        <f t="shared" si="2"/>
        <v>1</v>
      </c>
      <c r="M8" s="651">
        <f>SUMPRODUCT(($P$22:$P$27=D8)*($R$22:$R$27&gt;$S$22:$S$27))+SUMPRODUCT(($Q$22:$Q$27=D8)*($R$22:$R$27&lt;$S$22:$S$27))</f>
        <v>1</v>
      </c>
      <c r="N8" s="651">
        <f>SUMPRODUCT(($P$22:$Q$27=D8)*($R$22:$R$27=$S$22:$S$27)*($R$22:$R$27&lt;&gt;"")*($S$22:$S$27&lt;&gt;""))</f>
        <v>0</v>
      </c>
      <c r="O8" s="651">
        <f>SUMPRODUCT(($P$22:$P$27=D8)*($R$22:$R$27&lt;$S$22:$S$27))+SUMPRODUCT(($Q$22:$Q$27=D8)*($R$22:$R$27&gt;$S$22:$S$27))</f>
        <v>0</v>
      </c>
      <c r="P8" s="766">
        <f>SUMIFS(FairPlay!$G$6:$G$27,FairPlay!$B$6:$B$27,$D8)+SUMIFS(FairPlay!$G$30:$G$51,FairPlay!$B$30:$B$51,$D8)+SUMIFS(FairPlay!$G$54:$G$75,FairPlay!$B$54:$B$75,$D8)</f>
        <v>-1</v>
      </c>
      <c r="Q8" s="650">
        <f>INDEX(Language!$C$5:$C$100,MATCH($D8,Language!$E$5:$E$100,0),1)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DR Congo</v>
      </c>
      <c r="BG13" s="679" t="str">
        <v>Portugal</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3</v>
      </c>
      <c r="F14" s="661">
        <f>G14+ROW()/1000+(D14="")*10</f>
        <v>3.0139999999999998</v>
      </c>
      <c r="G14" s="800">
        <f>AS14</f>
        <v>3</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1</v>
      </c>
      <c r="AP14" s="685">
        <f t="shared" ref="AP14:AP17" si="16">AM14+AO14</f>
        <v>3</v>
      </c>
      <c r="AQ14" s="665"/>
      <c r="AR14" s="684">
        <f>COUNTIFS($R$5:$R$8,"&gt;"&amp;$R5,$AP$14:$AP$17,"="&amp;$AP14)</f>
        <v>0</v>
      </c>
      <c r="AS14" s="685">
        <f t="shared" ref="AS14:AS17" si="17">AP14+AR14</f>
        <v>3</v>
      </c>
      <c r="AT14" s="897" t="b">
        <f>AND($AV5,$AT5)</f>
        <v>1</v>
      </c>
      <c r="AU14" s="793" t="b">
        <f>OR($AV$14:$AV$17)</f>
        <v>0</v>
      </c>
      <c r="AV14" s="699" t="b">
        <f>AND($AU5,$AV5)</f>
        <v>0</v>
      </c>
      <c r="AX14" s="774">
        <f t="array" ref="AX14">IFERROR(SMALL(IF(COUNTIF($I$14:$I$17,$C$14:$C$17)&gt;1,$C$14:$C$17,""),1),"")</f>
        <v>2</v>
      </c>
      <c r="AY14" s="699">
        <f>IFERROR(INDEX($E$14:$E$17,IF($I14=$AX$14,$C14,99)),0)</f>
        <v>3</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Congo</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1</v>
      </c>
      <c r="AV15" s="699" t="b">
        <f t="shared" ref="AV15:AV17" si="27">AND($AU6,$AV6)</f>
        <v>0</v>
      </c>
      <c r="AX15" s="770"/>
      <c r="AY15" s="699">
        <f t="shared" ref="AY15:AY17" si="28">IFERROR(INDEX($E$14:$E$17,IF($I15=$AX$14,$C15,99)),0)</f>
        <v>2</v>
      </c>
      <c r="AZ15" s="687" t="str">
        <v>DR Congo</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Uzbekistan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Portugal</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Colombia</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Colombia</v>
      </c>
      <c r="I21" s="708" t="str">
        <v>DR Congo</v>
      </c>
      <c r="J21" s="708" t="str">
        <v>Portugal</v>
      </c>
      <c r="K21" s="709" t="str">
        <v>Uzbekistan</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Colombia</v>
      </c>
      <c r="E22" s="782">
        <f>VLOOKUP($D22,$D$5:$K$8,8,0)</f>
        <v>3</v>
      </c>
      <c r="F22" s="713">
        <f>VLOOKUP($D22,$D$5:$K$8,5,0)</f>
        <v>3</v>
      </c>
      <c r="G22" s="783">
        <f>VLOOKUP($D22,$D$5:$K$8,6,0)</f>
        <v>1</v>
      </c>
      <c r="H22" s="712" t="str">
        <f t="array" ref="H22:K25">IFERROR(VLOOKUP($D$22:$D$25&amp;$H$21:$K$21,$Z$22:$AA$33,2,0),"")</f>
        <v/>
      </c>
      <c r="I22" s="713" t="str">
        <v/>
      </c>
      <c r="J22" s="713" t="str">
        <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Congo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Congo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DR Congo</v>
      </c>
      <c r="E23" s="777">
        <f t="shared" ref="E23:E25" si="37">VLOOKUP($D23,$D$5:$K$8,8,0)</f>
        <v>1</v>
      </c>
      <c r="F23" s="650">
        <f t="shared" ref="F23:F25" si="38">VLOOKUP($D23,$D$5:$K$8,5,0)</f>
        <v>1</v>
      </c>
      <c r="G23" s="784">
        <f t="shared" ref="G23:G25" si="39">VLOOKUP($D23,$D$5:$K$8,6,0)</f>
        <v>1</v>
      </c>
      <c r="H23" s="714" t="str">
        <v/>
      </c>
      <c r="I23" s="715" t="str">
        <v/>
      </c>
      <c r="J23" s="650" t="str">
        <v>1 - 1</v>
      </c>
      <c r="K23" s="780" t="str">
        <v/>
      </c>
      <c r="L23" s="767" t="b">
        <f t="shared" ref="L23:L25" si="40">OR($E23&gt;0,$G23&gt;0)</f>
        <v>1</v>
      </c>
      <c r="M23" s="767" t="b">
        <v>0</v>
      </c>
      <c r="N23" s="651">
        <f t="shared" ref="N23:N25" si="41">VLOOKUP($D23,$D$5:$Q$8,14,0)</f>
        <v>46</v>
      </c>
      <c r="O23" s="730" t="s">
        <v>27</v>
      </c>
      <c r="P23" s="757" t="str">
        <f>INDEX('World Cup'!$B$13:$AJ$38,6,1+(CODE($B$1)-65)*3)</f>
        <v>Uzbekistan</v>
      </c>
      <c r="Q23" s="758" t="str">
        <f>INDEX('World Cup'!$B$13:$AJ$38,6,2+(CODE($B$1)-65)*3)</f>
        <v>Colombia</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UzbekistanColombia</v>
      </c>
      <c r="AA23" s="737" t="str">
        <f>IF($T23,$X23&amp;Language!$E$203&amp;$Y23,"")</f>
        <v>1 - 3</v>
      </c>
      <c r="AB23" s="767"/>
      <c r="AC23" s="767" t="b">
        <v>1</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Portugal</v>
      </c>
      <c r="E24" s="777">
        <f t="shared" si="37"/>
        <v>1</v>
      </c>
      <c r="F24" s="650">
        <f t="shared" si="38"/>
        <v>1</v>
      </c>
      <c r="G24" s="784">
        <f t="shared" si="39"/>
        <v>1</v>
      </c>
      <c r="H24" s="714" t="str">
        <v/>
      </c>
      <c r="I24" s="650" t="str">
        <v>1 - 1</v>
      </c>
      <c r="J24" s="715" t="str">
        <v/>
      </c>
      <c r="K24" s="780" t="str">
        <v/>
      </c>
      <c r="L24" s="767" t="b">
        <f t="shared" si="40"/>
        <v>1</v>
      </c>
      <c r="M24" s="767" t="b">
        <v>0</v>
      </c>
      <c r="N24" s="651">
        <f t="shared" si="41"/>
        <v>5</v>
      </c>
      <c r="O24" s="730" t="s">
        <v>28</v>
      </c>
      <c r="P24" s="757" t="str">
        <f>INDEX('World Cup'!$B$13:$AJ$38,11,1+(CODE($B$1)-65)*3)</f>
        <v>Portugal</v>
      </c>
      <c r="Q24" s="758" t="str">
        <f>INDEX('World Cup'!$B$13:$AJ$38,11,2+(CODE($B$1)-65)*3)</f>
        <v>Uzbekistan</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PortugalUzbekistan</v>
      </c>
      <c r="AA24" s="737" t="str">
        <f>IF($T24,$X24&amp;Language!$E$203&amp;$Y24,"")</f>
        <v/>
      </c>
      <c r="AB24" s="767"/>
      <c r="AC24" s="767" t="b">
        <v>1</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Uzbekistan</v>
      </c>
      <c r="E25" s="785">
        <f t="shared" si="37"/>
        <v>0</v>
      </c>
      <c r="F25" s="717">
        <f t="shared" si="38"/>
        <v>1</v>
      </c>
      <c r="G25" s="786">
        <f t="shared" si="39"/>
        <v>3</v>
      </c>
      <c r="H25" s="716" t="str">
        <v>1 - 3</v>
      </c>
      <c r="I25" s="717" t="str">
        <v/>
      </c>
      <c r="J25" s="717" t="str">
        <v/>
      </c>
      <c r="K25" s="781" t="str">
        <v/>
      </c>
      <c r="L25" s="767" t="b">
        <f t="shared" si="40"/>
        <v>1</v>
      </c>
      <c r="M25" s="767" t="b">
        <v>0</v>
      </c>
      <c r="N25" s="651">
        <f t="shared" si="41"/>
        <v>50</v>
      </c>
      <c r="O25" s="730" t="s">
        <v>29</v>
      </c>
      <c r="P25" s="757" t="str">
        <f>INDEX('World Cup'!$B$13:$AJ$38,16,1+(CODE($B$1)-65)*3)</f>
        <v>Colombia</v>
      </c>
      <c r="Q25" s="758" t="str">
        <f>INDEX('World Cup'!$B$13:$AJ$38,16,2+(CODE($B$1)-65)*3)</f>
        <v>DR Congo</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ColombiaDR Congo</v>
      </c>
      <c r="AA25" s="737" t="str">
        <f>IF($T25,$X25&amp;Language!$E$203&amp;$Y25,"")</f>
        <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Colombia</v>
      </c>
      <c r="Q26" s="758" t="str">
        <f>INDEX('World Cup'!$B$13:$AJ$38,21,2+(CODE($B$1)-65)*3)</f>
        <v>Portugal</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ColombiaPortugal</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Congo</v>
      </c>
      <c r="Q27" s="761" t="str">
        <f>INDEX('World Cup'!$B$13:$AJ$38,26,2+(CODE($B$1)-65)*3)</f>
        <v>Uzbekistan</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DR CongoUzbekistan</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CongoPortugal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ColombiaUzbekistan</v>
      </c>
      <c r="AA29" s="737" t="str">
        <f>IF($T23,$Y23&amp;Language!$E$203&amp;$X23,"")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UzbekistanPortugal</v>
      </c>
      <c r="AA30" s="737" t="str">
        <f>IF($T24,$Y24&amp;Language!$E$203&amp;$X24,"")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CongoColombia</v>
      </c>
      <c r="AA31" s="737" t="str">
        <f>IF($T25,$Y25&amp;Language!$E$203&amp;$X25,"")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PortugalColombia</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UzbekistanDR Congo</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4</v>
      </c>
      <c r="I5" s="651">
        <f>SUMIFS($S$22:$S$27,$P$22:$P$27,$D5)+SUMIFS($R$22:$R$27,$Q$22:$Q$27,$D5)</f>
        <v>2</v>
      </c>
      <c r="J5" s="650">
        <f t="shared" ref="J5:J8" si="0">H5-I5</f>
        <v>2</v>
      </c>
      <c r="K5" s="662">
        <f>M5*3+N5</f>
        <v>3</v>
      </c>
      <c r="L5" s="651">
        <f>M5+N5+O5</f>
        <v>1</v>
      </c>
      <c r="M5" s="651">
        <f>SUMPRODUCT(($P$22:$P$27=D5)*($R$22:$R$27&gt;$S$22:$S$27))+SUMPRODUCT(($Q$22:$Q$27=D5)*($R$22:$R$27&lt;$S$22:$S$27))</f>
        <v>1</v>
      </c>
      <c r="N5" s="651">
        <f>SUMPRODUCT(($P$22:$Q$27=D5)*($R$22:$R$27=$S$22:$S$27)*($R$22:$R$27&lt;&gt;"")*($S$22:$S$27&lt;&gt;""))</f>
        <v>0</v>
      </c>
      <c r="O5" s="651">
        <f>SUMPRODUCT(($P$22:$P$27=D5)*($R$22:$R$27&lt;$S$22:$S$27))+SUMPRODUCT(($Q$22:$Q$27=D5)*($R$22:$R$27&gt;$S$22:$S$27))</f>
        <v>0</v>
      </c>
      <c r="P5" s="663">
        <f>SUMIFS(FairPlay!$G$6:$G$27,FairPlay!$B$6:$B$27,$D5)+SUMIFS(FairPlay!$G$30:$G$51,FairPlay!$B$30:$B$51,$D5)+SUMIFS(FairPlay!$G$54:$G$75,FairPlay!$B$54:$B$75,$D5)</f>
        <v>0</v>
      </c>
      <c r="Q5" s="650">
        <f>INDEX(Language!$C$5:$C$100,MATCH($D5,Language!$E$5:$E$100,0),1)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Croatia</v>
      </c>
      <c r="E6" s="860"/>
      <c r="F6" s="661"/>
      <c r="G6" s="672"/>
      <c r="H6" s="651">
        <f>SUMIFS($R$22:$R$27,$P$22:$P$27,$D6)+SUMIFS($S$22:$S$27,$Q$22:$Q$27,$D6)</f>
        <v>2</v>
      </c>
      <c r="I6" s="651">
        <f>SUMIFS($S$22:$S$27,$P$22:$P$27,$D6)+SUMIFS($R$22:$R$27,$Q$22:$Q$27,$D6)</f>
        <v>4</v>
      </c>
      <c r="J6" s="650">
        <f t="shared" si="0"/>
        <v>-2</v>
      </c>
      <c r="K6" s="662">
        <f t="shared" ref="K6:K8" si="1">M6*3+N6</f>
        <v>0</v>
      </c>
      <c r="L6" s="651">
        <f t="shared" ref="L6:L8" si="2">M6+N6+O6</f>
        <v>1</v>
      </c>
      <c r="M6" s="651">
        <f>SUMPRODUCT(($P$22:$P$27=D6)*($R$22:$R$27&gt;$S$22:$S$27))+SUMPRODUCT(($Q$22:$Q$27=D6)*($R$22:$R$27&lt;$S$22:$S$27))</f>
        <v>0</v>
      </c>
      <c r="N6" s="651">
        <f>SUMPRODUCT(($P$22:$Q$27=D6)*($R$22:$R$27=$S$22:$S$27)*($R$22:$R$27&lt;&gt;"")*($S$22:$S$27&lt;&gt;""))</f>
        <v>0</v>
      </c>
      <c r="O6" s="651">
        <f>SUMPRODUCT(($P$22:$P$27=D6)*($R$22:$R$27&lt;$S$22:$S$27))+SUMPRODUCT(($Q$22:$Q$27=D6)*($R$22:$R$27&gt;$S$22:$S$27))</f>
        <v>1</v>
      </c>
      <c r="P6" s="669">
        <f>SUMIFS(FairPlay!$G$6:$G$27,FairPlay!$B$6:$B$27,$D6)+SUMIFS(FairPlay!$G$30:$G$51,FairPlay!$B$30:$B$51,$D6)+SUMIFS(FairPlay!$G$54:$G$75,FairPlay!$B$54:$B$75,$D6)</f>
        <v>0</v>
      </c>
      <c r="Q6" s="650">
        <f>INDEX(Language!$C$5:$C$100,MATCH($D6,Language!$E$5:$E$100,0),1)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Ghana</v>
      </c>
      <c r="E7" s="860"/>
      <c r="F7" s="661"/>
      <c r="G7" s="672"/>
      <c r="H7" s="651">
        <f>SUMIFS($R$22:$R$27,$P$22:$P$27,$D7)+SUMIFS($S$22:$S$27,$Q$22:$Q$27,$D7)</f>
        <v>1</v>
      </c>
      <c r="I7" s="651">
        <f>SUMIFS($S$22:$S$27,$P$22:$P$27,$D7)+SUMIFS($R$22:$R$27,$Q$22:$Q$27,$D7)</f>
        <v>0</v>
      </c>
      <c r="J7" s="650">
        <f t="shared" si="0"/>
        <v>1</v>
      </c>
      <c r="K7" s="662">
        <f t="shared" si="1"/>
        <v>3</v>
      </c>
      <c r="L7" s="651">
        <f t="shared" si="2"/>
        <v>1</v>
      </c>
      <c r="M7" s="651">
        <f>SUMPRODUCT(($P$22:$P$27=D7)*($R$22:$R$27&gt;$S$22:$S$27))+SUMPRODUCT(($Q$22:$Q$27=D7)*($R$22:$R$27&lt;$S$22:$S$27))</f>
        <v>1</v>
      </c>
      <c r="N7" s="651">
        <f>SUMPRODUCT(($P$22:$Q$27=D7)*($R$22:$R$27=$S$22:$S$27)*($R$22:$R$27&lt;&gt;"")*($S$22:$S$27&lt;&gt;""))</f>
        <v>0</v>
      </c>
      <c r="O7" s="651">
        <f>SUMPRODUCT(($P$22:$P$27=D7)*($R$22:$R$27&lt;$S$22:$S$27))+SUMPRODUCT(($Q$22:$Q$27=D7)*($R$22:$R$27&gt;$S$22:$S$27))</f>
        <v>0</v>
      </c>
      <c r="P7" s="669">
        <f>SUMIFS(FairPlay!$G$6:$G$27,FairPlay!$B$6:$B$27,$D7)+SUMIFS(FairPlay!$G$30:$G$51,FairPlay!$B$30:$B$51,$D7)+SUMIFS(FairPlay!$G$54:$G$75,FairPlay!$B$54:$B$75,$D7)</f>
        <v>-1</v>
      </c>
      <c r="Q7" s="650">
        <f>INDEX(Language!$C$5:$C$100,MATCH($D7,Language!$E$5:$E$100,0),1)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4</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1</v>
      </c>
      <c r="J8" s="650">
        <f t="shared" si="0"/>
        <v>-1</v>
      </c>
      <c r="K8" s="662">
        <f t="shared" si="1"/>
        <v>0</v>
      </c>
      <c r="L8" s="651">
        <f t="shared" si="2"/>
        <v>1</v>
      </c>
      <c r="M8" s="651">
        <f>SUMPRODUCT(($P$22:$P$27=D8)*($R$22:$R$27&gt;$S$22:$S$27))+SUMPRODUCT(($Q$22:$Q$27=D8)*($R$22:$R$27&lt;$S$22:$S$27))</f>
        <v>0</v>
      </c>
      <c r="N8" s="651">
        <f>SUMPRODUCT(($P$22:$Q$27=D8)*($R$22:$R$27=$S$22:$S$27)*($R$22:$R$27&lt;&gt;"")*($S$22:$S$27&lt;&gt;""))</f>
        <v>0</v>
      </c>
      <c r="O8" s="651">
        <f>SUMPRODUCT(($P$22:$P$27=D8)*($R$22:$R$27&lt;$S$22:$S$27))+SUMPRODUCT(($Q$22:$Q$27=D8)*($R$22:$R$27&gt;$S$22:$S$27))</f>
        <v>1</v>
      </c>
      <c r="P8" s="766">
        <f>SUMIFS(FairPlay!$G$6:$G$27,FairPlay!$B$6:$B$27,$D8)+SUMIFS(FairPlay!$G$30:$G$51,FairPlay!$B$30:$B$51,$D8)+SUMIFS(FairPlay!$G$54:$G$75,FairPlay!$B$54:$B$75,$D8)</f>
        <v>-2</v>
      </c>
      <c r="Q8" s="650">
        <f>INDEX(Language!$C$5:$C$100,MATCH($D8,Language!$E$5:$E$100,0),1)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2</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2</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England</v>
      </c>
      <c r="BF13" s="679" t="str">
        <v>Ghana</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England</v>
      </c>
      <c r="BA14" s="689">
        <f t="array" ref="BA14:BA17">IFERROR(VLOOKUP($BA$5:$BA$8,$C$14:$K$17,9,0),"")</f>
        <v>0</v>
      </c>
      <c r="BB14" s="689">
        <f t="array" ref="BB14:BB17">IFERROR(VLOOKUP($BA$5:$BA$8,$C$14:$O$17,13,0),"")</f>
        <v>0</v>
      </c>
      <c r="BC14" s="691">
        <f t="array" ref="BC14:BC17">IFERROR(VLOOKUP($BA$5:$BA$8,$C$14:$S$17,17,0),"")</f>
        <v>0</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Croatia</v>
      </c>
      <c r="E15" s="668">
        <f t="shared" ref="E15:E17" si="19">RANK(F15,$F$14:$F$17,1)</f>
        <v>4</v>
      </c>
      <c r="F15" s="661">
        <f t="shared" ref="F15:F17" si="20">G15+ROW()/1000+(D15="")*10</f>
        <v>4.0149999999999997</v>
      </c>
      <c r="G15" s="800">
        <f t="shared" ref="G15:G17" si="21">AS15</f>
        <v>4</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1</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Ghana</v>
      </c>
      <c r="BA15" s="672">
        <v>0</v>
      </c>
      <c r="BB15" s="672">
        <v>0</v>
      </c>
      <c r="BC15" s="692">
        <v>0</v>
      </c>
      <c r="BE15" s="697" t="str">
        <v/>
      </c>
      <c r="BF15" s="698" t="str">
        <v/>
      </c>
      <c r="BG15" s="699" t="str">
        <v/>
      </c>
      <c r="BH15" s="700" t="str">
        <v/>
      </c>
      <c r="BI15" s="699"/>
      <c r="BK15" s="669">
        <v>0</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0</v>
      </c>
      <c r="M16" s="666">
        <f t="shared" si="10"/>
        <v>1</v>
      </c>
      <c r="N16" s="665"/>
      <c r="O16" s="651">
        <f t="array" ref="O16">SUMPRODUCT($W$22:$W$27*($P$22:$P$27=$D16)*ISNUMBER(MATCH($Q$22:$Q$27,IF($I$14:$I$17=$I16,$D$14:$D$17,""),0)))+SUMPRODUCT(-$W$22:$W$27*($Q$22:$Q$27=$D16)*ISNUMBER(MATCH($P$22:$P$27,IF($I$14:$I$17=$I16,$D$14:$D$17,""),0)))</f>
        <v>0</v>
      </c>
      <c r="P16" s="650">
        <f>COUNTIFS($O$14:$O$17,"&gt;"&amp;$O16,$M$14:$M$17,"="&amp;$M16)</f>
        <v>0</v>
      </c>
      <c r="Q16" s="666">
        <f t="shared" si="11"/>
        <v>1</v>
      </c>
      <c r="R16" s="665"/>
      <c r="S16" s="651">
        <f t="array" ref="S16">SUMPRODUCT($X$22:$X$27*($P$22:$P$27=$D16)*ISNUMBER(MATCH($Q$22:$Q$27,IF($I$14:$I$17=$I16,$D$14:$D$17,""),0)))+SUMPRODUCT($Y$22:$Y$27*($Q$22:$Q$27=$D16)*ISNUMBER(MATCH($P$22:$P$27,IF($I$14:$I$17=$I16,$D$14:$D$17,""),0)))</f>
        <v>0</v>
      </c>
      <c r="T16" s="650">
        <f>COUNTIFS($S$14:$S$17,"&gt;"&amp;$S16,$Q$14:$Q$17,"="&amp;$Q16)</f>
        <v>0</v>
      </c>
      <c r="U16" s="666">
        <f t="shared" si="12"/>
        <v>1</v>
      </c>
      <c r="V16" s="776"/>
      <c r="W16" s="651">
        <f t="array" ref="W16">SUMPRODUCT($U$22:$U$27*($P$22:$P$27=$D16)*ISNUMBER(MATCH($Q$22:$Q$27,IF($U$14:$U$17=$U16,$D$14:$D$17,""),0)))+SUMPRODUCT($V$22:$V$27*($Q$22:$Q$27=$D16)*ISNUMBER(MATCH($P$22:$P$27,IF($U$14:$U$17=$U16,$D$14:$D$17,""),0)))</f>
        <v>0</v>
      </c>
      <c r="X16" s="650">
        <f>COUNTIFS($W$14:$W$17,"&gt;"&amp;$W16,$U$14:$U$17,"="&amp;$U16)</f>
        <v>0</v>
      </c>
      <c r="Y16" s="666">
        <f t="shared" si="13"/>
        <v>1</v>
      </c>
      <c r="Z16" s="665"/>
      <c r="AA16" s="651">
        <f t="array" ref="AA16">SUMPRODUCT($W$22:$W$27*($P$22:$P$27=$D16)*ISNUMBER(MATCH($Q$22:$Q$27,IF($U$14:$U$17=$U16,$D$14:$D$17,""),0)))+SUMPRODUCT(-$W$22:$W$27*($Q$22:$Q$27=$D16)*ISNUMBER(MATCH($P$22:$P$27,IF($U$14:$U$17=$U16,$D$14:$D$17,""),0)))</f>
        <v>0</v>
      </c>
      <c r="AB16" s="650">
        <f>COUNTIFS($AA$14:$AA$17,"&gt;"&amp;$AA16,$Y$14:$Y$17,"="&amp;$Y16)</f>
        <v>0</v>
      </c>
      <c r="AC16" s="666">
        <f t="shared" si="14"/>
        <v>1</v>
      </c>
      <c r="AD16" s="665"/>
      <c r="AE16" s="651">
        <f t="array" ref="AE16">SUMPRODUCT($X$22:$X$27*($P$22:$P$27=$D16)*ISNUMBER(MATCH($Q$22:$Q$27,IF($U$14:$U$17=$U16,$D$14:$D$17,""),0)))+SUMPRODUCT($Y$22:$Y$27*($Q$22:$Q$27=$D16)*ISNUMBER(MATCH($P$22:$P$27,IF($U$14:$U$17=$U16,$D$14:$D$17,""),0)))</f>
        <v>0</v>
      </c>
      <c r="AF16" s="650">
        <f>COUNTIFS($AE$14:$AE$17,"&gt;"&amp;$AE16,$AC$14:$AC$17,"="&amp;$AC16)</f>
        <v>0</v>
      </c>
      <c r="AG16" s="666">
        <f t="shared" si="15"/>
        <v>1</v>
      </c>
      <c r="AH16" s="776"/>
      <c r="AI16" s="672">
        <f>COUNTIFS($J$5:$J$8,"&gt;"&amp;$J7,$AG$14:$AG$17,"="&amp;$AG16)</f>
        <v>1</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1</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Ghana</v>
      </c>
      <c r="J21" s="708" t="str">
        <v>Panama</v>
      </c>
      <c r="K21" s="709" t="str">
        <v>Croatia</v>
      </c>
      <c r="L21" s="649" t="s">
        <v>1700</v>
      </c>
      <c r="M21" s="654" t="s">
        <v>1698</v>
      </c>
      <c r="N21" s="662" t="s">
        <v>1701</v>
      </c>
      <c r="T21" s="705" t="s">
        <v>169</v>
      </c>
      <c r="U21" s="1146" t="s">
        <v>1026</v>
      </c>
      <c r="V21" s="1146"/>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Panama</v>
      </c>
      <c r="BH21" s="680" t="str">
        <v>Croatia</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3</v>
      </c>
      <c r="F22" s="713">
        <f>VLOOKUP($D22,$D$5:$K$8,5,0)</f>
        <v>4</v>
      </c>
      <c r="G22" s="783">
        <f>VLOOKUP($D22,$D$5:$K$8,6,0)</f>
        <v>2</v>
      </c>
      <c r="H22" s="712" t="str">
        <f t="array" ref="H22:K25">IFERROR(VLOOKUP($D$22:$D$25&amp;$H$21:$K$21,$Z$22:$AA$33,2,0),"")</f>
        <v/>
      </c>
      <c r="I22" s="713" t="str">
        <v/>
      </c>
      <c r="J22" s="713" t="str">
        <v/>
      </c>
      <c r="K22" s="779" t="str">
        <v>4 - 2</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Croatia</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EnglandCroatia</v>
      </c>
      <c r="AA22" s="727" t="str">
        <f>IF($T22,$X22&amp;Language!$E$203&amp;$Y22,"")</f>
        <v>4 - 2</v>
      </c>
      <c r="AB22" s="767"/>
      <c r="AC22" s="767" t="b">
        <f t="array" ref="AC22:AC25">VLOOKUP($D$22:$D$25,$D$14:$AV$17,43,0)</f>
        <v>0</v>
      </c>
      <c r="AD22" s="767"/>
      <c r="AE22" s="651"/>
      <c r="AF22" s="846"/>
      <c r="AG22" s="769"/>
      <c r="AH22" s="769"/>
      <c r="AI22" s="768"/>
      <c r="AJ22" s="672"/>
      <c r="AK22" s="728"/>
      <c r="AL22" s="672"/>
      <c r="AN22" s="672"/>
      <c r="AO22" s="672"/>
      <c r="AX22" s="774">
        <f t="array" ref="AX22">IFERROR(SMALL(IF(COUNTIF($I$14:$I$17,$C$14:$C$17)&gt;1,$C$14:$C$17,""),2),"")</f>
        <v>3</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Ghana</v>
      </c>
      <c r="E23" s="777">
        <f t="shared" ref="E23:E25" si="37">VLOOKUP($D23,$D$5:$K$8,8,0)</f>
        <v>3</v>
      </c>
      <c r="F23" s="650">
        <f t="shared" ref="F23:F25" si="38">VLOOKUP($D23,$D$5:$K$8,5,0)</f>
        <v>1</v>
      </c>
      <c r="G23" s="784">
        <f t="shared" ref="G23:G25" si="39">VLOOKUP($D23,$D$5:$K$8,6,0)</f>
        <v>0</v>
      </c>
      <c r="H23" s="714" t="str">
        <v/>
      </c>
      <c r="I23" s="715" t="str">
        <v/>
      </c>
      <c r="J23" s="650" t="str">
        <v>1 - 0</v>
      </c>
      <c r="K23" s="780" t="str">
        <v/>
      </c>
      <c r="L23" s="767" t="b">
        <f t="shared" ref="L23:L25" si="40">OR($E23&gt;0,$G23&gt;0)</f>
        <v>1</v>
      </c>
      <c r="M23" s="767" t="b">
        <v>0</v>
      </c>
      <c r="N23" s="651">
        <f t="shared" ref="N23:N25" si="41">VLOOKUP($D23,$D$5:$Q$8,14,0)</f>
        <v>73</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4</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Panama</v>
      </c>
      <c r="E24" s="777">
        <f t="shared" si="37"/>
        <v>0</v>
      </c>
      <c r="F24" s="650">
        <f t="shared" si="38"/>
        <v>0</v>
      </c>
      <c r="G24" s="784">
        <f t="shared" si="39"/>
        <v>1</v>
      </c>
      <c r="H24" s="714" t="str">
        <v/>
      </c>
      <c r="I24" s="650" t="str">
        <v>0 - 1</v>
      </c>
      <c r="J24" s="715" t="str">
        <v/>
      </c>
      <c r="K24" s="780" t="str">
        <v/>
      </c>
      <c r="L24" s="767" t="b">
        <f t="shared" si="40"/>
        <v>1</v>
      </c>
      <c r="M24" s="767" t="b">
        <v>0</v>
      </c>
      <c r="N24" s="651">
        <f t="shared" si="41"/>
        <v>34</v>
      </c>
      <c r="O24" s="730" t="s">
        <v>28</v>
      </c>
      <c r="P24" s="757" t="str">
        <f>INDEX('World Cup'!$B$13:$AJ$38,11,1+(CODE($B$1)-65)*3)</f>
        <v>England</v>
      </c>
      <c r="Q24" s="758" t="str">
        <f>INDEX('World Cup'!$B$13:$AJ$38,11,2+(CODE($B$1)-65)*3)</f>
        <v>Ghana</v>
      </c>
      <c r="R24" s="758" t="str">
        <f>IF(OR(INDEX('World Cup'!$B$14:$AJ$39,11,1+(CODE($B$1)-65)*3)="",INDEX('World Cup'!$B$14:$AJ$39,11,2+(CODE($B$1)-65)*3)=""),"",INDEX('World Cup'!$B$14:$AJ$39,11,1+(CODE($B$1)-65)*3))</f>
        <v/>
      </c>
      <c r="S24" s="759" t="str">
        <f>IF(OR(INDEX('World Cup'!$B$14:$AJ$39,11,1+(CODE($B$1)-65)*3)="",INDEX('World Cup'!$B$14:$AJ$39,11,2+(CODE($B$1)-65)*3)=""),"",INDEX('World Cup'!$B$14:$AJ$39,11,2+(CODE($B$1)-65)*3))</f>
        <v/>
      </c>
      <c r="T24" s="650">
        <f t="shared" si="29"/>
        <v>0</v>
      </c>
      <c r="U24" s="732">
        <f t="shared" si="30"/>
        <v>0</v>
      </c>
      <c r="V24" s="650">
        <f t="shared" si="31"/>
        <v>0</v>
      </c>
      <c r="W24" s="733">
        <f t="shared" si="32"/>
        <v>0</v>
      </c>
      <c r="X24" s="734">
        <f t="shared" si="33"/>
        <v>0</v>
      </c>
      <c r="Y24" s="735">
        <f t="shared" si="34"/>
        <v>0</v>
      </c>
      <c r="Z24" s="736" t="str">
        <f t="shared" si="35"/>
        <v>EnglandGhana</v>
      </c>
      <c r="AA24" s="737" t="str">
        <f>IF($T24,$X24&amp;Language!$E$203&amp;$Y24,"")</f>
        <v/>
      </c>
      <c r="AB24" s="767"/>
      <c r="AC24" s="767" t="b">
        <v>0</v>
      </c>
      <c r="AD24" s="767"/>
      <c r="AE24" s="651"/>
      <c r="AF24" s="846"/>
      <c r="AG24" s="769"/>
      <c r="AH24" s="769"/>
      <c r="AI24" s="769"/>
      <c r="AJ24" s="672"/>
      <c r="AK24" s="728"/>
      <c r="AL24" s="672"/>
      <c r="AN24" s="672"/>
      <c r="AO24" s="672"/>
      <c r="AY24" s="699">
        <f t="shared" si="42"/>
        <v>0</v>
      </c>
      <c r="AZ24" s="687" t="str">
        <v>Panama</v>
      </c>
      <c r="BA24" s="672">
        <v>0</v>
      </c>
      <c r="BB24" s="672">
        <v>0</v>
      </c>
      <c r="BC24" s="692">
        <v>0</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Croatia</v>
      </c>
      <c r="E25" s="785">
        <f t="shared" si="37"/>
        <v>0</v>
      </c>
      <c r="F25" s="717">
        <f t="shared" si="38"/>
        <v>2</v>
      </c>
      <c r="G25" s="786">
        <f t="shared" si="39"/>
        <v>4</v>
      </c>
      <c r="H25" s="716" t="str">
        <v>2 - 4</v>
      </c>
      <c r="I25" s="717" t="str">
        <v/>
      </c>
      <c r="J25" s="717" t="str">
        <v/>
      </c>
      <c r="K25" s="781" t="str">
        <v/>
      </c>
      <c r="L25" s="767" t="b">
        <f t="shared" si="40"/>
        <v>1</v>
      </c>
      <c r="M25" s="767" t="b">
        <v>0</v>
      </c>
      <c r="N25" s="651">
        <f t="shared" si="41"/>
        <v>11</v>
      </c>
      <c r="O25" s="730" t="s">
        <v>29</v>
      </c>
      <c r="P25" s="757" t="str">
        <f>INDEX('World Cup'!$B$13:$AJ$38,16,1+(CODE($B$1)-65)*3)</f>
        <v>Panama</v>
      </c>
      <c r="Q25" s="758" t="str">
        <f>INDEX('World Cup'!$B$13:$AJ$38,16,2+(CODE($B$1)-65)*3)</f>
        <v>Croatia</v>
      </c>
      <c r="R25" s="758" t="str">
        <f>IF(OR(INDEX('World Cup'!$B$14:$AJ$39,16,1+(CODE($B$1)-65)*3)="",INDEX('World Cup'!$B$14:$AJ$39,16,2+(CODE($B$1)-65)*3)=""),"",INDEX('World Cup'!$B$14:$AJ$39,16,1+(CODE($B$1)-65)*3))</f>
        <v/>
      </c>
      <c r="S25" s="759" t="str">
        <f>IF(OR(INDEX('World Cup'!$B$14:$AJ$39,16,1+(CODE($B$1)-65)*3)="",INDEX('World Cup'!$B$14:$AJ$39,16,2+(CODE($B$1)-65)*3)=""),"",INDEX('World Cup'!$B$14:$AJ$39,16,2+(CODE($B$1)-65)*3))</f>
        <v/>
      </c>
      <c r="T25" s="650">
        <f t="shared" si="29"/>
        <v>0</v>
      </c>
      <c r="U25" s="732">
        <f t="shared" si="30"/>
        <v>0</v>
      </c>
      <c r="V25" s="650">
        <f t="shared" si="31"/>
        <v>0</v>
      </c>
      <c r="W25" s="733">
        <f t="shared" si="32"/>
        <v>0</v>
      </c>
      <c r="X25" s="734">
        <f t="shared" si="33"/>
        <v>0</v>
      </c>
      <c r="Y25" s="735">
        <f t="shared" si="34"/>
        <v>0</v>
      </c>
      <c r="Z25" s="736" t="str">
        <f t="shared" si="35"/>
        <v>PanamaCroatia</v>
      </c>
      <c r="AA25" s="737" t="str">
        <f>IF($T25,$X25&amp;Language!$E$203&amp;$Y25,"")</f>
        <v/>
      </c>
      <c r="AB25" s="767"/>
      <c r="AC25" s="767" t="b">
        <v>0</v>
      </c>
      <c r="AD25" s="767"/>
      <c r="AE25" s="651"/>
      <c r="AF25" s="846"/>
      <c r="AG25" s="769"/>
      <c r="AH25" s="769"/>
      <c r="AI25" s="769"/>
      <c r="AJ25" s="672"/>
      <c r="AK25" s="728"/>
      <c r="AL25" s="672"/>
      <c r="AN25" s="672"/>
      <c r="AO25" s="672"/>
      <c r="AY25" s="699">
        <f t="shared" si="42"/>
        <v>3</v>
      </c>
      <c r="AZ25" s="688" t="str">
        <v>Croatia</v>
      </c>
      <c r="BA25" s="690">
        <v>0</v>
      </c>
      <c r="BB25" s="690">
        <v>0</v>
      </c>
      <c r="BC25" s="693">
        <v>0</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t="str">
        <f>IF(OR(INDEX('World Cup'!$B$14:$AJ$39,21,1+(CODE($B$1)-65)*3)="",INDEX('World Cup'!$B$14:$AJ$39,21,2+(CODE($B$1)-65)*3)=""),"",INDEX('World Cup'!$B$14:$AJ$39,21,1+(CODE($B$1)-65)*3))</f>
        <v/>
      </c>
      <c r="S26" s="759" t="str">
        <f>IF(OR(INDEX('World Cup'!$B$14:$AJ$39,21,1+(CODE($B$1)-65)*3)="",INDEX('World Cup'!$B$14:$AJ$39,21,2+(CODE($B$1)-65)*3)=""),"",INDEX('World Cup'!$B$14:$AJ$39,21,2+(CODE($B$1)-65)*3))</f>
        <v/>
      </c>
      <c r="T26" s="650">
        <f t="shared" ref="T26:T27" si="43">IF(AND(P26&lt;&gt;"",Q26&lt;&gt;"",P26&lt;&gt;Q26,R26&lt;&gt;"",S26&lt;&gt;""),1,0)</f>
        <v>0</v>
      </c>
      <c r="U26" s="732">
        <f t="shared" ref="U26:U27" si="44">IF($T26=0,0,IF($R26&gt;$S26,3,IF($R26=$S26,1,0)))</f>
        <v>0</v>
      </c>
      <c r="V26" s="650">
        <f t="shared" ref="V26:V27" si="45">IF($T26=0,0,IF($R26&lt;$S26,3,IF($R26=$S26,1,0)))</f>
        <v>0</v>
      </c>
      <c r="W26" s="733">
        <f t="shared" ref="W26:W27" si="46">IF(OR(R26="",S26=""),0,R26-S26)</f>
        <v>0</v>
      </c>
      <c r="X26" s="734">
        <f t="shared" ref="X26:X27" si="47">IF(OR(R26="",S26=""),0,R26)</f>
        <v>0</v>
      </c>
      <c r="Y26" s="735">
        <f t="shared" ref="Y26:Y27" si="48">IF(OR(R26="",S26=""),0,S26)</f>
        <v>0</v>
      </c>
      <c r="Z26" s="736" t="str">
        <f t="shared" ref="Z26:Z27" si="49">P26&amp;Q26</f>
        <v>PanamaEngland</v>
      </c>
      <c r="AA26" s="737" t="str">
        <f>IF($T26,$X26&amp;Language!$E$203&amp;$Y26,"")</f>
        <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Croatia</v>
      </c>
      <c r="Q27" s="761" t="str">
        <f>INDEX('World Cup'!$B$13:$AJ$38,26,2+(CODE($B$1)-65)*3)</f>
        <v>Ghana</v>
      </c>
      <c r="R27" s="761" t="str">
        <f>IF(OR(INDEX('World Cup'!$B$14:$AJ$39,26,1+(CODE($B$1)-65)*3)="",INDEX('World Cup'!$B$14:$AJ$39,26,2+(CODE($B$1)-65)*3)=""),"",INDEX('World Cup'!$B$14:$AJ$39,26,1+(CODE($B$1)-65)*3))</f>
        <v/>
      </c>
      <c r="S27" s="762" t="str">
        <f>IF(OR(INDEX('World Cup'!$B$14:$AJ$39,26,1+(CODE($B$1)-65)*3)="",INDEX('World Cup'!$B$14:$AJ$39,26,2+(CODE($B$1)-65)*3)=""),"",INDEX('World Cup'!$B$14:$AJ$39,26,2+(CODE($B$1)-65)*3))</f>
        <v/>
      </c>
      <c r="T27" s="742">
        <f t="shared" si="43"/>
        <v>0</v>
      </c>
      <c r="U27" s="743">
        <f t="shared" si="44"/>
        <v>0</v>
      </c>
      <c r="V27" s="742">
        <f t="shared" si="45"/>
        <v>0</v>
      </c>
      <c r="W27" s="744">
        <f t="shared" si="46"/>
        <v>0</v>
      </c>
      <c r="X27" s="745">
        <f t="shared" si="47"/>
        <v>0</v>
      </c>
      <c r="Y27" s="746">
        <f t="shared" si="48"/>
        <v>0</v>
      </c>
      <c r="Z27" s="747" t="str">
        <f t="shared" si="49"/>
        <v>CroatiaGhana</v>
      </c>
      <c r="AA27" s="748" t="str">
        <f>IF($T27,$X27&amp;Language!$E$203&amp;$Y27,"")</f>
        <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CroatiaEngland</v>
      </c>
      <c r="AA28" s="737" t="str">
        <f>IF($T22,$Y22&amp;Language!$E$203&amp;$X22,"")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IF($T24,$Y24&amp;Language!$E$203&amp;$X24,"")</f>
        <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CroatiaPanama</v>
      </c>
      <c r="AA31" s="737" t="str">
        <f>IF($T25,$Y25&amp;Language!$E$203&amp;$X25,"")</f>
        <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IF($T26,$Y26&amp;Language!$E$203&amp;$X26,"")</f>
        <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GhanaCroatia</v>
      </c>
      <c r="AA33" s="748" t="str">
        <f>IF($T27,$Y27&amp;Language!$E$203&amp;$X27,"")</f>
        <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topLeftCell="A25" workbookViewId="0">
      <selection activeCell="C48" sqref="C48"/>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4" t="str">
        <f>Language!$E$123</f>
        <v>Fair play</v>
      </c>
      <c r="C2" s="1024"/>
      <c r="D2" s="1024"/>
      <c r="E2" s="1024"/>
      <c r="F2" s="1024"/>
      <c r="G2" s="1024"/>
      <c r="H2" s="904"/>
      <c r="I2" s="904"/>
      <c r="J2" s="904"/>
    </row>
    <row r="3" spans="1:11" ht="91.5" customHeight="1" x14ac:dyDescent="0.25">
      <c r="B3" s="1023" t="str">
        <f>Language!$E$199</f>
        <v>Here, the number of yellow and red cards can be entered.
Yellow card: 1 penalty point
Yellow/Red card: 3 penalty points
Straight red card: 4 penalty points
Yellow card and straight red card: 5 penalty points</v>
      </c>
      <c r="C3" s="1023"/>
      <c r="D3" s="1023"/>
      <c r="E3" s="1023"/>
      <c r="F3" s="1023"/>
      <c r="G3" s="1023"/>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Language!$E$130&amp;" "&amp;A5</f>
        <v>Group A</v>
      </c>
      <c r="C5" s="919" t="str">
        <f>Language!$E$187</f>
        <v>Number of yellow cards</v>
      </c>
      <c r="D5" s="919" t="str">
        <f>Language!$E$188</f>
        <v>Number of indirect red cards (yellow/red)</v>
      </c>
      <c r="E5" s="919" t="str">
        <f>Language!$E$189</f>
        <v>Number of straight red cards</v>
      </c>
      <c r="F5" s="919" t="str">
        <f>Language!$E$190</f>
        <v>Number of yellow cards and straight red cards</v>
      </c>
      <c r="G5" s="920" t="str">
        <f>Language!$E$174</f>
        <v>Total fair play points</v>
      </c>
      <c r="H5" s="207" t="s">
        <v>22</v>
      </c>
      <c r="K5" s="207" t="s">
        <v>32</v>
      </c>
    </row>
    <row r="6" spans="1:11" x14ac:dyDescent="0.25">
      <c r="B6" s="28" t="str">
        <f>VLOOKUP(A5&amp;"1",Groups!$B$7:$D$65,3,0)</f>
        <v>Mexico</v>
      </c>
      <c r="C6" s="924">
        <v>1</v>
      </c>
      <c r="D6" s="924"/>
      <c r="E6" s="924">
        <v>1</v>
      </c>
      <c r="F6" s="924"/>
      <c r="G6" s="921">
        <f>C6*$K$6+D6*$K$7+E6*$K$8+F6*$K$9</f>
        <v>-5</v>
      </c>
      <c r="J6" t="s">
        <v>2110</v>
      </c>
      <c r="K6" s="787">
        <v>-1</v>
      </c>
    </row>
    <row r="7" spans="1:11" x14ac:dyDescent="0.25">
      <c r="B7" s="28" t="str">
        <f>VLOOKUP(A5&amp;"2",Groups!$B$7:$D$65,3,0)</f>
        <v>South Africa</v>
      </c>
      <c r="C7" s="924">
        <v>4</v>
      </c>
      <c r="D7" s="924"/>
      <c r="E7" s="924">
        <v>2</v>
      </c>
      <c r="F7" s="924"/>
      <c r="G7" s="922">
        <f t="shared" ref="G7:G9" si="0">C7*$K$6+D7*$K$7+E7*$K$8+F7*$K$9</f>
        <v>-12</v>
      </c>
      <c r="J7" t="s">
        <v>2108</v>
      </c>
      <c r="K7" s="787">
        <v>-3</v>
      </c>
    </row>
    <row r="8" spans="1:11" x14ac:dyDescent="0.25">
      <c r="B8" s="28" t="str">
        <f>VLOOKUP(A5&amp;"3",Groups!$B$7:$D$65,3,0)</f>
        <v>South Korea</v>
      </c>
      <c r="C8" s="924">
        <v>3</v>
      </c>
      <c r="D8" s="924"/>
      <c r="E8" s="924"/>
      <c r="F8" s="924"/>
      <c r="G8" s="922">
        <f t="shared" si="0"/>
        <v>-3</v>
      </c>
      <c r="J8" t="s">
        <v>2109</v>
      </c>
      <c r="K8" s="787">
        <v>-4</v>
      </c>
    </row>
    <row r="9" spans="1:11" x14ac:dyDescent="0.25">
      <c r="B9" s="28" t="str">
        <f>VLOOKUP(A5&amp;"4",Groups!$B$7:$D$65,3,0)</f>
        <v>Czechia</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Language!$E$130&amp;" "&amp;A11</f>
        <v>Group B</v>
      </c>
      <c r="C11" s="919" t="str">
        <f>Language!$E$187</f>
        <v>Number of yellow cards</v>
      </c>
      <c r="D11" s="919" t="str">
        <f>Language!$E$188</f>
        <v>Number of indirect red cards (yellow/red)</v>
      </c>
      <c r="E11" s="919" t="str">
        <f>Language!$E$189</f>
        <v>Number of straight red cards</v>
      </c>
      <c r="F11" s="919" t="str">
        <f>Language!$E$190</f>
        <v>Number of yellow cards and straight red cards</v>
      </c>
      <c r="G11" s="920" t="str">
        <f>Language!$E$174</f>
        <v>Total fair play points</v>
      </c>
      <c r="H11" s="207" t="s">
        <v>23</v>
      </c>
      <c r="K11" s="207" t="s">
        <v>830</v>
      </c>
    </row>
    <row r="12" spans="1:11" x14ac:dyDescent="0.25">
      <c r="B12" s="28" t="str">
        <f>VLOOKUP(A11&amp;"1",Groups!$B$7:$D$65,3,0)</f>
        <v>Canada</v>
      </c>
      <c r="C12" s="924">
        <v>3</v>
      </c>
      <c r="D12" s="924"/>
      <c r="E12" s="924"/>
      <c r="F12" s="924"/>
      <c r="G12" s="921">
        <f t="shared" ref="G12:G15" si="1">C12*$K$6+D12*$K$7+E12*$K$8+F12*$K$9</f>
        <v>-3</v>
      </c>
    </row>
    <row r="13" spans="1:11" x14ac:dyDescent="0.25">
      <c r="B13" s="28" t="str">
        <f>VLOOKUP(A11&amp;"2",Groups!$B$7:$D$65,3,0)</f>
        <v>Bosnia/Herzeg.</v>
      </c>
      <c r="C13" s="924">
        <v>5</v>
      </c>
      <c r="D13" s="924"/>
      <c r="E13" s="924">
        <v>1</v>
      </c>
      <c r="F13" s="924"/>
      <c r="G13" s="922">
        <f t="shared" si="1"/>
        <v>-9</v>
      </c>
    </row>
    <row r="14" spans="1:11" x14ac:dyDescent="0.25">
      <c r="B14" s="28" t="str">
        <f>VLOOKUP(A11&amp;"3",Groups!$B$7:$D$65,3,0)</f>
        <v>Qatar</v>
      </c>
      <c r="C14" s="924">
        <v>3</v>
      </c>
      <c r="D14" s="924"/>
      <c r="E14" s="924">
        <v>2</v>
      </c>
      <c r="F14" s="924"/>
      <c r="G14" s="922">
        <f t="shared" si="1"/>
        <v>-11</v>
      </c>
    </row>
    <row r="15" spans="1:11" x14ac:dyDescent="0.25">
      <c r="B15" s="28" t="str">
        <f>VLOOKUP(A11&amp;"4",Groups!$B$7:$D$65,3,0)</f>
        <v>Switzerland</v>
      </c>
      <c r="C15" s="924">
        <v>2</v>
      </c>
      <c r="D15" s="924"/>
      <c r="E15" s="924"/>
      <c r="F15" s="924"/>
      <c r="G15" s="922">
        <f t="shared" si="1"/>
        <v>-2</v>
      </c>
    </row>
    <row r="16" spans="1:11" ht="24.95" customHeight="1" x14ac:dyDescent="0.25">
      <c r="C16" s="925"/>
      <c r="D16" s="925"/>
      <c r="E16" s="925"/>
      <c r="F16" s="925"/>
      <c r="G16" s="222"/>
    </row>
    <row r="17" spans="1:11" ht="50.25" customHeight="1" thickBot="1" x14ac:dyDescent="0.3">
      <c r="A17" s="207" t="s">
        <v>21</v>
      </c>
      <c r="B17" s="918" t="str">
        <f>Language!$E$130&amp;" "&amp;A17</f>
        <v>Group C</v>
      </c>
      <c r="C17" s="919" t="str">
        <f>Language!$E$187</f>
        <v>Number of yellow cards</v>
      </c>
      <c r="D17" s="919" t="str">
        <f>Language!$E$188</f>
        <v>Number of indirect red cards (yellow/red)</v>
      </c>
      <c r="E17" s="919" t="str">
        <f>Language!$E$189</f>
        <v>Number of straight red cards</v>
      </c>
      <c r="F17" s="919" t="str">
        <f>Language!$E$190</f>
        <v>Number of yellow cards and straight red cards</v>
      </c>
      <c r="G17" s="920" t="str">
        <f>Language!$E$174</f>
        <v>Total fair play points</v>
      </c>
      <c r="H17" s="207" t="s">
        <v>272</v>
      </c>
      <c r="K17" s="207" t="s">
        <v>33</v>
      </c>
    </row>
    <row r="18" spans="1:11" x14ac:dyDescent="0.25">
      <c r="B18" s="28" t="str">
        <f>VLOOKUP(A17&amp;"1",Groups!$B$7:$D$65,3,0)</f>
        <v>Brazil</v>
      </c>
      <c r="C18" s="924">
        <v>3</v>
      </c>
      <c r="D18" s="924"/>
      <c r="E18" s="924"/>
      <c r="F18" s="924"/>
      <c r="G18" s="921">
        <f t="shared" ref="G18:G21" si="2">C18*$K$6+D18*$K$7+E18*$K$8+F18*$K$9</f>
        <v>-3</v>
      </c>
    </row>
    <row r="19" spans="1:11" x14ac:dyDescent="0.25">
      <c r="B19" s="28" t="str">
        <f>VLOOKUP(A17&amp;"2",Groups!$B$7:$D$65,3,0)</f>
        <v>Morocco</v>
      </c>
      <c r="C19" s="924">
        <v>1</v>
      </c>
      <c r="D19" s="924"/>
      <c r="E19" s="924"/>
      <c r="F19" s="924"/>
      <c r="G19" s="922">
        <f t="shared" si="2"/>
        <v>-1</v>
      </c>
    </row>
    <row r="20" spans="1:11" x14ac:dyDescent="0.25">
      <c r="B20" s="28" t="str">
        <f>VLOOKUP(A17&amp;"3",Groups!$B$7:$D$65,3,0)</f>
        <v>Haiti</v>
      </c>
      <c r="C20" s="924">
        <v>4</v>
      </c>
      <c r="D20" s="924"/>
      <c r="E20" s="924"/>
      <c r="F20" s="924"/>
      <c r="G20" s="922">
        <f t="shared" si="2"/>
        <v>-4</v>
      </c>
    </row>
    <row r="21" spans="1:11" x14ac:dyDescent="0.25">
      <c r="B21" s="28" t="str">
        <f>VLOOKUP(A17&amp;"4",Groups!$B$7:$D$65,3,0)</f>
        <v>Scotland</v>
      </c>
      <c r="C21" s="924">
        <v>4</v>
      </c>
      <c r="D21" s="924"/>
      <c r="E21" s="924"/>
      <c r="F21" s="924"/>
      <c r="G21" s="922">
        <f t="shared" si="2"/>
        <v>-4</v>
      </c>
    </row>
    <row r="22" spans="1:11" ht="24.95" customHeight="1" x14ac:dyDescent="0.25">
      <c r="C22" s="925"/>
      <c r="D22" s="925"/>
      <c r="E22" s="925"/>
      <c r="F22" s="925"/>
      <c r="G22" s="222"/>
    </row>
    <row r="23" spans="1:11" ht="50.25" customHeight="1" thickBot="1" x14ac:dyDescent="0.3">
      <c r="A23" s="207" t="s">
        <v>25</v>
      </c>
      <c r="B23" s="918" t="str">
        <f>Language!$E$130&amp;" "&amp;A23</f>
        <v>Group D</v>
      </c>
      <c r="C23" s="919" t="str">
        <f>Language!$E$187</f>
        <v>Number of yellow cards</v>
      </c>
      <c r="D23" s="919" t="str">
        <f>Language!$E$188</f>
        <v>Number of indirect red cards (yellow/red)</v>
      </c>
      <c r="E23" s="919" t="str">
        <f>Language!$E$189</f>
        <v>Number of straight red cards</v>
      </c>
      <c r="F23" s="919" t="str">
        <f>Language!$E$190</f>
        <v>Number of yellow cards and straight red cards</v>
      </c>
      <c r="G23" s="920" t="str">
        <f>Language!$E$174</f>
        <v>Total fair play points</v>
      </c>
      <c r="H23" s="207" t="s">
        <v>31</v>
      </c>
      <c r="K23" s="207" t="s">
        <v>34</v>
      </c>
    </row>
    <row r="24" spans="1:11" x14ac:dyDescent="0.25">
      <c r="B24" s="28" t="str">
        <f>VLOOKUP(A23&amp;"1",Groups!$B$7:$D$65,3,0)</f>
        <v>USA</v>
      </c>
      <c r="C24" s="924">
        <v>4</v>
      </c>
      <c r="D24" s="924"/>
      <c r="E24" s="924"/>
      <c r="F24" s="924"/>
      <c r="G24" s="921">
        <f t="shared" ref="G24:G27" si="3">C24*$K$6+D24*$K$7+E24*$K$8+F24*$K$9</f>
        <v>-4</v>
      </c>
    </row>
    <row r="25" spans="1:11" x14ac:dyDescent="0.25">
      <c r="B25" s="28" t="str">
        <f>VLOOKUP(A23&amp;"2",Groups!$B$7:$D$65,3,0)</f>
        <v>Paraguay</v>
      </c>
      <c r="C25" s="924">
        <v>6</v>
      </c>
      <c r="D25" s="924"/>
      <c r="E25" s="924">
        <v>1</v>
      </c>
      <c r="F25" s="924"/>
      <c r="G25" s="922">
        <f t="shared" si="3"/>
        <v>-10</v>
      </c>
    </row>
    <row r="26" spans="1:11" x14ac:dyDescent="0.25">
      <c r="B26" s="28" t="str">
        <f>VLOOKUP(A23&amp;"3",Groups!$B$7:$D$65,3,0)</f>
        <v>Australia</v>
      </c>
      <c r="C26" s="924">
        <v>4</v>
      </c>
      <c r="D26" s="924"/>
      <c r="E26" s="924"/>
      <c r="F26" s="924"/>
      <c r="G26" s="922">
        <f t="shared" si="3"/>
        <v>-4</v>
      </c>
    </row>
    <row r="27" spans="1:11" x14ac:dyDescent="0.25">
      <c r="B27" s="28" t="str">
        <f>VLOOKUP(A23&amp;"4",Groups!$B$7:$D$65,3,0)</f>
        <v>Turkiye</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Language!$E$130&amp;" "&amp;H5</f>
        <v>Group E</v>
      </c>
      <c r="C29" s="919" t="str">
        <f>Language!$E$187</f>
        <v>Number of yellow cards</v>
      </c>
      <c r="D29" s="919" t="str">
        <f>Language!$E$188</f>
        <v>Number of indirect red cards (yellow/red)</v>
      </c>
      <c r="E29" s="919" t="str">
        <f>Language!$E$189</f>
        <v>Number of straight red cards</v>
      </c>
      <c r="F29" s="919" t="str">
        <f>Language!$E$190</f>
        <v>Number of yellow cards and straight red cards</v>
      </c>
      <c r="G29" s="920" t="str">
        <f>Language!$E$174</f>
        <v>Total fair play points</v>
      </c>
    </row>
    <row r="30" spans="1:11" x14ac:dyDescent="0.25">
      <c r="B30" s="28" t="str">
        <f>VLOOKUP(H5&amp;"1",Groups!$B$7:$D$65,3,0)</f>
        <v>Germany</v>
      </c>
      <c r="C30" s="924"/>
      <c r="D30" s="924"/>
      <c r="E30" s="924"/>
      <c r="F30" s="924"/>
      <c r="G30" s="921">
        <f t="shared" ref="G30:G33" si="4">C30*$K$6+D30*$K$7+E30*$K$8+F30*$K$9</f>
        <v>0</v>
      </c>
    </row>
    <row r="31" spans="1:11" x14ac:dyDescent="0.25">
      <c r="B31" s="28" t="str">
        <f>VLOOKUP(H5&amp;"2",Groups!$B$7:$D$65,3,0)</f>
        <v>Curaçao</v>
      </c>
      <c r="C31" s="924">
        <v>5</v>
      </c>
      <c r="D31" s="924"/>
      <c r="E31" s="924"/>
      <c r="F31" s="924"/>
      <c r="G31" s="922">
        <f t="shared" si="4"/>
        <v>-5</v>
      </c>
    </row>
    <row r="32" spans="1:11" x14ac:dyDescent="0.25">
      <c r="B32" s="28" t="str">
        <f>VLOOKUP(H5&amp;"3",Groups!$B$7:$D$65,3,0)</f>
        <v>Cote d'Ivoire</v>
      </c>
      <c r="C32" s="924">
        <v>3</v>
      </c>
      <c r="D32" s="924"/>
      <c r="E32" s="924"/>
      <c r="F32" s="924"/>
      <c r="G32" s="922">
        <f t="shared" si="4"/>
        <v>-3</v>
      </c>
    </row>
    <row r="33" spans="2:7" x14ac:dyDescent="0.25">
      <c r="B33" s="28" t="str">
        <f>VLOOKUP(H5&amp;"4",Groups!$B$7:$D$65,3,0)</f>
        <v>Ecuador</v>
      </c>
      <c r="C33" s="924">
        <v>2</v>
      </c>
      <c r="D33" s="924"/>
      <c r="E33" s="924"/>
      <c r="F33" s="924"/>
      <c r="G33" s="922">
        <f t="shared" si="4"/>
        <v>-2</v>
      </c>
    </row>
    <row r="34" spans="2:7" ht="24.95" customHeight="1" x14ac:dyDescent="0.25">
      <c r="C34" s="925"/>
      <c r="D34" s="925"/>
      <c r="E34" s="925"/>
      <c r="F34" s="925"/>
      <c r="G34" s="222"/>
    </row>
    <row r="35" spans="2:7" ht="50.25" customHeight="1" thickBot="1" x14ac:dyDescent="0.3">
      <c r="B35" s="918" t="str">
        <f>Language!$E$130&amp;" "&amp;H11</f>
        <v>Group F</v>
      </c>
      <c r="C35" s="919" t="str">
        <f>Language!$E$187</f>
        <v>Number of yellow cards</v>
      </c>
      <c r="D35" s="919" t="str">
        <f>Language!$E$188</f>
        <v>Number of indirect red cards (yellow/red)</v>
      </c>
      <c r="E35" s="919" t="str">
        <f>Language!$E$189</f>
        <v>Number of straight red cards</v>
      </c>
      <c r="F35" s="919" t="str">
        <f>Language!$E$190</f>
        <v>Number of yellow cards and straight red cards</v>
      </c>
      <c r="G35" s="920" t="str">
        <f>Language!$E$174</f>
        <v>Total fair play points</v>
      </c>
    </row>
    <row r="36" spans="2:7" x14ac:dyDescent="0.25">
      <c r="B36" s="28" t="str">
        <f>VLOOKUP(H11&amp;"1",Groups!$B$7:$D$65,3,0)</f>
        <v>Netherlands</v>
      </c>
      <c r="C36" s="924">
        <v>3</v>
      </c>
      <c r="D36" s="924"/>
      <c r="E36" s="924"/>
      <c r="F36" s="924"/>
      <c r="G36" s="921">
        <f t="shared" ref="G36:G39" si="5">C36*$K$6+D36*$K$7+E36*$K$8+F36*$K$9</f>
        <v>-3</v>
      </c>
    </row>
    <row r="37" spans="2:7" x14ac:dyDescent="0.25">
      <c r="B37" s="28" t="str">
        <f>VLOOKUP(H11&amp;"2",Groups!$B$7:$D$65,3,0)</f>
        <v>Japan</v>
      </c>
      <c r="C37" s="924"/>
      <c r="D37" s="924"/>
      <c r="E37" s="924"/>
      <c r="F37" s="924"/>
      <c r="G37" s="922">
        <f t="shared" si="5"/>
        <v>0</v>
      </c>
    </row>
    <row r="38" spans="2:7" x14ac:dyDescent="0.25">
      <c r="B38" s="28" t="str">
        <f>VLOOKUP(H11&amp;"3",Groups!$B$7:$D$65,3,0)</f>
        <v>Sweden</v>
      </c>
      <c r="C38" s="924">
        <v>3</v>
      </c>
      <c r="D38" s="924"/>
      <c r="E38" s="924"/>
      <c r="F38" s="924"/>
      <c r="G38" s="922">
        <f t="shared" si="5"/>
        <v>-3</v>
      </c>
    </row>
    <row r="39" spans="2:7" x14ac:dyDescent="0.25">
      <c r="B39" s="28" t="str">
        <f>VLOOKUP(H11&amp;"4",Groups!$B$7:$D$65,3,0)</f>
        <v>Tunisia</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Language!$E$130&amp;" "&amp;H17</f>
        <v>Group G</v>
      </c>
      <c r="C41" s="919" t="str">
        <f>Language!$E$187</f>
        <v>Number of yellow cards</v>
      </c>
      <c r="D41" s="919" t="str">
        <f>Language!$E$188</f>
        <v>Number of indirect red cards (yellow/red)</v>
      </c>
      <c r="E41" s="919" t="str">
        <f>Language!$E$189</f>
        <v>Number of straight red cards</v>
      </c>
      <c r="F41" s="919" t="str">
        <f>Language!$E$190</f>
        <v>Number of yellow cards and straight red cards</v>
      </c>
      <c r="G41" s="920" t="str">
        <f>Language!$E$174</f>
        <v>Total fair play points</v>
      </c>
    </row>
    <row r="42" spans="2:7" x14ac:dyDescent="0.25">
      <c r="B42" s="28" t="str">
        <f>VLOOKUP(H17&amp;"1",Groups!$B$7:$D$65,3,0)</f>
        <v>Belgium</v>
      </c>
      <c r="C42" s="924">
        <v>3</v>
      </c>
      <c r="D42" s="924"/>
      <c r="E42" s="924"/>
      <c r="F42" s="924"/>
      <c r="G42" s="921">
        <f t="shared" ref="G42:G45" si="6">C42*$K$6+D42*$K$7+E42*$K$8+F42*$K$9</f>
        <v>-3</v>
      </c>
    </row>
    <row r="43" spans="2:7" x14ac:dyDescent="0.25">
      <c r="B43" s="28" t="str">
        <f>VLOOKUP(H17&amp;"2",Groups!$B$7:$D$65,3,0)</f>
        <v>Egypt</v>
      </c>
      <c r="C43" s="924">
        <v>3</v>
      </c>
      <c r="D43" s="924"/>
      <c r="E43" s="924"/>
      <c r="F43" s="924"/>
      <c r="G43" s="922">
        <f t="shared" si="6"/>
        <v>-3</v>
      </c>
    </row>
    <row r="44" spans="2:7" x14ac:dyDescent="0.25">
      <c r="B44" s="28" t="str">
        <f>VLOOKUP(H17&amp;"3",Groups!$B$7:$D$65,3,0)</f>
        <v>IR Iran</v>
      </c>
      <c r="C44" s="924">
        <v>2</v>
      </c>
      <c r="D44" s="924"/>
      <c r="E44" s="924"/>
      <c r="F44" s="924"/>
      <c r="G44" s="922">
        <f t="shared" si="6"/>
        <v>-2</v>
      </c>
    </row>
    <row r="45" spans="2:7" x14ac:dyDescent="0.25">
      <c r="B45" s="28" t="str">
        <f>VLOOKUP(H17&amp;"4",Groups!$B$7:$D$65,3,0)</f>
        <v>New Zealand</v>
      </c>
      <c r="C45" s="924">
        <v>2</v>
      </c>
      <c r="D45" s="924"/>
      <c r="E45" s="924"/>
      <c r="F45" s="924"/>
      <c r="G45" s="922">
        <f t="shared" si="6"/>
        <v>-2</v>
      </c>
    </row>
    <row r="46" spans="2:7" ht="24.95" customHeight="1" x14ac:dyDescent="0.25">
      <c r="C46" s="925"/>
      <c r="D46" s="925"/>
      <c r="E46" s="925"/>
      <c r="F46" s="925"/>
      <c r="G46" s="222"/>
    </row>
    <row r="47" spans="2:7" ht="50.25" customHeight="1" thickBot="1" x14ac:dyDescent="0.3">
      <c r="B47" s="918" t="str">
        <f>Language!$E$130&amp;" "&amp;H23</f>
        <v>Group H</v>
      </c>
      <c r="C47" s="919" t="str">
        <f>Language!$E$187</f>
        <v>Number of yellow cards</v>
      </c>
      <c r="D47" s="919" t="str">
        <f>Language!$E$188</f>
        <v>Number of indirect red cards (yellow/red)</v>
      </c>
      <c r="E47" s="919" t="str">
        <f>Language!$E$189</f>
        <v>Number of straight red cards</v>
      </c>
      <c r="F47" s="919" t="str">
        <f>Language!$E$190</f>
        <v>Number of yellow cards and straight red cards</v>
      </c>
      <c r="G47" s="920" t="str">
        <f>Language!$E$174</f>
        <v>Total fair play points</v>
      </c>
    </row>
    <row r="48" spans="2:7" x14ac:dyDescent="0.25">
      <c r="B48" s="28" t="str">
        <f>VLOOKUP(H23&amp;"1",Groups!$B$7:$D$65,3,0)</f>
        <v>Spain</v>
      </c>
      <c r="C48" s="924">
        <v>1</v>
      </c>
      <c r="D48" s="924"/>
      <c r="E48" s="924"/>
      <c r="F48" s="924"/>
      <c r="G48" s="921">
        <f t="shared" ref="G48:G51" si="7">C48*$K$6+D48*$K$7+E48*$K$8+F48*$K$9</f>
        <v>-1</v>
      </c>
    </row>
    <row r="49" spans="2:7" x14ac:dyDescent="0.25">
      <c r="B49" s="28" t="str">
        <f>VLOOKUP(H23&amp;"2",Groups!$B$7:$D$65,3,0)</f>
        <v>Cabo Verde</v>
      </c>
      <c r="C49" s="924">
        <v>3</v>
      </c>
      <c r="D49" s="924"/>
      <c r="E49" s="924"/>
      <c r="F49" s="924"/>
      <c r="G49" s="922">
        <f t="shared" si="7"/>
        <v>-3</v>
      </c>
    </row>
    <row r="50" spans="2:7" x14ac:dyDescent="0.25">
      <c r="B50" s="28" t="str">
        <f>VLOOKUP(H23&amp;"3",Groups!$B$7:$D$65,3,0)</f>
        <v>Saudi Arabia</v>
      </c>
      <c r="C50" s="924">
        <v>3</v>
      </c>
      <c r="D50" s="924"/>
      <c r="E50" s="924"/>
      <c r="F50" s="924"/>
      <c r="G50" s="922">
        <f t="shared" si="7"/>
        <v>-3</v>
      </c>
    </row>
    <row r="51" spans="2:7" x14ac:dyDescent="0.25">
      <c r="B51" s="28" t="str">
        <f>VLOOKUP(H23&amp;"4",Groups!$B$7:$D$65,3,0)</f>
        <v>Uruguay</v>
      </c>
      <c r="C51" s="924">
        <v>2</v>
      </c>
      <c r="D51" s="924"/>
      <c r="E51" s="924"/>
      <c r="F51" s="924"/>
      <c r="G51" s="922">
        <f t="shared" si="7"/>
        <v>-2</v>
      </c>
    </row>
    <row r="52" spans="2:7" ht="24.95" customHeight="1" x14ac:dyDescent="0.25">
      <c r="C52" s="925"/>
      <c r="D52" s="925"/>
      <c r="E52" s="925"/>
      <c r="F52" s="925"/>
      <c r="G52" s="4"/>
    </row>
    <row r="53" spans="2:7" ht="50.25" customHeight="1" thickBot="1" x14ac:dyDescent="0.3">
      <c r="B53" s="918" t="str">
        <f>Language!$E$130&amp;" "&amp;K5</f>
        <v>Group I</v>
      </c>
      <c r="C53" s="919" t="str">
        <f>Language!$E$187</f>
        <v>Number of yellow cards</v>
      </c>
      <c r="D53" s="919" t="str">
        <f>Language!$E$188</f>
        <v>Number of indirect red cards (yellow/red)</v>
      </c>
      <c r="E53" s="919" t="str">
        <f>Language!$E$189</f>
        <v>Number of straight red cards</v>
      </c>
      <c r="F53" s="919" t="str">
        <f>Language!$E$190</f>
        <v>Number of yellow cards and straight red cards</v>
      </c>
      <c r="G53" s="920" t="str">
        <f>Language!$E$174</f>
        <v>Total fair play points</v>
      </c>
    </row>
    <row r="54" spans="2:7" x14ac:dyDescent="0.25">
      <c r="B54" s="28" t="str">
        <f>VLOOKUP(K5&amp;"1",Groups!$B$7:$D$65,3,0)</f>
        <v>France</v>
      </c>
      <c r="C54" s="924"/>
      <c r="D54" s="924"/>
      <c r="E54" s="924"/>
      <c r="F54" s="924"/>
      <c r="G54" s="921">
        <f t="shared" ref="G54:G57" si="8">C54*$K$6+D54*$K$7+E54*$K$8+F54*$K$9</f>
        <v>0</v>
      </c>
    </row>
    <row r="55" spans="2:7" x14ac:dyDescent="0.25">
      <c r="B55" s="28" t="str">
        <f>VLOOKUP(K5&amp;"2",Groups!$B$7:$D$65,3,0)</f>
        <v>Senegal</v>
      </c>
      <c r="C55" s="924"/>
      <c r="D55" s="924"/>
      <c r="E55" s="924"/>
      <c r="F55" s="924"/>
      <c r="G55" s="922">
        <f t="shared" si="8"/>
        <v>0</v>
      </c>
    </row>
    <row r="56" spans="2:7" x14ac:dyDescent="0.25">
      <c r="B56" s="28" t="str">
        <f>VLOOKUP(K5&amp;"3",Groups!$B$7:$D$65,3,0)</f>
        <v>Iraq</v>
      </c>
      <c r="C56" s="924">
        <v>1</v>
      </c>
      <c r="D56" s="924"/>
      <c r="E56" s="924"/>
      <c r="F56" s="924"/>
      <c r="G56" s="922">
        <f t="shared" si="8"/>
        <v>-1</v>
      </c>
    </row>
    <row r="57" spans="2:7" x14ac:dyDescent="0.25">
      <c r="B57" s="28" t="str">
        <f>VLOOKUP(K5&amp;"4",Groups!$B$7:$D$65,3,0)</f>
        <v>Norway</v>
      </c>
      <c r="C57" s="924"/>
      <c r="D57" s="924"/>
      <c r="E57" s="924"/>
      <c r="F57" s="924"/>
      <c r="G57" s="922">
        <f t="shared" si="8"/>
        <v>0</v>
      </c>
    </row>
    <row r="58" spans="2:7" ht="24.95" customHeight="1" x14ac:dyDescent="0.25">
      <c r="C58" s="925"/>
      <c r="D58" s="925"/>
      <c r="E58" s="925"/>
      <c r="F58" s="925"/>
      <c r="G58" s="222"/>
    </row>
    <row r="59" spans="2:7" ht="50.25" customHeight="1" thickBot="1" x14ac:dyDescent="0.3">
      <c r="B59" s="918" t="str">
        <f>Language!$E$130&amp;" "&amp;K11</f>
        <v>Group J</v>
      </c>
      <c r="C59" s="919" t="str">
        <f>Language!$E$187</f>
        <v>Number of yellow cards</v>
      </c>
      <c r="D59" s="919" t="str">
        <f>Language!$E$188</f>
        <v>Number of indirect red cards (yellow/red)</v>
      </c>
      <c r="E59" s="919" t="str">
        <f>Language!$E$189</f>
        <v>Number of straight red cards</v>
      </c>
      <c r="F59" s="919" t="str">
        <f>Language!$E$190</f>
        <v>Number of yellow cards and straight red cards</v>
      </c>
      <c r="G59" s="920" t="str">
        <f>Language!$E$174</f>
        <v>Total fair play points</v>
      </c>
    </row>
    <row r="60" spans="2:7" x14ac:dyDescent="0.25">
      <c r="B60" s="28" t="str">
        <f>VLOOKUP(K11&amp;"1",Groups!$B$7:$D$65,3,0)</f>
        <v>Argentina</v>
      </c>
      <c r="C60" s="924"/>
      <c r="D60" s="924"/>
      <c r="E60" s="924"/>
      <c r="F60" s="924"/>
      <c r="G60" s="921">
        <f t="shared" ref="G60:G63" si="9">C60*$K$6+D60*$K$7+E60*$K$8+F60*$K$9</f>
        <v>0</v>
      </c>
    </row>
    <row r="61" spans="2:7" x14ac:dyDescent="0.25">
      <c r="B61" s="28" t="str">
        <f>VLOOKUP(K11&amp;"2",Groups!$B$7:$D$65,3,0)</f>
        <v>Algeria</v>
      </c>
      <c r="C61" s="924"/>
      <c r="D61" s="924"/>
      <c r="E61" s="924"/>
      <c r="F61" s="924"/>
      <c r="G61" s="922">
        <f t="shared" si="9"/>
        <v>0</v>
      </c>
    </row>
    <row r="62" spans="2:7" x14ac:dyDescent="0.25">
      <c r="B62" s="28" t="str">
        <f>VLOOKUP(K11&amp;"3",Groups!$B$7:$D$65,3,0)</f>
        <v>Austria</v>
      </c>
      <c r="C62" s="924">
        <v>1</v>
      </c>
      <c r="D62" s="924"/>
      <c r="E62" s="924"/>
      <c r="F62" s="924"/>
      <c r="G62" s="922">
        <f t="shared" si="9"/>
        <v>-1</v>
      </c>
    </row>
    <row r="63" spans="2:7" x14ac:dyDescent="0.25">
      <c r="B63" s="28" t="str">
        <f>VLOOKUP(K11&amp;"4",Groups!$B$7:$D$65,3,0)</f>
        <v>Jordan</v>
      </c>
      <c r="C63" s="924"/>
      <c r="D63" s="924"/>
      <c r="E63" s="924"/>
      <c r="F63" s="924"/>
      <c r="G63" s="922">
        <f t="shared" si="9"/>
        <v>0</v>
      </c>
    </row>
    <row r="64" spans="2:7" ht="24.95" customHeight="1" x14ac:dyDescent="0.25">
      <c r="C64" s="925"/>
      <c r="D64" s="925"/>
      <c r="E64" s="925"/>
      <c r="F64" s="925"/>
      <c r="G64" s="222"/>
    </row>
    <row r="65" spans="2:7" ht="50.25" customHeight="1" thickBot="1" x14ac:dyDescent="0.3">
      <c r="B65" s="918" t="str">
        <f>Language!$E$130&amp;" "&amp;K17</f>
        <v>Group K</v>
      </c>
      <c r="C65" s="919" t="str">
        <f>Language!$E$187</f>
        <v>Number of yellow cards</v>
      </c>
      <c r="D65" s="919" t="str">
        <f>Language!$E$188</f>
        <v>Number of indirect red cards (yellow/red)</v>
      </c>
      <c r="E65" s="919" t="str">
        <f>Language!$E$189</f>
        <v>Number of straight red cards</v>
      </c>
      <c r="F65" s="919" t="str">
        <f>Language!$E$190</f>
        <v>Number of yellow cards and straight red cards</v>
      </c>
      <c r="G65" s="920" t="str">
        <f>Language!$E$174</f>
        <v>Total fair play points</v>
      </c>
    </row>
    <row r="66" spans="2:7" x14ac:dyDescent="0.25">
      <c r="B66" s="28" t="str">
        <f>VLOOKUP(K17&amp;"1",Groups!$B$7:$D$65,3,0)</f>
        <v>Portugal</v>
      </c>
      <c r="C66" s="924">
        <v>3</v>
      </c>
      <c r="D66" s="924"/>
      <c r="E66" s="924"/>
      <c r="F66" s="924"/>
      <c r="G66" s="921">
        <f t="shared" ref="G66:G69" si="10">C66*$K$6+D66*$K$7+E66*$K$8+F66*$K$9</f>
        <v>-3</v>
      </c>
    </row>
    <row r="67" spans="2:7" x14ac:dyDescent="0.25">
      <c r="B67" s="28" t="str">
        <f>VLOOKUP(K17&amp;"2",Groups!$B$7:$D$65,3,0)</f>
        <v>DR Congo</v>
      </c>
      <c r="C67" s="924">
        <v>1</v>
      </c>
      <c r="D67" s="924"/>
      <c r="E67" s="924"/>
      <c r="F67" s="924"/>
      <c r="G67" s="922">
        <f t="shared" si="10"/>
        <v>-1</v>
      </c>
    </row>
    <row r="68" spans="2:7" x14ac:dyDescent="0.25">
      <c r="B68" s="28" t="str">
        <f>VLOOKUP(K17&amp;"3",Groups!$B$7:$D$65,3,0)</f>
        <v>Uzbekistan</v>
      </c>
      <c r="C68" s="924">
        <v>1</v>
      </c>
      <c r="D68" s="924"/>
      <c r="E68" s="924"/>
      <c r="F68" s="924"/>
      <c r="G68" s="922">
        <f t="shared" si="10"/>
        <v>-1</v>
      </c>
    </row>
    <row r="69" spans="2:7" x14ac:dyDescent="0.25">
      <c r="B69" s="28" t="str">
        <f>VLOOKUP(K17&amp;"4",Groups!$B$7:$D$65,3,0)</f>
        <v>Colombia</v>
      </c>
      <c r="C69" s="924">
        <v>1</v>
      </c>
      <c r="D69" s="924"/>
      <c r="E69" s="924"/>
      <c r="F69" s="924"/>
      <c r="G69" s="922">
        <f t="shared" si="10"/>
        <v>-1</v>
      </c>
    </row>
    <row r="70" spans="2:7" ht="24.95" customHeight="1" x14ac:dyDescent="0.25">
      <c r="C70" s="925"/>
      <c r="D70" s="925"/>
      <c r="E70" s="925"/>
      <c r="F70" s="925"/>
      <c r="G70" s="222"/>
    </row>
    <row r="71" spans="2:7" ht="50.25" customHeight="1" thickBot="1" x14ac:dyDescent="0.3">
      <c r="B71" s="918" t="str">
        <f>Language!$E$130&amp;" "&amp;K23</f>
        <v>Group L</v>
      </c>
      <c r="C71" s="919" t="str">
        <f>Language!$E$187</f>
        <v>Number of yellow cards</v>
      </c>
      <c r="D71" s="919" t="str">
        <f>Language!$E$188</f>
        <v>Number of indirect red cards (yellow/red)</v>
      </c>
      <c r="E71" s="919" t="str">
        <f>Language!$E$189</f>
        <v>Number of straight red cards</v>
      </c>
      <c r="F71" s="919" t="str">
        <f>Language!$E$190</f>
        <v>Number of yellow cards and straight red cards</v>
      </c>
      <c r="G71" s="920" t="str">
        <f>Language!$E$174</f>
        <v>Total fair play points</v>
      </c>
    </row>
    <row r="72" spans="2:7" x14ac:dyDescent="0.25">
      <c r="B72" s="28" t="str">
        <f>VLOOKUP(K23&amp;"1",Groups!$B$7:$D$65,3,0)</f>
        <v>England</v>
      </c>
      <c r="C72" s="924"/>
      <c r="D72" s="924"/>
      <c r="E72" s="924"/>
      <c r="F72" s="924"/>
      <c r="G72" s="921">
        <f t="shared" ref="G72:G75" si="11">C72*$K$6+D72*$K$7+E72*$K$8+F72*$K$9</f>
        <v>0</v>
      </c>
    </row>
    <row r="73" spans="2:7" x14ac:dyDescent="0.25">
      <c r="B73" s="28" t="str">
        <f>VLOOKUP(K23&amp;"2",Groups!$B$7:$D$65,3,0)</f>
        <v>Croatia</v>
      </c>
      <c r="C73" s="924"/>
      <c r="D73" s="924"/>
      <c r="E73" s="924"/>
      <c r="F73" s="924"/>
      <c r="G73" s="922">
        <f t="shared" si="11"/>
        <v>0</v>
      </c>
    </row>
    <row r="74" spans="2:7" x14ac:dyDescent="0.25">
      <c r="B74" s="28" t="str">
        <f>VLOOKUP(K23&amp;"3",Groups!$B$7:$D$65,3,0)</f>
        <v>Ghana</v>
      </c>
      <c r="C74" s="924">
        <v>1</v>
      </c>
      <c r="D74" s="924"/>
      <c r="E74" s="924"/>
      <c r="F74" s="924"/>
      <c r="G74" s="922">
        <f t="shared" si="11"/>
        <v>-1</v>
      </c>
    </row>
    <row r="75" spans="2:7" x14ac:dyDescent="0.25">
      <c r="B75" s="28" t="str">
        <f>VLOOKUP(K23&amp;"4",Groups!$B$7:$D$65,3,0)</f>
        <v>Panama</v>
      </c>
      <c r="C75" s="924">
        <v>2</v>
      </c>
      <c r="D75" s="924"/>
      <c r="E75" s="924"/>
      <c r="F75" s="924"/>
      <c r="G75" s="922">
        <f t="shared" si="11"/>
        <v>-2</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61"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Language!$E$122</f>
        <v>Head-to-head results</v>
      </c>
    </row>
    <row r="2" spans="2:51" x14ac:dyDescent="0.25"/>
    <row r="3" spans="2:51" ht="18.75" x14ac:dyDescent="0.3">
      <c r="D3" s="839" t="str">
        <f>Language!$E$140</f>
        <v>Overall table</v>
      </c>
      <c r="O3" s="839" t="str">
        <f>Language!$E$137</f>
        <v>head-to-head record 1</v>
      </c>
      <c r="Z3" s="839" t="str">
        <f>Language!$E$138</f>
        <v>head-to-head record 2</v>
      </c>
      <c r="AK3" s="839" t="str">
        <f>Language!$E$139</f>
        <v>head-to-head record 3</v>
      </c>
    </row>
    <row r="4" spans="2:51" ht="15.75" thickBot="1" x14ac:dyDescent="0.3">
      <c r="D4" s="840">
        <v>7</v>
      </c>
      <c r="Z4" s="870" t="str">
        <f>IF(COUNTBLANK(CalcA!$BN$14:$BN$17)&lt;4,Language!$E$136,"")</f>
        <v/>
      </c>
      <c r="AK4" s="870" t="str">
        <f>IF(COUNTBLANK(CalcA!$BZ$14:$BZ$17)&lt;4,Language!$E$136,"")</f>
        <v/>
      </c>
    </row>
    <row r="5" spans="2:51" ht="24.75" thickTop="1" x14ac:dyDescent="0.35">
      <c r="B5" s="845" t="s">
        <v>24</v>
      </c>
      <c r="C5" s="814"/>
      <c r="D5" s="827"/>
      <c r="E5" s="838" t="str">
        <f>Language!$E$131</f>
        <v>Pts.</v>
      </c>
      <c r="F5" s="838" t="str">
        <f>Language!$E$132</f>
        <v>GD</v>
      </c>
      <c r="G5" s="1025" t="str">
        <f>Language!$E$133</f>
        <v>Goals</v>
      </c>
      <c r="H5" s="1026"/>
      <c r="I5" s="1026"/>
      <c r="J5" s="830" t="str">
        <f t="array" ref="J5:M5">LEFT(CalcA!$H$21:$K$21,$D$4)</f>
        <v>Mexico</v>
      </c>
      <c r="K5" s="828" t="str">
        <v>South K</v>
      </c>
      <c r="L5" s="828" t="str">
        <v>Czechia</v>
      </c>
      <c r="M5" s="829" t="str">
        <v>South A</v>
      </c>
      <c r="O5" s="827"/>
      <c r="P5" s="838" t="str">
        <f>Language!$E$131</f>
        <v>Pts.</v>
      </c>
      <c r="Q5" s="838" t="str">
        <f>Language!$E$132</f>
        <v>GD</v>
      </c>
      <c r="R5" s="1025" t="str">
        <f>Language!$E$133</f>
        <v>Goals</v>
      </c>
      <c r="S5" s="1026"/>
      <c r="T5" s="1026"/>
      <c r="U5" s="830" t="str">
        <f t="array" ref="U5:X5">LEFT(CalcA!$BE$13:$BH$13,$D$4)</f>
        <v/>
      </c>
      <c r="V5" s="828" t="str">
        <v/>
      </c>
      <c r="W5" s="828" t="str">
        <v>Czechia</v>
      </c>
      <c r="X5" s="829" t="str">
        <v>South A</v>
      </c>
      <c r="Z5" s="827"/>
      <c r="AA5" s="838" t="str">
        <f>Language!$E$131</f>
        <v>Pts.</v>
      </c>
      <c r="AB5" s="838" t="str">
        <f>Language!$E$132</f>
        <v>GD</v>
      </c>
      <c r="AC5" s="1025" t="str">
        <f>Language!$E$133</f>
        <v>Goals</v>
      </c>
      <c r="AD5" s="1026"/>
      <c r="AE5" s="1026"/>
      <c r="AF5" s="830" t="str">
        <f t="array" ref="AF5:AI5">IF(COUNTBLANK(CalcA!$AZ$22:$AZ$25)&lt;4,LEFT(CalcA!$BE$21:$BH$21,$D$4),LEFT(CalcA!$BS$13:$BV$13,$D$4))</f>
        <v/>
      </c>
      <c r="AG5" s="828" t="str">
        <v/>
      </c>
      <c r="AH5" s="828" t="str">
        <v/>
      </c>
      <c r="AI5" s="829" t="str">
        <v/>
      </c>
      <c r="AK5" s="827"/>
      <c r="AL5" s="838" t="str">
        <f>Language!$E$131</f>
        <v>Pts.</v>
      </c>
      <c r="AM5" s="838" t="str">
        <f>Language!$E$132</f>
        <v>GD</v>
      </c>
      <c r="AN5" s="1025" t="str">
        <f>Language!$E$133</f>
        <v>Goals</v>
      </c>
      <c r="AO5" s="1026"/>
      <c r="AP5" s="1026"/>
      <c r="AQ5" s="830" t="str">
        <f t="array" ref="AQ5:AT5">LEFT(CalcA!$CE$13:$CH$13,$D$4)</f>
        <v/>
      </c>
      <c r="AR5" s="828" t="str">
        <v/>
      </c>
      <c r="AS5" s="828" t="str">
        <v/>
      </c>
      <c r="AT5" s="829" t="str">
        <v/>
      </c>
      <c r="AV5" s="852" t="str">
        <f>Language!$E$123</f>
        <v>Fair play</v>
      </c>
      <c r="AW5" s="853" t="str">
        <f>Language!$E$186</f>
        <v>FIFA Rank</v>
      </c>
      <c r="AY5" s="898" t="s">
        <v>1673</v>
      </c>
    </row>
    <row r="6" spans="2:51" x14ac:dyDescent="0.25">
      <c r="B6" s="848" t="str">
        <f t="array" ref="B6:B9">IF(CalcA!$M$22:$M$25,"•","")</f>
        <v/>
      </c>
      <c r="D6" s="842" t="str">
        <f t="array" ref="D6:D9">CalcA!$D$22:$D$25</f>
        <v>Mexico</v>
      </c>
      <c r="E6" s="824">
        <f t="array" ref="E6:E9">CalcA!$E$22:$E$25</f>
        <v>6</v>
      </c>
      <c r="F6" s="824">
        <f>G6-I6</f>
        <v>3</v>
      </c>
      <c r="G6" s="825">
        <f t="array" ref="G6:G9">CalcA!$F$22:$F$25</f>
        <v>3</v>
      </c>
      <c r="H6" s="837" t="str">
        <f>Language!$E$203</f>
        <v xml:space="preserve"> - </v>
      </c>
      <c r="I6" s="834">
        <f t="array" ref="I6:I9">CalcA!$G$22:$G$25</f>
        <v>0</v>
      </c>
      <c r="J6" s="831" t="str">
        <f t="array" ref="J6:M9">CalcA!$H$22:$K$25</f>
        <v/>
      </c>
      <c r="K6" s="824" t="str">
        <v>1 - 0</v>
      </c>
      <c r="L6" s="824" t="str">
        <v/>
      </c>
      <c r="M6" s="826" t="str">
        <v>2 - 0</v>
      </c>
      <c r="O6" s="842" t="str">
        <f t="array" ref="O6:O9">CalcA!$AZ$14:$AZ$17</f>
        <v/>
      </c>
      <c r="P6" s="824" t="str">
        <f t="array" ref="P6:P9">CalcA!$BA$14:$BA$17</f>
        <v/>
      </c>
      <c r="Q6" s="824" t="str">
        <f t="array" ref="Q6:Q9">CalcA!$BB$14:$BB$17</f>
        <v/>
      </c>
      <c r="R6" s="825" t="str">
        <f t="array" ref="R6:R9">CalcA!$BC$14:$BC$17</f>
        <v/>
      </c>
      <c r="S6" s="837" t="str">
        <f>Language!$E$203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Language!$E$203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Language!$E$203</f>
        <v xml:space="preserve"> - </v>
      </c>
      <c r="AP6" s="834" t="str">
        <f t="shared" ref="AP6:AP9" si="0">IF(AK6="","",AN6-AM6)</f>
        <v/>
      </c>
      <c r="AQ6" s="831" t="str">
        <f t="array" ref="AQ6:AT9">CalcA!$CE$14:$CH$17</f>
        <v/>
      </c>
      <c r="AR6" s="824" t="str">
        <v/>
      </c>
      <c r="AS6" s="824" t="str">
        <v/>
      </c>
      <c r="AT6" s="826" t="str">
        <v/>
      </c>
      <c r="AV6" s="854">
        <f t="array" ref="AV6:AV9">VLOOKUP($D$6:$D$9,CalcA!$D$5:$P$8,13,0)</f>
        <v>-5</v>
      </c>
      <c r="AW6" s="826">
        <f t="array" ref="AW6:AW9">VLOOKUP($D$6:$D$9,CalcA!$D$5:$Q$8,14,0)</f>
        <v>14</v>
      </c>
      <c r="AY6" t="b">
        <f t="array" ref="AY6:AY9">CalcA!$AC$22:$AC$25</f>
        <v>0</v>
      </c>
    </row>
    <row r="7" spans="2:51" x14ac:dyDescent="0.25">
      <c r="B7" s="848" t="str">
        <v/>
      </c>
      <c r="D7" s="843" t="str">
        <v>South Korea</v>
      </c>
      <c r="E7" s="815">
        <v>3</v>
      </c>
      <c r="F7" s="815">
        <f t="shared" ref="F7:F9" si="1">G7-I7</f>
        <v>0</v>
      </c>
      <c r="G7" s="820">
        <v>2</v>
      </c>
      <c r="H7" s="822" t="str">
        <f>Language!$E$203</f>
        <v xml:space="preserve"> - </v>
      </c>
      <c r="I7" s="835">
        <v>2</v>
      </c>
      <c r="J7" s="832" t="str">
        <v>0 - 1</v>
      </c>
      <c r="K7" s="816" t="str">
        <v/>
      </c>
      <c r="L7" s="815" t="str">
        <v>2 - 1</v>
      </c>
      <c r="M7" s="817" t="str">
        <v/>
      </c>
      <c r="O7" s="843" t="str">
        <v/>
      </c>
      <c r="P7" s="815" t="str">
        <v/>
      </c>
      <c r="Q7" s="815" t="str">
        <v/>
      </c>
      <c r="R7" s="820" t="str">
        <v/>
      </c>
      <c r="S7" s="822" t="str">
        <f>Language!$E$203</f>
        <v xml:space="preserve"> - </v>
      </c>
      <c r="T7" s="835" t="str">
        <f t="shared" ref="T7:T9" si="2">IF(O7="","",R7-Q7)</f>
        <v/>
      </c>
      <c r="U7" s="832" t="str">
        <v/>
      </c>
      <c r="V7" s="816" t="str">
        <v/>
      </c>
      <c r="W7" s="815" t="str">
        <v/>
      </c>
      <c r="X7" s="817" t="str">
        <v/>
      </c>
      <c r="Z7" s="843" t="str">
        <v/>
      </c>
      <c r="AA7" s="815" t="str">
        <v/>
      </c>
      <c r="AB7" s="815" t="str">
        <v/>
      </c>
      <c r="AC7" s="820" t="str">
        <v/>
      </c>
      <c r="AD7" s="822" t="str">
        <f>Language!$E$203</f>
        <v xml:space="preserve"> - </v>
      </c>
      <c r="AE7" s="835" t="str">
        <f t="shared" ref="AE7:AE9" si="3">IF(Z7="","",AC7-AB7)</f>
        <v/>
      </c>
      <c r="AF7" s="832" t="str">
        <v/>
      </c>
      <c r="AG7" s="816" t="str">
        <v/>
      </c>
      <c r="AH7" s="815" t="str">
        <v/>
      </c>
      <c r="AI7" s="817" t="str">
        <v/>
      </c>
      <c r="AK7" s="843" t="str">
        <v/>
      </c>
      <c r="AL7" s="815" t="str">
        <v/>
      </c>
      <c r="AM7" s="815" t="str">
        <v/>
      </c>
      <c r="AN7" s="820" t="str">
        <v/>
      </c>
      <c r="AO7" s="822" t="str">
        <f>Language!$E$203</f>
        <v xml:space="preserve"> - </v>
      </c>
      <c r="AP7" s="835" t="str">
        <f t="shared" si="0"/>
        <v/>
      </c>
      <c r="AQ7" s="832" t="str">
        <v/>
      </c>
      <c r="AR7" s="816" t="str">
        <v/>
      </c>
      <c r="AS7" s="815" t="str">
        <v/>
      </c>
      <c r="AT7" s="817" t="str">
        <v/>
      </c>
      <c r="AV7" s="855">
        <v>-3</v>
      </c>
      <c r="AW7" s="817">
        <v>25</v>
      </c>
      <c r="AY7" t="b">
        <v>0</v>
      </c>
    </row>
    <row r="8" spans="2:51" x14ac:dyDescent="0.25">
      <c r="B8" s="848" t="str">
        <v/>
      </c>
      <c r="D8" s="843" t="str">
        <v>Czechia</v>
      </c>
      <c r="E8" s="815">
        <v>1</v>
      </c>
      <c r="F8" s="815">
        <f t="shared" si="1"/>
        <v>-1</v>
      </c>
      <c r="G8" s="820">
        <v>2</v>
      </c>
      <c r="H8" s="822" t="str">
        <f>Language!$E$203</f>
        <v xml:space="preserve"> - </v>
      </c>
      <c r="I8" s="835">
        <v>3</v>
      </c>
      <c r="J8" s="832" t="str">
        <v/>
      </c>
      <c r="K8" s="815" t="str">
        <v>1 - 2</v>
      </c>
      <c r="L8" s="816" t="str">
        <v/>
      </c>
      <c r="M8" s="817" t="str">
        <v>1 - 1</v>
      </c>
      <c r="O8" s="843" t="str">
        <v>Czechia</v>
      </c>
      <c r="P8" s="815">
        <v>1</v>
      </c>
      <c r="Q8" s="815">
        <v>0</v>
      </c>
      <c r="R8" s="820">
        <v>1</v>
      </c>
      <c r="S8" s="822" t="str">
        <f>Language!$E$203</f>
        <v xml:space="preserve"> - </v>
      </c>
      <c r="T8" s="835">
        <f t="shared" si="2"/>
        <v>1</v>
      </c>
      <c r="U8" s="832" t="str">
        <v/>
      </c>
      <c r="V8" s="815" t="str">
        <v/>
      </c>
      <c r="W8" s="816" t="str">
        <v/>
      </c>
      <c r="X8" s="817" t="str">
        <v>1 - 1</v>
      </c>
      <c r="Z8" s="843" t="str">
        <v/>
      </c>
      <c r="AA8" s="815" t="str">
        <v/>
      </c>
      <c r="AB8" s="815" t="str">
        <v/>
      </c>
      <c r="AC8" s="820" t="str">
        <v/>
      </c>
      <c r="AD8" s="822" t="str">
        <f>Language!$E$203</f>
        <v xml:space="preserve"> - </v>
      </c>
      <c r="AE8" s="835" t="str">
        <f t="shared" si="3"/>
        <v/>
      </c>
      <c r="AF8" s="832" t="str">
        <v/>
      </c>
      <c r="AG8" s="815" t="str">
        <v/>
      </c>
      <c r="AH8" s="816" t="str">
        <v/>
      </c>
      <c r="AI8" s="817" t="str">
        <v/>
      </c>
      <c r="AK8" s="843" t="str">
        <v/>
      </c>
      <c r="AL8" s="815" t="str">
        <v/>
      </c>
      <c r="AM8" s="815" t="str">
        <v/>
      </c>
      <c r="AN8" s="820" t="str">
        <v/>
      </c>
      <c r="AO8" s="822" t="str">
        <f>Language!$E$203</f>
        <v xml:space="preserve"> - </v>
      </c>
      <c r="AP8" s="835" t="str">
        <f t="shared" si="0"/>
        <v/>
      </c>
      <c r="AQ8" s="832" t="str">
        <v/>
      </c>
      <c r="AR8" s="815" t="str">
        <v/>
      </c>
      <c r="AS8" s="816" t="str">
        <v/>
      </c>
      <c r="AT8" s="817" t="str">
        <v/>
      </c>
      <c r="AV8" s="855">
        <v>-1</v>
      </c>
      <c r="AW8" s="817">
        <v>40</v>
      </c>
      <c r="AY8" t="b">
        <v>0</v>
      </c>
    </row>
    <row r="9" spans="2:51" ht="15.75" thickBot="1" x14ac:dyDescent="0.3">
      <c r="B9" s="848" t="str">
        <v/>
      </c>
      <c r="D9" s="844" t="str">
        <v>South Africa</v>
      </c>
      <c r="E9" s="818">
        <v>1</v>
      </c>
      <c r="F9" s="818">
        <f t="shared" si="1"/>
        <v>-2</v>
      </c>
      <c r="G9" s="821">
        <v>1</v>
      </c>
      <c r="H9" s="823" t="str">
        <f>Language!$E$203</f>
        <v xml:space="preserve"> - </v>
      </c>
      <c r="I9" s="836">
        <v>3</v>
      </c>
      <c r="J9" s="833" t="str">
        <v>0 - 2</v>
      </c>
      <c r="K9" s="818" t="str">
        <v/>
      </c>
      <c r="L9" s="818" t="str">
        <v>1 - 1</v>
      </c>
      <c r="M9" s="819" t="str">
        <v/>
      </c>
      <c r="O9" s="844" t="str">
        <v>South Africa</v>
      </c>
      <c r="P9" s="818">
        <v>1</v>
      </c>
      <c r="Q9" s="818">
        <v>0</v>
      </c>
      <c r="R9" s="821">
        <v>1</v>
      </c>
      <c r="S9" s="823" t="str">
        <f>Language!$E$203</f>
        <v xml:space="preserve"> - </v>
      </c>
      <c r="T9" s="836">
        <f t="shared" si="2"/>
        <v>1</v>
      </c>
      <c r="U9" s="833" t="str">
        <v/>
      </c>
      <c r="V9" s="818" t="str">
        <v/>
      </c>
      <c r="W9" s="818" t="str">
        <v>1 - 1</v>
      </c>
      <c r="X9" s="819" t="str">
        <v/>
      </c>
      <c r="Z9" s="844" t="str">
        <v/>
      </c>
      <c r="AA9" s="818" t="str">
        <v/>
      </c>
      <c r="AB9" s="818" t="str">
        <v/>
      </c>
      <c r="AC9" s="821" t="str">
        <v/>
      </c>
      <c r="AD9" s="823" t="str">
        <f>Language!$E$203</f>
        <v xml:space="preserve"> - </v>
      </c>
      <c r="AE9" s="836" t="str">
        <f t="shared" si="3"/>
        <v/>
      </c>
      <c r="AF9" s="833" t="str">
        <v/>
      </c>
      <c r="AG9" s="818" t="str">
        <v/>
      </c>
      <c r="AH9" s="818" t="str">
        <v/>
      </c>
      <c r="AI9" s="819" t="str">
        <v/>
      </c>
      <c r="AK9" s="844" t="str">
        <v/>
      </c>
      <c r="AL9" s="818" t="str">
        <v/>
      </c>
      <c r="AM9" s="818" t="str">
        <v/>
      </c>
      <c r="AN9" s="821" t="str">
        <v/>
      </c>
      <c r="AO9" s="823" t="str">
        <f>Language!$E$203</f>
        <v xml:space="preserve"> - </v>
      </c>
      <c r="AP9" s="836" t="str">
        <f t="shared" si="0"/>
        <v/>
      </c>
      <c r="AQ9" s="833" t="str">
        <v/>
      </c>
      <c r="AR9" s="818" t="str">
        <v/>
      </c>
      <c r="AS9" s="818" t="str">
        <v/>
      </c>
      <c r="AT9" s="819" t="str">
        <v/>
      </c>
      <c r="AV9" s="856">
        <v>-12</v>
      </c>
      <c r="AW9" s="857">
        <v>60</v>
      </c>
      <c r="AY9" t="b">
        <v>0</v>
      </c>
    </row>
    <row r="10" spans="2:51" ht="15.75" thickTop="1" x14ac:dyDescent="0.25"/>
    <row r="11" spans="2:51" x14ac:dyDescent="0.25"/>
    <row r="12" spans="2:51" ht="15.75" thickBot="1" x14ac:dyDescent="0.3">
      <c r="D12" s="841"/>
      <c r="Z12" s="870" t="str">
        <f>IF(COUNTBLANK(CalcB!$BN$14:$BN$17)&lt;4,Language!$E$136,"")</f>
        <v/>
      </c>
      <c r="AK12" s="870" t="str">
        <f>IF(COUNTBLANK(CalcB!$BZ$14:$BZ$17)&lt;4,Language!$E$136,"")</f>
        <v/>
      </c>
    </row>
    <row r="13" spans="2:51" ht="24.75" thickTop="1" x14ac:dyDescent="0.35">
      <c r="B13" s="845" t="s">
        <v>20</v>
      </c>
      <c r="C13" s="814"/>
      <c r="D13" s="827"/>
      <c r="E13" s="838" t="str">
        <f>Language!$E$131</f>
        <v>Pts.</v>
      </c>
      <c r="F13" s="838" t="str">
        <f>Language!$E$132</f>
        <v>GD</v>
      </c>
      <c r="G13" s="1025" t="str">
        <f>Language!$E$133</f>
        <v>Goals</v>
      </c>
      <c r="H13" s="1026"/>
      <c r="I13" s="1026"/>
      <c r="J13" s="830" t="str">
        <f t="array" ref="J13:M13">LEFT(CalcB!$H$21:$K$21,$D$4)</f>
        <v>Canada</v>
      </c>
      <c r="K13" s="828" t="str">
        <v>Switzer</v>
      </c>
      <c r="L13" s="828" t="str">
        <v>Bosnia/</v>
      </c>
      <c r="M13" s="829" t="str">
        <v>Qatar</v>
      </c>
      <c r="O13" s="827"/>
      <c r="P13" s="838" t="str">
        <f>Language!$E$131</f>
        <v>Pts.</v>
      </c>
      <c r="Q13" s="838" t="str">
        <f>Language!$E$132</f>
        <v>GD</v>
      </c>
      <c r="R13" s="1025" t="str">
        <f>Language!$E$133</f>
        <v>Goals</v>
      </c>
      <c r="S13" s="1026"/>
      <c r="T13" s="1026"/>
      <c r="U13" s="830" t="str">
        <f t="array" ref="U13:X13">LEFT(CalcB!$BE$13:$BH$13,$D$4)</f>
        <v>Canada</v>
      </c>
      <c r="V13" s="828" t="str">
        <v>Switzer</v>
      </c>
      <c r="W13" s="828" t="str">
        <v/>
      </c>
      <c r="X13" s="829" t="str">
        <v/>
      </c>
      <c r="Z13" s="827"/>
      <c r="AA13" s="838" t="str">
        <f>Language!$E$131</f>
        <v>Pts.</v>
      </c>
      <c r="AB13" s="838" t="str">
        <f>Language!$E$132</f>
        <v>GD</v>
      </c>
      <c r="AC13" s="1025" t="str">
        <f>Language!$E$133</f>
        <v>Goals</v>
      </c>
      <c r="AD13" s="1026"/>
      <c r="AE13" s="1026"/>
      <c r="AF13" s="830" t="str">
        <f t="array" ref="AF13:AI13">IF(COUNTBLANK(CalcB!$AZ$22:$AZ$25)&lt;4,LEFT(CalcB!$BE$21:$BH$21,$D$4),LEFT(CalcB!$BS$13:$BV$13,$D$4))</f>
        <v/>
      </c>
      <c r="AG13" s="828" t="str">
        <v/>
      </c>
      <c r="AH13" s="828" t="str">
        <v>Bosnia/</v>
      </c>
      <c r="AI13" s="829" t="str">
        <v>Qatar</v>
      </c>
      <c r="AK13" s="827"/>
      <c r="AL13" s="838" t="str">
        <f>Language!$E$131</f>
        <v>Pts.</v>
      </c>
      <c r="AM13" s="838" t="str">
        <f>Language!$E$132</f>
        <v>GD</v>
      </c>
      <c r="AN13" s="1025" t="str">
        <f>Language!$E$133</f>
        <v>Goals</v>
      </c>
      <c r="AO13" s="1026"/>
      <c r="AP13" s="1026"/>
      <c r="AQ13" s="830" t="str">
        <f t="array" ref="AQ13:AT13">LEFT(CalcB!$CE$13:$CH$13,$D$4)</f>
        <v/>
      </c>
      <c r="AR13" s="828" t="str">
        <v/>
      </c>
      <c r="AS13" s="828" t="str">
        <v/>
      </c>
      <c r="AT13" s="829" t="str">
        <v/>
      </c>
      <c r="AV13" s="852" t="str">
        <f>Language!$E$123</f>
        <v>Fair play</v>
      </c>
      <c r="AW13" s="853" t="str">
        <f>Language!$E$186</f>
        <v>FIFA Rank</v>
      </c>
      <c r="AY13" s="898" t="s">
        <v>1673</v>
      </c>
    </row>
    <row r="14" spans="2:51" x14ac:dyDescent="0.25">
      <c r="B14" s="848" t="str">
        <f t="array" ref="B14:B17">IF(CalcB!$M$22:$M$25,"•","")</f>
        <v/>
      </c>
      <c r="D14" s="842" t="str">
        <f t="array" ref="D14:D17">CalcB!$D$22:$D$25</f>
        <v>Canada</v>
      </c>
      <c r="E14" s="824">
        <f t="array" ref="E14:E17">CalcB!$E$22:$E$25</f>
        <v>4</v>
      </c>
      <c r="F14" s="824">
        <f>G14-I14</f>
        <v>6</v>
      </c>
      <c r="G14" s="825">
        <f t="array" ref="G14:G17">CalcB!$F$22:$F$25</f>
        <v>7</v>
      </c>
      <c r="H14" s="837" t="str">
        <f>Language!$E$203</f>
        <v xml:space="preserve"> - </v>
      </c>
      <c r="I14" s="834">
        <f t="array" ref="I14:I17">CalcB!$G$22:$G$25</f>
        <v>1</v>
      </c>
      <c r="J14" s="831" t="str">
        <f t="array" ref="J14:M17">CalcB!$H$22:$K$25</f>
        <v/>
      </c>
      <c r="K14" s="824" t="str">
        <v/>
      </c>
      <c r="L14" s="824" t="str">
        <v>1 - 1</v>
      </c>
      <c r="M14" s="826" t="str">
        <v>6 - 0</v>
      </c>
      <c r="O14" s="842" t="str">
        <f t="array" ref="O14:O17">CalcB!$AZ$14:$AZ$17</f>
        <v>Canada</v>
      </c>
      <c r="P14" s="824">
        <f t="array" ref="P14:P17">CalcB!$BA$14:$BA$17</f>
        <v>0</v>
      </c>
      <c r="Q14" s="824">
        <f t="array" ref="Q14:Q17">CalcB!$BB$14:$BB$17</f>
        <v>0</v>
      </c>
      <c r="R14" s="825">
        <f t="array" ref="R14:R17">CalcB!$BC$14:$BC$17</f>
        <v>0</v>
      </c>
      <c r="S14" s="837" t="str">
        <f>Language!$E$203</f>
        <v xml:space="preserve"> - </v>
      </c>
      <c r="T14" s="834">
        <f t="shared" ref="T14:T17" si="4">IF(O14="","",R14-Q14)</f>
        <v>0</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Language!$E$203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Language!$E$203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30</v>
      </c>
      <c r="AY14" t="b">
        <f t="array" ref="AY14:AY17">CalcB!$AC$22:$AC$25</f>
        <v>0</v>
      </c>
    </row>
    <row r="15" spans="2:51" x14ac:dyDescent="0.25">
      <c r="B15" s="848" t="str">
        <v/>
      </c>
      <c r="D15" s="843" t="str">
        <v>Switzerland</v>
      </c>
      <c r="E15" s="815">
        <v>4</v>
      </c>
      <c r="F15" s="815">
        <f t="shared" ref="F15:F17" si="7">G15-I15</f>
        <v>3</v>
      </c>
      <c r="G15" s="820">
        <v>5</v>
      </c>
      <c r="H15" s="822" t="str">
        <f>Language!$E$203</f>
        <v xml:space="preserve"> - </v>
      </c>
      <c r="I15" s="835">
        <v>2</v>
      </c>
      <c r="J15" s="832" t="str">
        <v/>
      </c>
      <c r="K15" s="816" t="str">
        <v/>
      </c>
      <c r="L15" s="815" t="str">
        <v>4 - 1</v>
      </c>
      <c r="M15" s="817" t="str">
        <v>1 - 1</v>
      </c>
      <c r="O15" s="843" t="str">
        <v>Switzerland</v>
      </c>
      <c r="P15" s="815">
        <v>0</v>
      </c>
      <c r="Q15" s="815">
        <v>0</v>
      </c>
      <c r="R15" s="820">
        <v>0</v>
      </c>
      <c r="S15" s="822" t="str">
        <f>Language!$E$203</f>
        <v xml:space="preserve"> - </v>
      </c>
      <c r="T15" s="835">
        <f t="shared" si="4"/>
        <v>0</v>
      </c>
      <c r="U15" s="832" t="str">
        <v/>
      </c>
      <c r="V15" s="816" t="str">
        <v/>
      </c>
      <c r="W15" s="815" t="str">
        <v/>
      </c>
      <c r="X15" s="817" t="str">
        <v/>
      </c>
      <c r="Z15" s="843" t="str">
        <v/>
      </c>
      <c r="AA15" s="815" t="str">
        <v/>
      </c>
      <c r="AB15" s="815" t="str">
        <v/>
      </c>
      <c r="AC15" s="820" t="str">
        <v/>
      </c>
      <c r="AD15" s="822" t="str">
        <f>Language!$E$203</f>
        <v xml:space="preserve"> - </v>
      </c>
      <c r="AE15" s="835" t="str">
        <f t="shared" si="5"/>
        <v/>
      </c>
      <c r="AF15" s="832" t="str">
        <v/>
      </c>
      <c r="AG15" s="816" t="str">
        <v/>
      </c>
      <c r="AH15" s="815" t="str">
        <v/>
      </c>
      <c r="AI15" s="817" t="str">
        <v/>
      </c>
      <c r="AK15" s="843" t="str">
        <v/>
      </c>
      <c r="AL15" s="815" t="str">
        <v/>
      </c>
      <c r="AM15" s="815" t="str">
        <v/>
      </c>
      <c r="AN15" s="820" t="str">
        <v/>
      </c>
      <c r="AO15" s="822" t="str">
        <f>Language!$E$203</f>
        <v xml:space="preserve"> - </v>
      </c>
      <c r="AP15" s="835" t="str">
        <f t="shared" si="6"/>
        <v/>
      </c>
      <c r="AQ15" s="832" t="str">
        <v/>
      </c>
      <c r="AR15" s="816" t="str">
        <v/>
      </c>
      <c r="AS15" s="815" t="str">
        <v/>
      </c>
      <c r="AT15" s="817" t="str">
        <v/>
      </c>
      <c r="AV15" s="855">
        <v>-2</v>
      </c>
      <c r="AW15" s="817">
        <v>19</v>
      </c>
      <c r="AY15" t="b">
        <v>0</v>
      </c>
    </row>
    <row r="16" spans="2:51" x14ac:dyDescent="0.25">
      <c r="B16" s="848" t="str">
        <v/>
      </c>
      <c r="D16" s="843" t="str">
        <v>Bosnia/Herzeg.</v>
      </c>
      <c r="E16" s="815">
        <v>1</v>
      </c>
      <c r="F16" s="815">
        <f t="shared" si="7"/>
        <v>-3</v>
      </c>
      <c r="G16" s="820">
        <v>2</v>
      </c>
      <c r="H16" s="822" t="str">
        <f>Language!$E$203</f>
        <v xml:space="preserve"> - </v>
      </c>
      <c r="I16" s="835">
        <v>5</v>
      </c>
      <c r="J16" s="832" t="str">
        <v>1 - 1</v>
      </c>
      <c r="K16" s="815" t="str">
        <v>1 - 4</v>
      </c>
      <c r="L16" s="816" t="str">
        <v/>
      </c>
      <c r="M16" s="817" t="str">
        <v/>
      </c>
      <c r="O16" s="843" t="str">
        <v/>
      </c>
      <c r="P16" s="815" t="str">
        <v/>
      </c>
      <c r="Q16" s="815" t="str">
        <v/>
      </c>
      <c r="R16" s="820" t="str">
        <v/>
      </c>
      <c r="S16" s="822" t="str">
        <f>Language!$E$203</f>
        <v xml:space="preserve"> - </v>
      </c>
      <c r="T16" s="835" t="str">
        <f t="shared" si="4"/>
        <v/>
      </c>
      <c r="U16" s="832" t="str">
        <v/>
      </c>
      <c r="V16" s="815" t="str">
        <v/>
      </c>
      <c r="W16" s="816" t="str">
        <v/>
      </c>
      <c r="X16" s="817" t="str">
        <v/>
      </c>
      <c r="Z16" s="843" t="str">
        <v>Bosnia/Herzeg.</v>
      </c>
      <c r="AA16" s="815">
        <v>0</v>
      </c>
      <c r="AB16" s="815">
        <v>0</v>
      </c>
      <c r="AC16" s="820">
        <v>0</v>
      </c>
      <c r="AD16" s="822" t="str">
        <f>Language!$E$203</f>
        <v xml:space="preserve"> - </v>
      </c>
      <c r="AE16" s="835">
        <f t="shared" si="5"/>
        <v>0</v>
      </c>
      <c r="AF16" s="832" t="str">
        <v/>
      </c>
      <c r="AG16" s="815" t="str">
        <v/>
      </c>
      <c r="AH16" s="816" t="str">
        <v/>
      </c>
      <c r="AI16" s="817" t="str">
        <v/>
      </c>
      <c r="AK16" s="843" t="str">
        <v/>
      </c>
      <c r="AL16" s="815" t="str">
        <v/>
      </c>
      <c r="AM16" s="815" t="str">
        <v/>
      </c>
      <c r="AN16" s="820" t="str">
        <v/>
      </c>
      <c r="AO16" s="822" t="str">
        <f>Language!$E$203</f>
        <v xml:space="preserve"> - </v>
      </c>
      <c r="AP16" s="835" t="str">
        <f t="shared" si="6"/>
        <v/>
      </c>
      <c r="AQ16" s="832" t="str">
        <v/>
      </c>
      <c r="AR16" s="815" t="str">
        <v/>
      </c>
      <c r="AS16" s="816" t="str">
        <v/>
      </c>
      <c r="AT16" s="817" t="str">
        <v/>
      </c>
      <c r="AV16" s="855">
        <v>-9</v>
      </c>
      <c r="AW16" s="817">
        <v>64</v>
      </c>
      <c r="AY16" t="b">
        <v>0</v>
      </c>
    </row>
    <row r="17" spans="2:51" ht="15.75" thickBot="1" x14ac:dyDescent="0.3">
      <c r="B17" s="848" t="str">
        <v/>
      </c>
      <c r="D17" s="844" t="str">
        <v>Qatar</v>
      </c>
      <c r="E17" s="818">
        <v>1</v>
      </c>
      <c r="F17" s="818">
        <f t="shared" si="7"/>
        <v>-6</v>
      </c>
      <c r="G17" s="821">
        <v>1</v>
      </c>
      <c r="H17" s="823" t="str">
        <f>Language!$E$203</f>
        <v xml:space="preserve"> - </v>
      </c>
      <c r="I17" s="836">
        <v>7</v>
      </c>
      <c r="J17" s="833" t="str">
        <v>0 - 6</v>
      </c>
      <c r="K17" s="818" t="str">
        <v>1 - 1</v>
      </c>
      <c r="L17" s="818" t="str">
        <v/>
      </c>
      <c r="M17" s="819" t="str">
        <v/>
      </c>
      <c r="O17" s="844" t="str">
        <v/>
      </c>
      <c r="P17" s="818" t="str">
        <v/>
      </c>
      <c r="Q17" s="818" t="str">
        <v/>
      </c>
      <c r="R17" s="821" t="str">
        <v/>
      </c>
      <c r="S17" s="823" t="str">
        <f>Language!$E$203</f>
        <v xml:space="preserve"> - </v>
      </c>
      <c r="T17" s="836" t="str">
        <f t="shared" si="4"/>
        <v/>
      </c>
      <c r="U17" s="833" t="str">
        <v/>
      </c>
      <c r="V17" s="818" t="str">
        <v/>
      </c>
      <c r="W17" s="818" t="str">
        <v/>
      </c>
      <c r="X17" s="819" t="str">
        <v/>
      </c>
      <c r="Z17" s="844" t="str">
        <v>Qatar</v>
      </c>
      <c r="AA17" s="818">
        <v>0</v>
      </c>
      <c r="AB17" s="818">
        <v>0</v>
      </c>
      <c r="AC17" s="821">
        <v>0</v>
      </c>
      <c r="AD17" s="823" t="str">
        <f>Language!$E$203</f>
        <v xml:space="preserve"> - </v>
      </c>
      <c r="AE17" s="836">
        <f t="shared" si="5"/>
        <v>0</v>
      </c>
      <c r="AF17" s="833" t="str">
        <v/>
      </c>
      <c r="AG17" s="818" t="str">
        <v/>
      </c>
      <c r="AH17" s="818" t="str">
        <v/>
      </c>
      <c r="AI17" s="819" t="str">
        <v/>
      </c>
      <c r="AK17" s="844" t="str">
        <v/>
      </c>
      <c r="AL17" s="818" t="str">
        <v/>
      </c>
      <c r="AM17" s="818" t="str">
        <v/>
      </c>
      <c r="AN17" s="821" t="str">
        <v/>
      </c>
      <c r="AO17" s="823" t="str">
        <f>Language!$E$203</f>
        <v xml:space="preserve"> - </v>
      </c>
      <c r="AP17" s="836" t="str">
        <f t="shared" si="6"/>
        <v/>
      </c>
      <c r="AQ17" s="833" t="str">
        <v/>
      </c>
      <c r="AR17" s="818" t="str">
        <v/>
      </c>
      <c r="AS17" s="818" t="str">
        <v/>
      </c>
      <c r="AT17" s="819" t="str">
        <v/>
      </c>
      <c r="AV17" s="856">
        <v>-11</v>
      </c>
      <c r="AW17" s="857">
        <v>56</v>
      </c>
      <c r="AY17" t="b">
        <v>0</v>
      </c>
    </row>
    <row r="18" spans="2:51" ht="15.75" thickTop="1" x14ac:dyDescent="0.25"/>
    <row r="19" spans="2:51" x14ac:dyDescent="0.25"/>
    <row r="20" spans="2:51" ht="15.75" thickBot="1" x14ac:dyDescent="0.3">
      <c r="D20" s="841"/>
      <c r="Z20" s="870" t="str">
        <f>IF(COUNTBLANK(CalcC!$BN$14:$BN$17)&lt;4,Language!$E$136,"")</f>
        <v/>
      </c>
      <c r="AK20" s="870" t="str">
        <f>IF(COUNTBLANK(CalcC!$BZ$14:$BZ$17)&lt;4,Language!$E$136,"")</f>
        <v/>
      </c>
    </row>
    <row r="21" spans="2:51" ht="24.75" thickTop="1" x14ac:dyDescent="0.35">
      <c r="B21" s="845" t="s">
        <v>21</v>
      </c>
      <c r="C21" s="814"/>
      <c r="D21" s="827"/>
      <c r="E21" s="838" t="str">
        <f>Language!$E$131</f>
        <v>Pts.</v>
      </c>
      <c r="F21" s="838" t="str">
        <f>Language!$E$132</f>
        <v>GD</v>
      </c>
      <c r="G21" s="1025" t="str">
        <f>Language!$E$133</f>
        <v>Goals</v>
      </c>
      <c r="H21" s="1026"/>
      <c r="I21" s="1026"/>
      <c r="J21" s="830" t="str">
        <f t="array" ref="J21:M21">LEFT(CalcC!$H$21:$K$21,$D$4)</f>
        <v>Brazil</v>
      </c>
      <c r="K21" s="828" t="str">
        <v>Morocco</v>
      </c>
      <c r="L21" s="828" t="str">
        <v>Scotlan</v>
      </c>
      <c r="M21" s="829" t="str">
        <v>Haiti</v>
      </c>
      <c r="O21" s="827"/>
      <c r="P21" s="838" t="str">
        <f>Language!$E$131</f>
        <v>Pts.</v>
      </c>
      <c r="Q21" s="838" t="str">
        <f>Language!$E$132</f>
        <v>GD</v>
      </c>
      <c r="R21" s="1025" t="str">
        <f>Language!$E$133</f>
        <v>Goals</v>
      </c>
      <c r="S21" s="1026"/>
      <c r="T21" s="1026"/>
      <c r="U21" s="830" t="str">
        <f t="array" ref="U21:X21">LEFT(CalcC!$BE$13:$BH$13,$D$4)</f>
        <v>Brazil</v>
      </c>
      <c r="V21" s="828" t="str">
        <v>Morocco</v>
      </c>
      <c r="W21" s="828" t="str">
        <v/>
      </c>
      <c r="X21" s="829" t="str">
        <v/>
      </c>
      <c r="Z21" s="827"/>
      <c r="AA21" s="838" t="str">
        <f>Language!$E$131</f>
        <v>Pts.</v>
      </c>
      <c r="AB21" s="838" t="str">
        <f>Language!$E$132</f>
        <v>GD</v>
      </c>
      <c r="AC21" s="1025" t="str">
        <f>Language!$E$133</f>
        <v>Goals</v>
      </c>
      <c r="AD21" s="1026"/>
      <c r="AE21" s="1026"/>
      <c r="AF21" s="830" t="str">
        <f t="array" ref="AF21:AI21">IF(COUNTBLANK(CalcC!$AZ$22:$AZ$25)&lt;4,LEFT(CalcC!$BE$21:$BH$21,$D$4),LEFT(CalcC!$BS$13:$BV$13,$D$4))</f>
        <v/>
      </c>
      <c r="AG21" s="828" t="str">
        <v/>
      </c>
      <c r="AH21" s="828" t="str">
        <v/>
      </c>
      <c r="AI21" s="829" t="str">
        <v/>
      </c>
      <c r="AK21" s="827"/>
      <c r="AL21" s="838" t="str">
        <f>Language!$E$131</f>
        <v>Pts.</v>
      </c>
      <c r="AM21" s="838" t="str">
        <f>Language!$E$132</f>
        <v>GD</v>
      </c>
      <c r="AN21" s="1025" t="str">
        <f>Language!$E$133</f>
        <v>Goals</v>
      </c>
      <c r="AO21" s="1026"/>
      <c r="AP21" s="1026"/>
      <c r="AQ21" s="830" t="str">
        <f t="array" ref="AQ21:AT21">LEFT(CalcC!$CE$13:$CH$13,$D$4)</f>
        <v/>
      </c>
      <c r="AR21" s="828" t="str">
        <v/>
      </c>
      <c r="AS21" s="828" t="str">
        <v/>
      </c>
      <c r="AT21" s="829" t="str">
        <v/>
      </c>
      <c r="AV21" s="852" t="str">
        <f>Language!$E$123</f>
        <v>Fair play</v>
      </c>
      <c r="AW21" s="853" t="str">
        <f>Language!$E$186</f>
        <v>FIFA Rank</v>
      </c>
      <c r="AY21" s="898" t="s">
        <v>1673</v>
      </c>
    </row>
    <row r="22" spans="2:51" x14ac:dyDescent="0.25">
      <c r="B22" s="848" t="str">
        <f t="array" ref="B22:B25">IF(CalcC!$M$22:$M$25,"•","")</f>
        <v/>
      </c>
      <c r="D22" s="842" t="str">
        <f t="array" ref="D22:D25">CalcC!$D$22:$D$25</f>
        <v>Brazil</v>
      </c>
      <c r="E22" s="824">
        <f t="array" ref="E22:E25">CalcC!$E$22:$E$25</f>
        <v>4</v>
      </c>
      <c r="F22" s="824">
        <f>G22-I22</f>
        <v>3</v>
      </c>
      <c r="G22" s="825">
        <f t="array" ref="G22:G25">CalcC!$F$22:$F$25</f>
        <v>4</v>
      </c>
      <c r="H22" s="837" t="str">
        <f>Language!$E$203</f>
        <v xml:space="preserve"> - </v>
      </c>
      <c r="I22" s="834">
        <f t="array" ref="I22:I25">CalcC!$G$22:$G$25</f>
        <v>1</v>
      </c>
      <c r="J22" s="831" t="str">
        <f t="array" ref="J22:M25">CalcC!$H$22:$K$25</f>
        <v/>
      </c>
      <c r="K22" s="824" t="str">
        <v>1 - 1</v>
      </c>
      <c r="L22" s="824" t="str">
        <v/>
      </c>
      <c r="M22" s="826" t="str">
        <v>3 - 0</v>
      </c>
      <c r="O22" s="842" t="str">
        <f t="array" ref="O22:O25">CalcC!$AZ$14:$AZ$17</f>
        <v>Brazil</v>
      </c>
      <c r="P22" s="824">
        <f t="array" ref="P22:P25">CalcC!$BA$14:$BA$17</f>
        <v>1</v>
      </c>
      <c r="Q22" s="824">
        <f t="array" ref="Q22:Q25">CalcC!$BB$14:$BB$17</f>
        <v>0</v>
      </c>
      <c r="R22" s="825">
        <f t="array" ref="R22:R25">CalcC!$BC$14:$BC$17</f>
        <v>1</v>
      </c>
      <c r="S22" s="837" t="str">
        <f>Language!$E$203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Language!$E$203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Language!$E$203</f>
        <v xml:space="preserve"> - </v>
      </c>
      <c r="AP22" s="834" t="str">
        <f t="shared" ref="AP22:AP25" si="10">IF(AK22="","",AN22-AM22)</f>
        <v/>
      </c>
      <c r="AQ22" s="831" t="str">
        <f t="array" ref="AQ22:AT25">CalcC!$CE$14:$CH$17</f>
        <v/>
      </c>
      <c r="AR22" s="824" t="str">
        <v/>
      </c>
      <c r="AS22" s="824" t="str">
        <v/>
      </c>
      <c r="AT22" s="826" t="str">
        <v/>
      </c>
      <c r="AV22" s="854">
        <f t="array" ref="AV22:AV25">VLOOKUP($D22:$D25,CalcC!$D$5:$P$8,13,0)</f>
        <v>-3</v>
      </c>
      <c r="AW22" s="826">
        <f t="array" ref="AW22:AW25">VLOOKUP($D22:$D25,CalcC!$D$5:$Q$8,14,0)</f>
        <v>6</v>
      </c>
      <c r="AY22" t="b">
        <f t="array" ref="AY22:AY25">CalcC!$AC$22:$AC$25</f>
        <v>0</v>
      </c>
    </row>
    <row r="23" spans="2:51" x14ac:dyDescent="0.25">
      <c r="B23" s="848" t="str">
        <v/>
      </c>
      <c r="D23" s="843" t="str">
        <v>Morocco</v>
      </c>
      <c r="E23" s="815">
        <v>4</v>
      </c>
      <c r="F23" s="815">
        <f t="shared" ref="F23:F25" si="11">G23-I23</f>
        <v>1</v>
      </c>
      <c r="G23" s="820">
        <v>2</v>
      </c>
      <c r="H23" s="822" t="str">
        <f>Language!$E$203</f>
        <v xml:space="preserve"> - </v>
      </c>
      <c r="I23" s="835">
        <v>1</v>
      </c>
      <c r="J23" s="832" t="str">
        <v>1 - 1</v>
      </c>
      <c r="K23" s="816" t="str">
        <v/>
      </c>
      <c r="L23" s="815" t="str">
        <v>1 - 0</v>
      </c>
      <c r="M23" s="817" t="str">
        <v/>
      </c>
      <c r="O23" s="843" t="str">
        <v>Morocco</v>
      </c>
      <c r="P23" s="815">
        <v>1</v>
      </c>
      <c r="Q23" s="815">
        <v>0</v>
      </c>
      <c r="R23" s="820">
        <v>1</v>
      </c>
      <c r="S23" s="822" t="str">
        <f>Language!$E$203</f>
        <v xml:space="preserve"> - </v>
      </c>
      <c r="T23" s="835">
        <f t="shared" si="8"/>
        <v>1</v>
      </c>
      <c r="U23" s="832" t="str">
        <v>1 - 1</v>
      </c>
      <c r="V23" s="816" t="str">
        <v/>
      </c>
      <c r="W23" s="815" t="str">
        <v/>
      </c>
      <c r="X23" s="817" t="str">
        <v/>
      </c>
      <c r="Z23" s="843" t="str">
        <v/>
      </c>
      <c r="AA23" s="815" t="str">
        <v/>
      </c>
      <c r="AB23" s="815" t="str">
        <v/>
      </c>
      <c r="AC23" s="820" t="str">
        <v/>
      </c>
      <c r="AD23" s="822" t="str">
        <f>Language!$E$203</f>
        <v xml:space="preserve"> - </v>
      </c>
      <c r="AE23" s="835" t="str">
        <f t="shared" si="9"/>
        <v/>
      </c>
      <c r="AF23" s="832" t="str">
        <v/>
      </c>
      <c r="AG23" s="816" t="str">
        <v/>
      </c>
      <c r="AH23" s="815" t="str">
        <v/>
      </c>
      <c r="AI23" s="817" t="str">
        <v/>
      </c>
      <c r="AK23" s="843" t="str">
        <v/>
      </c>
      <c r="AL23" s="815" t="str">
        <v/>
      </c>
      <c r="AM23" s="815" t="str">
        <v/>
      </c>
      <c r="AN23" s="820" t="str">
        <v/>
      </c>
      <c r="AO23" s="822" t="str">
        <f>Language!$E$203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Scotland</v>
      </c>
      <c r="E24" s="815">
        <v>3</v>
      </c>
      <c r="F24" s="815">
        <f t="shared" si="11"/>
        <v>0</v>
      </c>
      <c r="G24" s="820">
        <v>1</v>
      </c>
      <c r="H24" s="822" t="str">
        <f>Language!$E$203</f>
        <v xml:space="preserve"> - </v>
      </c>
      <c r="I24" s="835">
        <v>1</v>
      </c>
      <c r="J24" s="832" t="str">
        <v/>
      </c>
      <c r="K24" s="815" t="str">
        <v>0 - 1</v>
      </c>
      <c r="L24" s="816" t="str">
        <v/>
      </c>
      <c r="M24" s="817" t="str">
        <v>1 - 0</v>
      </c>
      <c r="O24" s="843" t="str">
        <v/>
      </c>
      <c r="P24" s="815" t="str">
        <v/>
      </c>
      <c r="Q24" s="815" t="str">
        <v/>
      </c>
      <c r="R24" s="820" t="str">
        <v/>
      </c>
      <c r="S24" s="822" t="str">
        <f>Language!$E$203</f>
        <v xml:space="preserve"> - </v>
      </c>
      <c r="T24" s="835" t="str">
        <f t="shared" si="8"/>
        <v/>
      </c>
      <c r="U24" s="832" t="str">
        <v/>
      </c>
      <c r="V24" s="815" t="str">
        <v/>
      </c>
      <c r="W24" s="816" t="str">
        <v/>
      </c>
      <c r="X24" s="817" t="str">
        <v/>
      </c>
      <c r="Z24" s="843" t="str">
        <v/>
      </c>
      <c r="AA24" s="815" t="str">
        <v/>
      </c>
      <c r="AB24" s="815" t="str">
        <v/>
      </c>
      <c r="AC24" s="820" t="str">
        <v/>
      </c>
      <c r="AD24" s="822" t="str">
        <f>Language!$E$203</f>
        <v xml:space="preserve"> - </v>
      </c>
      <c r="AE24" s="835" t="str">
        <f t="shared" si="9"/>
        <v/>
      </c>
      <c r="AF24" s="832" t="str">
        <v/>
      </c>
      <c r="AG24" s="815" t="str">
        <v/>
      </c>
      <c r="AH24" s="816" t="str">
        <v/>
      </c>
      <c r="AI24" s="817" t="str">
        <v/>
      </c>
      <c r="AK24" s="843" t="str">
        <v/>
      </c>
      <c r="AL24" s="815" t="str">
        <v/>
      </c>
      <c r="AM24" s="815" t="str">
        <v/>
      </c>
      <c r="AN24" s="820" t="str">
        <v/>
      </c>
      <c r="AO24" s="822" t="str">
        <f>Language!$E$203</f>
        <v xml:space="preserve"> - </v>
      </c>
      <c r="AP24" s="835" t="str">
        <f t="shared" si="10"/>
        <v/>
      </c>
      <c r="AQ24" s="832" t="str">
        <v/>
      </c>
      <c r="AR24" s="815" t="str">
        <v/>
      </c>
      <c r="AS24" s="816" t="str">
        <v/>
      </c>
      <c r="AT24" s="817" t="str">
        <v/>
      </c>
      <c r="AV24" s="855">
        <v>-4</v>
      </c>
      <c r="AW24" s="817">
        <v>42</v>
      </c>
      <c r="AY24" t="b">
        <v>0</v>
      </c>
    </row>
    <row r="25" spans="2:51" ht="15.75" thickBot="1" x14ac:dyDescent="0.3">
      <c r="B25" s="848" t="str">
        <v/>
      </c>
      <c r="D25" s="844" t="str">
        <v>Haiti</v>
      </c>
      <c r="E25" s="818">
        <v>0</v>
      </c>
      <c r="F25" s="818">
        <f t="shared" si="11"/>
        <v>-4</v>
      </c>
      <c r="G25" s="821">
        <v>0</v>
      </c>
      <c r="H25" s="823" t="str">
        <f>Language!$E$203</f>
        <v xml:space="preserve"> - </v>
      </c>
      <c r="I25" s="836">
        <v>4</v>
      </c>
      <c r="J25" s="833" t="str">
        <v>0 - 3</v>
      </c>
      <c r="K25" s="818" t="str">
        <v/>
      </c>
      <c r="L25" s="818" t="str">
        <v>0 - 1</v>
      </c>
      <c r="M25" s="819" t="str">
        <v/>
      </c>
      <c r="O25" s="844" t="str">
        <v/>
      </c>
      <c r="P25" s="818" t="str">
        <v/>
      </c>
      <c r="Q25" s="818" t="str">
        <v/>
      </c>
      <c r="R25" s="821" t="str">
        <v/>
      </c>
      <c r="S25" s="823" t="str">
        <f>Language!$E$203</f>
        <v xml:space="preserve"> - </v>
      </c>
      <c r="T25" s="836" t="str">
        <f t="shared" si="8"/>
        <v/>
      </c>
      <c r="U25" s="833" t="str">
        <v/>
      </c>
      <c r="V25" s="818" t="str">
        <v/>
      </c>
      <c r="W25" s="818" t="str">
        <v/>
      </c>
      <c r="X25" s="819" t="str">
        <v/>
      </c>
      <c r="Z25" s="844" t="str">
        <v/>
      </c>
      <c r="AA25" s="818" t="str">
        <v/>
      </c>
      <c r="AB25" s="818" t="str">
        <v/>
      </c>
      <c r="AC25" s="821" t="str">
        <v/>
      </c>
      <c r="AD25" s="823" t="str">
        <f>Language!$E$203</f>
        <v xml:space="preserve"> - </v>
      </c>
      <c r="AE25" s="836" t="str">
        <f t="shared" si="9"/>
        <v/>
      </c>
      <c r="AF25" s="833" t="str">
        <v/>
      </c>
      <c r="AG25" s="818" t="str">
        <v/>
      </c>
      <c r="AH25" s="818" t="str">
        <v/>
      </c>
      <c r="AI25" s="819" t="str">
        <v/>
      </c>
      <c r="AK25" s="844" t="str">
        <v/>
      </c>
      <c r="AL25" s="818" t="str">
        <v/>
      </c>
      <c r="AM25" s="818" t="str">
        <v/>
      </c>
      <c r="AN25" s="821" t="str">
        <v/>
      </c>
      <c r="AO25" s="823" t="str">
        <f>Language!$E$203</f>
        <v xml:space="preserve"> - </v>
      </c>
      <c r="AP25" s="836" t="str">
        <f t="shared" si="10"/>
        <v/>
      </c>
      <c r="AQ25" s="833" t="str">
        <v/>
      </c>
      <c r="AR25" s="818" t="str">
        <v/>
      </c>
      <c r="AS25" s="818" t="str">
        <v/>
      </c>
      <c r="AT25" s="819" t="str">
        <v/>
      </c>
      <c r="AV25" s="856">
        <v>-4</v>
      </c>
      <c r="AW25" s="857">
        <v>83</v>
      </c>
      <c r="AY25" t="b">
        <v>0</v>
      </c>
    </row>
    <row r="26" spans="2:51" ht="15.75" thickTop="1" x14ac:dyDescent="0.25"/>
    <row r="27" spans="2:51" x14ac:dyDescent="0.25"/>
    <row r="28" spans="2:51" ht="15.75" thickBot="1" x14ac:dyDescent="0.3">
      <c r="D28" s="841"/>
      <c r="Z28" s="870" t="str">
        <f>IF(COUNTBLANK(CalcD!$BN$14:$BN$17)&lt;4,Language!$E$136,"")</f>
        <v/>
      </c>
      <c r="AK28" s="870" t="str">
        <f>IF(COUNTBLANK(CalcD!$BZ$14:$BZ$17)&lt;4,Language!$E$136,"")</f>
        <v/>
      </c>
    </row>
    <row r="29" spans="2:51" ht="24.75" thickTop="1" x14ac:dyDescent="0.35">
      <c r="B29" s="845" t="s">
        <v>25</v>
      </c>
      <c r="C29" s="814"/>
      <c r="D29" s="827"/>
      <c r="E29" s="838" t="str">
        <f>Language!$E$131</f>
        <v>Pts.</v>
      </c>
      <c r="F29" s="838" t="str">
        <f>Language!$E$132</f>
        <v>GD</v>
      </c>
      <c r="G29" s="1025" t="str">
        <f>Language!$E$133</f>
        <v>Goals</v>
      </c>
      <c r="H29" s="1026"/>
      <c r="I29" s="1026"/>
      <c r="J29" s="830" t="str">
        <f t="array" ref="J29:M29">LEFT(CalcD!$H$21:$K$21,$D$4)</f>
        <v>USA</v>
      </c>
      <c r="K29" s="828" t="str">
        <v>Austral</v>
      </c>
      <c r="L29" s="828" t="str">
        <v>Paragua</v>
      </c>
      <c r="M29" s="829" t="str">
        <v>Turkiye</v>
      </c>
      <c r="O29" s="827"/>
      <c r="P29" s="838" t="str">
        <f>Language!$E$131</f>
        <v>Pts.</v>
      </c>
      <c r="Q29" s="838" t="str">
        <f>Language!$E$132</f>
        <v>GD</v>
      </c>
      <c r="R29" s="1025" t="str">
        <f>Language!$E$133</f>
        <v>Goals</v>
      </c>
      <c r="S29" s="1026"/>
      <c r="T29" s="1026"/>
      <c r="U29" s="830" t="str">
        <f t="array" ref="U29:X29">LEFT(CalcD!$BE$13:$BH$13,$D$4)</f>
        <v/>
      </c>
      <c r="V29" s="828" t="str">
        <v>Austral</v>
      </c>
      <c r="W29" s="828" t="str">
        <v>Paragua</v>
      </c>
      <c r="X29" s="829" t="str">
        <v/>
      </c>
      <c r="Z29" s="827"/>
      <c r="AA29" s="838" t="str">
        <f>Language!$E$131</f>
        <v>Pts.</v>
      </c>
      <c r="AB29" s="838" t="str">
        <f>Language!$E$132</f>
        <v>GD</v>
      </c>
      <c r="AC29" s="1025" t="str">
        <f>Language!$E$133</f>
        <v>Goals</v>
      </c>
      <c r="AD29" s="1026"/>
      <c r="AE29" s="1026"/>
      <c r="AF29" s="830" t="str">
        <f t="array" ref="AF29:AI29">IF(COUNTBLANK(CalcD!$AZ$22:$AZ$25)&lt;4,LEFT(CalcD!$BE$21:$BH$21,$D$4),LEFT(CalcD!$BS$13:$BV$13,$D$4))</f>
        <v/>
      </c>
      <c r="AG29" s="828" t="str">
        <v/>
      </c>
      <c r="AH29" s="828" t="str">
        <v/>
      </c>
      <c r="AI29" s="829" t="str">
        <v/>
      </c>
      <c r="AK29" s="827"/>
      <c r="AL29" s="838" t="str">
        <f>Language!$E$131</f>
        <v>Pts.</v>
      </c>
      <c r="AM29" s="838" t="str">
        <f>Language!$E$132</f>
        <v>GD</v>
      </c>
      <c r="AN29" s="1025" t="str">
        <f>Language!$E$133</f>
        <v>Goals</v>
      </c>
      <c r="AO29" s="1026"/>
      <c r="AP29" s="1026"/>
      <c r="AQ29" s="830" t="str">
        <f t="array" ref="AQ29:AT29">LEFT(CalcD!$CE$13:$CH$13,$D$4)</f>
        <v/>
      </c>
      <c r="AR29" s="828" t="str">
        <v/>
      </c>
      <c r="AS29" s="828" t="str">
        <v/>
      </c>
      <c r="AT29" s="829" t="str">
        <v/>
      </c>
      <c r="AV29" s="852" t="str">
        <f>Language!$E$123</f>
        <v>Fair play</v>
      </c>
      <c r="AW29" s="853" t="str">
        <f>Language!$E$186</f>
        <v>FIFA Rank</v>
      </c>
      <c r="AY29" s="898" t="s">
        <v>1673</v>
      </c>
    </row>
    <row r="30" spans="2:51" x14ac:dyDescent="0.25">
      <c r="B30" s="848" t="str">
        <f t="array" ref="B30:B33">IF(CalcD!$M$22:$M$25,"•","")</f>
        <v/>
      </c>
      <c r="D30" s="842" t="str">
        <f t="array" ref="D30:D33">CalcD!$D$22:$D$25</f>
        <v>USA</v>
      </c>
      <c r="E30" s="824">
        <f t="array" ref="E30:E33">CalcD!$E$22:$E$25</f>
        <v>6</v>
      </c>
      <c r="F30" s="824">
        <f>G30-I30</f>
        <v>5</v>
      </c>
      <c r="G30" s="825">
        <f t="array" ref="G30:G33">CalcD!$F$22:$F$25</f>
        <v>6</v>
      </c>
      <c r="H30" s="837" t="str">
        <f>Language!$E$203</f>
        <v xml:space="preserve"> - </v>
      </c>
      <c r="I30" s="834">
        <f t="array" ref="I30:I33">CalcD!$G$22:$G$25</f>
        <v>1</v>
      </c>
      <c r="J30" s="831" t="str">
        <f t="array" ref="J30:M33">CalcD!$H$22:$K$25</f>
        <v/>
      </c>
      <c r="K30" s="824" t="str">
        <v>2 - 0</v>
      </c>
      <c r="L30" s="824" t="str">
        <v>4 - 1</v>
      </c>
      <c r="M30" s="826" t="str">
        <v/>
      </c>
      <c r="O30" s="842" t="str">
        <f t="array" ref="O30:O33">CalcD!$AZ$14:$AZ$17</f>
        <v/>
      </c>
      <c r="P30" s="824" t="str">
        <f t="array" ref="P30:P33">CalcD!$BA$14:$BA$17</f>
        <v/>
      </c>
      <c r="Q30" s="824" t="str">
        <f t="array" ref="Q30:Q33">CalcD!$BB$14:$BB$17</f>
        <v/>
      </c>
      <c r="R30" s="825" t="str">
        <f t="array" ref="R30:R33">CalcD!$BC$14:$BC$17</f>
        <v/>
      </c>
      <c r="S30" s="837" t="str">
        <f>Language!$E$203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Language!$E$203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Language!$E$203</f>
        <v xml:space="preserve"> - </v>
      </c>
      <c r="AP30" s="834" t="str">
        <f t="shared" ref="AP30:AP33" si="14">IF(AK30="","",AN30-AM30)</f>
        <v/>
      </c>
      <c r="AQ30" s="831" t="str">
        <f t="array" ref="AQ30:AT33">CalcD!$CE$14:$CH$17</f>
        <v/>
      </c>
      <c r="AR30" s="824" t="str">
        <v/>
      </c>
      <c r="AS30" s="824" t="str">
        <v/>
      </c>
      <c r="AT30" s="826" t="str">
        <v/>
      </c>
      <c r="AV30" s="854">
        <f t="array" ref="AV30:AV33">VLOOKUP($D30:$D33,CalcD!$D$5:$P$8,13,0)</f>
        <v>-4</v>
      </c>
      <c r="AW30" s="826">
        <f t="array" ref="AW30:AW33">VLOOKUP($D30:$D33,CalcD!$D$5:$Q$8,14,0)</f>
        <v>17</v>
      </c>
      <c r="AY30" t="b">
        <f t="array" ref="AY30:AY33">CalcD!$AC$22:$AC$25</f>
        <v>0</v>
      </c>
    </row>
    <row r="31" spans="2:51" x14ac:dyDescent="0.25">
      <c r="B31" s="848" t="str">
        <v/>
      </c>
      <c r="D31" s="843" t="str">
        <v>Australia</v>
      </c>
      <c r="E31" s="815">
        <v>3</v>
      </c>
      <c r="F31" s="815">
        <f t="shared" ref="F31:F33" si="15">G31-I31</f>
        <v>0</v>
      </c>
      <c r="G31" s="820">
        <v>2</v>
      </c>
      <c r="H31" s="822" t="str">
        <f>Language!$E$203</f>
        <v xml:space="preserve"> - </v>
      </c>
      <c r="I31" s="835">
        <v>2</v>
      </c>
      <c r="J31" s="832" t="str">
        <v>0 - 2</v>
      </c>
      <c r="K31" s="816" t="str">
        <v/>
      </c>
      <c r="L31" s="815" t="str">
        <v/>
      </c>
      <c r="M31" s="817" t="str">
        <v>2 - 0</v>
      </c>
      <c r="O31" s="843" t="str">
        <v>Australia</v>
      </c>
      <c r="P31" s="815">
        <v>0</v>
      </c>
      <c r="Q31" s="815">
        <v>0</v>
      </c>
      <c r="R31" s="820">
        <v>0</v>
      </c>
      <c r="S31" s="822" t="str">
        <f>Language!$E$203</f>
        <v xml:space="preserve"> - </v>
      </c>
      <c r="T31" s="835">
        <f t="shared" si="12"/>
        <v>0</v>
      </c>
      <c r="U31" s="832" t="str">
        <v/>
      </c>
      <c r="V31" s="816" t="str">
        <v/>
      </c>
      <c r="W31" s="815" t="str">
        <v/>
      </c>
      <c r="X31" s="817" t="str">
        <v/>
      </c>
      <c r="Z31" s="843" t="str">
        <v/>
      </c>
      <c r="AA31" s="815" t="str">
        <v/>
      </c>
      <c r="AB31" s="815" t="str">
        <v/>
      </c>
      <c r="AC31" s="820" t="str">
        <v/>
      </c>
      <c r="AD31" s="822" t="str">
        <f>Language!$E$203</f>
        <v xml:space="preserve"> - </v>
      </c>
      <c r="AE31" s="835" t="str">
        <f t="shared" si="13"/>
        <v/>
      </c>
      <c r="AF31" s="832" t="str">
        <v/>
      </c>
      <c r="AG31" s="816" t="str">
        <v/>
      </c>
      <c r="AH31" s="815" t="str">
        <v/>
      </c>
      <c r="AI31" s="817" t="str">
        <v/>
      </c>
      <c r="AK31" s="843" t="str">
        <v/>
      </c>
      <c r="AL31" s="815" t="str">
        <v/>
      </c>
      <c r="AM31" s="815" t="str">
        <v/>
      </c>
      <c r="AN31" s="820" t="str">
        <v/>
      </c>
      <c r="AO31" s="822" t="str">
        <f>Language!$E$203</f>
        <v xml:space="preserve"> - </v>
      </c>
      <c r="AP31" s="835" t="str">
        <f t="shared" si="14"/>
        <v/>
      </c>
      <c r="AQ31" s="832" t="str">
        <v/>
      </c>
      <c r="AR31" s="816" t="str">
        <v/>
      </c>
      <c r="AS31" s="815" t="str">
        <v/>
      </c>
      <c r="AT31" s="817" t="str">
        <v/>
      </c>
      <c r="AV31" s="855">
        <v>-4</v>
      </c>
      <c r="AW31" s="817">
        <v>27</v>
      </c>
      <c r="AY31" t="b">
        <v>0</v>
      </c>
    </row>
    <row r="32" spans="2:51" x14ac:dyDescent="0.25">
      <c r="B32" s="848" t="str">
        <v/>
      </c>
      <c r="D32" s="843" t="str">
        <v>Paraguay</v>
      </c>
      <c r="E32" s="815">
        <v>3</v>
      </c>
      <c r="F32" s="815">
        <f t="shared" si="15"/>
        <v>-2</v>
      </c>
      <c r="G32" s="820">
        <v>2</v>
      </c>
      <c r="H32" s="822" t="str">
        <f>Language!$E$203</f>
        <v xml:space="preserve"> - </v>
      </c>
      <c r="I32" s="835">
        <v>4</v>
      </c>
      <c r="J32" s="832" t="str">
        <v>1 - 4</v>
      </c>
      <c r="K32" s="815" t="str">
        <v/>
      </c>
      <c r="L32" s="816" t="str">
        <v/>
      </c>
      <c r="M32" s="817" t="str">
        <v>1 - 0</v>
      </c>
      <c r="O32" s="843" t="str">
        <v>Paraguay</v>
      </c>
      <c r="P32" s="815">
        <v>0</v>
      </c>
      <c r="Q32" s="815">
        <v>0</v>
      </c>
      <c r="R32" s="820">
        <v>0</v>
      </c>
      <c r="S32" s="822" t="str">
        <f>Language!$E$203</f>
        <v xml:space="preserve"> - </v>
      </c>
      <c r="T32" s="835">
        <f t="shared" si="12"/>
        <v>0</v>
      </c>
      <c r="U32" s="832" t="str">
        <v/>
      </c>
      <c r="V32" s="815" t="str">
        <v/>
      </c>
      <c r="W32" s="816" t="str">
        <v/>
      </c>
      <c r="X32" s="817" t="str">
        <v/>
      </c>
      <c r="Z32" s="843" t="str">
        <v/>
      </c>
      <c r="AA32" s="815" t="str">
        <v/>
      </c>
      <c r="AB32" s="815" t="str">
        <v/>
      </c>
      <c r="AC32" s="820" t="str">
        <v/>
      </c>
      <c r="AD32" s="822" t="str">
        <f>Language!$E$203</f>
        <v xml:space="preserve"> - </v>
      </c>
      <c r="AE32" s="835" t="str">
        <f t="shared" si="13"/>
        <v/>
      </c>
      <c r="AF32" s="832" t="str">
        <v/>
      </c>
      <c r="AG32" s="815" t="str">
        <v/>
      </c>
      <c r="AH32" s="816" t="str">
        <v/>
      </c>
      <c r="AI32" s="817" t="str">
        <v/>
      </c>
      <c r="AK32" s="843" t="str">
        <v/>
      </c>
      <c r="AL32" s="815" t="str">
        <v/>
      </c>
      <c r="AM32" s="815" t="str">
        <v/>
      </c>
      <c r="AN32" s="820" t="str">
        <v/>
      </c>
      <c r="AO32" s="822" t="str">
        <f>Language!$E$203</f>
        <v xml:space="preserve"> - </v>
      </c>
      <c r="AP32" s="835" t="str">
        <f t="shared" si="14"/>
        <v/>
      </c>
      <c r="AQ32" s="832" t="str">
        <v/>
      </c>
      <c r="AR32" s="815" t="str">
        <v/>
      </c>
      <c r="AS32" s="816" t="str">
        <v/>
      </c>
      <c r="AT32" s="817" t="str">
        <v/>
      </c>
      <c r="AV32" s="855">
        <v>-10</v>
      </c>
      <c r="AW32" s="817">
        <v>41</v>
      </c>
      <c r="AY32" t="b">
        <v>0</v>
      </c>
    </row>
    <row r="33" spans="2:51" ht="15.75" thickBot="1" x14ac:dyDescent="0.3">
      <c r="B33" s="848" t="str">
        <v/>
      </c>
      <c r="D33" s="844" t="str">
        <v>Turkiye</v>
      </c>
      <c r="E33" s="818">
        <v>0</v>
      </c>
      <c r="F33" s="818">
        <f t="shared" si="15"/>
        <v>-3</v>
      </c>
      <c r="G33" s="821">
        <v>0</v>
      </c>
      <c r="H33" s="823" t="str">
        <f>Language!$E$203</f>
        <v xml:space="preserve"> - </v>
      </c>
      <c r="I33" s="836">
        <v>3</v>
      </c>
      <c r="J33" s="833" t="str">
        <v/>
      </c>
      <c r="K33" s="818" t="str">
        <v>0 - 2</v>
      </c>
      <c r="L33" s="818" t="str">
        <v>0 - 1</v>
      </c>
      <c r="M33" s="819" t="str">
        <v/>
      </c>
      <c r="O33" s="844" t="str">
        <v/>
      </c>
      <c r="P33" s="818" t="str">
        <v/>
      </c>
      <c r="Q33" s="818" t="str">
        <v/>
      </c>
      <c r="R33" s="821" t="str">
        <v/>
      </c>
      <c r="S33" s="823" t="str">
        <f>Language!$E$203</f>
        <v xml:space="preserve"> - </v>
      </c>
      <c r="T33" s="836" t="str">
        <f t="shared" si="12"/>
        <v/>
      </c>
      <c r="U33" s="833" t="str">
        <v/>
      </c>
      <c r="V33" s="818" t="str">
        <v/>
      </c>
      <c r="W33" s="818" t="str">
        <v/>
      </c>
      <c r="X33" s="819" t="str">
        <v/>
      </c>
      <c r="Z33" s="844" t="str">
        <v/>
      </c>
      <c r="AA33" s="818" t="str">
        <v/>
      </c>
      <c r="AB33" s="818" t="str">
        <v/>
      </c>
      <c r="AC33" s="821" t="str">
        <v/>
      </c>
      <c r="AD33" s="823" t="str">
        <f>Language!$E$203</f>
        <v xml:space="preserve"> - </v>
      </c>
      <c r="AE33" s="836" t="str">
        <f t="shared" si="13"/>
        <v/>
      </c>
      <c r="AF33" s="833" t="str">
        <v/>
      </c>
      <c r="AG33" s="818" t="str">
        <v/>
      </c>
      <c r="AH33" s="818" t="str">
        <v/>
      </c>
      <c r="AI33" s="819" t="str">
        <v/>
      </c>
      <c r="AK33" s="844" t="str">
        <v/>
      </c>
      <c r="AL33" s="818" t="str">
        <v/>
      </c>
      <c r="AM33" s="818" t="str">
        <v/>
      </c>
      <c r="AN33" s="821" t="str">
        <v/>
      </c>
      <c r="AO33" s="823" t="str">
        <f>Language!$E$203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IF(COUNTBLANK(CalcE!$BN$14:$BN$17)&lt;4,Language!$E$136,"")</f>
        <v/>
      </c>
      <c r="AK36" s="870" t="str">
        <f>IF(COUNTBLANK(CalcE!$BZ$14:$BZ$17)&lt;4,Language!$E$136,"")</f>
        <v/>
      </c>
    </row>
    <row r="37" spans="2:51" ht="24.75" thickTop="1" x14ac:dyDescent="0.35">
      <c r="B37" s="845" t="s">
        <v>22</v>
      </c>
      <c r="C37" s="814"/>
      <c r="D37" s="827"/>
      <c r="E37" s="838" t="str">
        <f>Language!$E$131</f>
        <v>Pts.</v>
      </c>
      <c r="F37" s="838" t="str">
        <f>Language!$E$132</f>
        <v>GD</v>
      </c>
      <c r="G37" s="1025" t="str">
        <f>Language!$E$133</f>
        <v>Goals</v>
      </c>
      <c r="H37" s="1026"/>
      <c r="I37" s="1026"/>
      <c r="J37" s="830" t="str">
        <f t="array" ref="J37:M37">LEFT(CalcE!$H$21:$K$21,$D$4)</f>
        <v>Germany</v>
      </c>
      <c r="K37" s="828" t="str">
        <v>Cote d'</v>
      </c>
      <c r="L37" s="828" t="str">
        <v>Ecuador</v>
      </c>
      <c r="M37" s="829" t="str">
        <v>Curaçao</v>
      </c>
      <c r="O37" s="827"/>
      <c r="P37" s="838" t="str">
        <f>Language!$E$131</f>
        <v>Pts.</v>
      </c>
      <c r="Q37" s="838" t="str">
        <f>Language!$E$132</f>
        <v>GD</v>
      </c>
      <c r="R37" s="1025" t="str">
        <f>Language!$E$133</f>
        <v>Goals</v>
      </c>
      <c r="S37" s="1026"/>
      <c r="T37" s="1026"/>
      <c r="U37" s="830" t="str">
        <f t="array" ref="U37:X37">LEFT(CalcE!$BE$13:$BH$13,$D$4)</f>
        <v/>
      </c>
      <c r="V37" s="828" t="str">
        <v/>
      </c>
      <c r="W37" s="828" t="str">
        <v>Ecuador</v>
      </c>
      <c r="X37" s="829" t="str">
        <v>Curaçao</v>
      </c>
      <c r="Z37" s="827"/>
      <c r="AA37" s="838" t="str">
        <f>Language!$E$131</f>
        <v>Pts.</v>
      </c>
      <c r="AB37" s="838" t="str">
        <f>Language!$E$132</f>
        <v>GD</v>
      </c>
      <c r="AC37" s="1025" t="str">
        <f>Language!$E$133</f>
        <v>Goals</v>
      </c>
      <c r="AD37" s="1026"/>
      <c r="AE37" s="1026"/>
      <c r="AF37" s="830" t="str">
        <f t="array" ref="AF37:AI37">IF(COUNTBLANK(CalcE!$AZ$22:$AZ$25)&lt;4,LEFT(CalcE!$BE$21:$BH$21,$D$4),LEFT(CalcE!$BS$13:$BV$13,$D$4))</f>
        <v/>
      </c>
      <c r="AG37" s="828" t="str">
        <v/>
      </c>
      <c r="AH37" s="828" t="str">
        <v/>
      </c>
      <c r="AI37" s="829" t="str">
        <v/>
      </c>
      <c r="AK37" s="827"/>
      <c r="AL37" s="838" t="str">
        <f>Language!$E$131</f>
        <v>Pts.</v>
      </c>
      <c r="AM37" s="838" t="str">
        <f>Language!$E$132</f>
        <v>GD</v>
      </c>
      <c r="AN37" s="1025" t="str">
        <f>Language!$E$133</f>
        <v>Goals</v>
      </c>
      <c r="AO37" s="1026"/>
      <c r="AP37" s="1026"/>
      <c r="AQ37" s="830" t="str">
        <f t="array" ref="AQ37:AT37">LEFT(CalcE!$CE$13:$CH$13,$D$4)</f>
        <v/>
      </c>
      <c r="AR37" s="828" t="str">
        <v/>
      </c>
      <c r="AS37" s="828" t="str">
        <v/>
      </c>
      <c r="AT37" s="829" t="str">
        <v/>
      </c>
      <c r="AV37" s="852" t="str">
        <f>Language!$E$123</f>
        <v>Fair play</v>
      </c>
      <c r="AW37" s="853" t="str">
        <f>Language!$E$186</f>
        <v>FIFA Rank</v>
      </c>
      <c r="AY37" s="898" t="s">
        <v>1673</v>
      </c>
    </row>
    <row r="38" spans="2:51" x14ac:dyDescent="0.25">
      <c r="B38" s="848" t="str">
        <f t="array" ref="B38:B41">IF(CalcE!$M$22:$M$25,"•","")</f>
        <v/>
      </c>
      <c r="D38" s="842" t="str">
        <f t="array" ref="D38:D41">CalcE!$D$22:$D$25</f>
        <v>Germany</v>
      </c>
      <c r="E38" s="824">
        <f t="array" ref="E38:E41">CalcE!$E$22:$E$25</f>
        <v>6</v>
      </c>
      <c r="F38" s="824">
        <f>G38-I38</f>
        <v>7</v>
      </c>
      <c r="G38" s="825">
        <f t="array" ref="G38:G41">CalcE!$F$22:$F$25</f>
        <v>9</v>
      </c>
      <c r="H38" s="837" t="str">
        <f>Language!$E$203</f>
        <v xml:space="preserve"> - </v>
      </c>
      <c r="I38" s="834">
        <f t="array" ref="I38:I41">CalcE!$G$22:$G$25</f>
        <v>2</v>
      </c>
      <c r="J38" s="831" t="str">
        <f t="array" ref="J38:M41">CalcE!$H$22:$K$25</f>
        <v/>
      </c>
      <c r="K38" s="824" t="str">
        <v>2 - 1</v>
      </c>
      <c r="L38" s="824" t="str">
        <v/>
      </c>
      <c r="M38" s="826" t="str">
        <v>7 - 1</v>
      </c>
      <c r="O38" s="842" t="str">
        <f t="array" ref="O38:O41">CalcE!$AZ$14:$AZ$17</f>
        <v/>
      </c>
      <c r="P38" s="824" t="str">
        <f t="array" ref="P38:P41">CalcE!$BA$14:$BA$17</f>
        <v/>
      </c>
      <c r="Q38" s="824" t="str">
        <f t="array" ref="Q38:Q41">CalcE!$BB$14:$BB$17</f>
        <v/>
      </c>
      <c r="R38" s="825" t="str">
        <f t="array" ref="R38:R41">CalcE!$BC$14:$BC$17</f>
        <v/>
      </c>
      <c r="S38" s="837" t="str">
        <f>Language!$E$203</f>
        <v xml:space="preserve"> - </v>
      </c>
      <c r="T38" s="834" t="str">
        <f t="shared" ref="T38:T41" si="16">IF(O38="","",R38-Q38)</f>
        <v/>
      </c>
      <c r="U38" s="831" t="str">
        <f t="array" ref="U38:X41">CalcE!$BE$14:$BH$17</f>
        <v/>
      </c>
      <c r="V38" s="824" t="str">
        <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Language!$E$203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Language!$E$203</f>
        <v xml:space="preserve"> - </v>
      </c>
      <c r="AP38" s="834" t="str">
        <f t="shared" ref="AP38:AP41" si="18">IF(AK38="","",AN38-AM38)</f>
        <v/>
      </c>
      <c r="AQ38" s="831" t="str">
        <f t="array" ref="AQ38:AT41">CalcE!$CE$14:$CH$17</f>
        <v/>
      </c>
      <c r="AR38" s="824" t="str">
        <v/>
      </c>
      <c r="AS38" s="824" t="str">
        <v/>
      </c>
      <c r="AT38" s="826" t="str">
        <v/>
      </c>
      <c r="AV38" s="854">
        <f t="array" ref="AV38:AV41">VLOOKUP($D38:$D41,CalcE!$D$5:$P$8,13,0)</f>
        <v>0</v>
      </c>
      <c r="AW38" s="826">
        <f t="array" ref="AW38:AW41">VLOOKUP($D38:$D41,CalcE!$D$5:$Q$8,14,0)</f>
        <v>10</v>
      </c>
      <c r="AY38" t="b">
        <f t="array" ref="AY38:AY41">CalcE!$AC$22:$AC$25</f>
        <v>0</v>
      </c>
    </row>
    <row r="39" spans="2:51" x14ac:dyDescent="0.25">
      <c r="B39" s="848" t="str">
        <v/>
      </c>
      <c r="D39" s="843" t="str">
        <v>Cote d'Ivoire</v>
      </c>
      <c r="E39" s="815">
        <v>3</v>
      </c>
      <c r="F39" s="815">
        <f t="shared" ref="F39:F41" si="19">G39-I39</f>
        <v>0</v>
      </c>
      <c r="G39" s="820">
        <v>2</v>
      </c>
      <c r="H39" s="822" t="str">
        <f>Language!$E$203</f>
        <v xml:space="preserve"> - </v>
      </c>
      <c r="I39" s="835">
        <v>2</v>
      </c>
      <c r="J39" s="832" t="str">
        <v>1 - 2</v>
      </c>
      <c r="K39" s="816" t="str">
        <v/>
      </c>
      <c r="L39" s="815" t="str">
        <v>1 - 0</v>
      </c>
      <c r="M39" s="817" t="str">
        <v/>
      </c>
      <c r="O39" s="843" t="str">
        <v/>
      </c>
      <c r="P39" s="815" t="str">
        <v/>
      </c>
      <c r="Q39" s="815" t="str">
        <v/>
      </c>
      <c r="R39" s="820" t="str">
        <v/>
      </c>
      <c r="S39" s="822" t="str">
        <f>Language!$E$203</f>
        <v xml:space="preserve"> - </v>
      </c>
      <c r="T39" s="835" t="str">
        <f t="shared" si="16"/>
        <v/>
      </c>
      <c r="U39" s="832" t="str">
        <v/>
      </c>
      <c r="V39" s="816" t="str">
        <v/>
      </c>
      <c r="W39" s="815" t="str">
        <v/>
      </c>
      <c r="X39" s="817" t="str">
        <v/>
      </c>
      <c r="Z39" s="843" t="str">
        <v/>
      </c>
      <c r="AA39" s="815" t="str">
        <v/>
      </c>
      <c r="AB39" s="815" t="str">
        <v/>
      </c>
      <c r="AC39" s="820" t="str">
        <v/>
      </c>
      <c r="AD39" s="822" t="str">
        <f>Language!$E$203</f>
        <v xml:space="preserve"> - </v>
      </c>
      <c r="AE39" s="835" t="str">
        <f t="shared" si="17"/>
        <v/>
      </c>
      <c r="AF39" s="832" t="str">
        <v/>
      </c>
      <c r="AG39" s="816" t="str">
        <v/>
      </c>
      <c r="AH39" s="815" t="str">
        <v/>
      </c>
      <c r="AI39" s="817" t="str">
        <v/>
      </c>
      <c r="AK39" s="843" t="str">
        <v/>
      </c>
      <c r="AL39" s="815" t="str">
        <v/>
      </c>
      <c r="AM39" s="815" t="str">
        <v/>
      </c>
      <c r="AN39" s="820" t="str">
        <v/>
      </c>
      <c r="AO39" s="822" t="str">
        <f>Language!$E$203</f>
        <v xml:space="preserve"> - </v>
      </c>
      <c r="AP39" s="835" t="str">
        <f t="shared" si="18"/>
        <v/>
      </c>
      <c r="AQ39" s="832" t="str">
        <v/>
      </c>
      <c r="AR39" s="816" t="str">
        <v/>
      </c>
      <c r="AS39" s="815" t="str">
        <v/>
      </c>
      <c r="AT39" s="817" t="str">
        <v/>
      </c>
      <c r="AV39" s="855">
        <v>-3</v>
      </c>
      <c r="AW39" s="817">
        <v>33</v>
      </c>
      <c r="AY39" t="b">
        <v>0</v>
      </c>
    </row>
    <row r="40" spans="2:51" x14ac:dyDescent="0.25">
      <c r="B40" s="848" t="str">
        <v/>
      </c>
      <c r="D40" s="843" t="str">
        <v>Ecuador</v>
      </c>
      <c r="E40" s="815">
        <v>1</v>
      </c>
      <c r="F40" s="815">
        <f t="shared" si="19"/>
        <v>-1</v>
      </c>
      <c r="G40" s="820">
        <v>0</v>
      </c>
      <c r="H40" s="822" t="str">
        <f>Language!$E$203</f>
        <v xml:space="preserve"> - </v>
      </c>
      <c r="I40" s="835">
        <v>1</v>
      </c>
      <c r="J40" s="832" t="str">
        <v/>
      </c>
      <c r="K40" s="815" t="str">
        <v>0 - 1</v>
      </c>
      <c r="L40" s="816" t="str">
        <v/>
      </c>
      <c r="M40" s="817" t="str">
        <v>0 - 0</v>
      </c>
      <c r="O40" s="843" t="str">
        <v>Ecuador</v>
      </c>
      <c r="P40" s="815">
        <v>1</v>
      </c>
      <c r="Q40" s="815">
        <v>0</v>
      </c>
      <c r="R40" s="820">
        <v>0</v>
      </c>
      <c r="S40" s="822" t="str">
        <f>Language!$E$203</f>
        <v xml:space="preserve"> - </v>
      </c>
      <c r="T40" s="835">
        <f t="shared" si="16"/>
        <v>0</v>
      </c>
      <c r="U40" s="832" t="str">
        <v/>
      </c>
      <c r="V40" s="815" t="str">
        <v/>
      </c>
      <c r="W40" s="816" t="str">
        <v/>
      </c>
      <c r="X40" s="817" t="str">
        <v>0 - 0</v>
      </c>
      <c r="Z40" s="843" t="str">
        <v/>
      </c>
      <c r="AA40" s="815" t="str">
        <v/>
      </c>
      <c r="AB40" s="815" t="str">
        <v/>
      </c>
      <c r="AC40" s="820" t="str">
        <v/>
      </c>
      <c r="AD40" s="822" t="str">
        <f>Language!$E$203</f>
        <v xml:space="preserve"> - </v>
      </c>
      <c r="AE40" s="835" t="str">
        <f t="shared" si="17"/>
        <v/>
      </c>
      <c r="AF40" s="832" t="str">
        <v/>
      </c>
      <c r="AG40" s="815" t="str">
        <v/>
      </c>
      <c r="AH40" s="816" t="str">
        <v/>
      </c>
      <c r="AI40" s="817" t="str">
        <v/>
      </c>
      <c r="AK40" s="843" t="str">
        <v/>
      </c>
      <c r="AL40" s="815" t="str">
        <v/>
      </c>
      <c r="AM40" s="815" t="str">
        <v/>
      </c>
      <c r="AN40" s="820" t="str">
        <v/>
      </c>
      <c r="AO40" s="822" t="str">
        <f>Language!$E$203</f>
        <v xml:space="preserve"> - </v>
      </c>
      <c r="AP40" s="835" t="str">
        <f t="shared" si="18"/>
        <v/>
      </c>
      <c r="AQ40" s="832" t="str">
        <v/>
      </c>
      <c r="AR40" s="815" t="str">
        <v/>
      </c>
      <c r="AS40" s="816" t="str">
        <v/>
      </c>
      <c r="AT40" s="817" t="str">
        <v/>
      </c>
      <c r="AV40" s="855">
        <v>-2</v>
      </c>
      <c r="AW40" s="817">
        <v>23</v>
      </c>
      <c r="AY40" t="b">
        <v>0</v>
      </c>
    </row>
    <row r="41" spans="2:51" ht="15.75" thickBot="1" x14ac:dyDescent="0.3">
      <c r="B41" s="848" t="str">
        <v/>
      </c>
      <c r="D41" s="844" t="str">
        <v>Curaçao</v>
      </c>
      <c r="E41" s="818">
        <v>1</v>
      </c>
      <c r="F41" s="818">
        <f t="shared" si="19"/>
        <v>-6</v>
      </c>
      <c r="G41" s="821">
        <v>1</v>
      </c>
      <c r="H41" s="823" t="str">
        <f>Language!$E$203</f>
        <v xml:space="preserve"> - </v>
      </c>
      <c r="I41" s="836">
        <v>7</v>
      </c>
      <c r="J41" s="833" t="str">
        <v>1 - 7</v>
      </c>
      <c r="K41" s="818" t="str">
        <v/>
      </c>
      <c r="L41" s="818" t="str">
        <v>0 - 0</v>
      </c>
      <c r="M41" s="819" t="str">
        <v/>
      </c>
      <c r="O41" s="844" t="str">
        <v>Curaçao</v>
      </c>
      <c r="P41" s="818">
        <v>1</v>
      </c>
      <c r="Q41" s="818">
        <v>0</v>
      </c>
      <c r="R41" s="821">
        <v>0</v>
      </c>
      <c r="S41" s="823" t="str">
        <f>Language!$E$203</f>
        <v xml:space="preserve"> - </v>
      </c>
      <c r="T41" s="836">
        <f t="shared" si="16"/>
        <v>0</v>
      </c>
      <c r="U41" s="833" t="str">
        <v/>
      </c>
      <c r="V41" s="818" t="str">
        <v/>
      </c>
      <c r="W41" s="818" t="str">
        <v>0 - 0</v>
      </c>
      <c r="X41" s="819" t="str">
        <v/>
      </c>
      <c r="Z41" s="844" t="str">
        <v/>
      </c>
      <c r="AA41" s="818" t="str">
        <v/>
      </c>
      <c r="AB41" s="818" t="str">
        <v/>
      </c>
      <c r="AC41" s="821" t="str">
        <v/>
      </c>
      <c r="AD41" s="823" t="str">
        <f>Language!$E$203</f>
        <v xml:space="preserve"> - </v>
      </c>
      <c r="AE41" s="836" t="str">
        <f t="shared" si="17"/>
        <v/>
      </c>
      <c r="AF41" s="833" t="str">
        <v/>
      </c>
      <c r="AG41" s="818" t="str">
        <v/>
      </c>
      <c r="AH41" s="818" t="str">
        <v/>
      </c>
      <c r="AI41" s="819" t="str">
        <v/>
      </c>
      <c r="AK41" s="844" t="str">
        <v/>
      </c>
      <c r="AL41" s="818" t="str">
        <v/>
      </c>
      <c r="AM41" s="818" t="str">
        <v/>
      </c>
      <c r="AN41" s="821" t="str">
        <v/>
      </c>
      <c r="AO41" s="823" t="str">
        <f>Language!$E$203</f>
        <v xml:space="preserve"> - </v>
      </c>
      <c r="AP41" s="836" t="str">
        <f t="shared" si="18"/>
        <v/>
      </c>
      <c r="AQ41" s="833" t="str">
        <v/>
      </c>
      <c r="AR41" s="818" t="str">
        <v/>
      </c>
      <c r="AS41" s="818" t="str">
        <v/>
      </c>
      <c r="AT41" s="819" t="str">
        <v/>
      </c>
      <c r="AV41" s="856">
        <v>-5</v>
      </c>
      <c r="AW41" s="857">
        <v>82</v>
      </c>
      <c r="AY41" t="b">
        <v>0</v>
      </c>
    </row>
    <row r="42" spans="2:51" ht="15.75" thickTop="1" x14ac:dyDescent="0.25"/>
    <row r="43" spans="2:51" x14ac:dyDescent="0.25"/>
    <row r="44" spans="2:51" ht="15.75" thickBot="1" x14ac:dyDescent="0.3">
      <c r="D44" s="841"/>
      <c r="Z44" s="870" t="str">
        <f>IF(COUNTBLANK(CalcF!$BN$14:$BN$17)&lt;4,Language!$E$136,"")</f>
        <v/>
      </c>
      <c r="AK44" s="870" t="str">
        <f>IF(COUNTBLANK(CalcF!$BZ$14:$BZ$17)&lt;4,Language!$E$136,"")</f>
        <v/>
      </c>
    </row>
    <row r="45" spans="2:51" ht="24.75" thickTop="1" x14ac:dyDescent="0.35">
      <c r="B45" s="845" t="s">
        <v>23</v>
      </c>
      <c r="C45" s="814"/>
      <c r="D45" s="827"/>
      <c r="E45" s="838" t="str">
        <f>Language!$E$131</f>
        <v>Pts.</v>
      </c>
      <c r="F45" s="838" t="str">
        <f>Language!$E$132</f>
        <v>GD</v>
      </c>
      <c r="G45" s="1025" t="str">
        <f>Language!$E$133</f>
        <v>Goals</v>
      </c>
      <c r="H45" s="1026"/>
      <c r="I45" s="1026"/>
      <c r="J45" s="830" t="str">
        <f t="array" ref="J45:M45">LEFT(CalcF!$H$21:$K$21,$D$4)</f>
        <v>Netherl</v>
      </c>
      <c r="K45" s="828" t="str">
        <v>Japan</v>
      </c>
      <c r="L45" s="828" t="str">
        <v>Sweden</v>
      </c>
      <c r="M45" s="829" t="str">
        <v>Tunisia</v>
      </c>
      <c r="O45" s="827"/>
      <c r="P45" s="838" t="str">
        <f>Language!$E$131</f>
        <v>Pts.</v>
      </c>
      <c r="Q45" s="838" t="str">
        <f>Language!$E$132</f>
        <v>GD</v>
      </c>
      <c r="R45" s="1025" t="str">
        <f>Language!$E$133</f>
        <v>Goals</v>
      </c>
      <c r="S45" s="1026"/>
      <c r="T45" s="1026"/>
      <c r="U45" s="830" t="str">
        <f t="array" ref="U45:X45">LEFT(CalcF!$BE$13:$BH$13,$D$4)</f>
        <v>Netherl</v>
      </c>
      <c r="V45" s="828" t="str">
        <v>Japan</v>
      </c>
      <c r="W45" s="828" t="str">
        <v/>
      </c>
      <c r="X45" s="829" t="str">
        <v/>
      </c>
      <c r="Z45" s="827"/>
      <c r="AA45" s="838" t="str">
        <f>Language!$E$131</f>
        <v>Pts.</v>
      </c>
      <c r="AB45" s="838" t="str">
        <f>Language!$E$132</f>
        <v>GD</v>
      </c>
      <c r="AC45" s="1025" t="str">
        <f>Language!$E$133</f>
        <v>Goals</v>
      </c>
      <c r="AD45" s="1026"/>
      <c r="AE45" s="1026"/>
      <c r="AF45" s="830" t="str">
        <f t="array" ref="AF45:AI45">IF(COUNTBLANK(CalcF!$AZ$22:$AZ$25)&lt;4,LEFT(CalcF!$BE$21:$BH$21,$D$4),LEFT(CalcF!$BS$13:$BV$13,$D$4))</f>
        <v/>
      </c>
      <c r="AG45" s="828" t="str">
        <v/>
      </c>
      <c r="AH45" s="828" t="str">
        <v/>
      </c>
      <c r="AI45" s="829" t="str">
        <v/>
      </c>
      <c r="AK45" s="827"/>
      <c r="AL45" s="838" t="str">
        <f>Language!$E$131</f>
        <v>Pts.</v>
      </c>
      <c r="AM45" s="838" t="str">
        <f>Language!$E$132</f>
        <v>GD</v>
      </c>
      <c r="AN45" s="1025" t="str">
        <f>Language!$E$133</f>
        <v>Goals</v>
      </c>
      <c r="AO45" s="1026"/>
      <c r="AP45" s="1026"/>
      <c r="AQ45" s="830" t="str">
        <f t="array" ref="AQ45:AT45">LEFT(CalcF!$CE$13:$CH$13,$D$4)</f>
        <v/>
      </c>
      <c r="AR45" s="828" t="str">
        <v/>
      </c>
      <c r="AS45" s="828" t="str">
        <v/>
      </c>
      <c r="AT45" s="829" t="str">
        <v/>
      </c>
      <c r="AV45" s="852" t="str">
        <f>Language!$E$123</f>
        <v>Fair play</v>
      </c>
      <c r="AW45" s="853" t="str">
        <f>Language!$E$186</f>
        <v>FIFA Rank</v>
      </c>
      <c r="AY45" s="898" t="s">
        <v>1673</v>
      </c>
    </row>
    <row r="46" spans="2:51" x14ac:dyDescent="0.25">
      <c r="B46" s="848" t="str">
        <f t="array" ref="B46:B49">IF(CalcF!$M$22:$M$25,"•","")</f>
        <v/>
      </c>
      <c r="D46" s="842" t="str">
        <f t="array" ref="D46:D49">CalcF!$D$22:$D$25</f>
        <v>Netherlands</v>
      </c>
      <c r="E46" s="824">
        <f t="array" ref="E46:E49">CalcF!$E$22:$E$25</f>
        <v>4</v>
      </c>
      <c r="F46" s="824">
        <f>G46-I46</f>
        <v>4</v>
      </c>
      <c r="G46" s="825">
        <f t="array" ref="G46:G49">CalcF!$F$22:$F$25</f>
        <v>7</v>
      </c>
      <c r="H46" s="837" t="str">
        <f>Language!$E$203</f>
        <v xml:space="preserve"> - </v>
      </c>
      <c r="I46" s="834">
        <f t="array" ref="I46:I49">CalcF!$G$22:$G$25</f>
        <v>3</v>
      </c>
      <c r="J46" s="831" t="str">
        <f t="array" ref="J46:M49">CalcF!$H$22:$K$25</f>
        <v/>
      </c>
      <c r="K46" s="824" t="str">
        <v>2 - 2</v>
      </c>
      <c r="L46" s="824" t="str">
        <v>5 - 1</v>
      </c>
      <c r="M46" s="826" t="str">
        <v/>
      </c>
      <c r="O46" s="842" t="str">
        <f t="array" ref="O46:O49">CalcF!$AZ$14:$AZ$17</f>
        <v>Netherlands</v>
      </c>
      <c r="P46" s="824">
        <f t="array" ref="P46:P49">CalcF!$BA$14:$BA$17</f>
        <v>1</v>
      </c>
      <c r="Q46" s="824">
        <f t="array" ref="Q46:Q49">CalcF!$BB$14:$BB$17</f>
        <v>0</v>
      </c>
      <c r="R46" s="825">
        <f t="array" ref="R46:R49">CalcF!$BC$14:$BC$17</f>
        <v>2</v>
      </c>
      <c r="S46" s="837" t="str">
        <f>Language!$E$203</f>
        <v xml:space="preserve"> - </v>
      </c>
      <c r="T46" s="834">
        <f t="shared" ref="T46:T49" si="20">IF(O46="","",R46-Q46)</f>
        <v>2</v>
      </c>
      <c r="U46" s="831" t="str">
        <f t="array" ref="U46:X49">CalcF!$BE$14:$BH$17</f>
        <v/>
      </c>
      <c r="V46" s="824" t="str">
        <v>2 - 2</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Language!$E$203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Language!$E$203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4</v>
      </c>
      <c r="F47" s="815">
        <f t="shared" ref="F47:F49" si="23">G47-I47</f>
        <v>4</v>
      </c>
      <c r="G47" s="820">
        <v>6</v>
      </c>
      <c r="H47" s="822" t="str">
        <f>Language!$E$203</f>
        <v xml:space="preserve"> - </v>
      </c>
      <c r="I47" s="835">
        <v>2</v>
      </c>
      <c r="J47" s="832" t="str">
        <v>2 - 2</v>
      </c>
      <c r="K47" s="816" t="str">
        <v/>
      </c>
      <c r="L47" s="815" t="str">
        <v/>
      </c>
      <c r="M47" s="817" t="str">
        <v>4 - 0</v>
      </c>
      <c r="O47" s="843" t="str">
        <v>Japan</v>
      </c>
      <c r="P47" s="815">
        <v>1</v>
      </c>
      <c r="Q47" s="815">
        <v>0</v>
      </c>
      <c r="R47" s="820">
        <v>2</v>
      </c>
      <c r="S47" s="822" t="str">
        <f>Language!$E$203</f>
        <v xml:space="preserve"> - </v>
      </c>
      <c r="T47" s="835">
        <f t="shared" si="20"/>
        <v>2</v>
      </c>
      <c r="U47" s="832" t="str">
        <v>2 - 2</v>
      </c>
      <c r="V47" s="816" t="str">
        <v/>
      </c>
      <c r="W47" s="815" t="str">
        <v/>
      </c>
      <c r="X47" s="817" t="str">
        <v/>
      </c>
      <c r="Z47" s="843" t="str">
        <v/>
      </c>
      <c r="AA47" s="815" t="str">
        <v/>
      </c>
      <c r="AB47" s="815" t="str">
        <v/>
      </c>
      <c r="AC47" s="820" t="str">
        <v/>
      </c>
      <c r="AD47" s="822" t="str">
        <f>Language!$E$203</f>
        <v xml:space="preserve"> - </v>
      </c>
      <c r="AE47" s="835" t="str">
        <f t="shared" si="21"/>
        <v/>
      </c>
      <c r="AF47" s="832" t="str">
        <v/>
      </c>
      <c r="AG47" s="816" t="str">
        <v/>
      </c>
      <c r="AH47" s="815" t="str">
        <v/>
      </c>
      <c r="AI47" s="817" t="str">
        <v/>
      </c>
      <c r="AK47" s="843" t="str">
        <v/>
      </c>
      <c r="AL47" s="815" t="str">
        <v/>
      </c>
      <c r="AM47" s="815" t="str">
        <v/>
      </c>
      <c r="AN47" s="820" t="str">
        <v/>
      </c>
      <c r="AO47" s="822" t="str">
        <f>Language!$E$203</f>
        <v xml:space="preserve"> - </v>
      </c>
      <c r="AP47" s="835" t="str">
        <f t="shared" si="22"/>
        <v/>
      </c>
      <c r="AQ47" s="832" t="str">
        <v/>
      </c>
      <c r="AR47" s="816" t="str">
        <v/>
      </c>
      <c r="AS47" s="815" t="str">
        <v/>
      </c>
      <c r="AT47" s="817" t="str">
        <v/>
      </c>
      <c r="AV47" s="855">
        <v>0</v>
      </c>
      <c r="AW47" s="817">
        <v>18</v>
      </c>
      <c r="AY47" t="b">
        <v>0</v>
      </c>
    </row>
    <row r="48" spans="2:51" x14ac:dyDescent="0.25">
      <c r="B48" s="848" t="str">
        <v/>
      </c>
      <c r="D48" s="843" t="str">
        <v>Sweden</v>
      </c>
      <c r="E48" s="815">
        <v>3</v>
      </c>
      <c r="F48" s="815">
        <f t="shared" si="23"/>
        <v>0</v>
      </c>
      <c r="G48" s="820">
        <v>6</v>
      </c>
      <c r="H48" s="822" t="str">
        <f>Language!$E$203</f>
        <v xml:space="preserve"> - </v>
      </c>
      <c r="I48" s="835">
        <v>6</v>
      </c>
      <c r="J48" s="832" t="str">
        <v>1 - 5</v>
      </c>
      <c r="K48" s="815" t="str">
        <v/>
      </c>
      <c r="L48" s="816" t="str">
        <v/>
      </c>
      <c r="M48" s="817" t="str">
        <v>5 - 1</v>
      </c>
      <c r="O48" s="843" t="str">
        <v/>
      </c>
      <c r="P48" s="815" t="str">
        <v/>
      </c>
      <c r="Q48" s="815" t="str">
        <v/>
      </c>
      <c r="R48" s="820" t="str">
        <v/>
      </c>
      <c r="S48" s="822" t="str">
        <f>Language!$E$203</f>
        <v xml:space="preserve"> - </v>
      </c>
      <c r="T48" s="835" t="str">
        <f t="shared" si="20"/>
        <v/>
      </c>
      <c r="U48" s="832" t="str">
        <v/>
      </c>
      <c r="V48" s="815" t="str">
        <v/>
      </c>
      <c r="W48" s="816" t="str">
        <v/>
      </c>
      <c r="X48" s="817" t="str">
        <v/>
      </c>
      <c r="Z48" s="843" t="str">
        <v/>
      </c>
      <c r="AA48" s="815" t="str">
        <v/>
      </c>
      <c r="AB48" s="815" t="str">
        <v/>
      </c>
      <c r="AC48" s="820" t="str">
        <v/>
      </c>
      <c r="AD48" s="822" t="str">
        <f>Language!$E$203</f>
        <v xml:space="preserve"> - </v>
      </c>
      <c r="AE48" s="835" t="str">
        <f t="shared" si="21"/>
        <v/>
      </c>
      <c r="AF48" s="832" t="str">
        <v/>
      </c>
      <c r="AG48" s="815" t="str">
        <v/>
      </c>
      <c r="AH48" s="816" t="str">
        <v/>
      </c>
      <c r="AI48" s="817" t="str">
        <v/>
      </c>
      <c r="AK48" s="843" t="str">
        <v/>
      </c>
      <c r="AL48" s="815" t="str">
        <v/>
      </c>
      <c r="AM48" s="815" t="str">
        <v/>
      </c>
      <c r="AN48" s="820" t="str">
        <v/>
      </c>
      <c r="AO48" s="822" t="str">
        <f>Language!$E$203</f>
        <v xml:space="preserve"> - </v>
      </c>
      <c r="AP48" s="835" t="str">
        <f t="shared" si="22"/>
        <v/>
      </c>
      <c r="AQ48" s="832" t="str">
        <v/>
      </c>
      <c r="AR48" s="815" t="str">
        <v/>
      </c>
      <c r="AS48" s="816" t="str">
        <v/>
      </c>
      <c r="AT48" s="817" t="str">
        <v/>
      </c>
      <c r="AV48" s="855">
        <v>-3</v>
      </c>
      <c r="AW48" s="817">
        <v>38</v>
      </c>
      <c r="AY48" t="b">
        <v>0</v>
      </c>
    </row>
    <row r="49" spans="2:51" ht="15.75" thickBot="1" x14ac:dyDescent="0.3">
      <c r="B49" s="848" t="str">
        <v/>
      </c>
      <c r="D49" s="844" t="str">
        <v>Tunisia</v>
      </c>
      <c r="E49" s="818">
        <v>0</v>
      </c>
      <c r="F49" s="818">
        <f t="shared" si="23"/>
        <v>-8</v>
      </c>
      <c r="G49" s="821">
        <v>1</v>
      </c>
      <c r="H49" s="823" t="str">
        <f>Language!$E$203</f>
        <v xml:space="preserve"> - </v>
      </c>
      <c r="I49" s="836">
        <v>9</v>
      </c>
      <c r="J49" s="833" t="str">
        <v/>
      </c>
      <c r="K49" s="818" t="str">
        <v>0 - 4</v>
      </c>
      <c r="L49" s="818" t="str">
        <v>1 - 5</v>
      </c>
      <c r="M49" s="819" t="str">
        <v/>
      </c>
      <c r="O49" s="844" t="str">
        <v/>
      </c>
      <c r="P49" s="818" t="str">
        <v/>
      </c>
      <c r="Q49" s="818" t="str">
        <v/>
      </c>
      <c r="R49" s="821" t="str">
        <v/>
      </c>
      <c r="S49" s="823" t="str">
        <f>Language!$E$203</f>
        <v xml:space="preserve"> - </v>
      </c>
      <c r="T49" s="836" t="str">
        <f t="shared" si="20"/>
        <v/>
      </c>
      <c r="U49" s="833" t="str">
        <v/>
      </c>
      <c r="V49" s="818" t="str">
        <v/>
      </c>
      <c r="W49" s="818" t="str">
        <v/>
      </c>
      <c r="X49" s="819" t="str">
        <v/>
      </c>
      <c r="Z49" s="844" t="str">
        <v/>
      </c>
      <c r="AA49" s="818" t="str">
        <v/>
      </c>
      <c r="AB49" s="818" t="str">
        <v/>
      </c>
      <c r="AC49" s="821" t="str">
        <v/>
      </c>
      <c r="AD49" s="823" t="str">
        <f>Language!$E$203</f>
        <v xml:space="preserve"> - </v>
      </c>
      <c r="AE49" s="836" t="str">
        <f t="shared" si="21"/>
        <v/>
      </c>
      <c r="AF49" s="833" t="str">
        <v/>
      </c>
      <c r="AG49" s="818" t="str">
        <v/>
      </c>
      <c r="AH49" s="818" t="str">
        <v/>
      </c>
      <c r="AI49" s="819" t="str">
        <v/>
      </c>
      <c r="AK49" s="844" t="str">
        <v/>
      </c>
      <c r="AL49" s="818" t="str">
        <v/>
      </c>
      <c r="AM49" s="818" t="str">
        <v/>
      </c>
      <c r="AN49" s="821" t="str">
        <v/>
      </c>
      <c r="AO49" s="823" t="str">
        <f>Language!$E$203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IF(COUNTBLANK(CalcG!$BN$14:$BN$17)&lt;4,Language!$E$136,"")</f>
        <v/>
      </c>
      <c r="AK52" s="870" t="str">
        <f>IF(COUNTBLANK(CalcG!$BZ$14:$BZ$17)&lt;4,Language!$E$136,"")</f>
        <v/>
      </c>
    </row>
    <row r="53" spans="2:51" ht="24.75" thickTop="1" x14ac:dyDescent="0.35">
      <c r="B53" s="845" t="s">
        <v>272</v>
      </c>
      <c r="C53" s="814"/>
      <c r="D53" s="827"/>
      <c r="E53" s="838" t="str">
        <f>Language!$E$131</f>
        <v>Pts.</v>
      </c>
      <c r="F53" s="838" t="str">
        <f>Language!$E$132</f>
        <v>GD</v>
      </c>
      <c r="G53" s="1025" t="str">
        <f>Language!$E$133</f>
        <v>Goals</v>
      </c>
      <c r="H53" s="1026"/>
      <c r="I53" s="1026"/>
      <c r="J53" s="830" t="str">
        <f t="array" ref="J53:M53">LEFT(CalcG!$H$21:$K$21,$D$4)</f>
        <v>Egypt</v>
      </c>
      <c r="K53" s="828" t="str">
        <v>IR Iran</v>
      </c>
      <c r="L53" s="828" t="str">
        <v>Belgium</v>
      </c>
      <c r="M53" s="829" t="str">
        <v>New Zea</v>
      </c>
      <c r="O53" s="827"/>
      <c r="P53" s="838" t="str">
        <f>Language!$E$131</f>
        <v>Pts.</v>
      </c>
      <c r="Q53" s="838" t="str">
        <f>Language!$E$132</f>
        <v>GD</v>
      </c>
      <c r="R53" s="1025" t="str">
        <f>Language!$E$133</f>
        <v>Goals</v>
      </c>
      <c r="S53" s="1026"/>
      <c r="T53" s="1026"/>
      <c r="U53" s="830" t="str">
        <f t="array" ref="U53:X53">LEFT(CalcG!$BE$13:$BH$13,$D$4)</f>
        <v/>
      </c>
      <c r="V53" s="828" t="str">
        <v>IR Iran</v>
      </c>
      <c r="W53" s="828" t="str">
        <v>Belgium</v>
      </c>
      <c r="X53" s="829" t="str">
        <v/>
      </c>
      <c r="Z53" s="827"/>
      <c r="AA53" s="838" t="str">
        <f>Language!$E$131</f>
        <v>Pts.</v>
      </c>
      <c r="AB53" s="838" t="str">
        <f>Language!$E$132</f>
        <v>GD</v>
      </c>
      <c r="AC53" s="1025" t="str">
        <f>Language!$E$133</f>
        <v>Goals</v>
      </c>
      <c r="AD53" s="1026"/>
      <c r="AE53" s="1026"/>
      <c r="AF53" s="830" t="str">
        <f t="array" ref="AF53:AI53">IF(COUNTBLANK(CalcG!$AZ$22:$AZ$25)&lt;4,LEFT(CalcG!$BE$21:$BH$21,$D$4),LEFT(CalcG!$BS$13:$BV$13,$D$4))</f>
        <v/>
      </c>
      <c r="AG53" s="828" t="str">
        <v/>
      </c>
      <c r="AH53" s="828" t="str">
        <v/>
      </c>
      <c r="AI53" s="829" t="str">
        <v/>
      </c>
      <c r="AK53" s="827"/>
      <c r="AL53" s="838" t="str">
        <f>Language!$E$131</f>
        <v>Pts.</v>
      </c>
      <c r="AM53" s="838" t="str">
        <f>Language!$E$132</f>
        <v>GD</v>
      </c>
      <c r="AN53" s="1025" t="str">
        <f>Language!$E$133</f>
        <v>Goals</v>
      </c>
      <c r="AO53" s="1026"/>
      <c r="AP53" s="1026"/>
      <c r="AQ53" s="830" t="str">
        <f t="array" ref="AQ53:AT53">LEFT(CalcG!$CE$13:$CH$13,$D$4)</f>
        <v/>
      </c>
      <c r="AR53" s="828" t="str">
        <v/>
      </c>
      <c r="AS53" s="828" t="str">
        <v/>
      </c>
      <c r="AT53" s="829" t="str">
        <v/>
      </c>
      <c r="AV53" s="852" t="str">
        <f>Language!$E$123</f>
        <v>Fair play</v>
      </c>
      <c r="AW53" s="853" t="str">
        <f>Language!$E$186</f>
        <v>FIFA Rank</v>
      </c>
      <c r="AY53" s="898" t="s">
        <v>1673</v>
      </c>
    </row>
    <row r="54" spans="2:51" x14ac:dyDescent="0.25">
      <c r="B54" s="848" t="str">
        <f t="array" ref="B54:B57">IF(CalcG!$M$22:$M$25,"•","")</f>
        <v/>
      </c>
      <c r="D54" s="842" t="str">
        <f t="array" ref="D54:D57">CalcG!$D$22:$D$25</f>
        <v>Egypt</v>
      </c>
      <c r="E54" s="824">
        <f t="array" ref="E54:E57">CalcG!$E$22:$E$25</f>
        <v>4</v>
      </c>
      <c r="F54" s="824">
        <f>G54-I54</f>
        <v>2</v>
      </c>
      <c r="G54" s="825">
        <f t="array" ref="G54:G57">CalcG!$F$22:$F$25</f>
        <v>4</v>
      </c>
      <c r="H54" s="837" t="str">
        <f>Language!$E$203</f>
        <v xml:space="preserve"> - </v>
      </c>
      <c r="I54" s="834">
        <f t="array" ref="I54:I57">CalcG!$G$22:$G$25</f>
        <v>2</v>
      </c>
      <c r="J54" s="831" t="str">
        <f t="array" ref="J54:M57">CalcG!$H$22:$K$25</f>
        <v/>
      </c>
      <c r="K54" s="824" t="str">
        <v/>
      </c>
      <c r="L54" s="824" t="str">
        <v>1 - 1</v>
      </c>
      <c r="M54" s="826" t="str">
        <v>3 - 1</v>
      </c>
      <c r="O54" s="842" t="str">
        <f t="array" ref="O54:O57">CalcG!$AZ$14:$AZ$17</f>
        <v/>
      </c>
      <c r="P54" s="824" t="str">
        <f t="array" ref="P54:P57">CalcG!$BA$14:$BA$17</f>
        <v/>
      </c>
      <c r="Q54" s="824" t="str">
        <f t="array" ref="Q54:Q57">CalcG!$BB$14:$BB$17</f>
        <v/>
      </c>
      <c r="R54" s="825" t="str">
        <f t="array" ref="R54:R57">CalcG!$BC$14:$BC$17</f>
        <v/>
      </c>
      <c r="S54" s="837" t="str">
        <f>Language!$E$203</f>
        <v xml:space="preserve"> - </v>
      </c>
      <c r="T54" s="834" t="str">
        <f t="shared" ref="T54:T57" si="24">IF(O54="","",R54-Q54)</f>
        <v/>
      </c>
      <c r="U54" s="831" t="str">
        <f t="array" ref="U54:X57">CalcG!$BE$14:$BH$17</f>
        <v/>
      </c>
      <c r="V54" s="824" t="str">
        <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Language!$E$203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Language!$E$203</f>
        <v xml:space="preserve"> - </v>
      </c>
      <c r="AP54" s="834" t="str">
        <f t="shared" ref="AP54:AP57" si="26">IF(AK54="","",AN54-AM54)</f>
        <v/>
      </c>
      <c r="AQ54" s="831" t="str">
        <f t="array" ref="AQ54:AT57">CalcG!$CE$14:$CH$17</f>
        <v/>
      </c>
      <c r="AR54" s="824" t="str">
        <v/>
      </c>
      <c r="AS54" s="824" t="str">
        <v/>
      </c>
      <c r="AT54" s="826" t="str">
        <v/>
      </c>
      <c r="AV54" s="854">
        <f t="array" ref="AV54:AV57">VLOOKUP($D54:$D57,CalcG!$D$5:$P$8,13,0)</f>
        <v>-3</v>
      </c>
      <c r="AW54" s="826">
        <f t="array" ref="AW54:AW57">VLOOKUP($D54:$D57,CalcG!$D$5:$Q$8,14,0)</f>
        <v>29</v>
      </c>
      <c r="AY54" t="b">
        <f t="array" ref="AY54:AY57">CalcG!$AC$22:$AC$25</f>
        <v>0</v>
      </c>
    </row>
    <row r="55" spans="2:51" x14ac:dyDescent="0.25">
      <c r="B55" s="848" t="str">
        <v/>
      </c>
      <c r="D55" s="843" t="str">
        <v>IR Iran</v>
      </c>
      <c r="E55" s="815">
        <v>2</v>
      </c>
      <c r="F55" s="815">
        <f t="shared" ref="F55:F57" si="27">G55-I55</f>
        <v>0</v>
      </c>
      <c r="G55" s="820">
        <v>2</v>
      </c>
      <c r="H55" s="822" t="str">
        <f>Language!$E$203</f>
        <v xml:space="preserve"> - </v>
      </c>
      <c r="I55" s="835">
        <v>2</v>
      </c>
      <c r="J55" s="832" t="str">
        <v/>
      </c>
      <c r="K55" s="816" t="str">
        <v/>
      </c>
      <c r="L55" s="815" t="str">
        <v>0 - 0</v>
      </c>
      <c r="M55" s="817" t="str">
        <v>2 - 2</v>
      </c>
      <c r="O55" s="843" t="str">
        <v>IR Iran</v>
      </c>
      <c r="P55" s="815">
        <v>1</v>
      </c>
      <c r="Q55" s="815">
        <v>0</v>
      </c>
      <c r="R55" s="820">
        <v>0</v>
      </c>
      <c r="S55" s="822" t="str">
        <f>Language!$E$203</f>
        <v xml:space="preserve"> - </v>
      </c>
      <c r="T55" s="835">
        <f t="shared" si="24"/>
        <v>0</v>
      </c>
      <c r="U55" s="832" t="str">
        <v/>
      </c>
      <c r="V55" s="816" t="str">
        <v/>
      </c>
      <c r="W55" s="815" t="str">
        <v>0 - 0</v>
      </c>
      <c r="X55" s="817" t="str">
        <v/>
      </c>
      <c r="Z55" s="843" t="str">
        <v/>
      </c>
      <c r="AA55" s="815" t="str">
        <v/>
      </c>
      <c r="AB55" s="815" t="str">
        <v/>
      </c>
      <c r="AC55" s="820" t="str">
        <v/>
      </c>
      <c r="AD55" s="822" t="str">
        <f>Language!$E$203</f>
        <v xml:space="preserve"> - </v>
      </c>
      <c r="AE55" s="835" t="str">
        <f t="shared" si="25"/>
        <v/>
      </c>
      <c r="AF55" s="832" t="str">
        <v/>
      </c>
      <c r="AG55" s="816" t="str">
        <v/>
      </c>
      <c r="AH55" s="815" t="str">
        <v/>
      </c>
      <c r="AI55" s="817" t="str">
        <v/>
      </c>
      <c r="AK55" s="843" t="str">
        <v/>
      </c>
      <c r="AL55" s="815" t="str">
        <v/>
      </c>
      <c r="AM55" s="815" t="str">
        <v/>
      </c>
      <c r="AN55" s="820" t="str">
        <v/>
      </c>
      <c r="AO55" s="822" t="str">
        <f>Language!$E$203</f>
        <v xml:space="preserve"> - </v>
      </c>
      <c r="AP55" s="835" t="str">
        <f t="shared" si="26"/>
        <v/>
      </c>
      <c r="AQ55" s="832" t="str">
        <v/>
      </c>
      <c r="AR55" s="816" t="str">
        <v/>
      </c>
      <c r="AS55" s="815" t="str">
        <v/>
      </c>
      <c r="AT55" s="817" t="str">
        <v/>
      </c>
      <c r="AV55" s="855">
        <v>-2</v>
      </c>
      <c r="AW55" s="817">
        <v>20</v>
      </c>
      <c r="AY55" t="b">
        <v>0</v>
      </c>
    </row>
    <row r="56" spans="2:51" x14ac:dyDescent="0.25">
      <c r="B56" s="848" t="str">
        <v/>
      </c>
      <c r="D56" s="843" t="str">
        <v>Belgium</v>
      </c>
      <c r="E56" s="815">
        <v>2</v>
      </c>
      <c r="F56" s="815">
        <f t="shared" si="27"/>
        <v>0</v>
      </c>
      <c r="G56" s="820">
        <v>1</v>
      </c>
      <c r="H56" s="822" t="str">
        <f>Language!$E$203</f>
        <v xml:space="preserve"> - </v>
      </c>
      <c r="I56" s="835">
        <v>1</v>
      </c>
      <c r="J56" s="832" t="str">
        <v>1 - 1</v>
      </c>
      <c r="K56" s="815" t="str">
        <v>0 - 0</v>
      </c>
      <c r="L56" s="816" t="str">
        <v/>
      </c>
      <c r="M56" s="817" t="str">
        <v/>
      </c>
      <c r="O56" s="843" t="str">
        <v>Belgium</v>
      </c>
      <c r="P56" s="815">
        <v>1</v>
      </c>
      <c r="Q56" s="815">
        <v>0</v>
      </c>
      <c r="R56" s="820">
        <v>0</v>
      </c>
      <c r="S56" s="822" t="str">
        <f>Language!$E$203</f>
        <v xml:space="preserve"> - </v>
      </c>
      <c r="T56" s="835">
        <f t="shared" si="24"/>
        <v>0</v>
      </c>
      <c r="U56" s="832" t="str">
        <v/>
      </c>
      <c r="V56" s="815" t="str">
        <v>0 - 0</v>
      </c>
      <c r="W56" s="816" t="str">
        <v/>
      </c>
      <c r="X56" s="817" t="str">
        <v/>
      </c>
      <c r="Z56" s="843" t="str">
        <v/>
      </c>
      <c r="AA56" s="815" t="str">
        <v/>
      </c>
      <c r="AB56" s="815" t="str">
        <v/>
      </c>
      <c r="AC56" s="820" t="str">
        <v/>
      </c>
      <c r="AD56" s="822" t="str">
        <f>Language!$E$203</f>
        <v xml:space="preserve"> - </v>
      </c>
      <c r="AE56" s="835" t="str">
        <f t="shared" si="25"/>
        <v/>
      </c>
      <c r="AF56" s="832" t="str">
        <v/>
      </c>
      <c r="AG56" s="815" t="str">
        <v/>
      </c>
      <c r="AH56" s="816" t="str">
        <v/>
      </c>
      <c r="AI56" s="817" t="str">
        <v/>
      </c>
      <c r="AK56" s="843" t="str">
        <v/>
      </c>
      <c r="AL56" s="815" t="str">
        <v/>
      </c>
      <c r="AM56" s="815" t="str">
        <v/>
      </c>
      <c r="AN56" s="820" t="str">
        <v/>
      </c>
      <c r="AO56" s="822" t="str">
        <f>Language!$E$203</f>
        <v xml:space="preserve"> - </v>
      </c>
      <c r="AP56" s="835" t="str">
        <f t="shared" si="26"/>
        <v/>
      </c>
      <c r="AQ56" s="832" t="str">
        <v/>
      </c>
      <c r="AR56" s="815" t="str">
        <v/>
      </c>
      <c r="AS56" s="816" t="str">
        <v/>
      </c>
      <c r="AT56" s="817" t="str">
        <v/>
      </c>
      <c r="AV56" s="855">
        <v>-3</v>
      </c>
      <c r="AW56" s="817">
        <v>9</v>
      </c>
      <c r="AY56" t="b">
        <v>0</v>
      </c>
    </row>
    <row r="57" spans="2:51" ht="15.75" thickBot="1" x14ac:dyDescent="0.3">
      <c r="B57" s="848" t="str">
        <v/>
      </c>
      <c r="D57" s="844" t="str">
        <v>New Zealand</v>
      </c>
      <c r="E57" s="818">
        <v>1</v>
      </c>
      <c r="F57" s="818">
        <f t="shared" si="27"/>
        <v>-2</v>
      </c>
      <c r="G57" s="821">
        <v>3</v>
      </c>
      <c r="H57" s="823" t="str">
        <f>Language!$E$203</f>
        <v xml:space="preserve"> - </v>
      </c>
      <c r="I57" s="836">
        <v>5</v>
      </c>
      <c r="J57" s="833" t="str">
        <v>1 - 3</v>
      </c>
      <c r="K57" s="818" t="str">
        <v>2 - 2</v>
      </c>
      <c r="L57" s="818" t="str">
        <v/>
      </c>
      <c r="M57" s="819" t="str">
        <v/>
      </c>
      <c r="O57" s="844" t="str">
        <v/>
      </c>
      <c r="P57" s="818" t="str">
        <v/>
      </c>
      <c r="Q57" s="818" t="str">
        <v/>
      </c>
      <c r="R57" s="821" t="str">
        <v/>
      </c>
      <c r="S57" s="823" t="str">
        <f>Language!$E$203</f>
        <v xml:space="preserve"> - </v>
      </c>
      <c r="T57" s="836" t="str">
        <f t="shared" si="24"/>
        <v/>
      </c>
      <c r="U57" s="833" t="str">
        <v/>
      </c>
      <c r="V57" s="818" t="str">
        <v/>
      </c>
      <c r="W57" s="818" t="str">
        <v/>
      </c>
      <c r="X57" s="819" t="str">
        <v/>
      </c>
      <c r="Z57" s="844" t="str">
        <v/>
      </c>
      <c r="AA57" s="818" t="str">
        <v/>
      </c>
      <c r="AB57" s="818" t="str">
        <v/>
      </c>
      <c r="AC57" s="821" t="str">
        <v/>
      </c>
      <c r="AD57" s="823" t="str">
        <f>Language!$E$203</f>
        <v xml:space="preserve"> - </v>
      </c>
      <c r="AE57" s="836" t="str">
        <f t="shared" si="25"/>
        <v/>
      </c>
      <c r="AF57" s="833" t="str">
        <v/>
      </c>
      <c r="AG57" s="818" t="str">
        <v/>
      </c>
      <c r="AH57" s="818" t="str">
        <v/>
      </c>
      <c r="AI57" s="819" t="str">
        <v/>
      </c>
      <c r="AK57" s="844" t="str">
        <v/>
      </c>
      <c r="AL57" s="818" t="str">
        <v/>
      </c>
      <c r="AM57" s="818" t="str">
        <v/>
      </c>
      <c r="AN57" s="821" t="str">
        <v/>
      </c>
      <c r="AO57" s="823" t="str">
        <f>Language!$E$203</f>
        <v xml:space="preserve"> - </v>
      </c>
      <c r="AP57" s="836" t="str">
        <f t="shared" si="26"/>
        <v/>
      </c>
      <c r="AQ57" s="833" t="str">
        <v/>
      </c>
      <c r="AR57" s="818" t="str">
        <v/>
      </c>
      <c r="AS57" s="818" t="str">
        <v/>
      </c>
      <c r="AT57" s="819" t="str">
        <v/>
      </c>
      <c r="AV57" s="856">
        <v>-2</v>
      </c>
      <c r="AW57" s="857">
        <v>85</v>
      </c>
      <c r="AY57" t="b">
        <v>0</v>
      </c>
    </row>
    <row r="58" spans="2:51" ht="15.75" thickTop="1" x14ac:dyDescent="0.25"/>
    <row r="59" spans="2:51" x14ac:dyDescent="0.25"/>
    <row r="60" spans="2:51" ht="15.75" thickBot="1" x14ac:dyDescent="0.3">
      <c r="D60" s="841"/>
      <c r="Z60" s="870" t="str">
        <f>IF(COUNTBLANK(CalcH!$BN$14:$BN$17)&lt;4,Language!$E$136,"")</f>
        <v/>
      </c>
      <c r="AK60" s="870" t="str">
        <f>IF(COUNTBLANK(CalcH!$BZ$14:$BZ$17)&lt;4,Language!$E$136,"")</f>
        <v/>
      </c>
    </row>
    <row r="61" spans="2:51" ht="24.75" thickTop="1" x14ac:dyDescent="0.35">
      <c r="B61" s="845" t="s">
        <v>31</v>
      </c>
      <c r="C61" s="814"/>
      <c r="D61" s="827"/>
      <c r="E61" s="838" t="str">
        <f>Language!$E$131</f>
        <v>Pts.</v>
      </c>
      <c r="F61" s="838" t="str">
        <f>Language!$E$132</f>
        <v>GD</v>
      </c>
      <c r="G61" s="1025" t="str">
        <f>Language!$E$133</f>
        <v>Goals</v>
      </c>
      <c r="H61" s="1026"/>
      <c r="I61" s="1026"/>
      <c r="J61" s="830" t="str">
        <f t="array" ref="J61:M61">LEFT(CalcH!$H$21:$K$21,$D$4)</f>
        <v>Spain</v>
      </c>
      <c r="K61" s="828" t="str">
        <v>Uruguay</v>
      </c>
      <c r="L61" s="828" t="str">
        <v>Cabo Ve</v>
      </c>
      <c r="M61" s="829" t="str">
        <v>Saudi A</v>
      </c>
      <c r="O61" s="827"/>
      <c r="P61" s="838" t="str">
        <f>Language!$E$131</f>
        <v>Pts.</v>
      </c>
      <c r="Q61" s="838" t="str">
        <f>Language!$E$132</f>
        <v>GD</v>
      </c>
      <c r="R61" s="1025" t="str">
        <f>Language!$E$133</f>
        <v>Goals</v>
      </c>
      <c r="S61" s="1026"/>
      <c r="T61" s="1026"/>
      <c r="U61" s="830" t="str">
        <f t="array" ref="U61:X61">LEFT(CalcH!$BE$13:$BH$13,$D$4)</f>
        <v/>
      </c>
      <c r="V61" s="828" t="str">
        <v>Uruguay</v>
      </c>
      <c r="W61" s="828" t="str">
        <v>Cabo Ve</v>
      </c>
      <c r="X61" s="829" t="str">
        <v/>
      </c>
      <c r="Z61" s="827"/>
      <c r="AA61" s="838" t="str">
        <f>Language!$E$131</f>
        <v>Pts.</v>
      </c>
      <c r="AB61" s="838" t="str">
        <f>Language!$E$132</f>
        <v>GD</v>
      </c>
      <c r="AC61" s="1025" t="str">
        <f>Language!$E$133</f>
        <v>Goals</v>
      </c>
      <c r="AD61" s="1026"/>
      <c r="AE61" s="1026"/>
      <c r="AF61" s="830" t="str">
        <f t="array" ref="AF61:AI61">IF(COUNTBLANK(CalcH!$AZ$22:$AZ$25)&lt;4,LEFT(CalcH!$BE$21:$BH$21,$D$4),LEFT(CalcH!$BS$13:$BV$13,$D$4))</f>
        <v/>
      </c>
      <c r="AG61" s="828" t="str">
        <v/>
      </c>
      <c r="AH61" s="828" t="str">
        <v/>
      </c>
      <c r="AI61" s="829" t="str">
        <v/>
      </c>
      <c r="AK61" s="827"/>
      <c r="AL61" s="838" t="str">
        <f>Language!$E$131</f>
        <v>Pts.</v>
      </c>
      <c r="AM61" s="838" t="str">
        <f>Language!$E$132</f>
        <v>GD</v>
      </c>
      <c r="AN61" s="1025" t="str">
        <f>Language!$E$133</f>
        <v>Goals</v>
      </c>
      <c r="AO61" s="1026"/>
      <c r="AP61" s="1026"/>
      <c r="AQ61" s="830" t="str">
        <f t="array" ref="AQ61:AT61">LEFT(CalcH!$CE$13:$CH$13,$D$4)</f>
        <v/>
      </c>
      <c r="AR61" s="828" t="str">
        <v/>
      </c>
      <c r="AS61" s="828" t="str">
        <v/>
      </c>
      <c r="AT61" s="829" t="str">
        <v/>
      </c>
      <c r="AV61" s="852" t="str">
        <f>Language!$E$123</f>
        <v>Fair play</v>
      </c>
      <c r="AW61" s="853" t="str">
        <f>Language!$E$186</f>
        <v>FIFA Rank</v>
      </c>
      <c r="AY61" s="898" t="s">
        <v>1673</v>
      </c>
    </row>
    <row r="62" spans="2:51" x14ac:dyDescent="0.25">
      <c r="B62" s="848" t="str">
        <f t="array" ref="B62:B65">IF(CalcH!$M$22:$M$25,"•","")</f>
        <v/>
      </c>
      <c r="D62" s="842" t="str">
        <f t="array" ref="D62:D65">CalcH!$D$22:$D$25</f>
        <v>Spain</v>
      </c>
      <c r="E62" s="824">
        <f t="array" ref="E62:E65">CalcH!$E$22:$E$25</f>
        <v>4</v>
      </c>
      <c r="F62" s="824">
        <f>G62-I62</f>
        <v>4</v>
      </c>
      <c r="G62" s="825">
        <f t="array" ref="G62:G65">CalcH!$F$22:$F$25</f>
        <v>4</v>
      </c>
      <c r="H62" s="837" t="str">
        <f>Language!$E$203</f>
        <v xml:space="preserve"> - </v>
      </c>
      <c r="I62" s="834">
        <f t="array" ref="I62:I65">CalcH!$G$22:$G$25</f>
        <v>0</v>
      </c>
      <c r="J62" s="831" t="str">
        <f t="array" ref="J62:M65">CalcH!$H$22:$K$25</f>
        <v/>
      </c>
      <c r="K62" s="824" t="str">
        <v/>
      </c>
      <c r="L62" s="824" t="str">
        <v>0 - 0</v>
      </c>
      <c r="M62" s="826" t="str">
        <v>4 - 0</v>
      </c>
      <c r="O62" s="842" t="str">
        <f t="array" ref="O62:O65">CalcH!$AZ$14:$AZ$17</f>
        <v/>
      </c>
      <c r="P62" s="824" t="str">
        <f t="array" ref="P62:P65">CalcH!$BA$14:$BA$17</f>
        <v/>
      </c>
      <c r="Q62" s="824" t="str">
        <f t="array" ref="Q62:Q65">CalcH!$BB$14:$BB$17</f>
        <v/>
      </c>
      <c r="R62" s="825" t="str">
        <f t="array" ref="R62:R65">CalcH!$BC$14:$BC$17</f>
        <v/>
      </c>
      <c r="S62" s="837" t="str">
        <f>Language!$E$203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Language!$E$203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Language!$E$203</f>
        <v xml:space="preserve"> - </v>
      </c>
      <c r="AP62" s="834" t="str">
        <f t="shared" ref="AP62:AP65" si="30">IF(AK62="","",AN62-AM62)</f>
        <v/>
      </c>
      <c r="AQ62" s="831" t="str">
        <f t="array" ref="AQ62:AT65">CalcH!$CE$14:$CH$17</f>
        <v/>
      </c>
      <c r="AR62" s="824" t="str">
        <v/>
      </c>
      <c r="AS62" s="824" t="str">
        <v/>
      </c>
      <c r="AT62" s="826" t="str">
        <v/>
      </c>
      <c r="AV62" s="854">
        <f t="array" ref="AV62:AV65">VLOOKUP($D62:$D65,CalcH!$D$5:$P$8,13,0)</f>
        <v>-1</v>
      </c>
      <c r="AW62" s="826">
        <f t="array" ref="AW62:AW65">VLOOKUP($D62:$D65,CalcH!$D$5:$Q$8,14,0)</f>
        <v>2</v>
      </c>
      <c r="AY62" t="b">
        <f t="array" ref="AY62:AY65">CalcH!$AC$22:$AC$25</f>
        <v>0</v>
      </c>
    </row>
    <row r="63" spans="2:51" x14ac:dyDescent="0.25">
      <c r="B63" s="848" t="str">
        <v/>
      </c>
      <c r="D63" s="843" t="str">
        <v>Uruguay</v>
      </c>
      <c r="E63" s="815">
        <v>2</v>
      </c>
      <c r="F63" s="815">
        <f t="shared" ref="F63:F65" si="31">G63-I63</f>
        <v>0</v>
      </c>
      <c r="G63" s="820">
        <v>3</v>
      </c>
      <c r="H63" s="822" t="str">
        <f>Language!$E$203</f>
        <v xml:space="preserve"> - </v>
      </c>
      <c r="I63" s="835">
        <v>3</v>
      </c>
      <c r="J63" s="832" t="str">
        <v/>
      </c>
      <c r="K63" s="816" t="str">
        <v/>
      </c>
      <c r="L63" s="815" t="str">
        <v>2 - 2</v>
      </c>
      <c r="M63" s="817" t="str">
        <v>1 - 1</v>
      </c>
      <c r="O63" s="843" t="str">
        <v>Uruguay</v>
      </c>
      <c r="P63" s="815">
        <v>1</v>
      </c>
      <c r="Q63" s="815">
        <v>0</v>
      </c>
      <c r="R63" s="820">
        <v>2</v>
      </c>
      <c r="S63" s="822" t="str">
        <f>Language!$E$203</f>
        <v xml:space="preserve"> - </v>
      </c>
      <c r="T63" s="835">
        <f t="shared" si="28"/>
        <v>2</v>
      </c>
      <c r="U63" s="832" t="str">
        <v/>
      </c>
      <c r="V63" s="816" t="str">
        <v/>
      </c>
      <c r="W63" s="815" t="str">
        <v>2 - 2</v>
      </c>
      <c r="X63" s="817" t="str">
        <v/>
      </c>
      <c r="Z63" s="843" t="str">
        <v/>
      </c>
      <c r="AA63" s="815" t="str">
        <v/>
      </c>
      <c r="AB63" s="815" t="str">
        <v/>
      </c>
      <c r="AC63" s="820" t="str">
        <v/>
      </c>
      <c r="AD63" s="822" t="str">
        <f>Language!$E$203</f>
        <v xml:space="preserve"> - </v>
      </c>
      <c r="AE63" s="835" t="str">
        <f t="shared" si="29"/>
        <v/>
      </c>
      <c r="AF63" s="832" t="str">
        <v/>
      </c>
      <c r="AG63" s="816" t="str">
        <v/>
      </c>
      <c r="AH63" s="815" t="str">
        <v/>
      </c>
      <c r="AI63" s="817" t="str">
        <v/>
      </c>
      <c r="AK63" s="843" t="str">
        <v/>
      </c>
      <c r="AL63" s="815" t="str">
        <v/>
      </c>
      <c r="AM63" s="815" t="str">
        <v/>
      </c>
      <c r="AN63" s="820" t="str">
        <v/>
      </c>
      <c r="AO63" s="822" t="str">
        <f>Language!$E$203</f>
        <v xml:space="preserve"> - </v>
      </c>
      <c r="AP63" s="835" t="str">
        <f t="shared" si="30"/>
        <v/>
      </c>
      <c r="AQ63" s="832" t="str">
        <v/>
      </c>
      <c r="AR63" s="816" t="str">
        <v/>
      </c>
      <c r="AS63" s="815" t="str">
        <v/>
      </c>
      <c r="AT63" s="817" t="str">
        <v/>
      </c>
      <c r="AV63" s="855">
        <v>-2</v>
      </c>
      <c r="AW63" s="817">
        <v>16</v>
      </c>
      <c r="AY63" t="b">
        <v>0</v>
      </c>
    </row>
    <row r="64" spans="2:51" x14ac:dyDescent="0.25">
      <c r="B64" s="848" t="str">
        <v/>
      </c>
      <c r="D64" s="843" t="str">
        <v>Cabo Verde</v>
      </c>
      <c r="E64" s="815">
        <v>2</v>
      </c>
      <c r="F64" s="815">
        <f t="shared" si="31"/>
        <v>0</v>
      </c>
      <c r="G64" s="820">
        <v>2</v>
      </c>
      <c r="H64" s="822" t="str">
        <f>Language!$E$203</f>
        <v xml:space="preserve"> - </v>
      </c>
      <c r="I64" s="835">
        <v>2</v>
      </c>
      <c r="J64" s="832" t="str">
        <v>0 - 0</v>
      </c>
      <c r="K64" s="815" t="str">
        <v>2 - 2</v>
      </c>
      <c r="L64" s="816" t="str">
        <v/>
      </c>
      <c r="M64" s="817" t="str">
        <v/>
      </c>
      <c r="O64" s="843" t="str">
        <v>Cabo Verde</v>
      </c>
      <c r="P64" s="815">
        <v>1</v>
      </c>
      <c r="Q64" s="815">
        <v>0</v>
      </c>
      <c r="R64" s="820">
        <v>2</v>
      </c>
      <c r="S64" s="822" t="str">
        <f>Language!$E$203</f>
        <v xml:space="preserve"> - </v>
      </c>
      <c r="T64" s="835">
        <f t="shared" si="28"/>
        <v>2</v>
      </c>
      <c r="U64" s="832" t="str">
        <v/>
      </c>
      <c r="V64" s="815" t="str">
        <v>2 - 2</v>
      </c>
      <c r="W64" s="816" t="str">
        <v/>
      </c>
      <c r="X64" s="817" t="str">
        <v/>
      </c>
      <c r="Z64" s="843" t="str">
        <v/>
      </c>
      <c r="AA64" s="815" t="str">
        <v/>
      </c>
      <c r="AB64" s="815" t="str">
        <v/>
      </c>
      <c r="AC64" s="820" t="str">
        <v/>
      </c>
      <c r="AD64" s="822" t="str">
        <f>Language!$E$203</f>
        <v xml:space="preserve"> - </v>
      </c>
      <c r="AE64" s="835" t="str">
        <f t="shared" si="29"/>
        <v/>
      </c>
      <c r="AF64" s="832" t="str">
        <v/>
      </c>
      <c r="AG64" s="815" t="str">
        <v/>
      </c>
      <c r="AH64" s="816" t="str">
        <v/>
      </c>
      <c r="AI64" s="817" t="str">
        <v/>
      </c>
      <c r="AK64" s="843" t="str">
        <v/>
      </c>
      <c r="AL64" s="815" t="str">
        <v/>
      </c>
      <c r="AM64" s="815" t="str">
        <v/>
      </c>
      <c r="AN64" s="820" t="str">
        <v/>
      </c>
      <c r="AO64" s="822" t="str">
        <f>Language!$E$203</f>
        <v xml:space="preserve"> - </v>
      </c>
      <c r="AP64" s="835" t="str">
        <f t="shared" si="30"/>
        <v/>
      </c>
      <c r="AQ64" s="832" t="str">
        <v/>
      </c>
      <c r="AR64" s="815" t="str">
        <v/>
      </c>
      <c r="AS64" s="816" t="str">
        <v/>
      </c>
      <c r="AT64" s="817" t="str">
        <v/>
      </c>
      <c r="AV64" s="855">
        <v>-3</v>
      </c>
      <c r="AW64" s="817">
        <v>67</v>
      </c>
      <c r="AY64" t="b">
        <v>0</v>
      </c>
    </row>
    <row r="65" spans="2:51" ht="15.75" thickBot="1" x14ac:dyDescent="0.3">
      <c r="B65" s="848" t="str">
        <v/>
      </c>
      <c r="D65" s="844" t="str">
        <v>Saudi Arabia</v>
      </c>
      <c r="E65" s="818">
        <v>1</v>
      </c>
      <c r="F65" s="818">
        <f t="shared" si="31"/>
        <v>-4</v>
      </c>
      <c r="G65" s="821">
        <v>1</v>
      </c>
      <c r="H65" s="823" t="str">
        <f>Language!$E$203</f>
        <v xml:space="preserve"> - </v>
      </c>
      <c r="I65" s="836">
        <v>5</v>
      </c>
      <c r="J65" s="833" t="str">
        <v>0 - 4</v>
      </c>
      <c r="K65" s="818" t="str">
        <v>1 - 1</v>
      </c>
      <c r="L65" s="818" t="str">
        <v/>
      </c>
      <c r="M65" s="819" t="str">
        <v/>
      </c>
      <c r="O65" s="844" t="str">
        <v/>
      </c>
      <c r="P65" s="818" t="str">
        <v/>
      </c>
      <c r="Q65" s="818" t="str">
        <v/>
      </c>
      <c r="R65" s="821" t="str">
        <v/>
      </c>
      <c r="S65" s="823" t="str">
        <f>Language!$E$203</f>
        <v xml:space="preserve"> - </v>
      </c>
      <c r="T65" s="836" t="str">
        <f t="shared" si="28"/>
        <v/>
      </c>
      <c r="U65" s="833" t="str">
        <v/>
      </c>
      <c r="V65" s="818" t="str">
        <v/>
      </c>
      <c r="W65" s="818" t="str">
        <v/>
      </c>
      <c r="X65" s="819" t="str">
        <v/>
      </c>
      <c r="Z65" s="844" t="str">
        <v/>
      </c>
      <c r="AA65" s="818" t="str">
        <v/>
      </c>
      <c r="AB65" s="818" t="str">
        <v/>
      </c>
      <c r="AC65" s="821" t="str">
        <v/>
      </c>
      <c r="AD65" s="823" t="str">
        <f>Language!$E$203</f>
        <v xml:space="preserve"> - </v>
      </c>
      <c r="AE65" s="836" t="str">
        <f t="shared" si="29"/>
        <v/>
      </c>
      <c r="AF65" s="833" t="str">
        <v/>
      </c>
      <c r="AG65" s="818" t="str">
        <v/>
      </c>
      <c r="AH65" s="818" t="str">
        <v/>
      </c>
      <c r="AI65" s="819" t="str">
        <v/>
      </c>
      <c r="AK65" s="844" t="str">
        <v/>
      </c>
      <c r="AL65" s="818" t="str">
        <v/>
      </c>
      <c r="AM65" s="818" t="str">
        <v/>
      </c>
      <c r="AN65" s="821" t="str">
        <v/>
      </c>
      <c r="AO65" s="823" t="str">
        <f>Language!$E$203</f>
        <v xml:space="preserve"> - </v>
      </c>
      <c r="AP65" s="836" t="str">
        <f t="shared" si="30"/>
        <v/>
      </c>
      <c r="AQ65" s="833" t="str">
        <v/>
      </c>
      <c r="AR65" s="818" t="str">
        <v/>
      </c>
      <c r="AS65" s="818" t="str">
        <v/>
      </c>
      <c r="AT65" s="819" t="str">
        <v/>
      </c>
      <c r="AV65" s="856">
        <v>-3</v>
      </c>
      <c r="AW65" s="857">
        <v>61</v>
      </c>
      <c r="AY65" t="b">
        <v>0</v>
      </c>
    </row>
    <row r="66" spans="2:51" ht="15.75" thickTop="1" x14ac:dyDescent="0.25"/>
    <row r="67" spans="2:51" x14ac:dyDescent="0.25"/>
    <row r="68" spans="2:51" ht="15.75" thickBot="1" x14ac:dyDescent="0.3">
      <c r="D68" s="841"/>
      <c r="Z68" s="870" t="str">
        <f>IF(COUNTBLANK(CalcI!$BN$14:$BN$17)&lt;4,Language!$E$136,"")</f>
        <v/>
      </c>
      <c r="AK68" s="870" t="str">
        <f>IF(COUNTBLANK(CalcI!$BZ$14:$BZ$17)&lt;4,Language!$E$136,"")</f>
        <v/>
      </c>
    </row>
    <row r="69" spans="2:51" ht="24.75" thickTop="1" x14ac:dyDescent="0.35">
      <c r="B69" s="845" t="s">
        <v>32</v>
      </c>
      <c r="C69" s="814"/>
      <c r="D69" s="827"/>
      <c r="E69" s="838" t="str">
        <f>Language!$E$131</f>
        <v>Pts.</v>
      </c>
      <c r="F69" s="838" t="str">
        <f>Language!$E$132</f>
        <v>GD</v>
      </c>
      <c r="G69" s="1025" t="str">
        <f>Language!$E$133</f>
        <v>Goals</v>
      </c>
      <c r="H69" s="1026"/>
      <c r="I69" s="1026"/>
      <c r="J69" s="830" t="str">
        <f t="array" ref="J69:M69">LEFT(CalcI!$H$21:$K$21,$D$4)</f>
        <v>Norway</v>
      </c>
      <c r="K69" s="828" t="str">
        <v>France</v>
      </c>
      <c r="L69" s="828" t="str">
        <v>Senegal</v>
      </c>
      <c r="M69" s="829" t="str">
        <v>Iraq</v>
      </c>
      <c r="O69" s="827"/>
      <c r="P69" s="838" t="str">
        <f>Language!$E$131</f>
        <v>Pts.</v>
      </c>
      <c r="Q69" s="838" t="str">
        <f>Language!$E$132</f>
        <v>GD</v>
      </c>
      <c r="R69" s="1025" t="str">
        <f>Language!$E$133</f>
        <v>Goals</v>
      </c>
      <c r="S69" s="1026"/>
      <c r="T69" s="1026"/>
      <c r="U69" s="830" t="str">
        <f t="array" ref="U69:X69">LEFT(CalcI!$BE$13:$BH$13,$D$4)</f>
        <v>Norway</v>
      </c>
      <c r="V69" s="828" t="str">
        <v>France</v>
      </c>
      <c r="W69" s="828" t="str">
        <v/>
      </c>
      <c r="X69" s="829" t="str">
        <v/>
      </c>
      <c r="Z69" s="827"/>
      <c r="AA69" s="838" t="str">
        <f>Language!$E$131</f>
        <v>Pts.</v>
      </c>
      <c r="AB69" s="838" t="str">
        <f>Language!$E$132</f>
        <v>GD</v>
      </c>
      <c r="AC69" s="1025" t="str">
        <f>Language!$E$133</f>
        <v>Goals</v>
      </c>
      <c r="AD69" s="1026"/>
      <c r="AE69" s="1026"/>
      <c r="AF69" s="830" t="str">
        <f t="array" ref="AF69:AI69">IF(COUNTBLANK(CalcI!$AZ$22:$AZ$25)&lt;4,LEFT(CalcI!$BE$21:$BH$21,$D$4),LEFT(CalcI!$BS$13:$BV$13,$D$4))</f>
        <v/>
      </c>
      <c r="AG69" s="828" t="str">
        <v/>
      </c>
      <c r="AH69" s="828" t="str">
        <v>Senegal</v>
      </c>
      <c r="AI69" s="829" t="str">
        <v>Iraq</v>
      </c>
      <c r="AK69" s="827"/>
      <c r="AL69" s="838" t="str">
        <f>Language!$E$131</f>
        <v>Pts.</v>
      </c>
      <c r="AM69" s="838" t="str">
        <f>Language!$E$132</f>
        <v>GD</v>
      </c>
      <c r="AN69" s="1025" t="str">
        <f>Language!$E$133</f>
        <v>Goals</v>
      </c>
      <c r="AO69" s="1026"/>
      <c r="AP69" s="1026"/>
      <c r="AQ69" s="830" t="str">
        <f t="array" ref="AQ69:AT69">LEFT(CalcI!$CE$13:$CH$13,$D$4)</f>
        <v/>
      </c>
      <c r="AR69" s="828" t="str">
        <v/>
      </c>
      <c r="AS69" s="828" t="str">
        <v/>
      </c>
      <c r="AT69" s="829" t="str">
        <v/>
      </c>
      <c r="AV69" s="852" t="str">
        <f>Language!$E$123</f>
        <v>Fair play</v>
      </c>
      <c r="AW69" s="853" t="str">
        <f>Language!$E$186</f>
        <v>FIFA Rank</v>
      </c>
      <c r="AY69" s="898" t="s">
        <v>1673</v>
      </c>
    </row>
    <row r="70" spans="2:51" x14ac:dyDescent="0.25">
      <c r="B70" s="848" t="str">
        <f t="array" ref="B70:B73">IF(CalcI!$M$22:$M$25,"•","")</f>
        <v/>
      </c>
      <c r="D70" s="842" t="str">
        <f t="array" ref="D70:D73">CalcI!$D$22:$D$25</f>
        <v>Norway</v>
      </c>
      <c r="E70" s="824">
        <f t="array" ref="E70:E73">CalcI!$E$22:$E$25</f>
        <v>3</v>
      </c>
      <c r="F70" s="824">
        <f>G70-I70</f>
        <v>3</v>
      </c>
      <c r="G70" s="825">
        <f t="array" ref="G70:G73">CalcI!$F$22:$F$25</f>
        <v>4</v>
      </c>
      <c r="H70" s="837" t="str">
        <f>Language!$E$203</f>
        <v xml:space="preserve"> - </v>
      </c>
      <c r="I70" s="834">
        <f t="array" ref="I70:I73">CalcI!$G$22:$G$25</f>
        <v>1</v>
      </c>
      <c r="J70" s="831" t="str">
        <f t="array" ref="J70:M73">CalcI!$H$22:$K$25</f>
        <v/>
      </c>
      <c r="K70" s="824" t="str">
        <v/>
      </c>
      <c r="L70" s="824" t="str">
        <v/>
      </c>
      <c r="M70" s="826" t="str">
        <v>4 - 1</v>
      </c>
      <c r="O70" s="842" t="str">
        <f t="array" ref="O70:O73">CalcI!$AZ$14:$AZ$17</f>
        <v>Norway</v>
      </c>
      <c r="P70" s="824">
        <f t="array" ref="P70:P73">CalcI!$BA$14:$BA$17</f>
        <v>0</v>
      </c>
      <c r="Q70" s="824">
        <f t="array" ref="Q70:Q73">CalcI!$BB$14:$BB$17</f>
        <v>0</v>
      </c>
      <c r="R70" s="825">
        <f t="array" ref="R70:R73">CalcI!$BC$14:$BC$17</f>
        <v>0</v>
      </c>
      <c r="S70" s="837" t="str">
        <f>Language!$E$203</f>
        <v xml:space="preserve"> - </v>
      </c>
      <c r="T70" s="834">
        <f t="shared" ref="T70:T73" si="32">IF(O70="","",R70-Q70)</f>
        <v>0</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Language!$E$203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Language!$E$203</f>
        <v xml:space="preserve"> - </v>
      </c>
      <c r="AP70" s="834" t="str">
        <f t="shared" ref="AP70:AP73" si="34">IF(AK70="","",AN70-AM70)</f>
        <v/>
      </c>
      <c r="AQ70" s="831" t="str">
        <f t="array" ref="AQ70:AT73">CalcI!$CE$14:$CH$17</f>
        <v/>
      </c>
      <c r="AR70" s="824" t="str">
        <v/>
      </c>
      <c r="AS70" s="824" t="str">
        <v/>
      </c>
      <c r="AT70" s="826" t="str">
        <v/>
      </c>
      <c r="AV70" s="854">
        <f t="array" ref="AV70:AV73">VLOOKUP($D70:$D73,CalcI!$D$5:$P$8,13,0)</f>
        <v>0</v>
      </c>
      <c r="AW70" s="826">
        <f t="array" ref="AW70:AW73">VLOOKUP($D70:$D73,CalcI!$D$5:$Q$8,14,0)</f>
        <v>31</v>
      </c>
      <c r="AY70" t="b">
        <f t="array" ref="AY70:AY73">CalcI!$AC$22:$AC$25</f>
        <v>0</v>
      </c>
    </row>
    <row r="71" spans="2:51" x14ac:dyDescent="0.25">
      <c r="B71" s="848" t="str">
        <v/>
      </c>
      <c r="D71" s="843" t="str">
        <v>France</v>
      </c>
      <c r="E71" s="815">
        <v>3</v>
      </c>
      <c r="F71" s="815">
        <f t="shared" ref="F71:F73" si="35">G71-I71</f>
        <v>2</v>
      </c>
      <c r="G71" s="820">
        <v>3</v>
      </c>
      <c r="H71" s="822" t="str">
        <f>Language!$E$203</f>
        <v xml:space="preserve"> - </v>
      </c>
      <c r="I71" s="835">
        <v>1</v>
      </c>
      <c r="J71" s="832" t="str">
        <v/>
      </c>
      <c r="K71" s="816" t="str">
        <v/>
      </c>
      <c r="L71" s="815" t="str">
        <v>3 - 1</v>
      </c>
      <c r="M71" s="817" t="str">
        <v/>
      </c>
      <c r="O71" s="843" t="str">
        <v>France</v>
      </c>
      <c r="P71" s="815">
        <v>0</v>
      </c>
      <c r="Q71" s="815">
        <v>0</v>
      </c>
      <c r="R71" s="820">
        <v>0</v>
      </c>
      <c r="S71" s="822" t="str">
        <f>Language!$E$203</f>
        <v xml:space="preserve"> - </v>
      </c>
      <c r="T71" s="835">
        <f t="shared" si="32"/>
        <v>0</v>
      </c>
      <c r="U71" s="832" t="str">
        <v/>
      </c>
      <c r="V71" s="816" t="str">
        <v/>
      </c>
      <c r="W71" s="815" t="str">
        <v/>
      </c>
      <c r="X71" s="817" t="str">
        <v/>
      </c>
      <c r="Z71" s="843" t="str">
        <v/>
      </c>
      <c r="AA71" s="815" t="str">
        <v/>
      </c>
      <c r="AB71" s="815" t="str">
        <v/>
      </c>
      <c r="AC71" s="820" t="str">
        <v/>
      </c>
      <c r="AD71" s="822" t="str">
        <f>Language!$E$203</f>
        <v xml:space="preserve"> - </v>
      </c>
      <c r="AE71" s="835" t="str">
        <f t="shared" si="33"/>
        <v/>
      </c>
      <c r="AF71" s="832" t="str">
        <v/>
      </c>
      <c r="AG71" s="816" t="str">
        <v/>
      </c>
      <c r="AH71" s="815" t="str">
        <v/>
      </c>
      <c r="AI71" s="817" t="str">
        <v/>
      </c>
      <c r="AK71" s="843" t="str">
        <v/>
      </c>
      <c r="AL71" s="815" t="str">
        <v/>
      </c>
      <c r="AM71" s="815" t="str">
        <v/>
      </c>
      <c r="AN71" s="820" t="str">
        <v/>
      </c>
      <c r="AO71" s="822" t="str">
        <f>Language!$E$203</f>
        <v xml:space="preserve"> - </v>
      </c>
      <c r="AP71" s="835" t="str">
        <f t="shared" si="34"/>
        <v/>
      </c>
      <c r="AQ71" s="832" t="str">
        <v/>
      </c>
      <c r="AR71" s="816" t="str">
        <v/>
      </c>
      <c r="AS71" s="815" t="str">
        <v/>
      </c>
      <c r="AT71" s="817" t="str">
        <v/>
      </c>
      <c r="AV71" s="855">
        <v>0</v>
      </c>
      <c r="AW71" s="817">
        <v>3</v>
      </c>
      <c r="AY71" t="b">
        <v>0</v>
      </c>
    </row>
    <row r="72" spans="2:51" x14ac:dyDescent="0.25">
      <c r="B72" s="848" t="str">
        <v/>
      </c>
      <c r="D72" s="843" t="str">
        <v>Senegal</v>
      </c>
      <c r="E72" s="815">
        <v>0</v>
      </c>
      <c r="F72" s="815">
        <f t="shared" si="35"/>
        <v>-2</v>
      </c>
      <c r="G72" s="820">
        <v>1</v>
      </c>
      <c r="H72" s="822" t="str">
        <f>Language!$E$203</f>
        <v xml:space="preserve"> - </v>
      </c>
      <c r="I72" s="835">
        <v>3</v>
      </c>
      <c r="J72" s="832" t="str">
        <v/>
      </c>
      <c r="K72" s="815" t="str">
        <v>1 - 3</v>
      </c>
      <c r="L72" s="816" t="str">
        <v/>
      </c>
      <c r="M72" s="817" t="str">
        <v/>
      </c>
      <c r="O72" s="843" t="str">
        <v/>
      </c>
      <c r="P72" s="815" t="str">
        <v/>
      </c>
      <c r="Q72" s="815" t="str">
        <v/>
      </c>
      <c r="R72" s="820" t="str">
        <v/>
      </c>
      <c r="S72" s="822" t="str">
        <f>Language!$E$203</f>
        <v xml:space="preserve"> - </v>
      </c>
      <c r="T72" s="835" t="str">
        <f t="shared" si="32"/>
        <v/>
      </c>
      <c r="U72" s="832" t="str">
        <v/>
      </c>
      <c r="V72" s="815" t="str">
        <v/>
      </c>
      <c r="W72" s="816" t="str">
        <v/>
      </c>
      <c r="X72" s="817" t="str">
        <v/>
      </c>
      <c r="Z72" s="843" t="str">
        <v>Senegal</v>
      </c>
      <c r="AA72" s="815">
        <v>0</v>
      </c>
      <c r="AB72" s="815">
        <v>0</v>
      </c>
      <c r="AC72" s="820">
        <v>0</v>
      </c>
      <c r="AD72" s="822" t="str">
        <f>Language!$E$203</f>
        <v xml:space="preserve"> - </v>
      </c>
      <c r="AE72" s="835">
        <f t="shared" si="33"/>
        <v>0</v>
      </c>
      <c r="AF72" s="832" t="str">
        <v/>
      </c>
      <c r="AG72" s="815" t="str">
        <v/>
      </c>
      <c r="AH72" s="816" t="str">
        <v/>
      </c>
      <c r="AI72" s="817" t="str">
        <v/>
      </c>
      <c r="AK72" s="843" t="str">
        <v/>
      </c>
      <c r="AL72" s="815" t="str">
        <v/>
      </c>
      <c r="AM72" s="815" t="str">
        <v/>
      </c>
      <c r="AN72" s="820" t="str">
        <v/>
      </c>
      <c r="AO72" s="822" t="str">
        <f>Language!$E$203</f>
        <v xml:space="preserve"> - </v>
      </c>
      <c r="AP72" s="835" t="str">
        <f t="shared" si="34"/>
        <v/>
      </c>
      <c r="AQ72" s="832" t="str">
        <v/>
      </c>
      <c r="AR72" s="815" t="str">
        <v/>
      </c>
      <c r="AS72" s="816" t="str">
        <v/>
      </c>
      <c r="AT72" s="817" t="str">
        <v/>
      </c>
      <c r="AV72" s="855">
        <v>0</v>
      </c>
      <c r="AW72" s="817">
        <v>15</v>
      </c>
      <c r="AY72" t="b">
        <v>0</v>
      </c>
    </row>
    <row r="73" spans="2:51" ht="15.75" thickBot="1" x14ac:dyDescent="0.3">
      <c r="B73" s="848" t="str">
        <v/>
      </c>
      <c r="D73" s="844" t="str">
        <v>Iraq</v>
      </c>
      <c r="E73" s="818">
        <v>0</v>
      </c>
      <c r="F73" s="818">
        <f t="shared" si="35"/>
        <v>-3</v>
      </c>
      <c r="G73" s="821">
        <v>1</v>
      </c>
      <c r="H73" s="823" t="str">
        <f>Language!$E$203</f>
        <v xml:space="preserve"> - </v>
      </c>
      <c r="I73" s="836">
        <v>4</v>
      </c>
      <c r="J73" s="833" t="str">
        <v>1 - 4</v>
      </c>
      <c r="K73" s="818" t="str">
        <v/>
      </c>
      <c r="L73" s="818" t="str">
        <v/>
      </c>
      <c r="M73" s="819" t="str">
        <v/>
      </c>
      <c r="O73" s="844" t="str">
        <v/>
      </c>
      <c r="P73" s="818" t="str">
        <v/>
      </c>
      <c r="Q73" s="818" t="str">
        <v/>
      </c>
      <c r="R73" s="821" t="str">
        <v/>
      </c>
      <c r="S73" s="823" t="str">
        <f>Language!$E$203</f>
        <v xml:space="preserve"> - </v>
      </c>
      <c r="T73" s="836" t="str">
        <f t="shared" si="32"/>
        <v/>
      </c>
      <c r="U73" s="833" t="str">
        <v/>
      </c>
      <c r="V73" s="818" t="str">
        <v/>
      </c>
      <c r="W73" s="818" t="str">
        <v/>
      </c>
      <c r="X73" s="819" t="str">
        <v/>
      </c>
      <c r="Z73" s="844" t="str">
        <v>Iraq</v>
      </c>
      <c r="AA73" s="818">
        <v>0</v>
      </c>
      <c r="AB73" s="818">
        <v>0</v>
      </c>
      <c r="AC73" s="821">
        <v>0</v>
      </c>
      <c r="AD73" s="823" t="str">
        <f>Language!$E$203</f>
        <v xml:space="preserve"> - </v>
      </c>
      <c r="AE73" s="836">
        <f t="shared" si="33"/>
        <v>0</v>
      </c>
      <c r="AF73" s="833" t="str">
        <v/>
      </c>
      <c r="AG73" s="818" t="str">
        <v/>
      </c>
      <c r="AH73" s="818" t="str">
        <v/>
      </c>
      <c r="AI73" s="819" t="str">
        <v/>
      </c>
      <c r="AK73" s="844" t="str">
        <v/>
      </c>
      <c r="AL73" s="818" t="str">
        <v/>
      </c>
      <c r="AM73" s="818" t="str">
        <v/>
      </c>
      <c r="AN73" s="821" t="str">
        <v/>
      </c>
      <c r="AO73" s="823" t="str">
        <f>Language!$E$203</f>
        <v xml:space="preserve"> - </v>
      </c>
      <c r="AP73" s="836" t="str">
        <f t="shared" si="34"/>
        <v/>
      </c>
      <c r="AQ73" s="833" t="str">
        <v/>
      </c>
      <c r="AR73" s="818" t="str">
        <v/>
      </c>
      <c r="AS73" s="818" t="str">
        <v/>
      </c>
      <c r="AT73" s="819" t="str">
        <v/>
      </c>
      <c r="AV73" s="856">
        <v>-1</v>
      </c>
      <c r="AW73" s="857">
        <v>57</v>
      </c>
      <c r="AY73" t="b">
        <v>0</v>
      </c>
    </row>
    <row r="74" spans="2:51" ht="15.75" thickTop="1" x14ac:dyDescent="0.25"/>
    <row r="75" spans="2:51" x14ac:dyDescent="0.25"/>
    <row r="76" spans="2:51" ht="15.75" thickBot="1" x14ac:dyDescent="0.3">
      <c r="D76" s="841"/>
      <c r="Z76" s="870" t="str">
        <f>IF(COUNTBLANK(CalcJ!$BN$14:$BN$17)&lt;4,Language!$E$136,"")</f>
        <v/>
      </c>
      <c r="AK76" s="870" t="str">
        <f>IF(COUNTBLANK(CalcJ!$BZ$14:$BZ$17)&lt;4,Language!$E$136,"")</f>
        <v/>
      </c>
    </row>
    <row r="77" spans="2:51" ht="24.75" thickTop="1" x14ac:dyDescent="0.35">
      <c r="B77" s="845" t="s">
        <v>830</v>
      </c>
      <c r="C77" s="814"/>
      <c r="D77" s="827"/>
      <c r="E77" s="838" t="str">
        <f>Language!$E$131</f>
        <v>Pts.</v>
      </c>
      <c r="F77" s="838" t="str">
        <f>Language!$E$132</f>
        <v>GD</v>
      </c>
      <c r="G77" s="1025" t="str">
        <f>Language!$E$133</f>
        <v>Goals</v>
      </c>
      <c r="H77" s="1026"/>
      <c r="I77" s="1026"/>
      <c r="J77" s="830" t="str">
        <f t="array" ref="J77:M77">LEFT(CalcJ!$H$21:$K$21,$D$4)</f>
        <v>Argenti</v>
      </c>
      <c r="K77" s="828" t="str">
        <v>Austria</v>
      </c>
      <c r="L77" s="828" t="str">
        <v>Jordan</v>
      </c>
      <c r="M77" s="829" t="str">
        <v>Algeria</v>
      </c>
      <c r="O77" s="827"/>
      <c r="P77" s="838" t="str">
        <f>Language!$E$131</f>
        <v>Pts.</v>
      </c>
      <c r="Q77" s="838" t="str">
        <f>Language!$E$132</f>
        <v>GD</v>
      </c>
      <c r="R77" s="1025" t="str">
        <f>Language!$E$133</f>
        <v>Goals</v>
      </c>
      <c r="S77" s="1026"/>
      <c r="T77" s="1026"/>
      <c r="U77" s="830" t="str">
        <f t="array" ref="U77:X77">LEFT(CalcJ!$BE$13:$BH$13,$D$4)</f>
        <v>Argenti</v>
      </c>
      <c r="V77" s="828" t="str">
        <v>Austria</v>
      </c>
      <c r="W77" s="828" t="str">
        <v/>
      </c>
      <c r="X77" s="829" t="str">
        <v/>
      </c>
      <c r="Z77" s="827"/>
      <c r="AA77" s="838" t="str">
        <f>Language!$E$131</f>
        <v>Pts.</v>
      </c>
      <c r="AB77" s="838" t="str">
        <f>Language!$E$132</f>
        <v>GD</v>
      </c>
      <c r="AC77" s="1025" t="str">
        <f>Language!$E$133</f>
        <v>Goals</v>
      </c>
      <c r="AD77" s="1026"/>
      <c r="AE77" s="1026"/>
      <c r="AF77" s="830" t="str">
        <f t="array" ref="AF77:AI77">IF(COUNTBLANK(CalcJ!$AZ$22:$AZ$25)&lt;4,LEFT(CalcJ!$BE$21:$BH$21,$D$4),LEFT(CalcJ!$BS$13:$BV$13,$D$4))</f>
        <v/>
      </c>
      <c r="AG77" s="828" t="str">
        <v/>
      </c>
      <c r="AH77" s="828" t="str">
        <v>Jordan</v>
      </c>
      <c r="AI77" s="829" t="str">
        <v>Algeria</v>
      </c>
      <c r="AK77" s="827"/>
      <c r="AL77" s="838" t="str">
        <f>Language!$E$131</f>
        <v>Pts.</v>
      </c>
      <c r="AM77" s="838" t="str">
        <f>Language!$E$132</f>
        <v>GD</v>
      </c>
      <c r="AN77" s="1025" t="str">
        <f>Language!$E$133</f>
        <v>Goals</v>
      </c>
      <c r="AO77" s="1026"/>
      <c r="AP77" s="1026"/>
      <c r="AQ77" s="830" t="str">
        <f t="array" ref="AQ77:AT77">LEFT(CalcJ!$CE$13:$CH$13,$D$4)</f>
        <v/>
      </c>
      <c r="AR77" s="828" t="str">
        <v/>
      </c>
      <c r="AS77" s="828" t="str">
        <v/>
      </c>
      <c r="AT77" s="829" t="str">
        <v/>
      </c>
      <c r="AV77" s="852" t="str">
        <f>Language!$E$123</f>
        <v>Fair play</v>
      </c>
      <c r="AW77" s="853" t="str">
        <f>Language!$E$186</f>
        <v>FIFA Rank</v>
      </c>
      <c r="AY77" s="898" t="s">
        <v>1673</v>
      </c>
    </row>
    <row r="78" spans="2:51" x14ac:dyDescent="0.25">
      <c r="B78" s="848" t="str">
        <f t="array" ref="B78:B81">IF(CalcJ!$M$22:$M$25,"•","")</f>
        <v/>
      </c>
      <c r="D78" s="842" t="str">
        <f t="array" ref="D78:D81">CalcJ!$D$22:$D$25</f>
        <v>Argentina</v>
      </c>
      <c r="E78" s="824">
        <f t="array" ref="E78:E81">CalcJ!$E$22:$E$25</f>
        <v>3</v>
      </c>
      <c r="F78" s="824">
        <f>G78-I78</f>
        <v>3</v>
      </c>
      <c r="G78" s="825">
        <f t="array" ref="G78:G81">CalcJ!$F$22:$F$25</f>
        <v>3</v>
      </c>
      <c r="H78" s="837" t="str">
        <f>Language!$E$203</f>
        <v xml:space="preserve"> - </v>
      </c>
      <c r="I78" s="834">
        <f t="array" ref="I78:I81">CalcJ!$G$22:$G$25</f>
        <v>0</v>
      </c>
      <c r="J78" s="831" t="str">
        <f t="array" ref="J78:M81">CalcJ!$H$22:$K$25</f>
        <v/>
      </c>
      <c r="K78" s="824" t="str">
        <v/>
      </c>
      <c r="L78" s="824" t="str">
        <v/>
      </c>
      <c r="M78" s="826" t="str">
        <v>3 - 0</v>
      </c>
      <c r="O78" s="842" t="str">
        <f t="array" ref="O78:O81">CalcJ!$AZ$14:$AZ$17</f>
        <v>Argentina</v>
      </c>
      <c r="P78" s="824">
        <f t="array" ref="P78:P81">CalcJ!$BA$14:$BA$17</f>
        <v>0</v>
      </c>
      <c r="Q78" s="824">
        <f t="array" ref="Q78:Q81">CalcJ!$BB$14:$BB$17</f>
        <v>0</v>
      </c>
      <c r="R78" s="825">
        <f t="array" ref="R78:R81">CalcJ!$BC$14:$BC$17</f>
        <v>0</v>
      </c>
      <c r="S78" s="837" t="str">
        <f>Language!$E$203</f>
        <v xml:space="preserve"> - </v>
      </c>
      <c r="T78" s="834">
        <f t="shared" ref="T78:T81" si="36">IF(O78="","",R78-Q78)</f>
        <v>0</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Language!$E$203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Language!$E$203</f>
        <v xml:space="preserve"> - </v>
      </c>
      <c r="AP78" s="834" t="str">
        <f t="shared" ref="AP78:AP81" si="38">IF(AK78="","",AN78-AM78)</f>
        <v/>
      </c>
      <c r="AQ78" s="831" t="str">
        <f t="array" ref="AQ78:AT81">CalcJ!$CE$14:$CH$17</f>
        <v/>
      </c>
      <c r="AR78" s="824" t="str">
        <v/>
      </c>
      <c r="AS78" s="824" t="str">
        <v/>
      </c>
      <c r="AT78" s="826" t="str">
        <v/>
      </c>
      <c r="AV78" s="854">
        <f t="array" ref="AV78:AV81">VLOOKUP($D78:$D81,CalcJ!$D$5:$P$8,13,0)</f>
        <v>0</v>
      </c>
      <c r="AW78" s="826">
        <f t="array" ref="AW78:AW81">VLOOKUP($D78:$D81,CalcJ!$D$5:$Q$8,14,0)</f>
        <v>1</v>
      </c>
      <c r="AY78" t="b">
        <f t="array" ref="AY78:AY81">CalcJ!$AC$22:$AC$25</f>
        <v>0</v>
      </c>
    </row>
    <row r="79" spans="2:51" x14ac:dyDescent="0.25">
      <c r="B79" s="848" t="str">
        <v/>
      </c>
      <c r="D79" s="843" t="str">
        <v>Austria</v>
      </c>
      <c r="E79" s="815">
        <v>3</v>
      </c>
      <c r="F79" s="815">
        <f t="shared" ref="F79:F81" si="39">G79-I79</f>
        <v>2</v>
      </c>
      <c r="G79" s="820">
        <v>3</v>
      </c>
      <c r="H79" s="822" t="str">
        <f>Language!$E$203</f>
        <v xml:space="preserve"> - </v>
      </c>
      <c r="I79" s="835">
        <v>1</v>
      </c>
      <c r="J79" s="832" t="str">
        <v/>
      </c>
      <c r="K79" s="816" t="str">
        <v/>
      </c>
      <c r="L79" s="815" t="str">
        <v>3 - 1</v>
      </c>
      <c r="M79" s="817" t="str">
        <v/>
      </c>
      <c r="O79" s="843" t="str">
        <v>Austria</v>
      </c>
      <c r="P79" s="815">
        <v>0</v>
      </c>
      <c r="Q79" s="815">
        <v>0</v>
      </c>
      <c r="R79" s="820">
        <v>0</v>
      </c>
      <c r="S79" s="822" t="str">
        <f>Language!$E$203</f>
        <v xml:space="preserve"> - </v>
      </c>
      <c r="T79" s="835">
        <f t="shared" si="36"/>
        <v>0</v>
      </c>
      <c r="U79" s="832" t="str">
        <v/>
      </c>
      <c r="V79" s="816" t="str">
        <v/>
      </c>
      <c r="W79" s="815" t="str">
        <v/>
      </c>
      <c r="X79" s="817" t="str">
        <v/>
      </c>
      <c r="Z79" s="843" t="str">
        <v/>
      </c>
      <c r="AA79" s="815" t="str">
        <v/>
      </c>
      <c r="AB79" s="815" t="str">
        <v/>
      </c>
      <c r="AC79" s="820" t="str">
        <v/>
      </c>
      <c r="AD79" s="822" t="str">
        <f>Language!$E$203</f>
        <v xml:space="preserve"> - </v>
      </c>
      <c r="AE79" s="835" t="str">
        <f t="shared" si="37"/>
        <v/>
      </c>
      <c r="AF79" s="832" t="str">
        <v/>
      </c>
      <c r="AG79" s="816" t="str">
        <v/>
      </c>
      <c r="AH79" s="815" t="str">
        <v/>
      </c>
      <c r="AI79" s="817" t="str">
        <v/>
      </c>
      <c r="AK79" s="843" t="str">
        <v/>
      </c>
      <c r="AL79" s="815" t="str">
        <v/>
      </c>
      <c r="AM79" s="815" t="str">
        <v/>
      </c>
      <c r="AN79" s="820" t="str">
        <v/>
      </c>
      <c r="AO79" s="822" t="str">
        <f>Language!$E$203</f>
        <v xml:space="preserve"> - </v>
      </c>
      <c r="AP79" s="835" t="str">
        <f t="shared" si="38"/>
        <v/>
      </c>
      <c r="AQ79" s="832" t="str">
        <v/>
      </c>
      <c r="AR79" s="816" t="str">
        <v/>
      </c>
      <c r="AS79" s="815" t="str">
        <v/>
      </c>
      <c r="AT79" s="817" t="str">
        <v/>
      </c>
      <c r="AV79" s="855">
        <v>-1</v>
      </c>
      <c r="AW79" s="817">
        <v>24</v>
      </c>
      <c r="AY79" t="b">
        <v>0</v>
      </c>
    </row>
    <row r="80" spans="2:51" x14ac:dyDescent="0.25">
      <c r="B80" s="848" t="str">
        <v/>
      </c>
      <c r="D80" s="843" t="str">
        <v>Jordan</v>
      </c>
      <c r="E80" s="815">
        <v>0</v>
      </c>
      <c r="F80" s="815">
        <f t="shared" si="39"/>
        <v>-2</v>
      </c>
      <c r="G80" s="820">
        <v>1</v>
      </c>
      <c r="H80" s="822" t="str">
        <f>Language!$E$203</f>
        <v xml:space="preserve"> - </v>
      </c>
      <c r="I80" s="835">
        <v>3</v>
      </c>
      <c r="J80" s="832" t="str">
        <v/>
      </c>
      <c r="K80" s="815" t="str">
        <v>1 - 3</v>
      </c>
      <c r="L80" s="816" t="str">
        <v/>
      </c>
      <c r="M80" s="817" t="str">
        <v/>
      </c>
      <c r="O80" s="843" t="str">
        <v/>
      </c>
      <c r="P80" s="815" t="str">
        <v/>
      </c>
      <c r="Q80" s="815" t="str">
        <v/>
      </c>
      <c r="R80" s="820" t="str">
        <v/>
      </c>
      <c r="S80" s="822" t="str">
        <f>Language!$E$203</f>
        <v xml:space="preserve"> - </v>
      </c>
      <c r="T80" s="835" t="str">
        <f t="shared" si="36"/>
        <v/>
      </c>
      <c r="U80" s="832" t="str">
        <v/>
      </c>
      <c r="V80" s="815" t="str">
        <v/>
      </c>
      <c r="W80" s="816" t="str">
        <v/>
      </c>
      <c r="X80" s="817" t="str">
        <v/>
      </c>
      <c r="Z80" s="843" t="str">
        <v>Jordan</v>
      </c>
      <c r="AA80" s="815">
        <v>0</v>
      </c>
      <c r="AB80" s="815">
        <v>0</v>
      </c>
      <c r="AC80" s="820">
        <v>0</v>
      </c>
      <c r="AD80" s="822" t="str">
        <f>Language!$E$203</f>
        <v xml:space="preserve"> - </v>
      </c>
      <c r="AE80" s="835">
        <f t="shared" si="37"/>
        <v>0</v>
      </c>
      <c r="AF80" s="832" t="str">
        <v/>
      </c>
      <c r="AG80" s="815" t="str">
        <v/>
      </c>
      <c r="AH80" s="816" t="str">
        <v/>
      </c>
      <c r="AI80" s="817" t="str">
        <v/>
      </c>
      <c r="AK80" s="843" t="str">
        <v/>
      </c>
      <c r="AL80" s="815" t="str">
        <v/>
      </c>
      <c r="AM80" s="815" t="str">
        <v/>
      </c>
      <c r="AN80" s="820" t="str">
        <v/>
      </c>
      <c r="AO80" s="822" t="str">
        <f>Language!$E$203</f>
        <v xml:space="preserve"> - </v>
      </c>
      <c r="AP80" s="835" t="str">
        <f t="shared" si="38"/>
        <v/>
      </c>
      <c r="AQ80" s="832" t="str">
        <v/>
      </c>
      <c r="AR80" s="815" t="str">
        <v/>
      </c>
      <c r="AS80" s="816" t="str">
        <v/>
      </c>
      <c r="AT80" s="817" t="str">
        <v/>
      </c>
      <c r="AV80" s="855">
        <v>0</v>
      </c>
      <c r="AW80" s="817">
        <v>63</v>
      </c>
      <c r="AY80" t="b">
        <v>0</v>
      </c>
    </row>
    <row r="81" spans="2:51" ht="15.75" thickBot="1" x14ac:dyDescent="0.3">
      <c r="B81" s="848" t="str">
        <v/>
      </c>
      <c r="D81" s="844" t="str">
        <v>Algeria</v>
      </c>
      <c r="E81" s="818">
        <v>0</v>
      </c>
      <c r="F81" s="818">
        <f t="shared" si="39"/>
        <v>-3</v>
      </c>
      <c r="G81" s="821">
        <v>0</v>
      </c>
      <c r="H81" s="823" t="str">
        <f>Language!$E$203</f>
        <v xml:space="preserve"> - </v>
      </c>
      <c r="I81" s="836">
        <v>3</v>
      </c>
      <c r="J81" s="833" t="str">
        <v>0 - 3</v>
      </c>
      <c r="K81" s="818" t="str">
        <v/>
      </c>
      <c r="L81" s="818" t="str">
        <v/>
      </c>
      <c r="M81" s="819" t="str">
        <v/>
      </c>
      <c r="O81" s="844" t="str">
        <v/>
      </c>
      <c r="P81" s="818" t="str">
        <v/>
      </c>
      <c r="Q81" s="818" t="str">
        <v/>
      </c>
      <c r="R81" s="821" t="str">
        <v/>
      </c>
      <c r="S81" s="823" t="str">
        <f>Language!$E$203</f>
        <v xml:space="preserve"> - </v>
      </c>
      <c r="T81" s="836" t="str">
        <f t="shared" si="36"/>
        <v/>
      </c>
      <c r="U81" s="833" t="str">
        <v/>
      </c>
      <c r="V81" s="818" t="str">
        <v/>
      </c>
      <c r="W81" s="818" t="str">
        <v/>
      </c>
      <c r="X81" s="819" t="str">
        <v/>
      </c>
      <c r="Z81" s="844" t="str">
        <v>Algeria</v>
      </c>
      <c r="AA81" s="818">
        <v>0</v>
      </c>
      <c r="AB81" s="818">
        <v>0</v>
      </c>
      <c r="AC81" s="821">
        <v>0</v>
      </c>
      <c r="AD81" s="823" t="str">
        <f>Language!$E$203</f>
        <v xml:space="preserve"> - </v>
      </c>
      <c r="AE81" s="836">
        <f t="shared" si="37"/>
        <v>0</v>
      </c>
      <c r="AF81" s="833" t="str">
        <v/>
      </c>
      <c r="AG81" s="818" t="str">
        <v/>
      </c>
      <c r="AH81" s="818" t="str">
        <v/>
      </c>
      <c r="AI81" s="819" t="str">
        <v/>
      </c>
      <c r="AK81" s="844" t="str">
        <v/>
      </c>
      <c r="AL81" s="818" t="str">
        <v/>
      </c>
      <c r="AM81" s="818" t="str">
        <v/>
      </c>
      <c r="AN81" s="821" t="str">
        <v/>
      </c>
      <c r="AO81" s="823" t="str">
        <f>Language!$E$203</f>
        <v xml:space="preserve"> - </v>
      </c>
      <c r="AP81" s="836" t="str">
        <f t="shared" si="38"/>
        <v/>
      </c>
      <c r="AQ81" s="833" t="str">
        <v/>
      </c>
      <c r="AR81" s="818" t="str">
        <v/>
      </c>
      <c r="AS81" s="818" t="str">
        <v/>
      </c>
      <c r="AT81" s="819" t="str">
        <v/>
      </c>
      <c r="AV81" s="856">
        <v>0</v>
      </c>
      <c r="AW81" s="857">
        <v>28</v>
      </c>
      <c r="AY81" t="b">
        <v>0</v>
      </c>
    </row>
    <row r="82" spans="2:51" ht="15.75" thickTop="1" x14ac:dyDescent="0.25"/>
    <row r="83" spans="2:51" x14ac:dyDescent="0.25"/>
    <row r="84" spans="2:51" ht="15.75" thickBot="1" x14ac:dyDescent="0.3">
      <c r="D84" s="841"/>
      <c r="Z84" s="870" t="str">
        <f>IF(COUNTBLANK(CalcK!$BN$14:$BN$17)&lt;4,Language!$E$136,"")</f>
        <v/>
      </c>
      <c r="AK84" s="870" t="str">
        <f>IF(COUNTBLANK(CalcK!$BZ$14:$BZ$17)&lt;4,Language!$E$136,"")</f>
        <v/>
      </c>
    </row>
    <row r="85" spans="2:51" ht="24.75" thickTop="1" x14ac:dyDescent="0.35">
      <c r="B85" s="845" t="s">
        <v>33</v>
      </c>
      <c r="C85" s="814"/>
      <c r="D85" s="827"/>
      <c r="E85" s="838" t="str">
        <f>Language!$E$131</f>
        <v>Pts.</v>
      </c>
      <c r="F85" s="838" t="str">
        <f>Language!$E$132</f>
        <v>GD</v>
      </c>
      <c r="G85" s="1025" t="str">
        <f>Language!$E$133</f>
        <v>Goals</v>
      </c>
      <c r="H85" s="1026"/>
      <c r="I85" s="1026"/>
      <c r="J85" s="830" t="str">
        <f t="array" ref="J85:M85">LEFT(CalcK!$H$21:$K$21,$D$4)</f>
        <v>Colombi</v>
      </c>
      <c r="K85" s="828" t="str">
        <v>DR Cong</v>
      </c>
      <c r="L85" s="828" t="str">
        <v>Portuga</v>
      </c>
      <c r="M85" s="829" t="str">
        <v>Uzbekis</v>
      </c>
      <c r="O85" s="827"/>
      <c r="P85" s="838" t="str">
        <f>Language!$E$131</f>
        <v>Pts.</v>
      </c>
      <c r="Q85" s="838" t="str">
        <f>Language!$E$132</f>
        <v>GD</v>
      </c>
      <c r="R85" s="1025" t="str">
        <f>Language!$E$133</f>
        <v>Goals</v>
      </c>
      <c r="S85" s="1026"/>
      <c r="T85" s="1026"/>
      <c r="U85" s="830" t="str">
        <f t="array" ref="U85:X85">LEFT(CalcK!$BE$13:$BH$13,$D$4)</f>
        <v/>
      </c>
      <c r="V85" s="828" t="str">
        <v>DR Cong</v>
      </c>
      <c r="W85" s="828" t="str">
        <v>Portuga</v>
      </c>
      <c r="X85" s="829" t="str">
        <v/>
      </c>
      <c r="Z85" s="827"/>
      <c r="AA85" s="838" t="str">
        <f>Language!$E$131</f>
        <v>Pts.</v>
      </c>
      <c r="AB85" s="838" t="str">
        <f>Language!$E$132</f>
        <v>GD</v>
      </c>
      <c r="AC85" s="1025" t="str">
        <f>Language!$E$133</f>
        <v>Goals</v>
      </c>
      <c r="AD85" s="1026"/>
      <c r="AE85" s="1026"/>
      <c r="AF85" s="830" t="str">
        <f t="array" ref="AF85:AI85">IF(COUNTBLANK(CalcK!$AZ$22:$AZ$25)&lt;4,LEFT(CalcK!$BE$21:$BH$21,$D$4),LEFT(CalcK!$BS$13:$BV$13,$D$4))</f>
        <v/>
      </c>
      <c r="AG85" s="828" t="str">
        <v/>
      </c>
      <c r="AH85" s="828" t="str">
        <v/>
      </c>
      <c r="AI85" s="829" t="str">
        <v/>
      </c>
      <c r="AK85" s="827"/>
      <c r="AL85" s="838" t="str">
        <f>Language!$E$131</f>
        <v>Pts.</v>
      </c>
      <c r="AM85" s="838" t="str">
        <f>Language!$E$132</f>
        <v>GD</v>
      </c>
      <c r="AN85" s="1025" t="str">
        <f>Language!$E$133</f>
        <v>Goals</v>
      </c>
      <c r="AO85" s="1026"/>
      <c r="AP85" s="1026"/>
      <c r="AQ85" s="830" t="str">
        <f t="array" ref="AQ85:AT85">LEFT(CalcK!$CE$13:$CH$13,$D$4)</f>
        <v/>
      </c>
      <c r="AR85" s="828" t="str">
        <v/>
      </c>
      <c r="AS85" s="828" t="str">
        <v/>
      </c>
      <c r="AT85" s="829" t="str">
        <v/>
      </c>
      <c r="AV85" s="852" t="str">
        <f>Language!$E$123</f>
        <v>Fair play</v>
      </c>
      <c r="AW85" s="853" t="str">
        <f>Language!$E$186</f>
        <v>FIFA Rank</v>
      </c>
      <c r="AY85" s="898" t="s">
        <v>1673</v>
      </c>
    </row>
    <row r="86" spans="2:51" x14ac:dyDescent="0.25">
      <c r="B86" s="848" t="str">
        <f t="array" ref="B86:B89">IF(CalcK!$M$22:$M$25,"•","")</f>
        <v/>
      </c>
      <c r="D86" s="842" t="str">
        <f t="array" ref="D86:D89">CalcK!$D$22:$D$25</f>
        <v>Colombia</v>
      </c>
      <c r="E86" s="824">
        <f t="array" ref="E86:E89">CalcK!$E$22:$E$25</f>
        <v>3</v>
      </c>
      <c r="F86" s="824">
        <f>G86-I86</f>
        <v>2</v>
      </c>
      <c r="G86" s="825">
        <f t="array" ref="G86:G89">CalcK!$F$22:$F$25</f>
        <v>3</v>
      </c>
      <c r="H86" s="837" t="str">
        <f>Language!$E$203</f>
        <v xml:space="preserve"> - </v>
      </c>
      <c r="I86" s="834">
        <f t="array" ref="I86:I89">CalcK!$G$22:$G$25</f>
        <v>1</v>
      </c>
      <c r="J86" s="831" t="str">
        <f t="array" ref="J86:M89">CalcK!$H$22:$K$25</f>
        <v/>
      </c>
      <c r="K86" s="824" t="str">
        <v/>
      </c>
      <c r="L86" s="824" t="str">
        <v/>
      </c>
      <c r="M86" s="826" t="str">
        <v>3 - 1</v>
      </c>
      <c r="O86" s="842" t="str">
        <f t="array" ref="O86:O89">CalcK!$AZ$14:$AZ$17</f>
        <v/>
      </c>
      <c r="P86" s="824" t="str">
        <f t="array" ref="P86:P89">CalcK!$BA$14:$BA$17</f>
        <v/>
      </c>
      <c r="Q86" s="824" t="str">
        <f t="array" ref="Q86:Q89">CalcK!$BB$14:$BB$17</f>
        <v/>
      </c>
      <c r="R86" s="825" t="str">
        <f t="array" ref="R86:R89">CalcK!$BC$14:$BC$17</f>
        <v/>
      </c>
      <c r="S86" s="837" t="str">
        <f>Language!$E$203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Language!$E$203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Language!$E$203</f>
        <v xml:space="preserve"> - </v>
      </c>
      <c r="AP86" s="834" t="str">
        <f t="shared" ref="AP86:AP89" si="42">IF(AK86="","",AN86-AM86)</f>
        <v/>
      </c>
      <c r="AQ86" s="831" t="str">
        <f t="array" ref="AQ86:AT89">CalcK!$CE$14:$CH$17</f>
        <v/>
      </c>
      <c r="AR86" s="824" t="str">
        <v/>
      </c>
      <c r="AS86" s="824" t="str">
        <v/>
      </c>
      <c r="AT86" s="826" t="str">
        <v/>
      </c>
      <c r="AV86" s="854">
        <f t="array" ref="AV86:AV89">VLOOKUP($D86:$D89,CalcK!$D$5:$P$8,13,0)</f>
        <v>-1</v>
      </c>
      <c r="AW86" s="826">
        <f t="array" ref="AW86:AW89">VLOOKUP($D86:$D89,CalcK!$D$5:$Q$8,14,0)</f>
        <v>13</v>
      </c>
      <c r="AY86" t="b">
        <f t="array" ref="AY86:AY89">CalcK!$AC$22:$AC$25</f>
        <v>0</v>
      </c>
    </row>
    <row r="87" spans="2:51" x14ac:dyDescent="0.25">
      <c r="B87" s="848" t="str">
        <v/>
      </c>
      <c r="D87" s="843" t="str">
        <v>DR Congo</v>
      </c>
      <c r="E87" s="815">
        <v>1</v>
      </c>
      <c r="F87" s="815">
        <f t="shared" ref="F87:F89" si="43">G87-I87</f>
        <v>0</v>
      </c>
      <c r="G87" s="820">
        <v>1</v>
      </c>
      <c r="H87" s="822" t="str">
        <f>Language!$E$203</f>
        <v xml:space="preserve"> - </v>
      </c>
      <c r="I87" s="835">
        <v>1</v>
      </c>
      <c r="J87" s="832" t="str">
        <v/>
      </c>
      <c r="K87" s="816" t="str">
        <v/>
      </c>
      <c r="L87" s="815" t="str">
        <v>1 - 1</v>
      </c>
      <c r="M87" s="817" t="str">
        <v/>
      </c>
      <c r="O87" s="843" t="str">
        <v>DR Congo</v>
      </c>
      <c r="P87" s="815">
        <v>1</v>
      </c>
      <c r="Q87" s="815">
        <v>0</v>
      </c>
      <c r="R87" s="820">
        <v>1</v>
      </c>
      <c r="S87" s="822" t="str">
        <f>Language!$E$203</f>
        <v xml:space="preserve"> - </v>
      </c>
      <c r="T87" s="835">
        <f t="shared" si="40"/>
        <v>1</v>
      </c>
      <c r="U87" s="832" t="str">
        <v/>
      </c>
      <c r="V87" s="816" t="str">
        <v/>
      </c>
      <c r="W87" s="815" t="str">
        <v>1 - 1</v>
      </c>
      <c r="X87" s="817" t="str">
        <v/>
      </c>
      <c r="Z87" s="843" t="str">
        <v/>
      </c>
      <c r="AA87" s="815" t="str">
        <v/>
      </c>
      <c r="AB87" s="815" t="str">
        <v/>
      </c>
      <c r="AC87" s="820" t="str">
        <v/>
      </c>
      <c r="AD87" s="822" t="str">
        <f>Language!$E$203</f>
        <v xml:space="preserve"> - </v>
      </c>
      <c r="AE87" s="835" t="str">
        <f t="shared" si="41"/>
        <v/>
      </c>
      <c r="AF87" s="832" t="str">
        <v/>
      </c>
      <c r="AG87" s="816" t="str">
        <v/>
      </c>
      <c r="AH87" s="815" t="str">
        <v/>
      </c>
      <c r="AI87" s="817" t="str">
        <v/>
      </c>
      <c r="AK87" s="843" t="str">
        <v/>
      </c>
      <c r="AL87" s="815" t="str">
        <v/>
      </c>
      <c r="AM87" s="815" t="str">
        <v/>
      </c>
      <c r="AN87" s="820" t="str">
        <v/>
      </c>
      <c r="AO87" s="822" t="str">
        <f>Language!$E$203</f>
        <v xml:space="preserve"> - </v>
      </c>
      <c r="AP87" s="835" t="str">
        <f t="shared" si="42"/>
        <v/>
      </c>
      <c r="AQ87" s="832" t="str">
        <v/>
      </c>
      <c r="AR87" s="816" t="str">
        <v/>
      </c>
      <c r="AS87" s="815" t="str">
        <v/>
      </c>
      <c r="AT87" s="817" t="str">
        <v/>
      </c>
      <c r="AV87" s="855">
        <v>-1</v>
      </c>
      <c r="AW87" s="817">
        <v>46</v>
      </c>
      <c r="AY87" t="b">
        <v>1</v>
      </c>
    </row>
    <row r="88" spans="2:51" x14ac:dyDescent="0.25">
      <c r="B88" s="848" t="str">
        <v/>
      </c>
      <c r="D88" s="843" t="str">
        <v>Portugal</v>
      </c>
      <c r="E88" s="815">
        <v>1</v>
      </c>
      <c r="F88" s="815">
        <f t="shared" si="43"/>
        <v>0</v>
      </c>
      <c r="G88" s="820">
        <v>1</v>
      </c>
      <c r="H88" s="822" t="str">
        <f>Language!$E$203</f>
        <v xml:space="preserve"> - </v>
      </c>
      <c r="I88" s="835">
        <v>1</v>
      </c>
      <c r="J88" s="832" t="str">
        <v/>
      </c>
      <c r="K88" s="815" t="str">
        <v>1 - 1</v>
      </c>
      <c r="L88" s="816" t="str">
        <v/>
      </c>
      <c r="M88" s="817" t="str">
        <v/>
      </c>
      <c r="O88" s="843" t="str">
        <v>Portugal</v>
      </c>
      <c r="P88" s="815">
        <v>1</v>
      </c>
      <c r="Q88" s="815">
        <v>0</v>
      </c>
      <c r="R88" s="820">
        <v>1</v>
      </c>
      <c r="S88" s="822" t="str">
        <f>Language!$E$203</f>
        <v xml:space="preserve"> - </v>
      </c>
      <c r="T88" s="835">
        <f t="shared" si="40"/>
        <v>1</v>
      </c>
      <c r="U88" s="832" t="str">
        <v/>
      </c>
      <c r="V88" s="815" t="str">
        <v>1 - 1</v>
      </c>
      <c r="W88" s="816" t="str">
        <v/>
      </c>
      <c r="X88" s="817" t="str">
        <v/>
      </c>
      <c r="Z88" s="843" t="str">
        <v/>
      </c>
      <c r="AA88" s="815" t="str">
        <v/>
      </c>
      <c r="AB88" s="815" t="str">
        <v/>
      </c>
      <c r="AC88" s="820" t="str">
        <v/>
      </c>
      <c r="AD88" s="822" t="str">
        <f>Language!$E$203</f>
        <v xml:space="preserve"> - </v>
      </c>
      <c r="AE88" s="835" t="str">
        <f t="shared" si="41"/>
        <v/>
      </c>
      <c r="AF88" s="832" t="str">
        <v/>
      </c>
      <c r="AG88" s="815" t="str">
        <v/>
      </c>
      <c r="AH88" s="816" t="str">
        <v/>
      </c>
      <c r="AI88" s="817" t="str">
        <v/>
      </c>
      <c r="AK88" s="843" t="str">
        <v/>
      </c>
      <c r="AL88" s="815" t="str">
        <v/>
      </c>
      <c r="AM88" s="815" t="str">
        <v/>
      </c>
      <c r="AN88" s="820" t="str">
        <v/>
      </c>
      <c r="AO88" s="822" t="str">
        <f>Language!$E$203</f>
        <v xml:space="preserve"> - </v>
      </c>
      <c r="AP88" s="835" t="str">
        <f t="shared" si="42"/>
        <v/>
      </c>
      <c r="AQ88" s="832" t="str">
        <v/>
      </c>
      <c r="AR88" s="815" t="str">
        <v/>
      </c>
      <c r="AS88" s="816" t="str">
        <v/>
      </c>
      <c r="AT88" s="817" t="str">
        <v/>
      </c>
      <c r="AV88" s="855">
        <v>-3</v>
      </c>
      <c r="AW88" s="817">
        <v>5</v>
      </c>
      <c r="AY88" t="b">
        <v>1</v>
      </c>
    </row>
    <row r="89" spans="2:51" ht="15.75" thickBot="1" x14ac:dyDescent="0.3">
      <c r="B89" s="848" t="str">
        <v/>
      </c>
      <c r="D89" s="844" t="str">
        <v>Uzbekistan</v>
      </c>
      <c r="E89" s="818">
        <v>0</v>
      </c>
      <c r="F89" s="818">
        <f t="shared" si="43"/>
        <v>-2</v>
      </c>
      <c r="G89" s="821">
        <v>1</v>
      </c>
      <c r="H89" s="823" t="str">
        <f>Language!$E$203</f>
        <v xml:space="preserve"> - </v>
      </c>
      <c r="I89" s="836">
        <v>3</v>
      </c>
      <c r="J89" s="833" t="str">
        <v>1 - 3</v>
      </c>
      <c r="K89" s="818" t="str">
        <v/>
      </c>
      <c r="L89" s="818" t="str">
        <v/>
      </c>
      <c r="M89" s="819" t="str">
        <v/>
      </c>
      <c r="O89" s="844" t="str">
        <v/>
      </c>
      <c r="P89" s="818" t="str">
        <v/>
      </c>
      <c r="Q89" s="818" t="str">
        <v/>
      </c>
      <c r="R89" s="821" t="str">
        <v/>
      </c>
      <c r="S89" s="823" t="str">
        <f>Language!$E$203</f>
        <v xml:space="preserve"> - </v>
      </c>
      <c r="T89" s="836" t="str">
        <f t="shared" si="40"/>
        <v/>
      </c>
      <c r="U89" s="833" t="str">
        <v/>
      </c>
      <c r="V89" s="818" t="str">
        <v/>
      </c>
      <c r="W89" s="818" t="str">
        <v/>
      </c>
      <c r="X89" s="819" t="str">
        <v/>
      </c>
      <c r="Z89" s="844" t="str">
        <v/>
      </c>
      <c r="AA89" s="818" t="str">
        <v/>
      </c>
      <c r="AB89" s="818" t="str">
        <v/>
      </c>
      <c r="AC89" s="821" t="str">
        <v/>
      </c>
      <c r="AD89" s="823" t="str">
        <f>Language!$E$203</f>
        <v xml:space="preserve"> - </v>
      </c>
      <c r="AE89" s="836" t="str">
        <f t="shared" si="41"/>
        <v/>
      </c>
      <c r="AF89" s="833" t="str">
        <v/>
      </c>
      <c r="AG89" s="818" t="str">
        <v/>
      </c>
      <c r="AH89" s="818" t="str">
        <v/>
      </c>
      <c r="AI89" s="819" t="str">
        <v/>
      </c>
      <c r="AK89" s="844" t="str">
        <v/>
      </c>
      <c r="AL89" s="818" t="str">
        <v/>
      </c>
      <c r="AM89" s="818" t="str">
        <v/>
      </c>
      <c r="AN89" s="821" t="str">
        <v/>
      </c>
      <c r="AO89" s="823" t="str">
        <f>Language!$E$203</f>
        <v xml:space="preserve"> - </v>
      </c>
      <c r="AP89" s="836" t="str">
        <f t="shared" si="42"/>
        <v/>
      </c>
      <c r="AQ89" s="833" t="str">
        <v/>
      </c>
      <c r="AR89" s="818" t="str">
        <v/>
      </c>
      <c r="AS89" s="818" t="str">
        <v/>
      </c>
      <c r="AT89" s="819" t="str">
        <v/>
      </c>
      <c r="AV89" s="856">
        <v>-1</v>
      </c>
      <c r="AW89" s="857">
        <v>50</v>
      </c>
      <c r="AY89" t="b">
        <v>0</v>
      </c>
    </row>
    <row r="90" spans="2:51" ht="15.75" thickTop="1" x14ac:dyDescent="0.25"/>
    <row r="91" spans="2:51" x14ac:dyDescent="0.25"/>
    <row r="92" spans="2:51" ht="15.75" thickBot="1" x14ac:dyDescent="0.3">
      <c r="D92" s="841"/>
      <c r="Z92" s="870" t="str">
        <f>IF(COUNTBLANK(CalcL!$BN$14:$BN$17)&lt;4,Language!$E$136,"")</f>
        <v/>
      </c>
      <c r="AK92" s="870" t="str">
        <f>IF(COUNTBLANK(CalcL!$BZ$14:$BZ$17)&lt;4,Language!$E$136,"")</f>
        <v/>
      </c>
    </row>
    <row r="93" spans="2:51" ht="24.75" thickTop="1" x14ac:dyDescent="0.35">
      <c r="B93" s="845" t="s">
        <v>34</v>
      </c>
      <c r="C93" s="814"/>
      <c r="D93" s="827"/>
      <c r="E93" s="838" t="str">
        <f>Language!$E$131</f>
        <v>Pts.</v>
      </c>
      <c r="F93" s="838" t="str">
        <f>Language!$E$132</f>
        <v>GD</v>
      </c>
      <c r="G93" s="1025" t="str">
        <f>Language!$E$133</f>
        <v>Goals</v>
      </c>
      <c r="H93" s="1026"/>
      <c r="I93" s="1026"/>
      <c r="J93" s="830" t="str">
        <f t="array" ref="J93:M93">LEFT(CalcL!$H$21:$K$21,$D$4)</f>
        <v>England</v>
      </c>
      <c r="K93" s="828" t="str">
        <v>Ghana</v>
      </c>
      <c r="L93" s="828" t="str">
        <v>Panama</v>
      </c>
      <c r="M93" s="829" t="str">
        <v>Croatia</v>
      </c>
      <c r="O93" s="827"/>
      <c r="P93" s="838" t="str">
        <f>Language!$E$131</f>
        <v>Pts.</v>
      </c>
      <c r="Q93" s="838" t="str">
        <f>Language!$E$132</f>
        <v>GD</v>
      </c>
      <c r="R93" s="1025" t="str">
        <f>Language!$E$133</f>
        <v>Goals</v>
      </c>
      <c r="S93" s="1026"/>
      <c r="T93" s="1026"/>
      <c r="U93" s="830" t="str">
        <f t="array" ref="U93:X93">LEFT(CalcL!$BE$13:$BH$13,$D$4)</f>
        <v>England</v>
      </c>
      <c r="V93" s="828" t="str">
        <v>Ghana</v>
      </c>
      <c r="W93" s="828" t="str">
        <v/>
      </c>
      <c r="X93" s="829" t="str">
        <v/>
      </c>
      <c r="Z93" s="827"/>
      <c r="AA93" s="838" t="str">
        <f>Language!$E$131</f>
        <v>Pts.</v>
      </c>
      <c r="AB93" s="838" t="str">
        <f>Language!$E$132</f>
        <v>GD</v>
      </c>
      <c r="AC93" s="1025" t="str">
        <f>Language!$E$133</f>
        <v>Goals</v>
      </c>
      <c r="AD93" s="1026"/>
      <c r="AE93" s="1026"/>
      <c r="AF93" s="830" t="str">
        <f t="array" ref="AF93:AI93">IF(COUNTBLANK(CalcL!$AZ$22:$AZ$25)&lt;4,LEFT(CalcL!$BE$21:$BH$21,$D$4),LEFT(CalcL!$BS$13:$BV$13,$D$4))</f>
        <v/>
      </c>
      <c r="AG93" s="828" t="str">
        <v/>
      </c>
      <c r="AH93" s="828" t="str">
        <v>Panama</v>
      </c>
      <c r="AI93" s="829" t="str">
        <v>Croatia</v>
      </c>
      <c r="AK93" s="827"/>
      <c r="AL93" s="838" t="str">
        <f>Language!$E$131</f>
        <v>Pts.</v>
      </c>
      <c r="AM93" s="838" t="str">
        <f>Language!$E$132</f>
        <v>GD</v>
      </c>
      <c r="AN93" s="1025" t="str">
        <f>Language!$E$133</f>
        <v>Goals</v>
      </c>
      <c r="AO93" s="1026"/>
      <c r="AP93" s="1026"/>
      <c r="AQ93" s="830" t="str">
        <f t="array" ref="AQ93:AT93">LEFT(CalcL!$CE$13:$CH$13,$D$4)</f>
        <v/>
      </c>
      <c r="AR93" s="828" t="str">
        <v/>
      </c>
      <c r="AS93" s="828" t="str">
        <v/>
      </c>
      <c r="AT93" s="829" t="str">
        <v/>
      </c>
      <c r="AV93" s="852" t="str">
        <f>Language!$E$123</f>
        <v>Fair play</v>
      </c>
      <c r="AW93" s="853" t="str">
        <f>Language!$E$186</f>
        <v>FIFA Rank</v>
      </c>
      <c r="AY93" s="898" t="s">
        <v>1673</v>
      </c>
    </row>
    <row r="94" spans="2:51" x14ac:dyDescent="0.25">
      <c r="B94" s="848" t="str">
        <f t="array" ref="B94:B97">IF(CalcL!$M$22:$M$25,"•","")</f>
        <v/>
      </c>
      <c r="D94" s="842" t="str">
        <f t="array" ref="D94:D97">CalcL!$D$22:$D$25</f>
        <v>England</v>
      </c>
      <c r="E94" s="824">
        <f t="array" ref="E94:E97">CalcL!$E$22:$E$25</f>
        <v>3</v>
      </c>
      <c r="F94" s="824">
        <f>G94-I94</f>
        <v>2</v>
      </c>
      <c r="G94" s="825">
        <f t="array" ref="G94:G97">CalcL!$F$22:$F$25</f>
        <v>4</v>
      </c>
      <c r="H94" s="837" t="str">
        <f>Language!$E$203</f>
        <v xml:space="preserve"> - </v>
      </c>
      <c r="I94" s="834">
        <f t="array" ref="I94:I97">CalcL!$G$22:$G$25</f>
        <v>2</v>
      </c>
      <c r="J94" s="831" t="str">
        <f t="array" ref="J94:M97">CalcL!$H$22:$K$25</f>
        <v/>
      </c>
      <c r="K94" s="824" t="str">
        <v/>
      </c>
      <c r="L94" s="824" t="str">
        <v/>
      </c>
      <c r="M94" s="826" t="str">
        <v>4 - 2</v>
      </c>
      <c r="O94" s="842" t="str">
        <f t="array" ref="O94:O97">CalcL!$AZ$14:$AZ$17</f>
        <v>England</v>
      </c>
      <c r="P94" s="824">
        <f t="array" ref="P94:P97">CalcL!$BA$14:$BA$17</f>
        <v>0</v>
      </c>
      <c r="Q94" s="824">
        <f t="array" ref="Q94:Q97">CalcL!$BB$14:$BB$17</f>
        <v>0</v>
      </c>
      <c r="R94" s="825">
        <f t="array" ref="R94:R97">CalcL!$BC$14:$BC$17</f>
        <v>0</v>
      </c>
      <c r="S94" s="837" t="str">
        <f>Language!$E$203</f>
        <v xml:space="preserve"> - </v>
      </c>
      <c r="T94" s="834">
        <f t="shared" ref="T94:T97" si="44">IF(O94="","",R94-Q94)</f>
        <v>0</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Language!$E$203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Language!$E$203</f>
        <v xml:space="preserve"> - </v>
      </c>
      <c r="AP94" s="834" t="str">
        <f t="shared" ref="AP94:AP97" si="46">IF(AK94="","",AN94-AM94)</f>
        <v/>
      </c>
      <c r="AQ94" s="831" t="str">
        <f t="array" ref="AQ94:AT97">CalcL!$CE$14:$CH$17</f>
        <v/>
      </c>
      <c r="AR94" s="824" t="str">
        <v/>
      </c>
      <c r="AS94" s="824" t="str">
        <v/>
      </c>
      <c r="AT94" s="826" t="str">
        <v/>
      </c>
      <c r="AV94" s="854">
        <f t="array" ref="AV94:AV97">VLOOKUP($D94:$D97,CalcL!$D$5:$P$8,13,0)</f>
        <v>0</v>
      </c>
      <c r="AW94" s="826">
        <f t="array" ref="AW94:AW97">VLOOKUP($D94:$D97,CalcL!$D$5:$Q$8,14,0)</f>
        <v>4</v>
      </c>
      <c r="AY94" t="b">
        <f t="array" ref="AY94:AY97">CalcL!$AC$22:$AC$25</f>
        <v>0</v>
      </c>
    </row>
    <row r="95" spans="2:51" x14ac:dyDescent="0.25">
      <c r="B95" s="848" t="str">
        <v/>
      </c>
      <c r="D95" s="843" t="str">
        <v>Ghana</v>
      </c>
      <c r="E95" s="815">
        <v>3</v>
      </c>
      <c r="F95" s="815">
        <f t="shared" ref="F95:F97" si="47">G95-I95</f>
        <v>1</v>
      </c>
      <c r="G95" s="820">
        <v>1</v>
      </c>
      <c r="H95" s="822" t="str">
        <f>Language!$E$203</f>
        <v xml:space="preserve"> - </v>
      </c>
      <c r="I95" s="835">
        <v>0</v>
      </c>
      <c r="J95" s="832" t="str">
        <v/>
      </c>
      <c r="K95" s="816" t="str">
        <v/>
      </c>
      <c r="L95" s="815" t="str">
        <v>1 - 0</v>
      </c>
      <c r="M95" s="817" t="str">
        <v/>
      </c>
      <c r="O95" s="843" t="str">
        <v>Ghana</v>
      </c>
      <c r="P95" s="815">
        <v>0</v>
      </c>
      <c r="Q95" s="815">
        <v>0</v>
      </c>
      <c r="R95" s="820">
        <v>0</v>
      </c>
      <c r="S95" s="822" t="str">
        <f>Language!$E$203</f>
        <v xml:space="preserve"> - </v>
      </c>
      <c r="T95" s="835">
        <f t="shared" si="44"/>
        <v>0</v>
      </c>
      <c r="U95" s="832" t="str">
        <v/>
      </c>
      <c r="V95" s="816" t="str">
        <v/>
      </c>
      <c r="W95" s="815" t="str">
        <v/>
      </c>
      <c r="X95" s="817" t="str">
        <v/>
      </c>
      <c r="Z95" s="843" t="str">
        <v/>
      </c>
      <c r="AA95" s="815" t="str">
        <v/>
      </c>
      <c r="AB95" s="815" t="str">
        <v/>
      </c>
      <c r="AC95" s="820" t="str">
        <v/>
      </c>
      <c r="AD95" s="822" t="str">
        <f>Language!$E$203</f>
        <v xml:space="preserve"> - </v>
      </c>
      <c r="AE95" s="835" t="str">
        <f t="shared" si="45"/>
        <v/>
      </c>
      <c r="AF95" s="832" t="str">
        <v/>
      </c>
      <c r="AG95" s="816" t="str">
        <v/>
      </c>
      <c r="AH95" s="815" t="str">
        <v/>
      </c>
      <c r="AI95" s="817" t="str">
        <v/>
      </c>
      <c r="AK95" s="843" t="str">
        <v/>
      </c>
      <c r="AL95" s="815" t="str">
        <v/>
      </c>
      <c r="AM95" s="815" t="str">
        <v/>
      </c>
      <c r="AN95" s="820" t="str">
        <v/>
      </c>
      <c r="AO95" s="822" t="str">
        <f>Language!$E$203</f>
        <v xml:space="preserve"> - </v>
      </c>
      <c r="AP95" s="835" t="str">
        <f t="shared" si="46"/>
        <v/>
      </c>
      <c r="AQ95" s="832" t="str">
        <v/>
      </c>
      <c r="AR95" s="816" t="str">
        <v/>
      </c>
      <c r="AS95" s="815" t="str">
        <v/>
      </c>
      <c r="AT95" s="817" t="str">
        <v/>
      </c>
      <c r="AV95" s="855">
        <v>-1</v>
      </c>
      <c r="AW95" s="817">
        <v>73</v>
      </c>
      <c r="AY95" t="b">
        <v>0</v>
      </c>
    </row>
    <row r="96" spans="2:51" x14ac:dyDescent="0.25">
      <c r="B96" s="848" t="str">
        <v/>
      </c>
      <c r="D96" s="843" t="str">
        <v>Panama</v>
      </c>
      <c r="E96" s="815">
        <v>0</v>
      </c>
      <c r="F96" s="815">
        <f t="shared" si="47"/>
        <v>-1</v>
      </c>
      <c r="G96" s="820">
        <v>0</v>
      </c>
      <c r="H96" s="822" t="str">
        <f>Language!$E$203</f>
        <v xml:space="preserve"> - </v>
      </c>
      <c r="I96" s="835">
        <v>1</v>
      </c>
      <c r="J96" s="832" t="str">
        <v/>
      </c>
      <c r="K96" s="815" t="str">
        <v>0 - 1</v>
      </c>
      <c r="L96" s="816" t="str">
        <v/>
      </c>
      <c r="M96" s="817" t="str">
        <v/>
      </c>
      <c r="O96" s="843" t="str">
        <v/>
      </c>
      <c r="P96" s="815" t="str">
        <v/>
      </c>
      <c r="Q96" s="815" t="str">
        <v/>
      </c>
      <c r="R96" s="820" t="str">
        <v/>
      </c>
      <c r="S96" s="822" t="str">
        <f>Language!$E$203</f>
        <v xml:space="preserve"> - </v>
      </c>
      <c r="T96" s="835" t="str">
        <f t="shared" si="44"/>
        <v/>
      </c>
      <c r="U96" s="832" t="str">
        <v/>
      </c>
      <c r="V96" s="815" t="str">
        <v/>
      </c>
      <c r="W96" s="816" t="str">
        <v/>
      </c>
      <c r="X96" s="817" t="str">
        <v/>
      </c>
      <c r="Z96" s="843" t="str">
        <v>Panama</v>
      </c>
      <c r="AA96" s="815">
        <v>0</v>
      </c>
      <c r="AB96" s="815">
        <v>0</v>
      </c>
      <c r="AC96" s="820">
        <v>0</v>
      </c>
      <c r="AD96" s="822" t="str">
        <f>Language!$E$203</f>
        <v xml:space="preserve"> - </v>
      </c>
      <c r="AE96" s="835">
        <f t="shared" si="45"/>
        <v>0</v>
      </c>
      <c r="AF96" s="832" t="str">
        <v/>
      </c>
      <c r="AG96" s="815" t="str">
        <v/>
      </c>
      <c r="AH96" s="816" t="str">
        <v/>
      </c>
      <c r="AI96" s="817" t="str">
        <v/>
      </c>
      <c r="AK96" s="843" t="str">
        <v/>
      </c>
      <c r="AL96" s="815" t="str">
        <v/>
      </c>
      <c r="AM96" s="815" t="str">
        <v/>
      </c>
      <c r="AN96" s="820" t="str">
        <v/>
      </c>
      <c r="AO96" s="822" t="str">
        <f>Language!$E$203</f>
        <v xml:space="preserve"> - </v>
      </c>
      <c r="AP96" s="835" t="str">
        <f t="shared" si="46"/>
        <v/>
      </c>
      <c r="AQ96" s="832" t="str">
        <v/>
      </c>
      <c r="AR96" s="815" t="str">
        <v/>
      </c>
      <c r="AS96" s="816" t="str">
        <v/>
      </c>
      <c r="AT96" s="817" t="str">
        <v/>
      </c>
      <c r="AV96" s="855">
        <v>-2</v>
      </c>
      <c r="AW96" s="817">
        <v>34</v>
      </c>
      <c r="AY96" t="b">
        <v>0</v>
      </c>
    </row>
    <row r="97" spans="2:51" ht="15.75" thickBot="1" x14ac:dyDescent="0.3">
      <c r="B97" s="848" t="str">
        <v/>
      </c>
      <c r="D97" s="844" t="str">
        <v>Croatia</v>
      </c>
      <c r="E97" s="818">
        <v>0</v>
      </c>
      <c r="F97" s="818">
        <f t="shared" si="47"/>
        <v>-2</v>
      </c>
      <c r="G97" s="821">
        <v>2</v>
      </c>
      <c r="H97" s="823" t="str">
        <f>Language!$E$203</f>
        <v xml:space="preserve"> - </v>
      </c>
      <c r="I97" s="836">
        <v>4</v>
      </c>
      <c r="J97" s="833" t="str">
        <v>2 - 4</v>
      </c>
      <c r="K97" s="818" t="str">
        <v/>
      </c>
      <c r="L97" s="818" t="str">
        <v/>
      </c>
      <c r="M97" s="819" t="str">
        <v/>
      </c>
      <c r="O97" s="844" t="str">
        <v/>
      </c>
      <c r="P97" s="818" t="str">
        <v/>
      </c>
      <c r="Q97" s="818" t="str">
        <v/>
      </c>
      <c r="R97" s="821" t="str">
        <v/>
      </c>
      <c r="S97" s="823" t="str">
        <f>Language!$E$203</f>
        <v xml:space="preserve"> - </v>
      </c>
      <c r="T97" s="836" t="str">
        <f t="shared" si="44"/>
        <v/>
      </c>
      <c r="U97" s="833" t="str">
        <v/>
      </c>
      <c r="V97" s="818" t="str">
        <v/>
      </c>
      <c r="W97" s="818" t="str">
        <v/>
      </c>
      <c r="X97" s="819" t="str">
        <v/>
      </c>
      <c r="Z97" s="844" t="str">
        <v>Croatia</v>
      </c>
      <c r="AA97" s="818">
        <v>0</v>
      </c>
      <c r="AB97" s="818">
        <v>0</v>
      </c>
      <c r="AC97" s="821">
        <v>0</v>
      </c>
      <c r="AD97" s="823" t="str">
        <f>Language!$E$203</f>
        <v xml:space="preserve"> - </v>
      </c>
      <c r="AE97" s="836">
        <f t="shared" si="45"/>
        <v>0</v>
      </c>
      <c r="AF97" s="833" t="str">
        <v/>
      </c>
      <c r="AG97" s="818" t="str">
        <v/>
      </c>
      <c r="AH97" s="818" t="str">
        <v/>
      </c>
      <c r="AI97" s="819" t="str">
        <v/>
      </c>
      <c r="AK97" s="844" t="str">
        <v/>
      </c>
      <c r="AL97" s="818" t="str">
        <v/>
      </c>
      <c r="AM97" s="818" t="str">
        <v/>
      </c>
      <c r="AN97" s="821" t="str">
        <v/>
      </c>
      <c r="AO97" s="823" t="str">
        <f>Language!$E$203</f>
        <v xml:space="preserve"> - </v>
      </c>
      <c r="AP97" s="836" t="str">
        <f t="shared" si="46"/>
        <v/>
      </c>
      <c r="AQ97" s="833" t="str">
        <v/>
      </c>
      <c r="AR97" s="818" t="str">
        <v/>
      </c>
      <c r="AS97" s="818" t="str">
        <v/>
      </c>
      <c r="AT97" s="819" t="str">
        <v/>
      </c>
      <c r="AV97" s="856">
        <v>0</v>
      </c>
      <c r="AW97" s="857">
        <v>11</v>
      </c>
      <c r="AY97" t="b">
        <v>0</v>
      </c>
    </row>
    <row r="98" spans="2:51" ht="15.75" thickTop="1" x14ac:dyDescent="0.25"/>
    <row r="99" spans="2:51" x14ac:dyDescent="0.25">
      <c r="C99" s="847" t="s">
        <v>1728</v>
      </c>
      <c r="D99" s="1027" t="str">
        <f>Language!$E$205</f>
        <v>A red dot means that the fair play rating or the FIFA world ranking will determine this team's placement</v>
      </c>
      <c r="E99" s="1027"/>
      <c r="F99" s="1027"/>
      <c r="G99" s="1027"/>
      <c r="H99" s="1027"/>
      <c r="I99" s="1027"/>
      <c r="J99" s="1027"/>
      <c r="K99" s="1027"/>
      <c r="L99" s="1027"/>
      <c r="M99" s="1027"/>
    </row>
    <row r="100" spans="2:51" x14ac:dyDescent="0.25">
      <c r="D100" s="1027"/>
      <c r="E100" s="1027"/>
      <c r="F100" s="1027"/>
      <c r="G100" s="1027"/>
      <c r="H100" s="1027"/>
      <c r="I100" s="1027"/>
      <c r="J100" s="1027"/>
      <c r="K100" s="1027"/>
      <c r="L100" s="1027"/>
      <c r="M100" s="1027"/>
    </row>
    <row r="101" spans="2:51" ht="15" customHeight="1" x14ac:dyDescent="0.25">
      <c r="D101" s="1027"/>
      <c r="E101" s="1027"/>
      <c r="F101" s="1027"/>
      <c r="G101" s="1027"/>
      <c r="H101" s="1027"/>
      <c r="I101" s="1027"/>
      <c r="J101" s="1027"/>
      <c r="K101" s="1027"/>
      <c r="L101" s="1027"/>
      <c r="M101" s="1027"/>
    </row>
    <row r="102" spans="2:51"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60" priority="2">
      <formula>NOT($AY6)</formula>
    </cfRule>
  </conditionalFormatting>
  <conditionalFormatting sqref="AW6:AW97">
    <cfRule type="expression" dxfId="1159"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37" t="str">
        <f>Language!$E$210</f>
        <v>Predictions</v>
      </c>
      <c r="C1" s="1037"/>
      <c r="D1" s="1037"/>
      <c r="E1" s="1037"/>
      <c r="F1" s="1037"/>
      <c r="G1" s="1037"/>
    </row>
    <row r="2" spans="1:345" ht="18.75" customHeight="1" x14ac:dyDescent="0.45">
      <c r="A2" s="223"/>
      <c r="B2" s="223"/>
      <c r="C2" s="224"/>
      <c r="D2" s="224"/>
      <c r="E2" s="224"/>
      <c r="I2" s="1045">
        <f>O132</f>
        <v>0</v>
      </c>
      <c r="J2" s="1045"/>
      <c r="K2" s="1045"/>
      <c r="L2" s="1045"/>
      <c r="M2" s="1045"/>
      <c r="N2" s="1045"/>
      <c r="O2" s="1045"/>
      <c r="P2" s="1045"/>
      <c r="Q2" s="1045"/>
      <c r="R2" s="1045"/>
      <c r="S2" s="1045"/>
      <c r="T2" s="1045"/>
      <c r="V2" s="1045">
        <f>AB132</f>
        <v>0</v>
      </c>
      <c r="W2" s="1045"/>
      <c r="X2" s="1045"/>
      <c r="Y2" s="1045"/>
      <c r="Z2" s="1045"/>
      <c r="AA2" s="1045"/>
      <c r="AB2" s="1045"/>
      <c r="AC2" s="1045"/>
      <c r="AD2" s="1045"/>
      <c r="AE2" s="1045"/>
      <c r="AF2" s="1045"/>
      <c r="AG2" s="1045"/>
      <c r="AI2" s="1045">
        <f>AO132</f>
        <v>0</v>
      </c>
      <c r="AJ2" s="1045"/>
      <c r="AK2" s="1045"/>
      <c r="AL2" s="1045"/>
      <c r="AM2" s="1045"/>
      <c r="AN2" s="1045"/>
      <c r="AO2" s="1045"/>
      <c r="AP2" s="1045"/>
      <c r="AQ2" s="1045"/>
      <c r="AR2" s="1045"/>
      <c r="AS2" s="1045"/>
      <c r="AT2" s="1045"/>
      <c r="AV2" s="1045">
        <f>BB132</f>
        <v>0</v>
      </c>
      <c r="AW2" s="1045"/>
      <c r="AX2" s="1045"/>
      <c r="AY2" s="1045"/>
      <c r="AZ2" s="1045"/>
      <c r="BA2" s="1045"/>
      <c r="BB2" s="1045"/>
      <c r="BC2" s="1045"/>
      <c r="BD2" s="1045"/>
      <c r="BE2" s="1045"/>
      <c r="BF2" s="1045"/>
      <c r="BG2" s="1045"/>
      <c r="BI2" s="1045">
        <f>BO132</f>
        <v>0</v>
      </c>
      <c r="BJ2" s="1045"/>
      <c r="BK2" s="1045"/>
      <c r="BL2" s="1045"/>
      <c r="BM2" s="1045"/>
      <c r="BN2" s="1045"/>
      <c r="BO2" s="1045"/>
      <c r="BP2" s="1045"/>
      <c r="BQ2" s="1045"/>
      <c r="BR2" s="1045"/>
      <c r="BS2" s="1045"/>
      <c r="BT2" s="1045"/>
      <c r="BV2" s="1045">
        <f>CB132</f>
        <v>0</v>
      </c>
      <c r="BW2" s="1045"/>
      <c r="BX2" s="1045"/>
      <c r="BY2" s="1045"/>
      <c r="BZ2" s="1045"/>
      <c r="CA2" s="1045"/>
      <c r="CB2" s="1045"/>
      <c r="CC2" s="1045"/>
      <c r="CD2" s="1045"/>
      <c r="CE2" s="1045"/>
      <c r="CF2" s="1045"/>
      <c r="CG2" s="1045"/>
      <c r="CI2" s="1045">
        <f>CO132</f>
        <v>0</v>
      </c>
      <c r="CJ2" s="1045"/>
      <c r="CK2" s="1045"/>
      <c r="CL2" s="1045"/>
      <c r="CM2" s="1045"/>
      <c r="CN2" s="1045"/>
      <c r="CO2" s="1045"/>
      <c r="CP2" s="1045"/>
      <c r="CQ2" s="1045"/>
      <c r="CR2" s="1045"/>
      <c r="CS2" s="1045"/>
      <c r="CT2" s="1045"/>
      <c r="CV2" s="1045">
        <f>DB132</f>
        <v>0</v>
      </c>
      <c r="CW2" s="1045"/>
      <c r="CX2" s="1045"/>
      <c r="CY2" s="1045"/>
      <c r="CZ2" s="1045"/>
      <c r="DA2" s="1045"/>
      <c r="DB2" s="1045"/>
      <c r="DC2" s="1045"/>
      <c r="DD2" s="1045"/>
      <c r="DE2" s="1045"/>
      <c r="DF2" s="1045"/>
      <c r="DG2" s="1045"/>
      <c r="DI2" s="1045">
        <f>DO132</f>
        <v>0</v>
      </c>
      <c r="DJ2" s="1045"/>
      <c r="DK2" s="1045"/>
      <c r="DL2" s="1045"/>
      <c r="DM2" s="1045"/>
      <c r="DN2" s="1045"/>
      <c r="DO2" s="1045"/>
      <c r="DP2" s="1045"/>
      <c r="DQ2" s="1045"/>
      <c r="DR2" s="1045"/>
      <c r="DS2" s="1045"/>
      <c r="DT2" s="1045"/>
      <c r="DV2" s="1045">
        <f>EB132</f>
        <v>0</v>
      </c>
      <c r="DW2" s="1045"/>
      <c r="DX2" s="1045"/>
      <c r="DY2" s="1045"/>
      <c r="DZ2" s="1045"/>
      <c r="EA2" s="1045"/>
      <c r="EB2" s="1045"/>
      <c r="EC2" s="1045"/>
      <c r="ED2" s="1045"/>
      <c r="EE2" s="1045"/>
      <c r="EF2" s="1045"/>
      <c r="EG2" s="1045"/>
      <c r="EI2" s="1045">
        <f>EO132</f>
        <v>0</v>
      </c>
      <c r="EJ2" s="1045"/>
      <c r="EK2" s="1045"/>
      <c r="EL2" s="1045"/>
      <c r="EM2" s="1045"/>
      <c r="EN2" s="1045"/>
      <c r="EO2" s="1045"/>
      <c r="EP2" s="1045"/>
      <c r="EQ2" s="1045"/>
      <c r="ER2" s="1045"/>
      <c r="ES2" s="1045"/>
      <c r="ET2" s="1045"/>
      <c r="EV2" s="1045">
        <f>FB132</f>
        <v>0</v>
      </c>
      <c r="EW2" s="1045"/>
      <c r="EX2" s="1045"/>
      <c r="EY2" s="1045"/>
      <c r="EZ2" s="1045"/>
      <c r="FA2" s="1045"/>
      <c r="FB2" s="1045"/>
      <c r="FC2" s="1045"/>
      <c r="FD2" s="1045"/>
      <c r="FE2" s="1045"/>
      <c r="FF2" s="1045"/>
      <c r="FG2" s="1045"/>
      <c r="FI2" s="1045">
        <f>FO132</f>
        <v>0</v>
      </c>
      <c r="FJ2" s="1045"/>
      <c r="FK2" s="1045"/>
      <c r="FL2" s="1045"/>
      <c r="FM2" s="1045"/>
      <c r="FN2" s="1045"/>
      <c r="FO2" s="1045"/>
      <c r="FP2" s="1045"/>
      <c r="FQ2" s="1045"/>
      <c r="FR2" s="1045"/>
      <c r="FS2" s="1045"/>
      <c r="FT2" s="1045"/>
      <c r="FV2" s="1045">
        <f>GB132</f>
        <v>0</v>
      </c>
      <c r="FW2" s="1045"/>
      <c r="FX2" s="1045"/>
      <c r="FY2" s="1045"/>
      <c r="FZ2" s="1045"/>
      <c r="GA2" s="1045"/>
      <c r="GB2" s="1045"/>
      <c r="GC2" s="1045"/>
      <c r="GD2" s="1045"/>
      <c r="GE2" s="1045"/>
      <c r="GF2" s="1045"/>
      <c r="GG2" s="1045"/>
      <c r="GI2" s="1045">
        <f>GO132</f>
        <v>0</v>
      </c>
      <c r="GJ2" s="1045"/>
      <c r="GK2" s="1045"/>
      <c r="GL2" s="1045"/>
      <c r="GM2" s="1045"/>
      <c r="GN2" s="1045"/>
      <c r="GO2" s="1045"/>
      <c r="GP2" s="1045"/>
      <c r="GQ2" s="1045"/>
      <c r="GR2" s="1045"/>
      <c r="GS2" s="1045"/>
      <c r="GT2" s="1045"/>
      <c r="GV2" s="1045">
        <f>HB132</f>
        <v>0</v>
      </c>
      <c r="GW2" s="1045"/>
      <c r="GX2" s="1045"/>
      <c r="GY2" s="1045"/>
      <c r="GZ2" s="1045"/>
      <c r="HA2" s="1045"/>
      <c r="HB2" s="1045"/>
      <c r="HC2" s="1045"/>
      <c r="HD2" s="1045"/>
      <c r="HE2" s="1045"/>
      <c r="HF2" s="1045"/>
      <c r="HG2" s="1045"/>
      <c r="HI2" s="1045">
        <f>HO132</f>
        <v>0</v>
      </c>
      <c r="HJ2" s="1045"/>
      <c r="HK2" s="1045"/>
      <c r="HL2" s="1045"/>
      <c r="HM2" s="1045"/>
      <c r="HN2" s="1045"/>
      <c r="HO2" s="1045"/>
      <c r="HP2" s="1045"/>
      <c r="HQ2" s="1045"/>
      <c r="HR2" s="1045"/>
      <c r="HS2" s="1045"/>
      <c r="HT2" s="1045"/>
      <c r="HV2" s="1045">
        <f>IB132</f>
        <v>0</v>
      </c>
      <c r="HW2" s="1045"/>
      <c r="HX2" s="1045"/>
      <c r="HY2" s="1045"/>
      <c r="HZ2" s="1045"/>
      <c r="IA2" s="1045"/>
      <c r="IB2" s="1045"/>
      <c r="IC2" s="1045"/>
      <c r="ID2" s="1045"/>
      <c r="IE2" s="1045"/>
      <c r="IF2" s="1045"/>
      <c r="IG2" s="1045"/>
      <c r="II2" s="1045">
        <f>IO132</f>
        <v>0</v>
      </c>
      <c r="IJ2" s="1045"/>
      <c r="IK2" s="1045"/>
      <c r="IL2" s="1045"/>
      <c r="IM2" s="1045"/>
      <c r="IN2" s="1045"/>
      <c r="IO2" s="1045"/>
      <c r="IP2" s="1045"/>
      <c r="IQ2" s="1045"/>
      <c r="IR2" s="1045"/>
      <c r="IS2" s="1045"/>
      <c r="IT2" s="1045"/>
      <c r="IV2" s="1045">
        <f>JB132</f>
        <v>0</v>
      </c>
      <c r="IW2" s="1045"/>
      <c r="IX2" s="1045"/>
      <c r="IY2" s="1045"/>
      <c r="IZ2" s="1045"/>
      <c r="JA2" s="1045"/>
      <c r="JB2" s="1045"/>
      <c r="JC2" s="1045"/>
      <c r="JD2" s="1045"/>
      <c r="JE2" s="1045"/>
      <c r="JF2" s="1045"/>
      <c r="JG2" s="1045"/>
      <c r="JI2" s="1045">
        <f>JO132</f>
        <v>0</v>
      </c>
      <c r="JJ2" s="1045"/>
      <c r="JK2" s="1045"/>
      <c r="JL2" s="1045"/>
      <c r="JM2" s="1045"/>
      <c r="JN2" s="1045"/>
      <c r="JO2" s="1045"/>
      <c r="JP2" s="1045"/>
      <c r="JQ2" s="1045"/>
      <c r="JR2" s="1045"/>
      <c r="JS2" s="1045"/>
      <c r="JT2" s="1045"/>
      <c r="JV2" s="1045">
        <f>KB132</f>
        <v>0</v>
      </c>
      <c r="JW2" s="1045"/>
      <c r="JX2" s="1045"/>
      <c r="JY2" s="1045"/>
      <c r="JZ2" s="1045"/>
      <c r="KA2" s="1045"/>
      <c r="KB2" s="1045"/>
      <c r="KC2" s="1045"/>
      <c r="KD2" s="1045"/>
      <c r="KE2" s="1045"/>
      <c r="KF2" s="1045"/>
      <c r="KG2" s="1045"/>
      <c r="KI2" s="1045">
        <f>KO132</f>
        <v>0</v>
      </c>
      <c r="KJ2" s="1045"/>
      <c r="KK2" s="1045"/>
      <c r="KL2" s="1045"/>
      <c r="KM2" s="1045"/>
      <c r="KN2" s="1045"/>
      <c r="KO2" s="1045"/>
      <c r="KP2" s="1045"/>
      <c r="KQ2" s="1045"/>
      <c r="KR2" s="1045"/>
      <c r="KS2" s="1045"/>
      <c r="KT2" s="1045"/>
      <c r="KV2" s="1045">
        <f>LB132</f>
        <v>0</v>
      </c>
      <c r="KW2" s="1045"/>
      <c r="KX2" s="1045"/>
      <c r="KY2" s="1045"/>
      <c r="KZ2" s="1045"/>
      <c r="LA2" s="1045"/>
      <c r="LB2" s="1045"/>
      <c r="LC2" s="1045"/>
      <c r="LD2" s="1045"/>
      <c r="LE2" s="1045"/>
      <c r="LF2" s="1045"/>
      <c r="LG2" s="1045"/>
      <c r="LI2" s="1045">
        <f>LO132</f>
        <v>0</v>
      </c>
      <c r="LJ2" s="1045"/>
      <c r="LK2" s="1045"/>
      <c r="LL2" s="1045"/>
      <c r="LM2" s="1045"/>
      <c r="LN2" s="1045"/>
      <c r="LO2" s="1045"/>
      <c r="LP2" s="1045"/>
      <c r="LQ2" s="1045"/>
      <c r="LR2" s="1045"/>
      <c r="LS2" s="1045"/>
      <c r="LT2" s="1045"/>
      <c r="LV2" s="1045">
        <f>MB132</f>
        <v>0</v>
      </c>
      <c r="LW2" s="1045"/>
      <c r="LX2" s="1045"/>
      <c r="LY2" s="1045"/>
      <c r="LZ2" s="1045"/>
      <c r="MA2" s="1045"/>
      <c r="MB2" s="1045"/>
      <c r="MC2" s="1045"/>
      <c r="MD2" s="1045"/>
      <c r="ME2" s="1045"/>
      <c r="MF2" s="1045"/>
      <c r="MG2" s="1045"/>
    </row>
    <row r="3" spans="1:345" ht="24.75" customHeight="1" thickBot="1" x14ac:dyDescent="0.3">
      <c r="A3" s="223"/>
      <c r="B3" s="1039" t="str">
        <f>Language!$E$211</f>
        <v>Correct Results</v>
      </c>
      <c r="C3" s="1040"/>
      <c r="D3" s="1040"/>
      <c r="E3" s="1040"/>
      <c r="F3" s="1040"/>
      <c r="G3" s="1041"/>
      <c r="I3" s="1046" t="s">
        <v>553</v>
      </c>
      <c r="J3" s="1047"/>
      <c r="K3" s="1047"/>
      <c r="L3" s="1047"/>
      <c r="M3" s="1047"/>
      <c r="N3" s="1047"/>
      <c r="O3" s="1047"/>
      <c r="P3" s="1047"/>
      <c r="Q3" s="1047"/>
      <c r="R3" s="1047"/>
      <c r="S3" s="1047"/>
      <c r="T3" s="1048"/>
      <c r="V3" s="1046" t="s">
        <v>1562</v>
      </c>
      <c r="W3" s="1047"/>
      <c r="X3" s="1047"/>
      <c r="Y3" s="1047"/>
      <c r="Z3" s="1047"/>
      <c r="AA3" s="1047"/>
      <c r="AB3" s="1047"/>
      <c r="AC3" s="1047"/>
      <c r="AD3" s="1047"/>
      <c r="AE3" s="1047"/>
      <c r="AF3" s="1047"/>
      <c r="AG3" s="1048"/>
      <c r="AI3" s="1046"/>
      <c r="AJ3" s="1047"/>
      <c r="AK3" s="1047"/>
      <c r="AL3" s="1047"/>
      <c r="AM3" s="1047"/>
      <c r="AN3" s="1047"/>
      <c r="AO3" s="1047"/>
      <c r="AP3" s="1047"/>
      <c r="AQ3" s="1047"/>
      <c r="AR3" s="1047"/>
      <c r="AS3" s="1047"/>
      <c r="AT3" s="1048"/>
      <c r="AV3" s="1046"/>
      <c r="AW3" s="1047"/>
      <c r="AX3" s="1047"/>
      <c r="AY3" s="1047"/>
      <c r="AZ3" s="1047"/>
      <c r="BA3" s="1047"/>
      <c r="BB3" s="1047"/>
      <c r="BC3" s="1047"/>
      <c r="BD3" s="1047"/>
      <c r="BE3" s="1047"/>
      <c r="BF3" s="1047"/>
      <c r="BG3" s="1048"/>
      <c r="BI3" s="1046"/>
      <c r="BJ3" s="1047"/>
      <c r="BK3" s="1047"/>
      <c r="BL3" s="1047"/>
      <c r="BM3" s="1047"/>
      <c r="BN3" s="1047"/>
      <c r="BO3" s="1047"/>
      <c r="BP3" s="1047"/>
      <c r="BQ3" s="1047"/>
      <c r="BR3" s="1047"/>
      <c r="BS3" s="1047"/>
      <c r="BT3" s="1048"/>
      <c r="BV3" s="1046"/>
      <c r="BW3" s="1047"/>
      <c r="BX3" s="1047"/>
      <c r="BY3" s="1047"/>
      <c r="BZ3" s="1047"/>
      <c r="CA3" s="1047"/>
      <c r="CB3" s="1047"/>
      <c r="CC3" s="1047"/>
      <c r="CD3" s="1047"/>
      <c r="CE3" s="1047"/>
      <c r="CF3" s="1047"/>
      <c r="CG3" s="1048"/>
      <c r="CI3" s="1046"/>
      <c r="CJ3" s="1047"/>
      <c r="CK3" s="1047"/>
      <c r="CL3" s="1047"/>
      <c r="CM3" s="1047"/>
      <c r="CN3" s="1047"/>
      <c r="CO3" s="1047"/>
      <c r="CP3" s="1047"/>
      <c r="CQ3" s="1047"/>
      <c r="CR3" s="1047"/>
      <c r="CS3" s="1047"/>
      <c r="CT3" s="1048"/>
      <c r="CV3" s="1046"/>
      <c r="CW3" s="1047"/>
      <c r="CX3" s="1047"/>
      <c r="CY3" s="1047"/>
      <c r="CZ3" s="1047"/>
      <c r="DA3" s="1047"/>
      <c r="DB3" s="1047"/>
      <c r="DC3" s="1047"/>
      <c r="DD3" s="1047"/>
      <c r="DE3" s="1047"/>
      <c r="DF3" s="1047"/>
      <c r="DG3" s="1048"/>
      <c r="DI3" s="1046"/>
      <c r="DJ3" s="1047"/>
      <c r="DK3" s="1047"/>
      <c r="DL3" s="1047"/>
      <c r="DM3" s="1047"/>
      <c r="DN3" s="1047"/>
      <c r="DO3" s="1047"/>
      <c r="DP3" s="1047"/>
      <c r="DQ3" s="1047"/>
      <c r="DR3" s="1047"/>
      <c r="DS3" s="1047"/>
      <c r="DT3" s="1048"/>
      <c r="DV3" s="1046"/>
      <c r="DW3" s="1047"/>
      <c r="DX3" s="1047"/>
      <c r="DY3" s="1047"/>
      <c r="DZ3" s="1047"/>
      <c r="EA3" s="1047"/>
      <c r="EB3" s="1047"/>
      <c r="EC3" s="1047"/>
      <c r="ED3" s="1047"/>
      <c r="EE3" s="1047"/>
      <c r="EF3" s="1047"/>
      <c r="EG3" s="1048"/>
      <c r="EI3" s="1046"/>
      <c r="EJ3" s="1047"/>
      <c r="EK3" s="1047"/>
      <c r="EL3" s="1047"/>
      <c r="EM3" s="1047"/>
      <c r="EN3" s="1047"/>
      <c r="EO3" s="1047"/>
      <c r="EP3" s="1047"/>
      <c r="EQ3" s="1047"/>
      <c r="ER3" s="1047"/>
      <c r="ES3" s="1047"/>
      <c r="ET3" s="1048"/>
      <c r="EV3" s="1046"/>
      <c r="EW3" s="1047"/>
      <c r="EX3" s="1047"/>
      <c r="EY3" s="1047"/>
      <c r="EZ3" s="1047"/>
      <c r="FA3" s="1047"/>
      <c r="FB3" s="1047"/>
      <c r="FC3" s="1047"/>
      <c r="FD3" s="1047"/>
      <c r="FE3" s="1047"/>
      <c r="FF3" s="1047"/>
      <c r="FG3" s="1048"/>
      <c r="FI3" s="1046"/>
      <c r="FJ3" s="1047"/>
      <c r="FK3" s="1047"/>
      <c r="FL3" s="1047"/>
      <c r="FM3" s="1047"/>
      <c r="FN3" s="1047"/>
      <c r="FO3" s="1047"/>
      <c r="FP3" s="1047"/>
      <c r="FQ3" s="1047"/>
      <c r="FR3" s="1047"/>
      <c r="FS3" s="1047"/>
      <c r="FT3" s="1048"/>
      <c r="FV3" s="1046"/>
      <c r="FW3" s="1047"/>
      <c r="FX3" s="1047"/>
      <c r="FY3" s="1047"/>
      <c r="FZ3" s="1047"/>
      <c r="GA3" s="1047"/>
      <c r="GB3" s="1047"/>
      <c r="GC3" s="1047"/>
      <c r="GD3" s="1047"/>
      <c r="GE3" s="1047"/>
      <c r="GF3" s="1047"/>
      <c r="GG3" s="1048"/>
      <c r="GI3" s="1046"/>
      <c r="GJ3" s="1047"/>
      <c r="GK3" s="1047"/>
      <c r="GL3" s="1047"/>
      <c r="GM3" s="1047"/>
      <c r="GN3" s="1047"/>
      <c r="GO3" s="1047"/>
      <c r="GP3" s="1047"/>
      <c r="GQ3" s="1047"/>
      <c r="GR3" s="1047"/>
      <c r="GS3" s="1047"/>
      <c r="GT3" s="1048"/>
      <c r="GV3" s="1046"/>
      <c r="GW3" s="1047"/>
      <c r="GX3" s="1047"/>
      <c r="GY3" s="1047"/>
      <c r="GZ3" s="1047"/>
      <c r="HA3" s="1047"/>
      <c r="HB3" s="1047"/>
      <c r="HC3" s="1047"/>
      <c r="HD3" s="1047"/>
      <c r="HE3" s="1047"/>
      <c r="HF3" s="1047"/>
      <c r="HG3" s="1048"/>
      <c r="HI3" s="1046"/>
      <c r="HJ3" s="1047"/>
      <c r="HK3" s="1047"/>
      <c r="HL3" s="1047"/>
      <c r="HM3" s="1047"/>
      <c r="HN3" s="1047"/>
      <c r="HO3" s="1047"/>
      <c r="HP3" s="1047"/>
      <c r="HQ3" s="1047"/>
      <c r="HR3" s="1047"/>
      <c r="HS3" s="1047"/>
      <c r="HT3" s="1048"/>
      <c r="HV3" s="1046"/>
      <c r="HW3" s="1047"/>
      <c r="HX3" s="1047"/>
      <c r="HY3" s="1047"/>
      <c r="HZ3" s="1047"/>
      <c r="IA3" s="1047"/>
      <c r="IB3" s="1047"/>
      <c r="IC3" s="1047"/>
      <c r="ID3" s="1047"/>
      <c r="IE3" s="1047"/>
      <c r="IF3" s="1047"/>
      <c r="IG3" s="1048"/>
      <c r="II3" s="1046"/>
      <c r="IJ3" s="1047"/>
      <c r="IK3" s="1047"/>
      <c r="IL3" s="1047"/>
      <c r="IM3" s="1047"/>
      <c r="IN3" s="1047"/>
      <c r="IO3" s="1047"/>
      <c r="IP3" s="1047"/>
      <c r="IQ3" s="1047"/>
      <c r="IR3" s="1047"/>
      <c r="IS3" s="1047"/>
      <c r="IT3" s="1048"/>
      <c r="IV3" s="1046"/>
      <c r="IW3" s="1047"/>
      <c r="IX3" s="1047"/>
      <c r="IY3" s="1047"/>
      <c r="IZ3" s="1047"/>
      <c r="JA3" s="1047"/>
      <c r="JB3" s="1047"/>
      <c r="JC3" s="1047"/>
      <c r="JD3" s="1047"/>
      <c r="JE3" s="1047"/>
      <c r="JF3" s="1047"/>
      <c r="JG3" s="1048"/>
      <c r="JI3" s="1046"/>
      <c r="JJ3" s="1047"/>
      <c r="JK3" s="1047"/>
      <c r="JL3" s="1047"/>
      <c r="JM3" s="1047"/>
      <c r="JN3" s="1047"/>
      <c r="JO3" s="1047"/>
      <c r="JP3" s="1047"/>
      <c r="JQ3" s="1047"/>
      <c r="JR3" s="1047"/>
      <c r="JS3" s="1047"/>
      <c r="JT3" s="1048"/>
      <c r="JV3" s="1046"/>
      <c r="JW3" s="1047"/>
      <c r="JX3" s="1047"/>
      <c r="JY3" s="1047"/>
      <c r="JZ3" s="1047"/>
      <c r="KA3" s="1047"/>
      <c r="KB3" s="1047"/>
      <c r="KC3" s="1047"/>
      <c r="KD3" s="1047"/>
      <c r="KE3" s="1047"/>
      <c r="KF3" s="1047"/>
      <c r="KG3" s="1048"/>
      <c r="KI3" s="1046"/>
      <c r="KJ3" s="1047"/>
      <c r="KK3" s="1047"/>
      <c r="KL3" s="1047"/>
      <c r="KM3" s="1047"/>
      <c r="KN3" s="1047"/>
      <c r="KO3" s="1047"/>
      <c r="KP3" s="1047"/>
      <c r="KQ3" s="1047"/>
      <c r="KR3" s="1047"/>
      <c r="KS3" s="1047"/>
      <c r="KT3" s="1048"/>
      <c r="KV3" s="1046"/>
      <c r="KW3" s="1047"/>
      <c r="KX3" s="1047"/>
      <c r="KY3" s="1047"/>
      <c r="KZ3" s="1047"/>
      <c r="LA3" s="1047"/>
      <c r="LB3" s="1047"/>
      <c r="LC3" s="1047"/>
      <c r="LD3" s="1047"/>
      <c r="LE3" s="1047"/>
      <c r="LF3" s="1047"/>
      <c r="LG3" s="1048"/>
      <c r="LI3" s="1046"/>
      <c r="LJ3" s="1047"/>
      <c r="LK3" s="1047"/>
      <c r="LL3" s="1047"/>
      <c r="LM3" s="1047"/>
      <c r="LN3" s="1047"/>
      <c r="LO3" s="1047"/>
      <c r="LP3" s="1047"/>
      <c r="LQ3" s="1047"/>
      <c r="LR3" s="1047"/>
      <c r="LS3" s="1047"/>
      <c r="LT3" s="1048"/>
      <c r="LV3" s="1046"/>
      <c r="LW3" s="1047"/>
      <c r="LX3" s="1047"/>
      <c r="LY3" s="1047"/>
      <c r="LZ3" s="1047"/>
      <c r="MA3" s="1047"/>
      <c r="MB3" s="1047"/>
      <c r="MC3" s="1047"/>
      <c r="MD3" s="1047"/>
      <c r="ME3" s="1047"/>
      <c r="MF3" s="1047"/>
      <c r="MG3" s="1048"/>
    </row>
    <row r="4" spans="1:345" ht="40.5" customHeight="1" thickTop="1" x14ac:dyDescent="0.25">
      <c r="A4" s="223"/>
      <c r="B4" s="247"/>
      <c r="C4" s="248"/>
      <c r="D4" s="248"/>
      <c r="E4" s="249"/>
      <c r="F4" s="1042" t="str">
        <f>Language!$E$212</f>
        <v>Result</v>
      </c>
      <c r="G4" s="1043"/>
      <c r="I4" s="256"/>
      <c r="J4" s="248"/>
      <c r="K4" s="248"/>
      <c r="L4" s="249"/>
      <c r="M4" s="1038" t="str">
        <f>Language!$E$215</f>
        <v>Result</v>
      </c>
      <c r="N4" s="1038"/>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8" t="str">
        <f>Language!$E$215</f>
        <v>Result</v>
      </c>
      <c r="AA4" s="1038"/>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8" t="str">
        <f>Language!$E$215</f>
        <v>Result</v>
      </c>
      <c r="AN4" s="1038"/>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8" t="str">
        <f>Language!$E$215</f>
        <v>Result</v>
      </c>
      <c r="BA4" s="1038"/>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8" t="str">
        <f>Language!$E$215</f>
        <v>Result</v>
      </c>
      <c r="BN4" s="1038"/>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8" t="str">
        <f>Language!$E$215</f>
        <v>Result</v>
      </c>
      <c r="CA4" s="1038"/>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8" t="str">
        <f>Language!$E$215</f>
        <v>Result</v>
      </c>
      <c r="CN4" s="1038"/>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8" t="str">
        <f>Language!$E$215</f>
        <v>Result</v>
      </c>
      <c r="DA4" s="1038"/>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8" t="str">
        <f>Language!$E$215</f>
        <v>Result</v>
      </c>
      <c r="DN4" s="1038"/>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8" t="str">
        <f>Language!$E$215</f>
        <v>Result</v>
      </c>
      <c r="EA4" s="1038"/>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8" t="str">
        <f>Language!$E$215</f>
        <v>Result</v>
      </c>
      <c r="EN4" s="1038"/>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8" t="str">
        <f>Language!$E$215</f>
        <v>Result</v>
      </c>
      <c r="FA4" s="1038"/>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8" t="str">
        <f>Language!$E$215</f>
        <v>Result</v>
      </c>
      <c r="FN4" s="1038"/>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8" t="str">
        <f>Language!$E$215</f>
        <v>Result</v>
      </c>
      <c r="GA4" s="1038"/>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8" t="str">
        <f>Language!$E$215</f>
        <v>Result</v>
      </c>
      <c r="GN4" s="1038"/>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8" t="str">
        <f>Language!$E$215</f>
        <v>Result</v>
      </c>
      <c r="HA4" s="1038"/>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8" t="str">
        <f>Language!$E$215</f>
        <v>Result</v>
      </c>
      <c r="HN4" s="1038"/>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8" t="str">
        <f>Language!$E$215</f>
        <v>Result</v>
      </c>
      <c r="IA4" s="1038"/>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8" t="str">
        <f>Language!$E$215</f>
        <v>Result</v>
      </c>
      <c r="IN4" s="1038"/>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8" t="str">
        <f>Language!$E$215</f>
        <v>Result</v>
      </c>
      <c r="JA4" s="1038"/>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8" t="str">
        <f>Language!$E$215</f>
        <v>Result</v>
      </c>
      <c r="JN4" s="1038"/>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8" t="str">
        <f>Language!$E$215</f>
        <v>Result</v>
      </c>
      <c r="KA4" s="1038"/>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8" t="str">
        <f>Language!$E$215</f>
        <v>Result</v>
      </c>
      <c r="KN4" s="1038"/>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8" t="str">
        <f>Language!$E$215</f>
        <v>Result</v>
      </c>
      <c r="LA4" s="1038"/>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8" t="str">
        <f>Language!$E$215</f>
        <v>Result</v>
      </c>
      <c r="LN4" s="1038"/>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8" t="str">
        <f>Language!$E$215</f>
        <v>Result</v>
      </c>
      <c r="MA4" s="1038"/>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33" si="0">$B5</f>
        <v>Group A</v>
      </c>
      <c r="J5" s="240"/>
      <c r="K5" s="240"/>
      <c r="L5" s="241"/>
      <c r="M5" s="270"/>
      <c r="N5" s="271"/>
      <c r="O5" s="242"/>
      <c r="P5" s="254"/>
      <c r="Q5" s="241"/>
      <c r="R5" s="241"/>
      <c r="S5" s="241"/>
      <c r="T5" s="255"/>
      <c r="V5" s="238" t="str">
        <f t="shared" ref="V5:V68" si="1">$B5</f>
        <v>Group A</v>
      </c>
      <c r="W5" s="240"/>
      <c r="X5" s="240"/>
      <c r="Y5" s="241"/>
      <c r="Z5" s="270"/>
      <c r="AA5" s="271"/>
      <c r="AB5" s="242"/>
      <c r="AC5" s="254"/>
      <c r="AD5" s="241"/>
      <c r="AE5" s="241"/>
      <c r="AF5" s="241"/>
      <c r="AG5" s="255"/>
      <c r="AI5" s="238" t="str">
        <f t="shared" ref="AI5:AI68" si="2">$B5</f>
        <v>Group A</v>
      </c>
      <c r="AJ5" s="240"/>
      <c r="AK5" s="240"/>
      <c r="AL5" s="241"/>
      <c r="AM5" s="270"/>
      <c r="AN5" s="271"/>
      <c r="AO5" s="242"/>
      <c r="AP5" s="254"/>
      <c r="AQ5" s="241"/>
      <c r="AR5" s="241"/>
      <c r="AS5" s="241"/>
      <c r="AT5" s="255"/>
      <c r="AV5" s="238" t="str">
        <f t="shared" ref="AV5:AV68" si="3">$B5</f>
        <v>Group A</v>
      </c>
      <c r="AW5" s="240"/>
      <c r="AX5" s="240"/>
      <c r="AY5" s="241"/>
      <c r="AZ5" s="270"/>
      <c r="BA5" s="271"/>
      <c r="BB5" s="242"/>
      <c r="BC5" s="254"/>
      <c r="BD5" s="241"/>
      <c r="BE5" s="241"/>
      <c r="BF5" s="241"/>
      <c r="BG5" s="255"/>
      <c r="BI5" s="238" t="str">
        <f t="shared" ref="BI5:BI68" si="4">$B5</f>
        <v>Group A</v>
      </c>
      <c r="BJ5" s="240"/>
      <c r="BK5" s="240"/>
      <c r="BL5" s="241"/>
      <c r="BM5" s="270"/>
      <c r="BN5" s="271"/>
      <c r="BO5" s="242"/>
      <c r="BP5" s="254"/>
      <c r="BQ5" s="241"/>
      <c r="BR5" s="241"/>
      <c r="BS5" s="241"/>
      <c r="BT5" s="255"/>
      <c r="BV5" s="238" t="str">
        <f t="shared" ref="BV5:BV68" si="5">$B5</f>
        <v>Group A</v>
      </c>
      <c r="BW5" s="240"/>
      <c r="BX5" s="240"/>
      <c r="BY5" s="241"/>
      <c r="BZ5" s="270"/>
      <c r="CA5" s="271"/>
      <c r="CB5" s="242"/>
      <c r="CC5" s="254"/>
      <c r="CD5" s="241"/>
      <c r="CE5" s="241"/>
      <c r="CF5" s="241"/>
      <c r="CG5" s="255"/>
      <c r="CI5" s="238" t="str">
        <f t="shared" ref="CI5:CI68" si="6">$B5</f>
        <v>Group A</v>
      </c>
      <c r="CJ5" s="240"/>
      <c r="CK5" s="240"/>
      <c r="CL5" s="241"/>
      <c r="CM5" s="270"/>
      <c r="CN5" s="271"/>
      <c r="CO5" s="242"/>
      <c r="CP5" s="254"/>
      <c r="CQ5" s="241"/>
      <c r="CR5" s="241"/>
      <c r="CS5" s="241"/>
      <c r="CT5" s="255"/>
      <c r="CV5" s="238" t="str">
        <f t="shared" ref="CV5:CV68" si="7">$B5</f>
        <v>Group A</v>
      </c>
      <c r="CW5" s="240"/>
      <c r="CX5" s="240"/>
      <c r="CY5" s="241"/>
      <c r="CZ5" s="270"/>
      <c r="DA5" s="271"/>
      <c r="DB5" s="242"/>
      <c r="DC5" s="254"/>
      <c r="DD5" s="241"/>
      <c r="DE5" s="241"/>
      <c r="DF5" s="241"/>
      <c r="DG5" s="255"/>
      <c r="DI5" s="238" t="str">
        <f t="shared" ref="DI5:DI68" si="8">$B5</f>
        <v>Group A</v>
      </c>
      <c r="DJ5" s="240"/>
      <c r="DK5" s="240"/>
      <c r="DL5" s="241"/>
      <c r="DM5" s="270"/>
      <c r="DN5" s="271"/>
      <c r="DO5" s="242"/>
      <c r="DP5" s="254"/>
      <c r="DQ5" s="241"/>
      <c r="DR5" s="241"/>
      <c r="DS5" s="241"/>
      <c r="DT5" s="255"/>
      <c r="DV5" s="238" t="str">
        <f t="shared" ref="DV5:DV68" si="9">$B5</f>
        <v>Group A</v>
      </c>
      <c r="DW5" s="240"/>
      <c r="DX5" s="240"/>
      <c r="DY5" s="241"/>
      <c r="DZ5" s="270"/>
      <c r="EA5" s="271"/>
      <c r="EB5" s="242"/>
      <c r="EC5" s="254"/>
      <c r="ED5" s="241"/>
      <c r="EE5" s="241"/>
      <c r="EF5" s="241"/>
      <c r="EG5" s="255"/>
      <c r="EI5" s="238" t="str">
        <f t="shared" ref="EI5:EI68" si="10">$B5</f>
        <v>Group A</v>
      </c>
      <c r="EJ5" s="240"/>
      <c r="EK5" s="240"/>
      <c r="EL5" s="241"/>
      <c r="EM5" s="270"/>
      <c r="EN5" s="271"/>
      <c r="EO5" s="242"/>
      <c r="EP5" s="254"/>
      <c r="EQ5" s="241"/>
      <c r="ER5" s="241"/>
      <c r="ES5" s="241"/>
      <c r="ET5" s="255"/>
      <c r="EV5" s="238" t="str">
        <f t="shared" ref="EV5:EV68" si="11">$B5</f>
        <v>Group A</v>
      </c>
      <c r="EW5" s="240"/>
      <c r="EX5" s="240"/>
      <c r="EY5" s="241"/>
      <c r="EZ5" s="270"/>
      <c r="FA5" s="271"/>
      <c r="FB5" s="242"/>
      <c r="FC5" s="254"/>
      <c r="FD5" s="241"/>
      <c r="FE5" s="241"/>
      <c r="FF5" s="241"/>
      <c r="FG5" s="255"/>
      <c r="FI5" s="238" t="str">
        <f t="shared" ref="FI5:FI68" si="12">$B5</f>
        <v>Group A</v>
      </c>
      <c r="FJ5" s="240"/>
      <c r="FK5" s="240"/>
      <c r="FL5" s="241"/>
      <c r="FM5" s="270"/>
      <c r="FN5" s="271"/>
      <c r="FO5" s="242"/>
      <c r="FP5" s="254"/>
      <c r="FQ5" s="241"/>
      <c r="FR5" s="241"/>
      <c r="FS5" s="241"/>
      <c r="FT5" s="255"/>
      <c r="FV5" s="238" t="str">
        <f t="shared" ref="FV5:FV68" si="13">$B5</f>
        <v>Group A</v>
      </c>
      <c r="FW5" s="240"/>
      <c r="FX5" s="240"/>
      <c r="FY5" s="241"/>
      <c r="FZ5" s="270"/>
      <c r="GA5" s="271"/>
      <c r="GB5" s="242"/>
      <c r="GC5" s="254"/>
      <c r="GD5" s="241"/>
      <c r="GE5" s="241"/>
      <c r="GF5" s="241"/>
      <c r="GG5" s="255"/>
      <c r="GI5" s="238" t="str">
        <f t="shared" ref="GI5:GI68" si="14">$B5</f>
        <v>Group A</v>
      </c>
      <c r="GJ5" s="240"/>
      <c r="GK5" s="240"/>
      <c r="GL5" s="241"/>
      <c r="GM5" s="270"/>
      <c r="GN5" s="271"/>
      <c r="GO5" s="242"/>
      <c r="GP5" s="254"/>
      <c r="GQ5" s="241"/>
      <c r="GR5" s="241"/>
      <c r="GS5" s="241"/>
      <c r="GT5" s="255"/>
      <c r="GV5" s="238" t="str">
        <f t="shared" ref="GV5:GV68" si="15">$B5</f>
        <v>Group A</v>
      </c>
      <c r="GW5" s="240"/>
      <c r="GX5" s="240"/>
      <c r="GY5" s="241"/>
      <c r="GZ5" s="270"/>
      <c r="HA5" s="271"/>
      <c r="HB5" s="242"/>
      <c r="HC5" s="254"/>
      <c r="HD5" s="241"/>
      <c r="HE5" s="241"/>
      <c r="HF5" s="241"/>
      <c r="HG5" s="255"/>
      <c r="HI5" s="238" t="str">
        <f t="shared" ref="HI5:HI68" si="16">$B5</f>
        <v>Group A</v>
      </c>
      <c r="HJ5" s="240"/>
      <c r="HK5" s="240"/>
      <c r="HL5" s="241"/>
      <c r="HM5" s="270"/>
      <c r="HN5" s="271"/>
      <c r="HO5" s="242"/>
      <c r="HP5" s="254"/>
      <c r="HQ5" s="241"/>
      <c r="HR5" s="241"/>
      <c r="HS5" s="241"/>
      <c r="HT5" s="255"/>
      <c r="HV5" s="238" t="str">
        <f t="shared" ref="HV5:HV68" si="17">$B5</f>
        <v>Group A</v>
      </c>
      <c r="HW5" s="240"/>
      <c r="HX5" s="240"/>
      <c r="HY5" s="241"/>
      <c r="HZ5" s="270"/>
      <c r="IA5" s="271"/>
      <c r="IB5" s="242"/>
      <c r="IC5" s="254"/>
      <c r="ID5" s="241"/>
      <c r="IE5" s="241"/>
      <c r="IF5" s="241"/>
      <c r="IG5" s="255"/>
      <c r="II5" s="238" t="str">
        <f t="shared" ref="II5:II68" si="18">$B5</f>
        <v>Group A</v>
      </c>
      <c r="IJ5" s="240"/>
      <c r="IK5" s="240"/>
      <c r="IL5" s="241"/>
      <c r="IM5" s="270"/>
      <c r="IN5" s="271"/>
      <c r="IO5" s="242"/>
      <c r="IP5" s="254"/>
      <c r="IQ5" s="241"/>
      <c r="IR5" s="241"/>
      <c r="IS5" s="241"/>
      <c r="IT5" s="255"/>
      <c r="IV5" s="238" t="str">
        <f t="shared" ref="IV5:IV68" si="19">$B5</f>
        <v>Group A</v>
      </c>
      <c r="IW5" s="240"/>
      <c r="IX5" s="240"/>
      <c r="IY5" s="241"/>
      <c r="IZ5" s="270"/>
      <c r="JA5" s="271"/>
      <c r="JB5" s="242"/>
      <c r="JC5" s="254"/>
      <c r="JD5" s="241"/>
      <c r="JE5" s="241"/>
      <c r="JF5" s="241"/>
      <c r="JG5" s="255"/>
      <c r="JI5" s="238" t="str">
        <f t="shared" ref="JI5:JI68" si="20">$B5</f>
        <v>Group A</v>
      </c>
      <c r="JJ5" s="240"/>
      <c r="JK5" s="240"/>
      <c r="JL5" s="241"/>
      <c r="JM5" s="270"/>
      <c r="JN5" s="271"/>
      <c r="JO5" s="242"/>
      <c r="JP5" s="254"/>
      <c r="JQ5" s="241"/>
      <c r="JR5" s="241"/>
      <c r="JS5" s="241"/>
      <c r="JT5" s="255"/>
      <c r="JV5" s="238" t="str">
        <f t="shared" ref="JV5:JV68" si="21">$B5</f>
        <v>Group A</v>
      </c>
      <c r="JW5" s="240"/>
      <c r="JX5" s="240"/>
      <c r="JY5" s="241"/>
      <c r="JZ5" s="270"/>
      <c r="KA5" s="271"/>
      <c r="KB5" s="242"/>
      <c r="KC5" s="254"/>
      <c r="KD5" s="241"/>
      <c r="KE5" s="241"/>
      <c r="KF5" s="241"/>
      <c r="KG5" s="255"/>
      <c r="KI5" s="238" t="str">
        <f t="shared" ref="KI5:KI68" si="22">$B5</f>
        <v>Group A</v>
      </c>
      <c r="KJ5" s="240"/>
      <c r="KK5" s="240"/>
      <c r="KL5" s="241"/>
      <c r="KM5" s="270"/>
      <c r="KN5" s="271"/>
      <c r="KO5" s="242"/>
      <c r="KP5" s="254"/>
      <c r="KQ5" s="241"/>
      <c r="KR5" s="241"/>
      <c r="KS5" s="241"/>
      <c r="KT5" s="255"/>
      <c r="KV5" s="238" t="str">
        <f t="shared" ref="KV5:KV68" si="23">$B5</f>
        <v>Group A</v>
      </c>
      <c r="KW5" s="240"/>
      <c r="KX5" s="240"/>
      <c r="KY5" s="241"/>
      <c r="KZ5" s="270"/>
      <c r="LA5" s="271"/>
      <c r="LB5" s="242"/>
      <c r="LC5" s="254"/>
      <c r="LD5" s="241"/>
      <c r="LE5" s="241"/>
      <c r="LF5" s="241"/>
      <c r="LG5" s="255"/>
      <c r="LI5" s="238" t="str">
        <f t="shared" ref="LI5:LI68" si="24">$B5</f>
        <v>Group A</v>
      </c>
      <c r="LJ5" s="240"/>
      <c r="LK5" s="240"/>
      <c r="LL5" s="241"/>
      <c r="LM5" s="270"/>
      <c r="LN5" s="271"/>
      <c r="LO5" s="242"/>
      <c r="LP5" s="254"/>
      <c r="LQ5" s="241"/>
      <c r="LR5" s="241"/>
      <c r="LS5" s="241"/>
      <c r="LT5" s="255"/>
      <c r="LV5" s="238" t="str">
        <f t="shared" ref="LV5:LV68" si="25">$B5</f>
        <v>Group A</v>
      </c>
      <c r="LW5" s="240"/>
      <c r="LX5" s="240"/>
      <c r="LY5" s="241"/>
      <c r="LZ5" s="270"/>
      <c r="MA5" s="271"/>
      <c r="MB5" s="242"/>
      <c r="MC5" s="254"/>
      <c r="MD5" s="241"/>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t="str">
        <f>CalcA!$R$26</f>
        <v/>
      </c>
      <c r="G10" s="233" t="str">
        <f>CalcA!$S$26</f>
        <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t="str">
        <f>CalcA!$R$27</f>
        <v/>
      </c>
      <c r="G11" s="233" t="str">
        <f>CalcA!$S$27</f>
        <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t="str">
        <f>CalcB!$R$26</f>
        <v/>
      </c>
      <c r="G17" s="233" t="str">
        <f>CalcB!$S$26</f>
        <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t="str">
        <f>CalcB!$R$27</f>
        <v/>
      </c>
      <c r="G18" s="233" t="str">
        <f>CalcB!$S$27</f>
        <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t="str">
        <f>CalcC!$R$26</f>
        <v/>
      </c>
      <c r="G24" s="233" t="str">
        <f>CalcC!$S$26</f>
        <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t="str">
        <f>CalcC!$R$27</f>
        <v/>
      </c>
      <c r="G25" s="233" t="str">
        <f>CalcC!$S$27</f>
        <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t="str">
        <f>CalcD!$R$26</f>
        <v/>
      </c>
      <c r="G31" s="233" t="str">
        <f>CalcD!$S$26</f>
        <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t="str">
        <f>CalcD!$R$27</f>
        <v/>
      </c>
      <c r="G32" s="233" t="str">
        <f>CalcD!$S$27</f>
        <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ref="I34:I88" si="468">$B34</f>
        <v>10</v>
      </c>
      <c r="J34" s="230" t="str">
        <f t="shared" ref="J34:J39" si="469">$C34</f>
        <v>Germany</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Germany</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Germany</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Germany</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Germany</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Germany</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Germany</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Germany</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Germany</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Germany</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Germany</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Germany</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Germany</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Germany</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Germany</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Germany</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Germany</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Germany</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Germany</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Germany</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Germany</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Germany</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Germany</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Germany</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Germany</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Germany</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468"/>
        <v>34</v>
      </c>
      <c r="J35" s="230" t="str">
        <f t="shared" si="469"/>
        <v>Cote d'Ivoire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Cote d'Ivoire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Cote d'Ivoire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Cote d'Ivoire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Cote d'Ivoire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Cote d'Ivoire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Cote d'Ivoire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Cote d'Ivoire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Cote d'Ivoire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Cote d'Ivoire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Cote d'Ivoire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Cote d'Ivoire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Cote d'Ivoire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Cote d'Ivoire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Cote d'Ivoire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Cote d'Ivoire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Cote d'Ivoire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Cote d'Ivoire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Cote d'Ivoire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Cote d'Ivoire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Cote d'Ivoire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Cote d'Ivoire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Cote d'Ivoire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Cote d'Ivoire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Cote d'Ivoire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Cote d'Ivoire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468"/>
        <v>10</v>
      </c>
      <c r="J36" s="230" t="str">
        <f t="shared" si="469"/>
        <v>Germany</v>
      </c>
      <c r="K36" s="231">
        <f t="shared" si="26"/>
        <v>34</v>
      </c>
      <c r="L36" s="230" t="str">
        <f t="shared" si="470"/>
        <v>Cote d'Ivoire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Germany</v>
      </c>
      <c r="X36" s="231">
        <f t="shared" si="29"/>
        <v>34</v>
      </c>
      <c r="Y36" s="230" t="str">
        <f t="shared" si="474"/>
        <v>Cote d'Ivoire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Germany</v>
      </c>
      <c r="AK36" s="231">
        <f t="shared" si="32"/>
        <v>34</v>
      </c>
      <c r="AL36" s="230" t="str">
        <f t="shared" si="478"/>
        <v>Cote d'Ivoire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Germany</v>
      </c>
      <c r="AX36" s="231">
        <f t="shared" si="35"/>
        <v>34</v>
      </c>
      <c r="AY36" s="230" t="str">
        <f t="shared" si="482"/>
        <v>Cote d'Ivoire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Germany</v>
      </c>
      <c r="BK36" s="231">
        <f t="shared" si="38"/>
        <v>34</v>
      </c>
      <c r="BL36" s="230" t="str">
        <f t="shared" si="486"/>
        <v>Cote d'Ivoire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Germany</v>
      </c>
      <c r="BX36" s="231">
        <f t="shared" si="41"/>
        <v>34</v>
      </c>
      <c r="BY36" s="230" t="str">
        <f t="shared" si="490"/>
        <v>Cote d'Ivoire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Germany</v>
      </c>
      <c r="CK36" s="231">
        <f t="shared" si="44"/>
        <v>34</v>
      </c>
      <c r="CL36" s="230" t="str">
        <f t="shared" si="494"/>
        <v>Cote d'Ivoire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Germany</v>
      </c>
      <c r="CX36" s="231">
        <f t="shared" si="47"/>
        <v>34</v>
      </c>
      <c r="CY36" s="230" t="str">
        <f t="shared" si="498"/>
        <v>Cote d'Ivoire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Germany</v>
      </c>
      <c r="DK36" s="231">
        <f t="shared" si="50"/>
        <v>34</v>
      </c>
      <c r="DL36" s="230" t="str">
        <f t="shared" si="502"/>
        <v>Cote d'Ivoire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Germany</v>
      </c>
      <c r="DX36" s="231">
        <f t="shared" si="53"/>
        <v>34</v>
      </c>
      <c r="DY36" s="230" t="str">
        <f t="shared" si="506"/>
        <v>Cote d'Ivoire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Germany</v>
      </c>
      <c r="EK36" s="231">
        <f t="shared" si="56"/>
        <v>34</v>
      </c>
      <c r="EL36" s="230" t="str">
        <f t="shared" si="510"/>
        <v>Cote d'Ivoire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Germany</v>
      </c>
      <c r="EX36" s="231">
        <f t="shared" si="59"/>
        <v>34</v>
      </c>
      <c r="EY36" s="230" t="str">
        <f t="shared" si="514"/>
        <v>Cote d'Ivoire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Germany</v>
      </c>
      <c r="FK36" s="231">
        <f t="shared" si="62"/>
        <v>34</v>
      </c>
      <c r="FL36" s="230" t="str">
        <f t="shared" si="518"/>
        <v>Cote d'Ivoire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Germany</v>
      </c>
      <c r="FX36" s="231">
        <f t="shared" si="65"/>
        <v>34</v>
      </c>
      <c r="FY36" s="230" t="str">
        <f t="shared" si="522"/>
        <v>Cote d'Ivoire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Germany</v>
      </c>
      <c r="GK36" s="231">
        <f t="shared" si="68"/>
        <v>34</v>
      </c>
      <c r="GL36" s="230" t="str">
        <f t="shared" si="526"/>
        <v>Cote d'Ivoire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Germany</v>
      </c>
      <c r="GX36" s="231">
        <f t="shared" si="71"/>
        <v>34</v>
      </c>
      <c r="GY36" s="230" t="str">
        <f t="shared" si="530"/>
        <v>Cote d'Ivoire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Germany</v>
      </c>
      <c r="HK36" s="231">
        <f t="shared" si="74"/>
        <v>34</v>
      </c>
      <c r="HL36" s="230" t="str">
        <f t="shared" si="534"/>
        <v>Cote d'Ivoire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Germany</v>
      </c>
      <c r="HX36" s="231">
        <f t="shared" si="77"/>
        <v>34</v>
      </c>
      <c r="HY36" s="230" t="str">
        <f t="shared" si="538"/>
        <v>Cote d'Ivoire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Germany</v>
      </c>
      <c r="IK36" s="231">
        <f t="shared" si="80"/>
        <v>34</v>
      </c>
      <c r="IL36" s="230" t="str">
        <f t="shared" si="542"/>
        <v>Cote d'Ivoire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Germany</v>
      </c>
      <c r="IX36" s="231">
        <f t="shared" si="83"/>
        <v>34</v>
      </c>
      <c r="IY36" s="230" t="str">
        <f t="shared" si="546"/>
        <v>Cote d'Ivoire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Germany</v>
      </c>
      <c r="JK36" s="231">
        <f t="shared" si="86"/>
        <v>34</v>
      </c>
      <c r="JL36" s="230" t="str">
        <f t="shared" si="550"/>
        <v>Cote d'Ivoire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Germany</v>
      </c>
      <c r="JX36" s="231">
        <f t="shared" si="89"/>
        <v>34</v>
      </c>
      <c r="JY36" s="230" t="str">
        <f t="shared" si="554"/>
        <v>Cote d'Ivoire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Germany</v>
      </c>
      <c r="KK36" s="231">
        <f t="shared" si="92"/>
        <v>34</v>
      </c>
      <c r="KL36" s="230" t="str">
        <f t="shared" si="558"/>
        <v>Cote d'Ivoire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Germany</v>
      </c>
      <c r="KX36" s="231">
        <f t="shared" si="95"/>
        <v>34</v>
      </c>
      <c r="KY36" s="230" t="str">
        <f t="shared" si="562"/>
        <v>Cote d'Ivoire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Germany</v>
      </c>
      <c r="LK36" s="231">
        <f t="shared" si="98"/>
        <v>34</v>
      </c>
      <c r="LL36" s="230" t="str">
        <f t="shared" si="566"/>
        <v>Cote d'Ivoire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Germany</v>
      </c>
      <c r="LX36" s="231">
        <f t="shared" si="101"/>
        <v>34</v>
      </c>
      <c r="LY36" s="230" t="str">
        <f t="shared" si="570"/>
        <v>Cote d'Ivoire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t="str">
        <f>CalcE!$R$26</f>
        <v/>
      </c>
      <c r="G38" s="233" t="str">
        <f>CalcE!$S$26</f>
        <v/>
      </c>
      <c r="I38" s="229">
        <f t="shared" si="468"/>
        <v>82</v>
      </c>
      <c r="J38" s="230" t="str">
        <f t="shared" si="469"/>
        <v>Curaçao</v>
      </c>
      <c r="K38" s="231">
        <f t="shared" si="26"/>
        <v>34</v>
      </c>
      <c r="L38" s="230" t="str">
        <f t="shared" si="470"/>
        <v>Cote d'Ivoire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Cote d'Ivoire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Cote d'Ivoire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Cote d'Ivoire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Cote d'Ivoire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Cote d'Ivoire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Cote d'Ivoire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Cote d'Ivoire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Cote d'Ivoire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Cote d'Ivoire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Cote d'Ivoire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Cote d'Ivoire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Cote d'Ivoire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Cote d'Ivoire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Cote d'Ivoire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Cote d'Ivoire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Cote d'Ivoire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Cote d'Ivoire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Cote d'Ivoire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Cote d'Ivoire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Cote d'Ivoire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Cote d'Ivoire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Cote d'Ivoire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Cote d'Ivoire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Cote d'Ivoire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Cote d'Ivoire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t="str">
        <f>CalcE!$R$27</f>
        <v/>
      </c>
      <c r="G39" s="233" t="str">
        <f>CalcE!$S$27</f>
        <v/>
      </c>
      <c r="I39" s="229">
        <f t="shared" si="468"/>
        <v>23</v>
      </c>
      <c r="J39" s="230" t="str">
        <f t="shared" si="469"/>
        <v>Ecuador</v>
      </c>
      <c r="K39" s="231">
        <f t="shared" si="26"/>
        <v>10</v>
      </c>
      <c r="L39" s="230" t="str">
        <f t="shared" si="470"/>
        <v>Germany</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Germany</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Germany</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Germany</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Germany</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Germany</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Germany</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Germany</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Germany</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Germany</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Germany</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Germany</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Germany</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Germany</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Germany</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Germany</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Germany</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Germany</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Germany</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Germany</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Germany</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Germany</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Germany</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Germany</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Germany</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Germany</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468"/>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468"/>
        <v>7</v>
      </c>
      <c r="J41" s="230" t="str">
        <f t="shared" ref="J41:J46" si="573">$C41</f>
        <v>Netherlands</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Netherlands</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Netherlands</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Netherlands</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Netherlands</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Netherlands</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Netherlands</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Netherlands</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Netherlands</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Netherlands</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Netherlands</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Netherlands</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Netherlands</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Netherlands</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Netherlands</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Netherlands</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Netherlands</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Netherlands</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Netherlands</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Netherlands</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Netherlands</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Netherlands</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Netherlands</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Netherlands</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Netherlands</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Netherlands</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468"/>
        <v>38</v>
      </c>
      <c r="J42" s="230" t="str">
        <f t="shared" si="573"/>
        <v>Sweden</v>
      </c>
      <c r="K42" s="231">
        <f t="shared" si="26"/>
        <v>44</v>
      </c>
      <c r="L42" s="230" t="str">
        <f t="shared" si="574"/>
        <v>Tunisia</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Sweden</v>
      </c>
      <c r="X42" s="231">
        <f t="shared" si="29"/>
        <v>44</v>
      </c>
      <c r="Y42" s="230" t="str">
        <f t="shared" si="578"/>
        <v>Tunisia</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Sweden</v>
      </c>
      <c r="AK42" s="231">
        <f t="shared" si="32"/>
        <v>44</v>
      </c>
      <c r="AL42" s="230" t="str">
        <f t="shared" si="582"/>
        <v>Tunisia</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Sweden</v>
      </c>
      <c r="AX42" s="231">
        <f t="shared" si="35"/>
        <v>44</v>
      </c>
      <c r="AY42" s="230" t="str">
        <f t="shared" si="586"/>
        <v>Tunisia</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Sweden</v>
      </c>
      <c r="BK42" s="231">
        <f t="shared" si="38"/>
        <v>44</v>
      </c>
      <c r="BL42" s="230" t="str">
        <f t="shared" si="590"/>
        <v>Tunisia</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Sweden</v>
      </c>
      <c r="BX42" s="231">
        <f t="shared" si="41"/>
        <v>44</v>
      </c>
      <c r="BY42" s="230" t="str">
        <f t="shared" si="594"/>
        <v>Tunisia</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Sweden</v>
      </c>
      <c r="CK42" s="231">
        <f t="shared" si="44"/>
        <v>44</v>
      </c>
      <c r="CL42" s="230" t="str">
        <f t="shared" si="598"/>
        <v>Tunisia</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Sweden</v>
      </c>
      <c r="CX42" s="231">
        <f t="shared" si="47"/>
        <v>44</v>
      </c>
      <c r="CY42" s="230" t="str">
        <f t="shared" si="602"/>
        <v>Tunisia</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Sweden</v>
      </c>
      <c r="DK42" s="231">
        <f t="shared" si="50"/>
        <v>44</v>
      </c>
      <c r="DL42" s="230" t="str">
        <f t="shared" si="606"/>
        <v>Tunisia</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Sweden</v>
      </c>
      <c r="DX42" s="231">
        <f t="shared" si="53"/>
        <v>44</v>
      </c>
      <c r="DY42" s="230" t="str">
        <f t="shared" si="610"/>
        <v>Tunisia</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Sweden</v>
      </c>
      <c r="EK42" s="231">
        <f t="shared" si="56"/>
        <v>44</v>
      </c>
      <c r="EL42" s="230" t="str">
        <f t="shared" si="614"/>
        <v>Tunisia</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Sweden</v>
      </c>
      <c r="EX42" s="231">
        <f t="shared" si="59"/>
        <v>44</v>
      </c>
      <c r="EY42" s="230" t="str">
        <f t="shared" si="618"/>
        <v>Tunisia</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Sweden</v>
      </c>
      <c r="FK42" s="231">
        <f t="shared" si="62"/>
        <v>44</v>
      </c>
      <c r="FL42" s="230" t="str">
        <f t="shared" si="622"/>
        <v>Tunisia</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Sweden</v>
      </c>
      <c r="FX42" s="231">
        <f t="shared" si="65"/>
        <v>44</v>
      </c>
      <c r="FY42" s="230" t="str">
        <f t="shared" si="626"/>
        <v>Tunisia</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Sweden</v>
      </c>
      <c r="GK42" s="231">
        <f t="shared" si="68"/>
        <v>44</v>
      </c>
      <c r="GL42" s="230" t="str">
        <f t="shared" si="630"/>
        <v>Tunisia</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Sweden</v>
      </c>
      <c r="GX42" s="231">
        <f t="shared" si="71"/>
        <v>44</v>
      </c>
      <c r="GY42" s="230" t="str">
        <f t="shared" si="634"/>
        <v>Tunisia</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Sweden</v>
      </c>
      <c r="HK42" s="231">
        <f t="shared" si="74"/>
        <v>44</v>
      </c>
      <c r="HL42" s="230" t="str">
        <f t="shared" si="638"/>
        <v>Tunisia</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Sweden</v>
      </c>
      <c r="HX42" s="231">
        <f t="shared" si="77"/>
        <v>44</v>
      </c>
      <c r="HY42" s="230" t="str">
        <f t="shared" si="642"/>
        <v>Tunisia</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Sweden</v>
      </c>
      <c r="IK42" s="231">
        <f t="shared" si="80"/>
        <v>44</v>
      </c>
      <c r="IL42" s="230" t="str">
        <f t="shared" si="646"/>
        <v>Tunisia</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Sweden</v>
      </c>
      <c r="IX42" s="231">
        <f t="shared" si="83"/>
        <v>44</v>
      </c>
      <c r="IY42" s="230" t="str">
        <f t="shared" si="650"/>
        <v>Tunisia</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Sweden</v>
      </c>
      <c r="JK42" s="231">
        <f t="shared" si="86"/>
        <v>44</v>
      </c>
      <c r="JL42" s="230" t="str">
        <f t="shared" si="654"/>
        <v>Tunisia</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Sweden</v>
      </c>
      <c r="JX42" s="231">
        <f t="shared" si="89"/>
        <v>44</v>
      </c>
      <c r="JY42" s="230" t="str">
        <f t="shared" si="658"/>
        <v>Tunisia</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Sweden</v>
      </c>
      <c r="KK42" s="231">
        <f t="shared" si="92"/>
        <v>44</v>
      </c>
      <c r="KL42" s="230" t="str">
        <f t="shared" si="662"/>
        <v>Tunisia</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Sweden</v>
      </c>
      <c r="KX42" s="231">
        <f t="shared" si="95"/>
        <v>44</v>
      </c>
      <c r="KY42" s="230" t="str">
        <f t="shared" si="666"/>
        <v>Tunisia</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Sweden</v>
      </c>
      <c r="LK42" s="231">
        <f t="shared" si="98"/>
        <v>44</v>
      </c>
      <c r="LL42" s="230" t="str">
        <f t="shared" si="670"/>
        <v>Tunisia</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Sweden</v>
      </c>
      <c r="LX42" s="231">
        <f t="shared" si="101"/>
        <v>44</v>
      </c>
      <c r="LY42" s="230" t="str">
        <f t="shared" si="674"/>
        <v>Tunisia</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468"/>
        <v>7</v>
      </c>
      <c r="J43" s="230" t="str">
        <f t="shared" si="573"/>
        <v>Netherlands</v>
      </c>
      <c r="K43" s="231">
        <f t="shared" si="26"/>
        <v>38</v>
      </c>
      <c r="L43" s="230" t="str">
        <f t="shared" si="574"/>
        <v>Sweden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Netherlands</v>
      </c>
      <c r="X43" s="231">
        <f t="shared" si="29"/>
        <v>38</v>
      </c>
      <c r="Y43" s="230" t="str">
        <f t="shared" si="578"/>
        <v>Sweden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Netherlands</v>
      </c>
      <c r="AK43" s="231">
        <f t="shared" si="32"/>
        <v>38</v>
      </c>
      <c r="AL43" s="230" t="str">
        <f t="shared" si="582"/>
        <v>Sweden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Netherlands</v>
      </c>
      <c r="AX43" s="231">
        <f t="shared" si="35"/>
        <v>38</v>
      </c>
      <c r="AY43" s="230" t="str">
        <f t="shared" si="586"/>
        <v>Sweden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Netherlands</v>
      </c>
      <c r="BK43" s="231">
        <f t="shared" si="38"/>
        <v>38</v>
      </c>
      <c r="BL43" s="230" t="str">
        <f t="shared" si="590"/>
        <v>Sweden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Netherlands</v>
      </c>
      <c r="BX43" s="231">
        <f t="shared" si="41"/>
        <v>38</v>
      </c>
      <c r="BY43" s="230" t="str">
        <f t="shared" si="594"/>
        <v>Sweden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Netherlands</v>
      </c>
      <c r="CK43" s="231">
        <f t="shared" si="44"/>
        <v>38</v>
      </c>
      <c r="CL43" s="230" t="str">
        <f t="shared" si="598"/>
        <v>Sweden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Netherlands</v>
      </c>
      <c r="CX43" s="231">
        <f t="shared" si="47"/>
        <v>38</v>
      </c>
      <c r="CY43" s="230" t="str">
        <f t="shared" si="602"/>
        <v>Sweden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Netherlands</v>
      </c>
      <c r="DK43" s="231">
        <f t="shared" si="50"/>
        <v>38</v>
      </c>
      <c r="DL43" s="230" t="str">
        <f t="shared" si="606"/>
        <v>Sweden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Netherlands</v>
      </c>
      <c r="DX43" s="231">
        <f t="shared" si="53"/>
        <v>38</v>
      </c>
      <c r="DY43" s="230" t="str">
        <f t="shared" si="610"/>
        <v>Sweden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Netherlands</v>
      </c>
      <c r="EK43" s="231">
        <f t="shared" si="56"/>
        <v>38</v>
      </c>
      <c r="EL43" s="230" t="str">
        <f t="shared" si="614"/>
        <v>Sweden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Netherlands</v>
      </c>
      <c r="EX43" s="231">
        <f t="shared" si="59"/>
        <v>38</v>
      </c>
      <c r="EY43" s="230" t="str">
        <f t="shared" si="618"/>
        <v>Sweden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Netherlands</v>
      </c>
      <c r="FK43" s="231">
        <f t="shared" si="62"/>
        <v>38</v>
      </c>
      <c r="FL43" s="230" t="str">
        <f t="shared" si="622"/>
        <v>Sweden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Netherlands</v>
      </c>
      <c r="FX43" s="231">
        <f t="shared" si="65"/>
        <v>38</v>
      </c>
      <c r="FY43" s="230" t="str">
        <f t="shared" si="626"/>
        <v>Sweden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Netherlands</v>
      </c>
      <c r="GK43" s="231">
        <f t="shared" si="68"/>
        <v>38</v>
      </c>
      <c r="GL43" s="230" t="str">
        <f t="shared" si="630"/>
        <v>Sweden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Netherlands</v>
      </c>
      <c r="GX43" s="231">
        <f t="shared" si="71"/>
        <v>38</v>
      </c>
      <c r="GY43" s="230" t="str">
        <f t="shared" si="634"/>
        <v>Sweden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Netherlands</v>
      </c>
      <c r="HK43" s="231">
        <f t="shared" si="74"/>
        <v>38</v>
      </c>
      <c r="HL43" s="230" t="str">
        <f t="shared" si="638"/>
        <v>Sweden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Netherlands</v>
      </c>
      <c r="HX43" s="231">
        <f t="shared" si="77"/>
        <v>38</v>
      </c>
      <c r="HY43" s="230" t="str">
        <f t="shared" si="642"/>
        <v>Sweden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Netherlands</v>
      </c>
      <c r="IK43" s="231">
        <f t="shared" si="80"/>
        <v>38</v>
      </c>
      <c r="IL43" s="230" t="str">
        <f t="shared" si="646"/>
        <v>Sweden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Netherlands</v>
      </c>
      <c r="IX43" s="231">
        <f t="shared" si="83"/>
        <v>38</v>
      </c>
      <c r="IY43" s="230" t="str">
        <f t="shared" si="650"/>
        <v>Sweden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Netherlands</v>
      </c>
      <c r="JK43" s="231">
        <f t="shared" si="86"/>
        <v>38</v>
      </c>
      <c r="JL43" s="230" t="str">
        <f t="shared" si="654"/>
        <v>Sweden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Netherlands</v>
      </c>
      <c r="JX43" s="231">
        <f t="shared" si="89"/>
        <v>38</v>
      </c>
      <c r="JY43" s="230" t="str">
        <f t="shared" si="658"/>
        <v>Sweden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Netherlands</v>
      </c>
      <c r="KK43" s="231">
        <f t="shared" si="92"/>
        <v>38</v>
      </c>
      <c r="KL43" s="230" t="str">
        <f t="shared" si="662"/>
        <v>Sweden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Netherlands</v>
      </c>
      <c r="KX43" s="231">
        <f t="shared" si="95"/>
        <v>38</v>
      </c>
      <c r="KY43" s="230" t="str">
        <f t="shared" si="666"/>
        <v>Sweden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Netherlands</v>
      </c>
      <c r="LK43" s="231">
        <f t="shared" si="98"/>
        <v>38</v>
      </c>
      <c r="LL43" s="230" t="str">
        <f t="shared" si="670"/>
        <v>Sweden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Netherlands</v>
      </c>
      <c r="LX43" s="231">
        <f t="shared" si="101"/>
        <v>38</v>
      </c>
      <c r="LY43" s="230" t="str">
        <f t="shared" si="674"/>
        <v>Sweden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468"/>
        <v>44</v>
      </c>
      <c r="J44" s="230" t="str">
        <f t="shared" si="573"/>
        <v>Tunisia</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Tunisia</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Tunisia</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Tunisia</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Tunisia</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Tunisia</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Tunisia</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Tunisia</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Tunisia</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Tunisia</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Tunisia</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Tunisia</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Tunisia</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Tunisia</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Tunisia</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Tunisia</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Tunisia</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Tunisia</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Tunisia</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Tunisia</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Tunisia</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Tunisia</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Tunisia</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Tunisia</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Tunisia</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Tunisia</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t="str">
        <f>CalcF!$R$26</f>
        <v/>
      </c>
      <c r="G45" s="233" t="str">
        <f>CalcF!$S$26</f>
        <v/>
      </c>
      <c r="I45" s="229">
        <f t="shared" si="468"/>
        <v>18</v>
      </c>
      <c r="J45" s="230" t="str">
        <f t="shared" si="573"/>
        <v>Japan</v>
      </c>
      <c r="K45" s="231">
        <f t="shared" si="26"/>
        <v>38</v>
      </c>
      <c r="L45" s="230" t="str">
        <f t="shared" si="574"/>
        <v>Sweden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t="str">
        <f>CalcF!$R$27</f>
        <v/>
      </c>
      <c r="G46" s="233" t="str">
        <f>CalcF!$S$27</f>
        <v/>
      </c>
      <c r="I46" s="229">
        <f t="shared" si="468"/>
        <v>44</v>
      </c>
      <c r="J46" s="230" t="str">
        <f t="shared" si="573"/>
        <v>Tunisia</v>
      </c>
      <c r="K46" s="231">
        <f t="shared" si="26"/>
        <v>7</v>
      </c>
      <c r="L46" s="230" t="str">
        <f t="shared" si="574"/>
        <v>Netherlands</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Tunisia</v>
      </c>
      <c r="X46" s="231">
        <f t="shared" si="29"/>
        <v>7</v>
      </c>
      <c r="Y46" s="230" t="str">
        <f t="shared" si="578"/>
        <v>Netherlands</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Tunisia</v>
      </c>
      <c r="AK46" s="231">
        <f t="shared" si="32"/>
        <v>7</v>
      </c>
      <c r="AL46" s="230" t="str">
        <f t="shared" si="582"/>
        <v>Netherlands</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Tunisia</v>
      </c>
      <c r="AX46" s="231">
        <f t="shared" si="35"/>
        <v>7</v>
      </c>
      <c r="AY46" s="230" t="str">
        <f t="shared" si="586"/>
        <v>Netherlands</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Tunisia</v>
      </c>
      <c r="BK46" s="231">
        <f t="shared" si="38"/>
        <v>7</v>
      </c>
      <c r="BL46" s="230" t="str">
        <f t="shared" si="590"/>
        <v>Netherlands</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Tunisia</v>
      </c>
      <c r="BX46" s="231">
        <f t="shared" si="41"/>
        <v>7</v>
      </c>
      <c r="BY46" s="230" t="str">
        <f t="shared" si="594"/>
        <v>Netherlands</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Tunisia</v>
      </c>
      <c r="CK46" s="231">
        <f t="shared" si="44"/>
        <v>7</v>
      </c>
      <c r="CL46" s="230" t="str">
        <f t="shared" si="598"/>
        <v>Netherlands</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Tunisia</v>
      </c>
      <c r="CX46" s="231">
        <f t="shared" si="47"/>
        <v>7</v>
      </c>
      <c r="CY46" s="230" t="str">
        <f t="shared" si="602"/>
        <v>Netherlands</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Tunisia</v>
      </c>
      <c r="DK46" s="231">
        <f t="shared" si="50"/>
        <v>7</v>
      </c>
      <c r="DL46" s="230" t="str">
        <f t="shared" si="606"/>
        <v>Netherlands</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Tunisia</v>
      </c>
      <c r="DX46" s="231">
        <f t="shared" si="53"/>
        <v>7</v>
      </c>
      <c r="DY46" s="230" t="str">
        <f t="shared" si="610"/>
        <v>Netherlands</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Tunisia</v>
      </c>
      <c r="EK46" s="231">
        <f t="shared" si="56"/>
        <v>7</v>
      </c>
      <c r="EL46" s="230" t="str">
        <f t="shared" si="614"/>
        <v>Netherlands</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Tunisia</v>
      </c>
      <c r="EX46" s="231">
        <f t="shared" si="59"/>
        <v>7</v>
      </c>
      <c r="EY46" s="230" t="str">
        <f t="shared" si="618"/>
        <v>Netherlands</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Tunisia</v>
      </c>
      <c r="FK46" s="231">
        <f t="shared" si="62"/>
        <v>7</v>
      </c>
      <c r="FL46" s="230" t="str">
        <f t="shared" si="622"/>
        <v>Netherlands</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Tunisia</v>
      </c>
      <c r="FX46" s="231">
        <f t="shared" si="65"/>
        <v>7</v>
      </c>
      <c r="FY46" s="230" t="str">
        <f t="shared" si="626"/>
        <v>Netherlands</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Tunisia</v>
      </c>
      <c r="GK46" s="231">
        <f t="shared" si="68"/>
        <v>7</v>
      </c>
      <c r="GL46" s="230" t="str">
        <f t="shared" si="630"/>
        <v>Netherlands</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Tunisia</v>
      </c>
      <c r="GX46" s="231">
        <f t="shared" si="71"/>
        <v>7</v>
      </c>
      <c r="GY46" s="230" t="str">
        <f t="shared" si="634"/>
        <v>Netherlands</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Tunisia</v>
      </c>
      <c r="HK46" s="231">
        <f t="shared" si="74"/>
        <v>7</v>
      </c>
      <c r="HL46" s="230" t="str">
        <f t="shared" si="638"/>
        <v>Netherlands</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Tunisia</v>
      </c>
      <c r="HX46" s="231">
        <f t="shared" si="77"/>
        <v>7</v>
      </c>
      <c r="HY46" s="230" t="str">
        <f t="shared" si="642"/>
        <v>Netherlands</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Tunisia</v>
      </c>
      <c r="IK46" s="231">
        <f t="shared" si="80"/>
        <v>7</v>
      </c>
      <c r="IL46" s="230" t="str">
        <f t="shared" si="646"/>
        <v>Netherlands</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Tunisia</v>
      </c>
      <c r="IX46" s="231">
        <f t="shared" si="83"/>
        <v>7</v>
      </c>
      <c r="IY46" s="230" t="str">
        <f t="shared" si="650"/>
        <v>Netherlands</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Tunisia</v>
      </c>
      <c r="JK46" s="231">
        <f t="shared" si="86"/>
        <v>7</v>
      </c>
      <c r="JL46" s="230" t="str">
        <f t="shared" si="654"/>
        <v>Netherlands</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Tunisia</v>
      </c>
      <c r="JX46" s="231">
        <f t="shared" si="89"/>
        <v>7</v>
      </c>
      <c r="JY46" s="230" t="str">
        <f t="shared" si="658"/>
        <v>Netherlands</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Tunisia</v>
      </c>
      <c r="KK46" s="231">
        <f t="shared" si="92"/>
        <v>7</v>
      </c>
      <c r="KL46" s="230" t="str">
        <f t="shared" si="662"/>
        <v>Netherlands</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Tunisia</v>
      </c>
      <c r="KX46" s="231">
        <f t="shared" si="95"/>
        <v>7</v>
      </c>
      <c r="KY46" s="230" t="str">
        <f t="shared" si="666"/>
        <v>Netherlands</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Tunisia</v>
      </c>
      <c r="LK46" s="231">
        <f t="shared" si="98"/>
        <v>7</v>
      </c>
      <c r="LL46" s="230" t="str">
        <f t="shared" si="670"/>
        <v>Netherlands</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Tunisia</v>
      </c>
      <c r="LX46" s="231">
        <f t="shared" si="101"/>
        <v>7</v>
      </c>
      <c r="LY46" s="230" t="str">
        <f t="shared" si="674"/>
        <v>Netherlands</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468"/>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468"/>
        <v>9</v>
      </c>
      <c r="J48" s="230" t="str">
        <f t="shared" ref="J48:J53" si="677">$C48</f>
        <v>Belgium</v>
      </c>
      <c r="K48" s="231">
        <f t="shared" si="26"/>
        <v>29</v>
      </c>
      <c r="L48" s="230" t="str">
        <f t="shared" ref="L48:L53" si="678">$E48</f>
        <v>Egypt</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Belgium</v>
      </c>
      <c r="X48" s="231">
        <f t="shared" si="29"/>
        <v>29</v>
      </c>
      <c r="Y48" s="230" t="str">
        <f t="shared" ref="Y48:Y53" si="682">$E48</f>
        <v>Egypt</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Belgium</v>
      </c>
      <c r="AK48" s="231">
        <f t="shared" si="32"/>
        <v>29</v>
      </c>
      <c r="AL48" s="230" t="str">
        <f t="shared" ref="AL48:AL53" si="686">$E48</f>
        <v>Egypt</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Belgium</v>
      </c>
      <c r="AX48" s="231">
        <f t="shared" si="35"/>
        <v>29</v>
      </c>
      <c r="AY48" s="230" t="str">
        <f t="shared" ref="AY48:AY53" si="690">$E48</f>
        <v>Egypt</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Belgium</v>
      </c>
      <c r="BK48" s="231">
        <f t="shared" si="38"/>
        <v>29</v>
      </c>
      <c r="BL48" s="230" t="str">
        <f t="shared" ref="BL48:BL53" si="694">$E48</f>
        <v>Egypt</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Belgium</v>
      </c>
      <c r="BX48" s="231">
        <f t="shared" si="41"/>
        <v>29</v>
      </c>
      <c r="BY48" s="230" t="str">
        <f t="shared" ref="BY48:BY53" si="698">$E48</f>
        <v>Egypt</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Belgium</v>
      </c>
      <c r="CK48" s="231">
        <f t="shared" si="44"/>
        <v>29</v>
      </c>
      <c r="CL48" s="230" t="str">
        <f t="shared" ref="CL48:CL53" si="702">$E48</f>
        <v>Egypt</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Belgium</v>
      </c>
      <c r="CX48" s="231">
        <f t="shared" si="47"/>
        <v>29</v>
      </c>
      <c r="CY48" s="230" t="str">
        <f t="shared" ref="CY48:CY53" si="706">$E48</f>
        <v>Egypt</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Belgium</v>
      </c>
      <c r="DK48" s="231">
        <f t="shared" si="50"/>
        <v>29</v>
      </c>
      <c r="DL48" s="230" t="str">
        <f t="shared" ref="DL48:DL53" si="710">$E48</f>
        <v>Egypt</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Belgium</v>
      </c>
      <c r="DX48" s="231">
        <f t="shared" si="53"/>
        <v>29</v>
      </c>
      <c r="DY48" s="230" t="str">
        <f t="shared" ref="DY48:DY53" si="714">$E48</f>
        <v>Egypt</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Belgium</v>
      </c>
      <c r="EK48" s="231">
        <f t="shared" si="56"/>
        <v>29</v>
      </c>
      <c r="EL48" s="230" t="str">
        <f t="shared" ref="EL48:EL53" si="718">$E48</f>
        <v>Egypt</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Belgium</v>
      </c>
      <c r="EX48" s="231">
        <f t="shared" si="59"/>
        <v>29</v>
      </c>
      <c r="EY48" s="230" t="str">
        <f t="shared" ref="EY48:EY53" si="722">$E48</f>
        <v>Egypt</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Belgium</v>
      </c>
      <c r="FK48" s="231">
        <f t="shared" si="62"/>
        <v>29</v>
      </c>
      <c r="FL48" s="230" t="str">
        <f t="shared" ref="FL48:FL53" si="726">$E48</f>
        <v>Egypt</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Belgium</v>
      </c>
      <c r="FX48" s="231">
        <f t="shared" si="65"/>
        <v>29</v>
      </c>
      <c r="FY48" s="230" t="str">
        <f t="shared" ref="FY48:FY53" si="730">$E48</f>
        <v>Egypt</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Belgium</v>
      </c>
      <c r="GK48" s="231">
        <f t="shared" si="68"/>
        <v>29</v>
      </c>
      <c r="GL48" s="230" t="str">
        <f t="shared" ref="GL48:GL53" si="734">$E48</f>
        <v>Egypt</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Belgium</v>
      </c>
      <c r="GX48" s="231">
        <f t="shared" si="71"/>
        <v>29</v>
      </c>
      <c r="GY48" s="230" t="str">
        <f t="shared" ref="GY48:GY53" si="738">$E48</f>
        <v>Egypt</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Belgium</v>
      </c>
      <c r="HK48" s="231">
        <f t="shared" si="74"/>
        <v>29</v>
      </c>
      <c r="HL48" s="230" t="str">
        <f t="shared" ref="HL48:HL53" si="742">$E48</f>
        <v>Egypt</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Belgium</v>
      </c>
      <c r="HX48" s="231">
        <f t="shared" si="77"/>
        <v>29</v>
      </c>
      <c r="HY48" s="230" t="str">
        <f t="shared" ref="HY48:HY53" si="746">$E48</f>
        <v>Egypt</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Belgium</v>
      </c>
      <c r="IK48" s="231">
        <f t="shared" si="80"/>
        <v>29</v>
      </c>
      <c r="IL48" s="230" t="str">
        <f t="shared" ref="IL48:IL53" si="750">$E48</f>
        <v>Egypt</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Belgium</v>
      </c>
      <c r="IX48" s="231">
        <f t="shared" si="83"/>
        <v>29</v>
      </c>
      <c r="IY48" s="230" t="str">
        <f t="shared" ref="IY48:IY53" si="754">$E48</f>
        <v>Egypt</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Belgium</v>
      </c>
      <c r="JK48" s="231">
        <f t="shared" si="86"/>
        <v>29</v>
      </c>
      <c r="JL48" s="230" t="str">
        <f t="shared" ref="JL48:JL53" si="758">$E48</f>
        <v>Egypt</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Belgium</v>
      </c>
      <c r="JX48" s="231">
        <f t="shared" si="89"/>
        <v>29</v>
      </c>
      <c r="JY48" s="230" t="str">
        <f t="shared" ref="JY48:JY53" si="762">$E48</f>
        <v>Egypt</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Belgium</v>
      </c>
      <c r="KK48" s="231">
        <f t="shared" si="92"/>
        <v>29</v>
      </c>
      <c r="KL48" s="230" t="str">
        <f t="shared" ref="KL48:KL53" si="766">$E48</f>
        <v>Egypt</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Belgium</v>
      </c>
      <c r="KX48" s="231">
        <f t="shared" si="95"/>
        <v>29</v>
      </c>
      <c r="KY48" s="230" t="str">
        <f t="shared" ref="KY48:KY53" si="770">$E48</f>
        <v>Egypt</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Belgium</v>
      </c>
      <c r="LK48" s="231">
        <f t="shared" si="98"/>
        <v>29</v>
      </c>
      <c r="LL48" s="230" t="str">
        <f t="shared" ref="LL48:LL53" si="774">$E48</f>
        <v>Egypt</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Belgium</v>
      </c>
      <c r="LX48" s="231">
        <f t="shared" si="101"/>
        <v>29</v>
      </c>
      <c r="LY48" s="230" t="str">
        <f t="shared" ref="LY48:LY53" si="778">$E48</f>
        <v>Egypt</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468"/>
        <v>21</v>
      </c>
      <c r="J49" s="230" t="str">
        <f t="shared" si="677"/>
        <v>IR Iran</v>
      </c>
      <c r="K49" s="231">
        <f t="shared" si="26"/>
        <v>85</v>
      </c>
      <c r="L49" s="230" t="str">
        <f t="shared" si="678"/>
        <v>New Zealand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New Zealand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New Zealand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New Zealand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New Zealand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New Zealand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New Zealand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New Zealand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New Zealand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New Zealand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New Zealand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New Zealand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New Zealand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New Zealand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New Zealand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New Zealand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New Zealand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New Zealand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New Zealand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New Zealand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New Zealand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New Zealand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New Zealand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New Zealand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New Zealand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New Zealand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468"/>
        <v>9</v>
      </c>
      <c r="J50" s="230" t="str">
        <f t="shared" si="677"/>
        <v>Belgium</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Belgium</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Belgium</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Belgium</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Belgium</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Belgium</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Belgium</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Belgium</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Belgium</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Belgium</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Belgium</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Belgium</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Belgium</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Belgium</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Belgium</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Belgium</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Belgium</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Belgium</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Belgium</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Belgium</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Belgium</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Belgium</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Belgium</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Belgium</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Belgium</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Belgium</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468"/>
        <v>85</v>
      </c>
      <c r="J51" s="230" t="str">
        <f t="shared" si="677"/>
        <v>New Zealand</v>
      </c>
      <c r="K51" s="231">
        <f t="shared" si="26"/>
        <v>29</v>
      </c>
      <c r="L51" s="230" t="str">
        <f t="shared" si="678"/>
        <v>Egypt</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New Zealand</v>
      </c>
      <c r="X51" s="231">
        <f t="shared" si="29"/>
        <v>29</v>
      </c>
      <c r="Y51" s="230" t="str">
        <f t="shared" si="682"/>
        <v>Egypt</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New Zealand</v>
      </c>
      <c r="AK51" s="231">
        <f t="shared" si="32"/>
        <v>29</v>
      </c>
      <c r="AL51" s="230" t="str">
        <f t="shared" si="686"/>
        <v>Egypt</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New Zealand</v>
      </c>
      <c r="AX51" s="231">
        <f t="shared" si="35"/>
        <v>29</v>
      </c>
      <c r="AY51" s="230" t="str">
        <f t="shared" si="690"/>
        <v>Egypt</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New Zealand</v>
      </c>
      <c r="BK51" s="231">
        <f t="shared" si="38"/>
        <v>29</v>
      </c>
      <c r="BL51" s="230" t="str">
        <f t="shared" si="694"/>
        <v>Egypt</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New Zealand</v>
      </c>
      <c r="BX51" s="231">
        <f t="shared" si="41"/>
        <v>29</v>
      </c>
      <c r="BY51" s="230" t="str">
        <f t="shared" si="698"/>
        <v>Egypt</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New Zealand</v>
      </c>
      <c r="CK51" s="231">
        <f t="shared" si="44"/>
        <v>29</v>
      </c>
      <c r="CL51" s="230" t="str">
        <f t="shared" si="702"/>
        <v>Egypt</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New Zealand</v>
      </c>
      <c r="CX51" s="231">
        <f t="shared" si="47"/>
        <v>29</v>
      </c>
      <c r="CY51" s="230" t="str">
        <f t="shared" si="706"/>
        <v>Egypt</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New Zealand</v>
      </c>
      <c r="DK51" s="231">
        <f t="shared" si="50"/>
        <v>29</v>
      </c>
      <c r="DL51" s="230" t="str">
        <f t="shared" si="710"/>
        <v>Egypt</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New Zealand</v>
      </c>
      <c r="DX51" s="231">
        <f t="shared" si="53"/>
        <v>29</v>
      </c>
      <c r="DY51" s="230" t="str">
        <f t="shared" si="714"/>
        <v>Egypt</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New Zealand</v>
      </c>
      <c r="EK51" s="231">
        <f t="shared" si="56"/>
        <v>29</v>
      </c>
      <c r="EL51" s="230" t="str">
        <f t="shared" si="718"/>
        <v>Egypt</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New Zealand</v>
      </c>
      <c r="EX51" s="231">
        <f t="shared" si="59"/>
        <v>29</v>
      </c>
      <c r="EY51" s="230" t="str">
        <f t="shared" si="722"/>
        <v>Egypt</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New Zealand</v>
      </c>
      <c r="FK51" s="231">
        <f t="shared" si="62"/>
        <v>29</v>
      </c>
      <c r="FL51" s="230" t="str">
        <f t="shared" si="726"/>
        <v>Egypt</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New Zealand</v>
      </c>
      <c r="FX51" s="231">
        <f t="shared" si="65"/>
        <v>29</v>
      </c>
      <c r="FY51" s="230" t="str">
        <f t="shared" si="730"/>
        <v>Egypt</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New Zealand</v>
      </c>
      <c r="GK51" s="231">
        <f t="shared" si="68"/>
        <v>29</v>
      </c>
      <c r="GL51" s="230" t="str">
        <f t="shared" si="734"/>
        <v>Egypt</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New Zealand</v>
      </c>
      <c r="GX51" s="231">
        <f t="shared" si="71"/>
        <v>29</v>
      </c>
      <c r="GY51" s="230" t="str">
        <f t="shared" si="738"/>
        <v>Egypt</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New Zealand</v>
      </c>
      <c r="HK51" s="231">
        <f t="shared" si="74"/>
        <v>29</v>
      </c>
      <c r="HL51" s="230" t="str">
        <f t="shared" si="742"/>
        <v>Egypt</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New Zealand</v>
      </c>
      <c r="HX51" s="231">
        <f t="shared" si="77"/>
        <v>29</v>
      </c>
      <c r="HY51" s="230" t="str">
        <f t="shared" si="746"/>
        <v>Egypt</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New Zealand</v>
      </c>
      <c r="IK51" s="231">
        <f t="shared" si="80"/>
        <v>29</v>
      </c>
      <c r="IL51" s="230" t="str">
        <f t="shared" si="750"/>
        <v>Egypt</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New Zealand</v>
      </c>
      <c r="IX51" s="231">
        <f t="shared" si="83"/>
        <v>29</v>
      </c>
      <c r="IY51" s="230" t="str">
        <f t="shared" si="754"/>
        <v>Egypt</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New Zealand</v>
      </c>
      <c r="JK51" s="231">
        <f t="shared" si="86"/>
        <v>29</v>
      </c>
      <c r="JL51" s="230" t="str">
        <f t="shared" si="758"/>
        <v>Egypt</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New Zealand</v>
      </c>
      <c r="JX51" s="231">
        <f t="shared" si="89"/>
        <v>29</v>
      </c>
      <c r="JY51" s="230" t="str">
        <f t="shared" si="762"/>
        <v>Egypt</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New Zealand</v>
      </c>
      <c r="KK51" s="231">
        <f t="shared" si="92"/>
        <v>29</v>
      </c>
      <c r="KL51" s="230" t="str">
        <f t="shared" si="766"/>
        <v>Egypt</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New Zealand</v>
      </c>
      <c r="KX51" s="231">
        <f t="shared" si="95"/>
        <v>29</v>
      </c>
      <c r="KY51" s="230" t="str">
        <f t="shared" si="770"/>
        <v>Egypt</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New Zealand</v>
      </c>
      <c r="LK51" s="231">
        <f t="shared" si="98"/>
        <v>29</v>
      </c>
      <c r="LL51" s="230" t="str">
        <f t="shared" si="774"/>
        <v>Egypt</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New Zealand</v>
      </c>
      <c r="LX51" s="231">
        <f t="shared" si="101"/>
        <v>29</v>
      </c>
      <c r="LY51" s="230" t="str">
        <f t="shared" si="778"/>
        <v>Egypt</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t="str">
        <f>CalcG!$R$26</f>
        <v/>
      </c>
      <c r="G52" s="233" t="str">
        <f>CalcG!$S$26</f>
        <v/>
      </c>
      <c r="I52" s="229">
        <f t="shared" si="468"/>
        <v>29</v>
      </c>
      <c r="J52" s="230" t="str">
        <f t="shared" si="677"/>
        <v>Egypt</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Egypt</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Egypt</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Egypt</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Egypt</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Egypt</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Egypt</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Egypt</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Egypt</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Egypt</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Egypt</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Egypt</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Egypt</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Egypt</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Egypt</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Egypt</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Egypt</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Egypt</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Egypt</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Egypt</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Egypt</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Egypt</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Egypt</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Egypt</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Egypt</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Egypt</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t="str">
        <f>CalcG!$R$27</f>
        <v/>
      </c>
      <c r="G53" s="233" t="str">
        <f>CalcG!$S$27</f>
        <v/>
      </c>
      <c r="I53" s="229">
        <f t="shared" si="468"/>
        <v>85</v>
      </c>
      <c r="J53" s="230" t="str">
        <f t="shared" si="677"/>
        <v>New Zealand</v>
      </c>
      <c r="K53" s="231">
        <f t="shared" si="26"/>
        <v>9</v>
      </c>
      <c r="L53" s="230" t="str">
        <f t="shared" si="678"/>
        <v>Belgium</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New Zealand</v>
      </c>
      <c r="X53" s="231">
        <f t="shared" si="29"/>
        <v>9</v>
      </c>
      <c r="Y53" s="230" t="str">
        <f t="shared" si="682"/>
        <v>Belgium</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New Zealand</v>
      </c>
      <c r="AK53" s="231">
        <f t="shared" si="32"/>
        <v>9</v>
      </c>
      <c r="AL53" s="230" t="str">
        <f t="shared" si="686"/>
        <v>Belgium</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New Zealand</v>
      </c>
      <c r="AX53" s="231">
        <f t="shared" si="35"/>
        <v>9</v>
      </c>
      <c r="AY53" s="230" t="str">
        <f t="shared" si="690"/>
        <v>Belgium</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New Zealand</v>
      </c>
      <c r="BK53" s="231">
        <f t="shared" si="38"/>
        <v>9</v>
      </c>
      <c r="BL53" s="230" t="str">
        <f t="shared" si="694"/>
        <v>Belgium</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New Zealand</v>
      </c>
      <c r="BX53" s="231">
        <f t="shared" si="41"/>
        <v>9</v>
      </c>
      <c r="BY53" s="230" t="str">
        <f t="shared" si="698"/>
        <v>Belgium</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New Zealand</v>
      </c>
      <c r="CK53" s="231">
        <f t="shared" si="44"/>
        <v>9</v>
      </c>
      <c r="CL53" s="230" t="str">
        <f t="shared" si="702"/>
        <v>Belgium</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New Zealand</v>
      </c>
      <c r="CX53" s="231">
        <f t="shared" si="47"/>
        <v>9</v>
      </c>
      <c r="CY53" s="230" t="str">
        <f t="shared" si="706"/>
        <v>Belgium</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New Zealand</v>
      </c>
      <c r="DK53" s="231">
        <f t="shared" si="50"/>
        <v>9</v>
      </c>
      <c r="DL53" s="230" t="str">
        <f t="shared" si="710"/>
        <v>Belgium</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New Zealand</v>
      </c>
      <c r="DX53" s="231">
        <f t="shared" si="53"/>
        <v>9</v>
      </c>
      <c r="DY53" s="230" t="str">
        <f t="shared" si="714"/>
        <v>Belgium</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New Zealand</v>
      </c>
      <c r="EK53" s="231">
        <f t="shared" si="56"/>
        <v>9</v>
      </c>
      <c r="EL53" s="230" t="str">
        <f t="shared" si="718"/>
        <v>Belgium</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New Zealand</v>
      </c>
      <c r="EX53" s="231">
        <f t="shared" si="59"/>
        <v>9</v>
      </c>
      <c r="EY53" s="230" t="str">
        <f t="shared" si="722"/>
        <v>Belgium</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New Zealand</v>
      </c>
      <c r="FK53" s="231">
        <f t="shared" si="62"/>
        <v>9</v>
      </c>
      <c r="FL53" s="230" t="str">
        <f t="shared" si="726"/>
        <v>Belgium</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New Zealand</v>
      </c>
      <c r="FX53" s="231">
        <f t="shared" si="65"/>
        <v>9</v>
      </c>
      <c r="FY53" s="230" t="str">
        <f t="shared" si="730"/>
        <v>Belgium</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New Zealand</v>
      </c>
      <c r="GK53" s="231">
        <f t="shared" si="68"/>
        <v>9</v>
      </c>
      <c r="GL53" s="230" t="str">
        <f t="shared" si="734"/>
        <v>Belgium</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New Zealand</v>
      </c>
      <c r="GX53" s="231">
        <f t="shared" si="71"/>
        <v>9</v>
      </c>
      <c r="GY53" s="230" t="str">
        <f t="shared" si="738"/>
        <v>Belgium</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New Zealand</v>
      </c>
      <c r="HK53" s="231">
        <f t="shared" si="74"/>
        <v>9</v>
      </c>
      <c r="HL53" s="230" t="str">
        <f t="shared" si="742"/>
        <v>Belgium</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New Zealand</v>
      </c>
      <c r="HX53" s="231">
        <f t="shared" si="77"/>
        <v>9</v>
      </c>
      <c r="HY53" s="230" t="str">
        <f t="shared" si="746"/>
        <v>Belgium</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New Zealand</v>
      </c>
      <c r="IK53" s="231">
        <f t="shared" si="80"/>
        <v>9</v>
      </c>
      <c r="IL53" s="230" t="str">
        <f t="shared" si="750"/>
        <v>Belgium</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New Zealand</v>
      </c>
      <c r="IX53" s="231">
        <f t="shared" si="83"/>
        <v>9</v>
      </c>
      <c r="IY53" s="230" t="str">
        <f t="shared" si="754"/>
        <v>Belgium</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New Zealand</v>
      </c>
      <c r="JK53" s="231">
        <f t="shared" si="86"/>
        <v>9</v>
      </c>
      <c r="JL53" s="230" t="str">
        <f t="shared" si="758"/>
        <v>Belgium</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New Zealand</v>
      </c>
      <c r="JX53" s="231">
        <f t="shared" si="89"/>
        <v>9</v>
      </c>
      <c r="JY53" s="230" t="str">
        <f t="shared" si="762"/>
        <v>Belgium</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New Zealand</v>
      </c>
      <c r="KK53" s="231">
        <f t="shared" si="92"/>
        <v>9</v>
      </c>
      <c r="KL53" s="230" t="str">
        <f t="shared" si="766"/>
        <v>Belgium</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New Zealand</v>
      </c>
      <c r="KX53" s="231">
        <f t="shared" si="95"/>
        <v>9</v>
      </c>
      <c r="KY53" s="230" t="str">
        <f t="shared" si="770"/>
        <v>Belgium</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New Zealand</v>
      </c>
      <c r="LK53" s="231">
        <f t="shared" si="98"/>
        <v>9</v>
      </c>
      <c r="LL53" s="230" t="str">
        <f t="shared" si="774"/>
        <v>Belgium</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New Zealand</v>
      </c>
      <c r="LX53" s="231">
        <f t="shared" si="101"/>
        <v>9</v>
      </c>
      <c r="LY53" s="230" t="str">
        <f t="shared" si="778"/>
        <v>Belgium</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468"/>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468"/>
        <v>2</v>
      </c>
      <c r="J55" s="230" t="str">
        <f t="shared" ref="J55:J60" si="781">$C55</f>
        <v>Spain</v>
      </c>
      <c r="K55" s="231">
        <f t="shared" si="26"/>
        <v>69</v>
      </c>
      <c r="L55" s="230" t="str">
        <f t="shared" ref="L55:L60" si="782">$E55</f>
        <v>Cabo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Spain</v>
      </c>
      <c r="X55" s="231">
        <f t="shared" si="29"/>
        <v>69</v>
      </c>
      <c r="Y55" s="230" t="str">
        <f t="shared" ref="Y55:Y60" si="786">$E55</f>
        <v>Cabo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Spain</v>
      </c>
      <c r="AK55" s="231">
        <f t="shared" si="32"/>
        <v>69</v>
      </c>
      <c r="AL55" s="230" t="str">
        <f t="shared" ref="AL55:AL60" si="790">$E55</f>
        <v>Cabo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Spain</v>
      </c>
      <c r="AX55" s="231">
        <f t="shared" si="35"/>
        <v>69</v>
      </c>
      <c r="AY55" s="230" t="str">
        <f t="shared" ref="AY55:AY60" si="794">$E55</f>
        <v>Cabo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Spain</v>
      </c>
      <c r="BK55" s="231">
        <f t="shared" si="38"/>
        <v>69</v>
      </c>
      <c r="BL55" s="230" t="str">
        <f t="shared" ref="BL55:BL60" si="798">$E55</f>
        <v>Cabo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Spain</v>
      </c>
      <c r="BX55" s="231">
        <f t="shared" si="41"/>
        <v>69</v>
      </c>
      <c r="BY55" s="230" t="str">
        <f t="shared" ref="BY55:BY60" si="802">$E55</f>
        <v>Cabo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Spain</v>
      </c>
      <c r="CK55" s="231">
        <f t="shared" si="44"/>
        <v>69</v>
      </c>
      <c r="CL55" s="230" t="str">
        <f t="shared" ref="CL55:CL60" si="806">$E55</f>
        <v>Cabo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Spain</v>
      </c>
      <c r="CX55" s="231">
        <f t="shared" si="47"/>
        <v>69</v>
      </c>
      <c r="CY55" s="230" t="str">
        <f t="shared" ref="CY55:CY60" si="810">$E55</f>
        <v>Cabo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Spain</v>
      </c>
      <c r="DK55" s="231">
        <f t="shared" si="50"/>
        <v>69</v>
      </c>
      <c r="DL55" s="230" t="str">
        <f t="shared" ref="DL55:DL60" si="814">$E55</f>
        <v>Cabo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Spain</v>
      </c>
      <c r="DX55" s="231">
        <f t="shared" si="53"/>
        <v>69</v>
      </c>
      <c r="DY55" s="230" t="str">
        <f t="shared" ref="DY55:DY60" si="818">$E55</f>
        <v>Cabo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Spain</v>
      </c>
      <c r="EK55" s="231">
        <f t="shared" si="56"/>
        <v>69</v>
      </c>
      <c r="EL55" s="230" t="str">
        <f t="shared" ref="EL55:EL60" si="822">$E55</f>
        <v>Cabo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Spain</v>
      </c>
      <c r="EX55" s="231">
        <f t="shared" si="59"/>
        <v>69</v>
      </c>
      <c r="EY55" s="230" t="str">
        <f t="shared" ref="EY55:EY60" si="826">$E55</f>
        <v>Cabo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Spain</v>
      </c>
      <c r="FK55" s="231">
        <f t="shared" si="62"/>
        <v>69</v>
      </c>
      <c r="FL55" s="230" t="str">
        <f t="shared" ref="FL55:FL60" si="830">$E55</f>
        <v>Cabo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Spain</v>
      </c>
      <c r="FX55" s="231">
        <f t="shared" si="65"/>
        <v>69</v>
      </c>
      <c r="FY55" s="230" t="str">
        <f t="shared" ref="FY55:FY60" si="834">$E55</f>
        <v>Cabo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Spain</v>
      </c>
      <c r="GK55" s="231">
        <f t="shared" si="68"/>
        <v>69</v>
      </c>
      <c r="GL55" s="230" t="str">
        <f t="shared" ref="GL55:GL60" si="838">$E55</f>
        <v>Cabo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Spain</v>
      </c>
      <c r="GX55" s="231">
        <f t="shared" si="71"/>
        <v>69</v>
      </c>
      <c r="GY55" s="230" t="str">
        <f t="shared" ref="GY55:GY60" si="842">$E55</f>
        <v>Cabo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Spain</v>
      </c>
      <c r="HK55" s="231">
        <f t="shared" si="74"/>
        <v>69</v>
      </c>
      <c r="HL55" s="230" t="str">
        <f t="shared" ref="HL55:HL60" si="846">$E55</f>
        <v>Cabo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Spain</v>
      </c>
      <c r="HX55" s="231">
        <f t="shared" si="77"/>
        <v>69</v>
      </c>
      <c r="HY55" s="230" t="str">
        <f t="shared" ref="HY55:HY60" si="850">$E55</f>
        <v>Cabo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Spain</v>
      </c>
      <c r="IK55" s="231">
        <f t="shared" si="80"/>
        <v>69</v>
      </c>
      <c r="IL55" s="230" t="str">
        <f t="shared" ref="IL55:IL60" si="854">$E55</f>
        <v>Cabo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Spain</v>
      </c>
      <c r="IX55" s="231">
        <f t="shared" si="83"/>
        <v>69</v>
      </c>
      <c r="IY55" s="230" t="str">
        <f t="shared" ref="IY55:IY60" si="858">$E55</f>
        <v>Cabo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Spain</v>
      </c>
      <c r="JK55" s="231">
        <f t="shared" si="86"/>
        <v>69</v>
      </c>
      <c r="JL55" s="230" t="str">
        <f t="shared" ref="JL55:JL60" si="862">$E55</f>
        <v>Cabo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Spain</v>
      </c>
      <c r="JX55" s="231">
        <f t="shared" si="89"/>
        <v>69</v>
      </c>
      <c r="JY55" s="230" t="str">
        <f t="shared" ref="JY55:JY60" si="866">$E55</f>
        <v>Cabo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Spain</v>
      </c>
      <c r="KK55" s="231">
        <f t="shared" si="92"/>
        <v>69</v>
      </c>
      <c r="KL55" s="230" t="str">
        <f t="shared" ref="KL55:KL60" si="870">$E55</f>
        <v>Cabo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Spain</v>
      </c>
      <c r="KX55" s="231">
        <f t="shared" si="95"/>
        <v>69</v>
      </c>
      <c r="KY55" s="230" t="str">
        <f t="shared" ref="KY55:KY60" si="874">$E55</f>
        <v>Cabo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Spain</v>
      </c>
      <c r="LK55" s="231">
        <f t="shared" si="98"/>
        <v>69</v>
      </c>
      <c r="LL55" s="230" t="str">
        <f t="shared" ref="LL55:LL60" si="878">$E55</f>
        <v>Cabo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Spain</v>
      </c>
      <c r="LX55" s="231">
        <f t="shared" si="101"/>
        <v>69</v>
      </c>
      <c r="LY55" s="230" t="str">
        <f t="shared" ref="LY55:LY60" si="882">$E55</f>
        <v>Cabo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468"/>
        <v>61</v>
      </c>
      <c r="J56" s="230" t="str">
        <f t="shared" si="781"/>
        <v>Saudi Arabia</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 Arabia</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 Arabia</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 Arabia</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 Arabia</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 Arabia</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 Arabia</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 Arabia</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 Arabia</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 Arabia</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 Arabia</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 Arabia</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 Arabia</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 Arabia</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 Arabia</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 Arabia</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 Arabia</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 Arabia</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 Arabia</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 Arabia</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 Arabia</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 Arabia</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 Arabia</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 Arabia</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 Arabia</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 Arabia</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468"/>
        <v>2</v>
      </c>
      <c r="J57" s="230" t="str">
        <f t="shared" si="781"/>
        <v>Spain</v>
      </c>
      <c r="K57" s="231">
        <f t="shared" si="26"/>
        <v>61</v>
      </c>
      <c r="L57" s="230" t="str">
        <f t="shared" si="782"/>
        <v>Saudi Arabia</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Spain</v>
      </c>
      <c r="X57" s="231">
        <f t="shared" si="29"/>
        <v>61</v>
      </c>
      <c r="Y57" s="230" t="str">
        <f t="shared" si="786"/>
        <v>Saudi Arabia</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Spain</v>
      </c>
      <c r="AK57" s="231">
        <f t="shared" si="32"/>
        <v>61</v>
      </c>
      <c r="AL57" s="230" t="str">
        <f t="shared" si="790"/>
        <v>Saudi Arabia</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Spain</v>
      </c>
      <c r="AX57" s="231">
        <f t="shared" si="35"/>
        <v>61</v>
      </c>
      <c r="AY57" s="230" t="str">
        <f t="shared" si="794"/>
        <v>Saudi Arabia</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Spain</v>
      </c>
      <c r="BK57" s="231">
        <f t="shared" si="38"/>
        <v>61</v>
      </c>
      <c r="BL57" s="230" t="str">
        <f t="shared" si="798"/>
        <v>Saudi Arabia</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Spain</v>
      </c>
      <c r="BX57" s="231">
        <f t="shared" si="41"/>
        <v>61</v>
      </c>
      <c r="BY57" s="230" t="str">
        <f t="shared" si="802"/>
        <v>Saudi Arabia</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Spain</v>
      </c>
      <c r="CK57" s="231">
        <f t="shared" si="44"/>
        <v>61</v>
      </c>
      <c r="CL57" s="230" t="str">
        <f t="shared" si="806"/>
        <v>Saudi Arabia</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Spain</v>
      </c>
      <c r="CX57" s="231">
        <f t="shared" si="47"/>
        <v>61</v>
      </c>
      <c r="CY57" s="230" t="str">
        <f t="shared" si="810"/>
        <v>Saudi Arabia</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Spain</v>
      </c>
      <c r="DK57" s="231">
        <f t="shared" si="50"/>
        <v>61</v>
      </c>
      <c r="DL57" s="230" t="str">
        <f t="shared" si="814"/>
        <v>Saudi Arabia</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Spain</v>
      </c>
      <c r="DX57" s="231">
        <f t="shared" si="53"/>
        <v>61</v>
      </c>
      <c r="DY57" s="230" t="str">
        <f t="shared" si="818"/>
        <v>Saudi Arabia</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Spain</v>
      </c>
      <c r="EK57" s="231">
        <f t="shared" si="56"/>
        <v>61</v>
      </c>
      <c r="EL57" s="230" t="str">
        <f t="shared" si="822"/>
        <v>Saudi Arabia</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Spain</v>
      </c>
      <c r="EX57" s="231">
        <f t="shared" si="59"/>
        <v>61</v>
      </c>
      <c r="EY57" s="230" t="str">
        <f t="shared" si="826"/>
        <v>Saudi Arabia</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Spain</v>
      </c>
      <c r="FK57" s="231">
        <f t="shared" si="62"/>
        <v>61</v>
      </c>
      <c r="FL57" s="230" t="str">
        <f t="shared" si="830"/>
        <v>Saudi Arabia</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Spain</v>
      </c>
      <c r="FX57" s="231">
        <f t="shared" si="65"/>
        <v>61</v>
      </c>
      <c r="FY57" s="230" t="str">
        <f t="shared" si="834"/>
        <v>Saudi Arabia</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Spain</v>
      </c>
      <c r="GK57" s="231">
        <f t="shared" si="68"/>
        <v>61</v>
      </c>
      <c r="GL57" s="230" t="str">
        <f t="shared" si="838"/>
        <v>Saudi Arabia</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Spain</v>
      </c>
      <c r="GX57" s="231">
        <f t="shared" si="71"/>
        <v>61</v>
      </c>
      <c r="GY57" s="230" t="str">
        <f t="shared" si="842"/>
        <v>Saudi Arabia</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Spain</v>
      </c>
      <c r="HK57" s="231">
        <f t="shared" si="74"/>
        <v>61</v>
      </c>
      <c r="HL57" s="230" t="str">
        <f t="shared" si="846"/>
        <v>Saudi Arabia</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Spain</v>
      </c>
      <c r="HX57" s="231">
        <f t="shared" si="77"/>
        <v>61</v>
      </c>
      <c r="HY57" s="230" t="str">
        <f t="shared" si="850"/>
        <v>Saudi Arabia</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Spain</v>
      </c>
      <c r="IK57" s="231">
        <f t="shared" si="80"/>
        <v>61</v>
      </c>
      <c r="IL57" s="230" t="str">
        <f t="shared" si="854"/>
        <v>Saudi Arabia</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Spain</v>
      </c>
      <c r="IX57" s="231">
        <f t="shared" si="83"/>
        <v>61</v>
      </c>
      <c r="IY57" s="230" t="str">
        <f t="shared" si="858"/>
        <v>Saudi Arabia</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Spain</v>
      </c>
      <c r="JK57" s="231">
        <f t="shared" si="86"/>
        <v>61</v>
      </c>
      <c r="JL57" s="230" t="str">
        <f t="shared" si="862"/>
        <v>Saudi Arabia</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Spain</v>
      </c>
      <c r="JX57" s="231">
        <f t="shared" si="89"/>
        <v>61</v>
      </c>
      <c r="JY57" s="230" t="str">
        <f t="shared" si="866"/>
        <v>Saudi Arabia</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Spain</v>
      </c>
      <c r="KK57" s="231">
        <f t="shared" si="92"/>
        <v>61</v>
      </c>
      <c r="KL57" s="230" t="str">
        <f t="shared" si="870"/>
        <v>Saudi Arabia</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Spain</v>
      </c>
      <c r="KX57" s="231">
        <f t="shared" si="95"/>
        <v>61</v>
      </c>
      <c r="KY57" s="230" t="str">
        <f t="shared" si="874"/>
        <v>Saudi Arabia</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Spain</v>
      </c>
      <c r="LK57" s="231">
        <f t="shared" si="98"/>
        <v>61</v>
      </c>
      <c r="LL57" s="230" t="str">
        <f t="shared" si="878"/>
        <v>Saudi Arabia</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Spain</v>
      </c>
      <c r="LX57" s="231">
        <f t="shared" si="101"/>
        <v>61</v>
      </c>
      <c r="LY57" s="230" t="str">
        <f t="shared" si="882"/>
        <v>Saudi Arabia</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468"/>
        <v>17</v>
      </c>
      <c r="J58" s="230" t="str">
        <f t="shared" si="781"/>
        <v>Uruguay</v>
      </c>
      <c r="K58" s="231">
        <f t="shared" si="26"/>
        <v>69</v>
      </c>
      <c r="L58" s="230" t="str">
        <f t="shared" si="782"/>
        <v>Cabo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Cabo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Cabo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Cabo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Cabo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Cabo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Cabo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Cabo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Cabo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Cabo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Cabo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Cabo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Cabo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Cabo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Cabo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Cabo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Cabo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Cabo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Cabo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Cabo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Cabo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Cabo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Cabo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Cabo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Cabo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Cabo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t="str">
        <f>CalcH!$R$26</f>
        <v/>
      </c>
      <c r="G59" s="233" t="str">
        <f>CalcH!$S$26</f>
        <v/>
      </c>
      <c r="I59" s="229">
        <f t="shared" si="468"/>
        <v>69</v>
      </c>
      <c r="J59" s="230" t="str">
        <f t="shared" si="781"/>
        <v>Cabo Verde</v>
      </c>
      <c r="K59" s="231">
        <f t="shared" si="26"/>
        <v>61</v>
      </c>
      <c r="L59" s="230" t="str">
        <f t="shared" si="782"/>
        <v>Saudi Arabia</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Cabo Verde</v>
      </c>
      <c r="X59" s="231">
        <f t="shared" si="29"/>
        <v>61</v>
      </c>
      <c r="Y59" s="230" t="str">
        <f t="shared" si="786"/>
        <v>Saudi Arabia</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Cabo Verde</v>
      </c>
      <c r="AK59" s="231">
        <f t="shared" si="32"/>
        <v>61</v>
      </c>
      <c r="AL59" s="230" t="str">
        <f t="shared" si="790"/>
        <v>Saudi Arabia</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Cabo Verde</v>
      </c>
      <c r="AX59" s="231">
        <f t="shared" si="35"/>
        <v>61</v>
      </c>
      <c r="AY59" s="230" t="str">
        <f t="shared" si="794"/>
        <v>Saudi Arabia</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Cabo Verde</v>
      </c>
      <c r="BK59" s="231">
        <f t="shared" si="38"/>
        <v>61</v>
      </c>
      <c r="BL59" s="230" t="str">
        <f t="shared" si="798"/>
        <v>Saudi Arabia</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Cabo Verde</v>
      </c>
      <c r="BX59" s="231">
        <f t="shared" si="41"/>
        <v>61</v>
      </c>
      <c r="BY59" s="230" t="str">
        <f t="shared" si="802"/>
        <v>Saudi Arabia</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Cabo Verde</v>
      </c>
      <c r="CK59" s="231">
        <f t="shared" si="44"/>
        <v>61</v>
      </c>
      <c r="CL59" s="230" t="str">
        <f t="shared" si="806"/>
        <v>Saudi Arabia</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Cabo Verde</v>
      </c>
      <c r="CX59" s="231">
        <f t="shared" si="47"/>
        <v>61</v>
      </c>
      <c r="CY59" s="230" t="str">
        <f t="shared" si="810"/>
        <v>Saudi Arabia</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Cabo Verde</v>
      </c>
      <c r="DK59" s="231">
        <f t="shared" si="50"/>
        <v>61</v>
      </c>
      <c r="DL59" s="230" t="str">
        <f t="shared" si="814"/>
        <v>Saudi Arabia</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Cabo Verde</v>
      </c>
      <c r="DX59" s="231">
        <f t="shared" si="53"/>
        <v>61</v>
      </c>
      <c r="DY59" s="230" t="str">
        <f t="shared" si="818"/>
        <v>Saudi Arabia</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Cabo Verde</v>
      </c>
      <c r="EK59" s="231">
        <f t="shared" si="56"/>
        <v>61</v>
      </c>
      <c r="EL59" s="230" t="str">
        <f t="shared" si="822"/>
        <v>Saudi Arabia</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Cabo Verde</v>
      </c>
      <c r="EX59" s="231">
        <f t="shared" si="59"/>
        <v>61</v>
      </c>
      <c r="EY59" s="230" t="str">
        <f t="shared" si="826"/>
        <v>Saudi Arabia</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Cabo Verde</v>
      </c>
      <c r="FK59" s="231">
        <f t="shared" si="62"/>
        <v>61</v>
      </c>
      <c r="FL59" s="230" t="str">
        <f t="shared" si="830"/>
        <v>Saudi Arabia</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Cabo Verde</v>
      </c>
      <c r="FX59" s="231">
        <f t="shared" si="65"/>
        <v>61</v>
      </c>
      <c r="FY59" s="230" t="str">
        <f t="shared" si="834"/>
        <v>Saudi Arabia</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Cabo Verde</v>
      </c>
      <c r="GK59" s="231">
        <f t="shared" si="68"/>
        <v>61</v>
      </c>
      <c r="GL59" s="230" t="str">
        <f t="shared" si="838"/>
        <v>Saudi Arabia</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Cabo Verde</v>
      </c>
      <c r="GX59" s="231">
        <f t="shared" si="71"/>
        <v>61</v>
      </c>
      <c r="GY59" s="230" t="str">
        <f t="shared" si="842"/>
        <v>Saudi Arabia</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Cabo Verde</v>
      </c>
      <c r="HK59" s="231">
        <f t="shared" si="74"/>
        <v>61</v>
      </c>
      <c r="HL59" s="230" t="str">
        <f t="shared" si="846"/>
        <v>Saudi Arabia</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Cabo Verde</v>
      </c>
      <c r="HX59" s="231">
        <f t="shared" si="77"/>
        <v>61</v>
      </c>
      <c r="HY59" s="230" t="str">
        <f t="shared" si="850"/>
        <v>Saudi Arabia</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Cabo Verde</v>
      </c>
      <c r="IK59" s="231">
        <f t="shared" si="80"/>
        <v>61</v>
      </c>
      <c r="IL59" s="230" t="str">
        <f t="shared" si="854"/>
        <v>Saudi Arabia</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Cabo Verde</v>
      </c>
      <c r="IX59" s="231">
        <f t="shared" si="83"/>
        <v>61</v>
      </c>
      <c r="IY59" s="230" t="str">
        <f t="shared" si="858"/>
        <v>Saudi Arabia</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Cabo Verde</v>
      </c>
      <c r="JK59" s="231">
        <f t="shared" si="86"/>
        <v>61</v>
      </c>
      <c r="JL59" s="230" t="str">
        <f t="shared" si="862"/>
        <v>Saudi Arabia</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Cabo Verde</v>
      </c>
      <c r="JX59" s="231">
        <f t="shared" si="89"/>
        <v>61</v>
      </c>
      <c r="JY59" s="230" t="str">
        <f t="shared" si="866"/>
        <v>Saudi Arabia</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Cabo Verde</v>
      </c>
      <c r="KK59" s="231">
        <f t="shared" si="92"/>
        <v>61</v>
      </c>
      <c r="KL59" s="230" t="str">
        <f t="shared" si="870"/>
        <v>Saudi Arabia</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Cabo Verde</v>
      </c>
      <c r="KX59" s="231">
        <f t="shared" si="95"/>
        <v>61</v>
      </c>
      <c r="KY59" s="230" t="str">
        <f t="shared" si="874"/>
        <v>Saudi Arabia</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Cabo Verde</v>
      </c>
      <c r="LK59" s="231">
        <f t="shared" si="98"/>
        <v>61</v>
      </c>
      <c r="LL59" s="230" t="str">
        <f t="shared" si="878"/>
        <v>Saudi Arabia</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Cabo Verde</v>
      </c>
      <c r="LX59" s="231">
        <f t="shared" si="101"/>
        <v>61</v>
      </c>
      <c r="LY59" s="230" t="str">
        <f t="shared" si="882"/>
        <v>Saudi Arabia</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t="str">
        <f>CalcH!$R$27</f>
        <v/>
      </c>
      <c r="G60" s="233" t="str">
        <f>CalcH!$S$27</f>
        <v/>
      </c>
      <c r="I60" s="229">
        <f t="shared" si="468"/>
        <v>17</v>
      </c>
      <c r="J60" s="230" t="str">
        <f t="shared" si="781"/>
        <v>Uruguay</v>
      </c>
      <c r="K60" s="231">
        <f t="shared" si="26"/>
        <v>2</v>
      </c>
      <c r="L60" s="230" t="str">
        <f t="shared" si="782"/>
        <v>Spain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Spain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Spain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Spain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Spain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Spain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Spain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Spain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Spain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Spain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Spain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Spain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Spain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Spain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Spain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Spain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Spain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Spain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Spain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Spain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Spain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Spain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Spain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Spain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Spain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Spain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468"/>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468"/>
        <v>1</v>
      </c>
      <c r="J62" s="230" t="str">
        <f t="shared" ref="J62:J67" si="885">$C62</f>
        <v>France</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France</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France</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France</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France</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France</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France</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France</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France</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France</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France</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France</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France</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France</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France</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France</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France</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France</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France</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France</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France</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France</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France</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France</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France</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France</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468"/>
        <v>57</v>
      </c>
      <c r="J63" s="230" t="str">
        <f t="shared" si="885"/>
        <v>Iraq</v>
      </c>
      <c r="K63" s="231">
        <f t="shared" si="26"/>
        <v>31</v>
      </c>
      <c r="L63" s="230" t="str">
        <f t="shared" si="886"/>
        <v>Norway</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Iraq</v>
      </c>
      <c r="X63" s="231">
        <f t="shared" si="29"/>
        <v>31</v>
      </c>
      <c r="Y63" s="230" t="str">
        <f t="shared" si="890"/>
        <v>Norway</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Iraq</v>
      </c>
      <c r="AK63" s="231">
        <f t="shared" si="32"/>
        <v>31</v>
      </c>
      <c r="AL63" s="230" t="str">
        <f t="shared" si="894"/>
        <v>Norway</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Iraq</v>
      </c>
      <c r="AX63" s="231">
        <f t="shared" si="35"/>
        <v>31</v>
      </c>
      <c r="AY63" s="230" t="str">
        <f t="shared" si="898"/>
        <v>Norway</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Iraq</v>
      </c>
      <c r="BK63" s="231">
        <f t="shared" si="38"/>
        <v>31</v>
      </c>
      <c r="BL63" s="230" t="str">
        <f t="shared" si="902"/>
        <v>Norway</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Iraq</v>
      </c>
      <c r="BX63" s="231">
        <f t="shared" si="41"/>
        <v>31</v>
      </c>
      <c r="BY63" s="230" t="str">
        <f t="shared" si="906"/>
        <v>Norway</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Iraq</v>
      </c>
      <c r="CK63" s="231">
        <f t="shared" si="44"/>
        <v>31</v>
      </c>
      <c r="CL63" s="230" t="str">
        <f t="shared" si="910"/>
        <v>Norway</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Iraq</v>
      </c>
      <c r="CX63" s="231">
        <f t="shared" si="47"/>
        <v>31</v>
      </c>
      <c r="CY63" s="230" t="str">
        <f t="shared" si="914"/>
        <v>Norway</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Iraq</v>
      </c>
      <c r="DK63" s="231">
        <f t="shared" si="50"/>
        <v>31</v>
      </c>
      <c r="DL63" s="230" t="str">
        <f t="shared" si="918"/>
        <v>Norway</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Iraq</v>
      </c>
      <c r="DX63" s="231">
        <f t="shared" si="53"/>
        <v>31</v>
      </c>
      <c r="DY63" s="230" t="str">
        <f t="shared" si="922"/>
        <v>Norway</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Iraq</v>
      </c>
      <c r="EK63" s="231">
        <f t="shared" si="56"/>
        <v>31</v>
      </c>
      <c r="EL63" s="230" t="str">
        <f t="shared" si="926"/>
        <v>Norway</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Iraq</v>
      </c>
      <c r="EX63" s="231">
        <f t="shared" si="59"/>
        <v>31</v>
      </c>
      <c r="EY63" s="230" t="str">
        <f t="shared" si="930"/>
        <v>Norway</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Iraq</v>
      </c>
      <c r="FK63" s="231">
        <f t="shared" si="62"/>
        <v>31</v>
      </c>
      <c r="FL63" s="230" t="str">
        <f t="shared" si="934"/>
        <v>Norway</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Iraq</v>
      </c>
      <c r="FX63" s="231">
        <f t="shared" si="65"/>
        <v>31</v>
      </c>
      <c r="FY63" s="230" t="str">
        <f t="shared" si="938"/>
        <v>Norway</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Iraq</v>
      </c>
      <c r="GK63" s="231">
        <f t="shared" si="68"/>
        <v>31</v>
      </c>
      <c r="GL63" s="230" t="str">
        <f t="shared" si="942"/>
        <v>Norway</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Iraq</v>
      </c>
      <c r="GX63" s="231">
        <f t="shared" si="71"/>
        <v>31</v>
      </c>
      <c r="GY63" s="230" t="str">
        <f t="shared" si="946"/>
        <v>Norway</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Iraq</v>
      </c>
      <c r="HK63" s="231">
        <f t="shared" si="74"/>
        <v>31</v>
      </c>
      <c r="HL63" s="230" t="str">
        <f t="shared" si="950"/>
        <v>Norway</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Iraq</v>
      </c>
      <c r="HX63" s="231">
        <f t="shared" si="77"/>
        <v>31</v>
      </c>
      <c r="HY63" s="230" t="str">
        <f t="shared" si="954"/>
        <v>Norway</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Iraq</v>
      </c>
      <c r="IK63" s="231">
        <f t="shared" si="80"/>
        <v>31</v>
      </c>
      <c r="IL63" s="230" t="str">
        <f t="shared" si="958"/>
        <v>Norway</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Iraq</v>
      </c>
      <c r="IX63" s="231">
        <f t="shared" si="83"/>
        <v>31</v>
      </c>
      <c r="IY63" s="230" t="str">
        <f t="shared" si="962"/>
        <v>Norway</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Iraq</v>
      </c>
      <c r="JK63" s="231">
        <f t="shared" si="86"/>
        <v>31</v>
      </c>
      <c r="JL63" s="230" t="str">
        <f t="shared" si="966"/>
        <v>Norway</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Iraq</v>
      </c>
      <c r="JX63" s="231">
        <f t="shared" si="89"/>
        <v>31</v>
      </c>
      <c r="JY63" s="230" t="str">
        <f t="shared" si="970"/>
        <v>Norway</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Iraq</v>
      </c>
      <c r="KK63" s="231">
        <f t="shared" si="92"/>
        <v>31</v>
      </c>
      <c r="KL63" s="230" t="str">
        <f t="shared" si="974"/>
        <v>Norway</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Iraq</v>
      </c>
      <c r="KX63" s="231">
        <f t="shared" si="95"/>
        <v>31</v>
      </c>
      <c r="KY63" s="230" t="str">
        <f t="shared" si="978"/>
        <v>Norway</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Iraq</v>
      </c>
      <c r="LK63" s="231">
        <f t="shared" si="98"/>
        <v>31</v>
      </c>
      <c r="LL63" s="230" t="str">
        <f t="shared" si="982"/>
        <v>Norway</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Iraq</v>
      </c>
      <c r="LX63" s="231">
        <f t="shared" si="101"/>
        <v>31</v>
      </c>
      <c r="LY63" s="230" t="str">
        <f t="shared" si="986"/>
        <v>Norway</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t="str">
        <f>CalcI!$R$24</f>
        <v/>
      </c>
      <c r="G64" s="233" t="str">
        <f>CalcI!$S$24</f>
        <v/>
      </c>
      <c r="I64" s="229">
        <f t="shared" si="468"/>
        <v>1</v>
      </c>
      <c r="J64" s="230" t="str">
        <f t="shared" si="885"/>
        <v>France</v>
      </c>
      <c r="K64" s="231">
        <f t="shared" si="26"/>
        <v>57</v>
      </c>
      <c r="L64" s="230" t="str">
        <f t="shared" si="886"/>
        <v>Iraq</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France</v>
      </c>
      <c r="X64" s="231">
        <f t="shared" si="29"/>
        <v>57</v>
      </c>
      <c r="Y64" s="230" t="str">
        <f t="shared" si="890"/>
        <v>Iraq</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France</v>
      </c>
      <c r="AK64" s="231">
        <f t="shared" si="32"/>
        <v>57</v>
      </c>
      <c r="AL64" s="230" t="str">
        <f t="shared" si="894"/>
        <v>Iraq</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France</v>
      </c>
      <c r="AX64" s="231">
        <f t="shared" si="35"/>
        <v>57</v>
      </c>
      <c r="AY64" s="230" t="str">
        <f t="shared" si="898"/>
        <v>Iraq</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France</v>
      </c>
      <c r="BK64" s="231">
        <f t="shared" si="38"/>
        <v>57</v>
      </c>
      <c r="BL64" s="230" t="str">
        <f t="shared" si="902"/>
        <v>Iraq</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France</v>
      </c>
      <c r="BX64" s="231">
        <f t="shared" si="41"/>
        <v>57</v>
      </c>
      <c r="BY64" s="230" t="str">
        <f t="shared" si="906"/>
        <v>Iraq</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France</v>
      </c>
      <c r="CK64" s="231">
        <f t="shared" si="44"/>
        <v>57</v>
      </c>
      <c r="CL64" s="230" t="str">
        <f t="shared" si="910"/>
        <v>Iraq</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France</v>
      </c>
      <c r="CX64" s="231">
        <f t="shared" si="47"/>
        <v>57</v>
      </c>
      <c r="CY64" s="230" t="str">
        <f t="shared" si="914"/>
        <v>Iraq</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France</v>
      </c>
      <c r="DK64" s="231">
        <f t="shared" si="50"/>
        <v>57</v>
      </c>
      <c r="DL64" s="230" t="str">
        <f t="shared" si="918"/>
        <v>Iraq</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France</v>
      </c>
      <c r="DX64" s="231">
        <f t="shared" si="53"/>
        <v>57</v>
      </c>
      <c r="DY64" s="230" t="str">
        <f t="shared" si="922"/>
        <v>Iraq</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France</v>
      </c>
      <c r="EK64" s="231">
        <f t="shared" si="56"/>
        <v>57</v>
      </c>
      <c r="EL64" s="230" t="str">
        <f t="shared" si="926"/>
        <v>Iraq</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France</v>
      </c>
      <c r="EX64" s="231">
        <f t="shared" si="59"/>
        <v>57</v>
      </c>
      <c r="EY64" s="230" t="str">
        <f t="shared" si="930"/>
        <v>Iraq</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France</v>
      </c>
      <c r="FK64" s="231">
        <f t="shared" si="62"/>
        <v>57</v>
      </c>
      <c r="FL64" s="230" t="str">
        <f t="shared" si="934"/>
        <v>Iraq</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France</v>
      </c>
      <c r="FX64" s="231">
        <f t="shared" si="65"/>
        <v>57</v>
      </c>
      <c r="FY64" s="230" t="str">
        <f t="shared" si="938"/>
        <v>Iraq</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France</v>
      </c>
      <c r="GK64" s="231">
        <f t="shared" si="68"/>
        <v>57</v>
      </c>
      <c r="GL64" s="230" t="str">
        <f t="shared" si="942"/>
        <v>Iraq</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France</v>
      </c>
      <c r="GX64" s="231">
        <f t="shared" si="71"/>
        <v>57</v>
      </c>
      <c r="GY64" s="230" t="str">
        <f t="shared" si="946"/>
        <v>Iraq</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France</v>
      </c>
      <c r="HK64" s="231">
        <f t="shared" si="74"/>
        <v>57</v>
      </c>
      <c r="HL64" s="230" t="str">
        <f t="shared" si="950"/>
        <v>Iraq</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France</v>
      </c>
      <c r="HX64" s="231">
        <f t="shared" si="77"/>
        <v>57</v>
      </c>
      <c r="HY64" s="230" t="str">
        <f t="shared" si="954"/>
        <v>Iraq</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France</v>
      </c>
      <c r="IK64" s="231">
        <f t="shared" si="80"/>
        <v>57</v>
      </c>
      <c r="IL64" s="230" t="str">
        <f t="shared" si="958"/>
        <v>Iraq</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France</v>
      </c>
      <c r="IX64" s="231">
        <f t="shared" si="83"/>
        <v>57</v>
      </c>
      <c r="IY64" s="230" t="str">
        <f t="shared" si="962"/>
        <v>Iraq</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France</v>
      </c>
      <c r="JK64" s="231">
        <f t="shared" si="86"/>
        <v>57</v>
      </c>
      <c r="JL64" s="230" t="str">
        <f t="shared" si="966"/>
        <v>Iraq</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France</v>
      </c>
      <c r="JX64" s="231">
        <f t="shared" si="89"/>
        <v>57</v>
      </c>
      <c r="JY64" s="230" t="str">
        <f t="shared" si="970"/>
        <v>Iraq</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France</v>
      </c>
      <c r="KK64" s="231">
        <f t="shared" si="92"/>
        <v>57</v>
      </c>
      <c r="KL64" s="230" t="str">
        <f t="shared" si="974"/>
        <v>Iraq</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France</v>
      </c>
      <c r="KX64" s="231">
        <f t="shared" si="95"/>
        <v>57</v>
      </c>
      <c r="KY64" s="230" t="str">
        <f t="shared" si="978"/>
        <v>Iraq</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France</v>
      </c>
      <c r="LK64" s="231">
        <f t="shared" si="98"/>
        <v>57</v>
      </c>
      <c r="LL64" s="230" t="str">
        <f t="shared" si="982"/>
        <v>Iraq</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France</v>
      </c>
      <c r="LX64" s="231">
        <f t="shared" si="101"/>
        <v>57</v>
      </c>
      <c r="LY64" s="230" t="str">
        <f t="shared" si="986"/>
        <v>Iraq</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t="str">
        <f>CalcI!$R$25</f>
        <v/>
      </c>
      <c r="G65" s="233" t="str">
        <f>CalcI!$S$25</f>
        <v/>
      </c>
      <c r="I65" s="229">
        <f t="shared" si="468"/>
        <v>31</v>
      </c>
      <c r="J65" s="230" t="str">
        <f t="shared" si="885"/>
        <v>Norway</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Norway</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Norway</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Norway</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Norway</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Norway</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Norway</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Norway</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Norway</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Norway</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Norway</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Norway</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Norway</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Norway</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Norway</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Norway</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Norway</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Norway</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Norway</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Norway</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Norway</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Norway</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Norway</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Norway</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Norway</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Norway</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t="str">
        <f>CalcI!$R$26</f>
        <v/>
      </c>
      <c r="G66" s="233" t="str">
        <f>CalcI!$S$26</f>
        <v/>
      </c>
      <c r="I66" s="229">
        <f t="shared" si="468"/>
        <v>31</v>
      </c>
      <c r="J66" s="230" t="str">
        <f t="shared" si="885"/>
        <v>Norway</v>
      </c>
      <c r="K66" s="231">
        <f t="shared" si="26"/>
        <v>1</v>
      </c>
      <c r="L66" s="230" t="str">
        <f t="shared" si="886"/>
        <v>France</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Norway</v>
      </c>
      <c r="X66" s="231">
        <f t="shared" si="29"/>
        <v>1</v>
      </c>
      <c r="Y66" s="230" t="str">
        <f t="shared" si="890"/>
        <v>France</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Norway</v>
      </c>
      <c r="AK66" s="231">
        <f t="shared" si="32"/>
        <v>1</v>
      </c>
      <c r="AL66" s="230" t="str">
        <f t="shared" si="894"/>
        <v>France</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Norway</v>
      </c>
      <c r="AX66" s="231">
        <f t="shared" si="35"/>
        <v>1</v>
      </c>
      <c r="AY66" s="230" t="str">
        <f t="shared" si="898"/>
        <v>France</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Norway</v>
      </c>
      <c r="BK66" s="231">
        <f t="shared" si="38"/>
        <v>1</v>
      </c>
      <c r="BL66" s="230" t="str">
        <f t="shared" si="902"/>
        <v>France</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Norway</v>
      </c>
      <c r="BX66" s="231">
        <f t="shared" si="41"/>
        <v>1</v>
      </c>
      <c r="BY66" s="230" t="str">
        <f t="shared" si="906"/>
        <v>France</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Norway</v>
      </c>
      <c r="CK66" s="231">
        <f t="shared" si="44"/>
        <v>1</v>
      </c>
      <c r="CL66" s="230" t="str">
        <f t="shared" si="910"/>
        <v>France</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Norway</v>
      </c>
      <c r="CX66" s="231">
        <f t="shared" si="47"/>
        <v>1</v>
      </c>
      <c r="CY66" s="230" t="str">
        <f t="shared" si="914"/>
        <v>France</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Norway</v>
      </c>
      <c r="DK66" s="231">
        <f t="shared" si="50"/>
        <v>1</v>
      </c>
      <c r="DL66" s="230" t="str">
        <f t="shared" si="918"/>
        <v>France</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Norway</v>
      </c>
      <c r="DX66" s="231">
        <f t="shared" si="53"/>
        <v>1</v>
      </c>
      <c r="DY66" s="230" t="str">
        <f t="shared" si="922"/>
        <v>France</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Norway</v>
      </c>
      <c r="EK66" s="231">
        <f t="shared" si="56"/>
        <v>1</v>
      </c>
      <c r="EL66" s="230" t="str">
        <f t="shared" si="926"/>
        <v>France</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Norway</v>
      </c>
      <c r="EX66" s="231">
        <f t="shared" si="59"/>
        <v>1</v>
      </c>
      <c r="EY66" s="230" t="str">
        <f t="shared" si="930"/>
        <v>France</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Norway</v>
      </c>
      <c r="FK66" s="231">
        <f t="shared" si="62"/>
        <v>1</v>
      </c>
      <c r="FL66" s="230" t="str">
        <f t="shared" si="934"/>
        <v>France</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Norway</v>
      </c>
      <c r="FX66" s="231">
        <f t="shared" si="65"/>
        <v>1</v>
      </c>
      <c r="FY66" s="230" t="str">
        <f t="shared" si="938"/>
        <v>France</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Norway</v>
      </c>
      <c r="GK66" s="231">
        <f t="shared" si="68"/>
        <v>1</v>
      </c>
      <c r="GL66" s="230" t="str">
        <f t="shared" si="942"/>
        <v>France</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Norway</v>
      </c>
      <c r="GX66" s="231">
        <f t="shared" si="71"/>
        <v>1</v>
      </c>
      <c r="GY66" s="230" t="str">
        <f t="shared" si="946"/>
        <v>France</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Norway</v>
      </c>
      <c r="HK66" s="231">
        <f t="shared" si="74"/>
        <v>1</v>
      </c>
      <c r="HL66" s="230" t="str">
        <f t="shared" si="950"/>
        <v>France</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Norway</v>
      </c>
      <c r="HX66" s="231">
        <f t="shared" si="77"/>
        <v>1</v>
      </c>
      <c r="HY66" s="230" t="str">
        <f t="shared" si="954"/>
        <v>France</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Norway</v>
      </c>
      <c r="IK66" s="231">
        <f t="shared" si="80"/>
        <v>1</v>
      </c>
      <c r="IL66" s="230" t="str">
        <f t="shared" si="958"/>
        <v>France</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Norway</v>
      </c>
      <c r="IX66" s="231">
        <f t="shared" si="83"/>
        <v>1</v>
      </c>
      <c r="IY66" s="230" t="str">
        <f t="shared" si="962"/>
        <v>France</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Norway</v>
      </c>
      <c r="JK66" s="231">
        <f t="shared" si="86"/>
        <v>1</v>
      </c>
      <c r="JL66" s="230" t="str">
        <f t="shared" si="966"/>
        <v>France</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Norway</v>
      </c>
      <c r="JX66" s="231">
        <f t="shared" si="89"/>
        <v>1</v>
      </c>
      <c r="JY66" s="230" t="str">
        <f t="shared" si="970"/>
        <v>France</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Norway</v>
      </c>
      <c r="KK66" s="231">
        <f t="shared" si="92"/>
        <v>1</v>
      </c>
      <c r="KL66" s="230" t="str">
        <f t="shared" si="974"/>
        <v>France</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Norway</v>
      </c>
      <c r="KX66" s="231">
        <f t="shared" si="95"/>
        <v>1</v>
      </c>
      <c r="KY66" s="230" t="str">
        <f t="shared" si="978"/>
        <v>France</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Norway</v>
      </c>
      <c r="LK66" s="231">
        <f t="shared" si="98"/>
        <v>1</v>
      </c>
      <c r="LL66" s="230" t="str">
        <f t="shared" si="982"/>
        <v>France</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Norway</v>
      </c>
      <c r="LX66" s="231">
        <f t="shared" si="101"/>
        <v>1</v>
      </c>
      <c r="LY66" s="230" t="str">
        <f t="shared" si="986"/>
        <v>France</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t="str">
        <f>CalcI!$R$27</f>
        <v/>
      </c>
      <c r="G67" s="233" t="str">
        <f>CalcI!$S$27</f>
        <v/>
      </c>
      <c r="I67" s="229">
        <f t="shared" si="468"/>
        <v>14</v>
      </c>
      <c r="J67" s="230" t="str">
        <f t="shared" si="885"/>
        <v>Senegal</v>
      </c>
      <c r="K67" s="231">
        <f t="shared" si="26"/>
        <v>57</v>
      </c>
      <c r="L67" s="230" t="str">
        <f t="shared" si="886"/>
        <v>Iraq</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Iraq</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Iraq</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Iraq</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Iraq</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Iraq</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Iraq</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Iraq</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Iraq</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Iraq</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Iraq</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Iraq</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Iraq</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Iraq</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Iraq</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Iraq</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Iraq</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Iraq</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Iraq</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Iraq</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Iraq</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Iraq</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Iraq</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Iraq</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Iraq</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Iraq</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468"/>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si="468"/>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46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t="str">
        <f>CalcJ!$R$24</f>
        <v/>
      </c>
      <c r="G71" s="233" t="str">
        <f>CalcJ!$S$24</f>
        <v/>
      </c>
      <c r="I71" s="229">
        <f t="shared" si="46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t="str">
        <f>CalcJ!$R$25</f>
        <v/>
      </c>
      <c r="G72" s="233" t="str">
        <f>CalcJ!$S$25</f>
        <v/>
      </c>
      <c r="I72" s="229">
        <f t="shared" si="46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t="str">
        <f>CalcJ!$R$26</f>
        <v/>
      </c>
      <c r="G73" s="233" t="str">
        <f>CalcJ!$S$26</f>
        <v/>
      </c>
      <c r="I73" s="229">
        <f t="shared" si="46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t="str">
        <f>CalcJ!$R$27</f>
        <v/>
      </c>
      <c r="G74" s="233" t="str">
        <f>CalcJ!$S$27</f>
        <v/>
      </c>
      <c r="I74" s="229">
        <f t="shared" si="46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46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46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46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t="str">
        <f>CalcK!$R$24</f>
        <v/>
      </c>
      <c r="G78" s="233" t="str">
        <f>CalcK!$S$24</f>
        <v/>
      </c>
      <c r="I78" s="229">
        <f t="shared" si="46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t="str">
        <f>CalcK!$R$25</f>
        <v/>
      </c>
      <c r="G79" s="233" t="str">
        <f>CalcK!$S$25</f>
        <v/>
      </c>
      <c r="I79" s="229">
        <f t="shared" si="46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t="str">
        <f>CalcK!$R$26</f>
        <v/>
      </c>
      <c r="G80" s="233" t="str">
        <f>CalcK!$S$26</f>
        <v/>
      </c>
      <c r="I80" s="229">
        <f t="shared" si="46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t="str">
        <f>CalcK!$R$27</f>
        <v/>
      </c>
      <c r="G81" s="233" t="str">
        <f>CalcK!$S$27</f>
        <v/>
      </c>
      <c r="I81" s="229">
        <f t="shared" si="46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46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46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t="str">
        <f>CalcL!$R$24</f>
        <v/>
      </c>
      <c r="G85" s="233" t="str">
        <f>CalcL!$S$24</f>
        <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t="str">
        <f>CalcL!$R$25</f>
        <v/>
      </c>
      <c r="G86" s="233" t="str">
        <f>CalcL!$S$25</f>
        <v/>
      </c>
      <c r="I86" s="229">
        <f t="shared" si="46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t="str">
        <f>CalcL!$R$26</f>
        <v/>
      </c>
      <c r="G87" s="233" t="str">
        <f>CalcL!$S$26</f>
        <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t="str">
        <f>CalcL!$R$27</f>
        <v/>
      </c>
      <c r="G88" s="233" t="str">
        <f>CalcL!$S$27</f>
        <v/>
      </c>
      <c r="I88" s="229">
        <f t="shared" si="46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41"/>
      <c r="R89" s="241"/>
      <c r="S89" s="241"/>
      <c r="T89" s="255"/>
      <c r="V89" s="238" t="str">
        <f t="shared" ref="V89:V106" si="1405">$B89</f>
        <v>Round of 32</v>
      </c>
      <c r="W89" s="240"/>
      <c r="X89" s="240"/>
      <c r="Y89" s="241"/>
      <c r="Z89" s="270"/>
      <c r="AA89" s="271"/>
      <c r="AB89" s="242"/>
      <c r="AC89" s="254"/>
      <c r="AD89" s="241"/>
      <c r="AE89" s="241"/>
      <c r="AF89" s="241"/>
      <c r="AG89" s="255"/>
      <c r="AI89" s="238" t="str">
        <f t="shared" ref="AI89:AI106" si="1406">$B89</f>
        <v>Round of 32</v>
      </c>
      <c r="AJ89" s="240"/>
      <c r="AK89" s="240"/>
      <c r="AL89" s="241"/>
      <c r="AM89" s="270"/>
      <c r="AN89" s="271"/>
      <c r="AO89" s="242"/>
      <c r="AP89" s="254"/>
      <c r="AQ89" s="241"/>
      <c r="AR89" s="241"/>
      <c r="AS89" s="241"/>
      <c r="AT89" s="255"/>
      <c r="AV89" s="238" t="str">
        <f t="shared" ref="AV89:AV106" si="1407">$B89</f>
        <v>Round of 32</v>
      </c>
      <c r="AW89" s="240"/>
      <c r="AX89" s="240"/>
      <c r="AY89" s="241"/>
      <c r="AZ89" s="270"/>
      <c r="BA89" s="271"/>
      <c r="BB89" s="242"/>
      <c r="BC89" s="254"/>
      <c r="BD89" s="241"/>
      <c r="BE89" s="241"/>
      <c r="BF89" s="241"/>
      <c r="BG89" s="255"/>
      <c r="BI89" s="238" t="str">
        <f t="shared" ref="BI89:BI106" si="1408">$B89</f>
        <v>Round of 32</v>
      </c>
      <c r="BJ89" s="240"/>
      <c r="BK89" s="240"/>
      <c r="BL89" s="241"/>
      <c r="BM89" s="270"/>
      <c r="BN89" s="271"/>
      <c r="BO89" s="242"/>
      <c r="BP89" s="254"/>
      <c r="BQ89" s="241"/>
      <c r="BR89" s="241"/>
      <c r="BS89" s="241"/>
      <c r="BT89" s="255"/>
      <c r="BV89" s="238" t="str">
        <f t="shared" ref="BV89:BV106" si="1409">$B89</f>
        <v>Round of 32</v>
      </c>
      <c r="BW89" s="240"/>
      <c r="BX89" s="240"/>
      <c r="BY89" s="241"/>
      <c r="BZ89" s="270"/>
      <c r="CA89" s="271"/>
      <c r="CB89" s="242"/>
      <c r="CC89" s="254"/>
      <c r="CD89" s="241"/>
      <c r="CE89" s="241"/>
      <c r="CF89" s="241"/>
      <c r="CG89" s="255"/>
      <c r="CI89" s="238" t="str">
        <f t="shared" ref="CI89:CI106" si="1410">$B89</f>
        <v>Round of 32</v>
      </c>
      <c r="CJ89" s="240"/>
      <c r="CK89" s="240"/>
      <c r="CL89" s="241"/>
      <c r="CM89" s="270"/>
      <c r="CN89" s="271"/>
      <c r="CO89" s="242"/>
      <c r="CP89" s="254"/>
      <c r="CQ89" s="241"/>
      <c r="CR89" s="241"/>
      <c r="CS89" s="241"/>
      <c r="CT89" s="255"/>
      <c r="CV89" s="238" t="str">
        <f t="shared" ref="CV89:CV106" si="1411">$B89</f>
        <v>Round of 32</v>
      </c>
      <c r="CW89" s="240"/>
      <c r="CX89" s="240"/>
      <c r="CY89" s="241"/>
      <c r="CZ89" s="270"/>
      <c r="DA89" s="271"/>
      <c r="DB89" s="242"/>
      <c r="DC89" s="254"/>
      <c r="DD89" s="241"/>
      <c r="DE89" s="241"/>
      <c r="DF89" s="241"/>
      <c r="DG89" s="255"/>
      <c r="DI89" s="238" t="str">
        <f t="shared" ref="DI89:DI106" si="1412">$B89</f>
        <v>Round of 32</v>
      </c>
      <c r="DJ89" s="240"/>
      <c r="DK89" s="240"/>
      <c r="DL89" s="241"/>
      <c r="DM89" s="270"/>
      <c r="DN89" s="271"/>
      <c r="DO89" s="242"/>
      <c r="DP89" s="254"/>
      <c r="DQ89" s="241"/>
      <c r="DR89" s="241"/>
      <c r="DS89" s="241"/>
      <c r="DT89" s="255"/>
      <c r="DV89" s="238" t="str">
        <f t="shared" ref="DV89:DV106" si="1413">$B89</f>
        <v>Round of 32</v>
      </c>
      <c r="DW89" s="240"/>
      <c r="DX89" s="240"/>
      <c r="DY89" s="241"/>
      <c r="DZ89" s="270"/>
      <c r="EA89" s="271"/>
      <c r="EB89" s="242"/>
      <c r="EC89" s="254"/>
      <c r="ED89" s="241"/>
      <c r="EE89" s="241"/>
      <c r="EF89" s="241"/>
      <c r="EG89" s="255"/>
      <c r="EI89" s="238" t="str">
        <f t="shared" ref="EI89:EI106" si="1414">$B89</f>
        <v>Round of 32</v>
      </c>
      <c r="EJ89" s="240"/>
      <c r="EK89" s="240"/>
      <c r="EL89" s="241"/>
      <c r="EM89" s="270"/>
      <c r="EN89" s="271"/>
      <c r="EO89" s="242"/>
      <c r="EP89" s="254"/>
      <c r="EQ89" s="241"/>
      <c r="ER89" s="241"/>
      <c r="ES89" s="241"/>
      <c r="ET89" s="255"/>
      <c r="EV89" s="238" t="str">
        <f t="shared" ref="EV89:EV106" si="1415">$B89</f>
        <v>Round of 32</v>
      </c>
      <c r="EW89" s="240"/>
      <c r="EX89" s="240"/>
      <c r="EY89" s="241"/>
      <c r="EZ89" s="270"/>
      <c r="FA89" s="271"/>
      <c r="FB89" s="242"/>
      <c r="FC89" s="254"/>
      <c r="FD89" s="241"/>
      <c r="FE89" s="241"/>
      <c r="FF89" s="241"/>
      <c r="FG89" s="255"/>
      <c r="FI89" s="238" t="str">
        <f t="shared" ref="FI89:FI106" si="1416">$B89</f>
        <v>Round of 32</v>
      </c>
      <c r="FJ89" s="240"/>
      <c r="FK89" s="240"/>
      <c r="FL89" s="241"/>
      <c r="FM89" s="270"/>
      <c r="FN89" s="271"/>
      <c r="FO89" s="242"/>
      <c r="FP89" s="254"/>
      <c r="FQ89" s="241"/>
      <c r="FR89" s="241"/>
      <c r="FS89" s="241"/>
      <c r="FT89" s="255"/>
      <c r="FV89" s="238" t="str">
        <f t="shared" ref="FV89:FV106" si="1417">$B89</f>
        <v>Round of 32</v>
      </c>
      <c r="FW89" s="240"/>
      <c r="FX89" s="240"/>
      <c r="FY89" s="241"/>
      <c r="FZ89" s="270"/>
      <c r="GA89" s="271"/>
      <c r="GB89" s="242"/>
      <c r="GC89" s="254"/>
      <c r="GD89" s="241"/>
      <c r="GE89" s="241"/>
      <c r="GF89" s="241"/>
      <c r="GG89" s="255"/>
      <c r="GI89" s="238" t="str">
        <f t="shared" ref="GI89:GI106" si="1418">$B89</f>
        <v>Round of 32</v>
      </c>
      <c r="GJ89" s="240"/>
      <c r="GK89" s="240"/>
      <c r="GL89" s="241"/>
      <c r="GM89" s="270"/>
      <c r="GN89" s="271"/>
      <c r="GO89" s="242"/>
      <c r="GP89" s="254"/>
      <c r="GQ89" s="241"/>
      <c r="GR89" s="241"/>
      <c r="GS89" s="241"/>
      <c r="GT89" s="255"/>
      <c r="GV89" s="238" t="str">
        <f t="shared" ref="GV89:GV106" si="1419">$B89</f>
        <v>Round of 32</v>
      </c>
      <c r="GW89" s="240"/>
      <c r="GX89" s="240"/>
      <c r="GY89" s="241"/>
      <c r="GZ89" s="270"/>
      <c r="HA89" s="271"/>
      <c r="HB89" s="242"/>
      <c r="HC89" s="254"/>
      <c r="HD89" s="241"/>
      <c r="HE89" s="241"/>
      <c r="HF89" s="241"/>
      <c r="HG89" s="255"/>
      <c r="HI89" s="238" t="str">
        <f t="shared" ref="HI89:HI106" si="1420">$B89</f>
        <v>Round of 32</v>
      </c>
      <c r="HJ89" s="240"/>
      <c r="HK89" s="240"/>
      <c r="HL89" s="241"/>
      <c r="HM89" s="270"/>
      <c r="HN89" s="271"/>
      <c r="HO89" s="242"/>
      <c r="HP89" s="254"/>
      <c r="HQ89" s="241"/>
      <c r="HR89" s="241"/>
      <c r="HS89" s="241"/>
      <c r="HT89" s="255"/>
      <c r="HV89" s="238" t="str">
        <f t="shared" ref="HV89:HV106" si="1421">$B89</f>
        <v>Round of 32</v>
      </c>
      <c r="HW89" s="240"/>
      <c r="HX89" s="240"/>
      <c r="HY89" s="241"/>
      <c r="HZ89" s="270"/>
      <c r="IA89" s="271"/>
      <c r="IB89" s="242"/>
      <c r="IC89" s="254"/>
      <c r="ID89" s="241"/>
      <c r="IE89" s="241"/>
      <c r="IF89" s="241"/>
      <c r="IG89" s="255"/>
      <c r="II89" s="238" t="str">
        <f t="shared" ref="II89:II106" si="1422">$B89</f>
        <v>Round of 32</v>
      </c>
      <c r="IJ89" s="240"/>
      <c r="IK89" s="240"/>
      <c r="IL89" s="241"/>
      <c r="IM89" s="270"/>
      <c r="IN89" s="271"/>
      <c r="IO89" s="242"/>
      <c r="IP89" s="254"/>
      <c r="IQ89" s="241"/>
      <c r="IR89" s="241"/>
      <c r="IS89" s="241"/>
      <c r="IT89" s="255"/>
      <c r="IV89" s="238" t="str">
        <f t="shared" ref="IV89:IV106" si="1423">$B89</f>
        <v>Round of 32</v>
      </c>
      <c r="IW89" s="240"/>
      <c r="IX89" s="240"/>
      <c r="IY89" s="241"/>
      <c r="IZ89" s="270"/>
      <c r="JA89" s="271"/>
      <c r="JB89" s="242"/>
      <c r="JC89" s="254"/>
      <c r="JD89" s="241"/>
      <c r="JE89" s="241"/>
      <c r="JF89" s="241"/>
      <c r="JG89" s="255"/>
      <c r="JI89" s="238" t="str">
        <f t="shared" ref="JI89:JI106" si="1424">$B89</f>
        <v>Round of 32</v>
      </c>
      <c r="JJ89" s="240"/>
      <c r="JK89" s="240"/>
      <c r="JL89" s="241"/>
      <c r="JM89" s="270"/>
      <c r="JN89" s="271"/>
      <c r="JO89" s="242"/>
      <c r="JP89" s="254"/>
      <c r="JQ89" s="241"/>
      <c r="JR89" s="241"/>
      <c r="JS89" s="241"/>
      <c r="JT89" s="255"/>
      <c r="JV89" s="238" t="str">
        <f t="shared" ref="JV89:JV106" si="1425">$B89</f>
        <v>Round of 32</v>
      </c>
      <c r="JW89" s="240"/>
      <c r="JX89" s="240"/>
      <c r="JY89" s="241"/>
      <c r="JZ89" s="270"/>
      <c r="KA89" s="271"/>
      <c r="KB89" s="242"/>
      <c r="KC89" s="254"/>
      <c r="KD89" s="241"/>
      <c r="KE89" s="241"/>
      <c r="KF89" s="241"/>
      <c r="KG89" s="255"/>
      <c r="KI89" s="238" t="str">
        <f t="shared" ref="KI89:KI106" si="1426">$B89</f>
        <v>Round of 32</v>
      </c>
      <c r="KJ89" s="240"/>
      <c r="KK89" s="240"/>
      <c r="KL89" s="241"/>
      <c r="KM89" s="270"/>
      <c r="KN89" s="271"/>
      <c r="KO89" s="242"/>
      <c r="KP89" s="254"/>
      <c r="KQ89" s="241"/>
      <c r="KR89" s="241"/>
      <c r="KS89" s="241"/>
      <c r="KT89" s="255"/>
      <c r="KV89" s="238" t="str">
        <f t="shared" ref="KV89:KV106" si="1427">$B89</f>
        <v>Round of 32</v>
      </c>
      <c r="KW89" s="240"/>
      <c r="KX89" s="240"/>
      <c r="KY89" s="241"/>
      <c r="KZ89" s="270"/>
      <c r="LA89" s="271"/>
      <c r="LB89" s="242"/>
      <c r="LC89" s="254"/>
      <c r="LD89" s="241"/>
      <c r="LE89" s="241"/>
      <c r="LF89" s="241"/>
      <c r="LG89" s="255"/>
      <c r="LI89" s="238" t="str">
        <f t="shared" ref="LI89:LI106" si="1428">$B89</f>
        <v>Round of 32</v>
      </c>
      <c r="LJ89" s="240"/>
      <c r="LK89" s="240"/>
      <c r="LL89" s="241"/>
      <c r="LM89" s="270"/>
      <c r="LN89" s="271"/>
      <c r="LO89" s="242"/>
      <c r="LP89" s="254"/>
      <c r="LQ89" s="241"/>
      <c r="LR89" s="241"/>
      <c r="LS89" s="241"/>
      <c r="LT89" s="255"/>
      <c r="LV89" s="238" t="str">
        <f t="shared" ref="LV89:LV106" si="1429">$B89</f>
        <v>Round of 32</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Germany</v>
      </c>
      <c r="D90" s="231">
        <f>IF(E90="","",INDEX(Groups!$C$7:$C$65,MATCH(E90,Groups!$D$7:$D$65,0)))</f>
        <v>43</v>
      </c>
      <c r="E90" s="230" t="str">
        <f>'World Cup'!$C$50</f>
        <v>Scotland</v>
      </c>
      <c r="F90" s="232" t="str">
        <f>IF(AND('World Cup'!$B$51&lt;&gt;"",'World Cup'!$C$51&lt;&gt;""),'World Cup'!$B$51+IF(AND('World Cup'!$B$53&lt;&gt;"",'World Cup'!$C$53&lt;&gt;"",'World Cup'!$B$51='World Cup'!$C$51),'World Cup'!$B$53,0),"")</f>
        <v/>
      </c>
      <c r="G90" s="233" t="str">
        <f>IF(AND('World Cup'!$B$51&lt;&gt;"",'World Cup'!$C$51&lt;&gt;""),'World Cup'!$C$51+IF(AND('World Cup'!$B$53&lt;&gt;"",'World Cup'!$C$53&lt;&gt;"",'World Cup'!$B$51='World Cup'!$C$51),'World Cup'!$C$53,0),"")</f>
        <v/>
      </c>
      <c r="I90" s="265"/>
      <c r="J90" s="230" t="str">
        <f>IF(I90="","",VLOOKUP(I90,Language!$D$5:$E$100,2,0))</f>
        <v/>
      </c>
      <c r="K90" s="266"/>
      <c r="L90" s="230" t="str">
        <f>IF(K90="","",VLOOKUP(K90,Language!$D$5:$E$100,2,0))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IF(V90="","",VLOOKUP(V90,Language!$D$5:$E$100,2,0))</f>
        <v/>
      </c>
      <c r="X90" s="266"/>
      <c r="Y90" s="230" t="str">
        <f>IF(X90="","",VLOOKUP(X90,Language!$D$5:$E$100,2,0))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IF(AI90="","",VLOOKUP(AI90,Language!$D$5:$E$100,2,0))</f>
        <v/>
      </c>
      <c r="AK90" s="266"/>
      <c r="AL90" s="230" t="str">
        <f>IF(AK90="","",VLOOKUP(AK90,Language!$D$5:$E$100,2,0))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IF(AV90="","",VLOOKUP(AV90,Language!$D$5:$E$100,2,0))</f>
        <v/>
      </c>
      <c r="AX90" s="266"/>
      <c r="AY90" s="230" t="str">
        <f>IF(AX90="","",VLOOKUP(AX90,Language!$D$5:$E$100,2,0))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IF(BI90="","",VLOOKUP(BI90,Language!$D$5:$E$100,2,0))</f>
        <v/>
      </c>
      <c r="BK90" s="266"/>
      <c r="BL90" s="230" t="str">
        <f>IF(BK90="","",VLOOKUP(BK90,Language!$D$5:$E$100,2,0))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IF(BV90="","",VLOOKUP(BV90,Language!$D$5:$E$100,2,0))</f>
        <v/>
      </c>
      <c r="BX90" s="266"/>
      <c r="BY90" s="230" t="str">
        <f>IF(BX90="","",VLOOKUP(BX90,Language!$D$5:$E$100,2,0))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IF(CI90="","",VLOOKUP(CI90,Language!$D$5:$E$100,2,0))</f>
        <v/>
      </c>
      <c r="CK90" s="266"/>
      <c r="CL90" s="230" t="str">
        <f>IF(CK90="","",VLOOKUP(CK90,Language!$D$5:$E$100,2,0))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IF(CV90="","",VLOOKUP(CV90,Language!$D$5:$E$100,2,0))</f>
        <v/>
      </c>
      <c r="CX90" s="266"/>
      <c r="CY90" s="230" t="str">
        <f>IF(CX90="","",VLOOKUP(CX90,Language!$D$5:$E$100,2,0))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IF(DI90="","",VLOOKUP(DI90,Language!$D$5:$E$100,2,0))</f>
        <v/>
      </c>
      <c r="DK90" s="266"/>
      <c r="DL90" s="230" t="str">
        <f>IF(DK90="","",VLOOKUP(DK90,Language!$D$5:$E$100,2,0))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IF(DV90="","",VLOOKUP(DV90,Language!$D$5:$E$100,2,0))</f>
        <v/>
      </c>
      <c r="DX90" s="266"/>
      <c r="DY90" s="230" t="str">
        <f>IF(DX90="","",VLOOKUP(DX90,Language!$D$5:$E$100,2,0))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IF(EI90="","",VLOOKUP(EI90,Language!$D$5:$E$100,2,0))</f>
        <v/>
      </c>
      <c r="EK90" s="266"/>
      <c r="EL90" s="230" t="str">
        <f>IF(EK90="","",VLOOKUP(EK90,Language!$D$5:$E$100,2,0))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IF(EV90="","",VLOOKUP(EV90,Language!$D$5:$E$100,2,0))</f>
        <v/>
      </c>
      <c r="EX90" s="266"/>
      <c r="EY90" s="230" t="str">
        <f>IF(EX90="","",VLOOKUP(EX90,Language!$D$5:$E$100,2,0))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IF(FI90="","",VLOOKUP(FI90,Language!$D$5:$E$100,2,0))</f>
        <v/>
      </c>
      <c r="FK90" s="266"/>
      <c r="FL90" s="230" t="str">
        <f>IF(FK90="","",VLOOKUP(FK90,Language!$D$5:$E$100,2,0))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IF(FV90="","",VLOOKUP(FV90,Language!$D$5:$E$100,2,0))</f>
        <v/>
      </c>
      <c r="FX90" s="266"/>
      <c r="FY90" s="230" t="str">
        <f>IF(FX90="","",VLOOKUP(FX90,Language!$D$5:$E$100,2,0))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IF(GI90="","",VLOOKUP(GI90,Language!$D$5:$E$100,2,0))</f>
        <v/>
      </c>
      <c r="GK90" s="266"/>
      <c r="GL90" s="230" t="str">
        <f>IF(GK90="","",VLOOKUP(GK90,Language!$D$5:$E$100,2,0))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IF(GV90="","",VLOOKUP(GV90,Language!$D$5:$E$100,2,0))</f>
        <v/>
      </c>
      <c r="GX90" s="266"/>
      <c r="GY90" s="230" t="str">
        <f>IF(GX90="","",VLOOKUP(GX90,Language!$D$5:$E$100,2,0))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IF(HI90="","",VLOOKUP(HI90,Language!$D$5:$E$100,2,0))</f>
        <v/>
      </c>
      <c r="HK90" s="266"/>
      <c r="HL90" s="230" t="str">
        <f>IF(HK90="","",VLOOKUP(HK90,Language!$D$5:$E$100,2,0))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IF(HV90="","",VLOOKUP(HV90,Language!$D$5:$E$100,2,0))</f>
        <v/>
      </c>
      <c r="HX90" s="266"/>
      <c r="HY90" s="230" t="str">
        <f>IF(HX90="","",VLOOKUP(HX90,Language!$D$5:$E$100,2,0))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IF(II90="","",VLOOKUP(II90,Language!$D$5:$E$100,2,0))</f>
        <v/>
      </c>
      <c r="IK90" s="266"/>
      <c r="IL90" s="230" t="str">
        <f>IF(IK90="","",VLOOKUP(IK90,Language!$D$5:$E$100,2,0))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IF(IV90="","",VLOOKUP(IV90,Language!$D$5:$E$100,2,0))</f>
        <v/>
      </c>
      <c r="IX90" s="266"/>
      <c r="IY90" s="230" t="str">
        <f>IF(IX90="","",VLOOKUP(IX90,Language!$D$5:$E$100,2,0))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IF(JI90="","",VLOOKUP(JI90,Language!$D$5:$E$100,2,0))</f>
        <v/>
      </c>
      <c r="JK90" s="266"/>
      <c r="JL90" s="230" t="str">
        <f>IF(JK90="","",VLOOKUP(JK90,Language!$D$5:$E$100,2,0))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IF(JV90="","",VLOOKUP(JV90,Language!$D$5:$E$100,2,0))</f>
        <v/>
      </c>
      <c r="JX90" s="266"/>
      <c r="JY90" s="230" t="str">
        <f>IF(JX90="","",VLOOKUP(JX90,Language!$D$5:$E$100,2,0))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IF(KI90="","",VLOOKUP(KI90,Language!$D$5:$E$100,2,0))</f>
        <v/>
      </c>
      <c r="KK90" s="266"/>
      <c r="KL90" s="230" t="str">
        <f>IF(KK90="","",VLOOKUP(KK90,Language!$D$5:$E$100,2,0))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IF(KV90="","",VLOOKUP(KV90,Language!$D$5:$E$100,2,0))</f>
        <v/>
      </c>
      <c r="KX90" s="266"/>
      <c r="KY90" s="230" t="str">
        <f>IF(KX90="","",VLOOKUP(KX90,Language!$D$5:$E$100,2,0))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IF(LI90="","",VLOOKUP(LI90,Language!$D$5:$E$100,2,0))</f>
        <v/>
      </c>
      <c r="LK90" s="266"/>
      <c r="LL90" s="230" t="str">
        <f>IF(LK90="","",VLOOKUP(LK90,Language!$D$5:$E$100,2,0))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IF(LV90="","",VLOOKUP(LV90,Language!$D$5:$E$100,2,0))</f>
        <v/>
      </c>
      <c r="LX90" s="266"/>
      <c r="LY90" s="230" t="str">
        <f>IF(LX90="","",VLOOKUP(LX90,Language!$D$5:$E$100,2,0))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31</v>
      </c>
      <c r="C91" s="230" t="str">
        <f>'World Cup'!$E$50</f>
        <v>Norway</v>
      </c>
      <c r="D91" s="231">
        <f>IF(E91="","",INDEX(Groups!$C$7:$C$65,MATCH(E91,Groups!$D$7:$D$65,0)))</f>
        <v>38</v>
      </c>
      <c r="E91" s="230" t="str">
        <f>'World Cup'!$F$50</f>
        <v>Sweden</v>
      </c>
      <c r="F91" s="232" t="str">
        <f>IF(AND('World Cup'!$E$51&lt;&gt;"",'World Cup'!$F$51&lt;&gt;""),'World Cup'!$E$51+IF(AND('World Cup'!$E$53&lt;&gt;"",'World Cup'!$F$53&lt;&gt;"",'World Cup'!$E$51='World Cup'!$F$51),'World Cup'!$E$53,0),"")</f>
        <v/>
      </c>
      <c r="G91" s="233" t="str">
        <f>IF(AND('World Cup'!$E$51&lt;&gt;"",'World Cup'!$F$51&lt;&gt;""),'World Cup'!$F$51+IF(AND('World Cup'!$E$53&lt;&gt;"",'World Cup'!$F$53&lt;&gt;"",'World Cup'!$E$51='World Cup'!$F$51),'World Cup'!$F$53,0),"")</f>
        <v/>
      </c>
      <c r="I91" s="265"/>
      <c r="J91" s="230" t="str">
        <f>IF(I91="","",VLOOKUP(I91,Language!$D$5:$E$100,2,0))</f>
        <v/>
      </c>
      <c r="K91" s="266"/>
      <c r="L91" s="230" t="str">
        <f>IF(K91="","",VLOOKUP(K91,Language!$D$5:$E$100,2,0))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IF(V91="","",VLOOKUP(V91,Language!$D$5:$E$100,2,0))</f>
        <v/>
      </c>
      <c r="X91" s="266"/>
      <c r="Y91" s="230" t="str">
        <f>IF(X91="","",VLOOKUP(X91,Language!$D$5:$E$100,2,0))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IF(AI91="","",VLOOKUP(AI91,Language!$D$5:$E$100,2,0))</f>
        <v/>
      </c>
      <c r="AK91" s="266"/>
      <c r="AL91" s="230" t="str">
        <f>IF(AK91="","",VLOOKUP(AK91,Language!$D$5:$E$100,2,0))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IF(AV91="","",VLOOKUP(AV91,Language!$D$5:$E$100,2,0))</f>
        <v/>
      </c>
      <c r="AX91" s="266"/>
      <c r="AY91" s="230" t="str">
        <f>IF(AX91="","",VLOOKUP(AX91,Language!$D$5:$E$100,2,0))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IF(BI91="","",VLOOKUP(BI91,Language!$D$5:$E$100,2,0))</f>
        <v/>
      </c>
      <c r="BK91" s="266"/>
      <c r="BL91" s="230" t="str">
        <f>IF(BK91="","",VLOOKUP(BK91,Language!$D$5:$E$100,2,0))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IF(BV91="","",VLOOKUP(BV91,Language!$D$5:$E$100,2,0))</f>
        <v/>
      </c>
      <c r="BX91" s="266"/>
      <c r="BY91" s="230" t="str">
        <f>IF(BX91="","",VLOOKUP(BX91,Language!$D$5:$E$100,2,0))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IF(CI91="","",VLOOKUP(CI91,Language!$D$5:$E$100,2,0))</f>
        <v/>
      </c>
      <c r="CK91" s="266"/>
      <c r="CL91" s="230" t="str">
        <f>IF(CK91="","",VLOOKUP(CK91,Language!$D$5:$E$100,2,0))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IF(CV91="","",VLOOKUP(CV91,Language!$D$5:$E$100,2,0))</f>
        <v/>
      </c>
      <c r="CX91" s="266"/>
      <c r="CY91" s="230" t="str">
        <f>IF(CX91="","",VLOOKUP(CX91,Language!$D$5:$E$100,2,0))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IF(DI91="","",VLOOKUP(DI91,Language!$D$5:$E$100,2,0))</f>
        <v/>
      </c>
      <c r="DK91" s="266"/>
      <c r="DL91" s="230" t="str">
        <f>IF(DK91="","",VLOOKUP(DK91,Language!$D$5:$E$100,2,0))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IF(DV91="","",VLOOKUP(DV91,Language!$D$5:$E$100,2,0))</f>
        <v/>
      </c>
      <c r="DX91" s="266"/>
      <c r="DY91" s="230" t="str">
        <f>IF(DX91="","",VLOOKUP(DX91,Language!$D$5:$E$100,2,0))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IF(EI91="","",VLOOKUP(EI91,Language!$D$5:$E$100,2,0))</f>
        <v/>
      </c>
      <c r="EK91" s="266"/>
      <c r="EL91" s="230" t="str">
        <f>IF(EK91="","",VLOOKUP(EK91,Language!$D$5:$E$100,2,0))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IF(EV91="","",VLOOKUP(EV91,Language!$D$5:$E$100,2,0))</f>
        <v/>
      </c>
      <c r="EX91" s="266"/>
      <c r="EY91" s="230" t="str">
        <f>IF(EX91="","",VLOOKUP(EX91,Language!$D$5:$E$100,2,0))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IF(FI91="","",VLOOKUP(FI91,Language!$D$5:$E$100,2,0))</f>
        <v/>
      </c>
      <c r="FK91" s="266"/>
      <c r="FL91" s="230" t="str">
        <f>IF(FK91="","",VLOOKUP(FK91,Language!$D$5:$E$100,2,0))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IF(FV91="","",VLOOKUP(FV91,Language!$D$5:$E$100,2,0))</f>
        <v/>
      </c>
      <c r="FX91" s="266"/>
      <c r="FY91" s="230" t="str">
        <f>IF(FX91="","",VLOOKUP(FX91,Language!$D$5:$E$100,2,0))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IF(GI91="","",VLOOKUP(GI91,Language!$D$5:$E$100,2,0))</f>
        <v/>
      </c>
      <c r="GK91" s="266"/>
      <c r="GL91" s="230" t="str">
        <f>IF(GK91="","",VLOOKUP(GK91,Language!$D$5:$E$100,2,0))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IF(GV91="","",VLOOKUP(GV91,Language!$D$5:$E$100,2,0))</f>
        <v/>
      </c>
      <c r="GX91" s="266"/>
      <c r="GY91" s="230" t="str">
        <f>IF(GX91="","",VLOOKUP(GX91,Language!$D$5:$E$100,2,0))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IF(HI91="","",VLOOKUP(HI91,Language!$D$5:$E$100,2,0))</f>
        <v/>
      </c>
      <c r="HK91" s="266"/>
      <c r="HL91" s="230" t="str">
        <f>IF(HK91="","",VLOOKUP(HK91,Language!$D$5:$E$100,2,0))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IF(HV91="","",VLOOKUP(HV91,Language!$D$5:$E$100,2,0))</f>
        <v/>
      </c>
      <c r="HX91" s="266"/>
      <c r="HY91" s="230" t="str">
        <f>IF(HX91="","",VLOOKUP(HX91,Language!$D$5:$E$100,2,0))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IF(II91="","",VLOOKUP(II91,Language!$D$5:$E$100,2,0))</f>
        <v/>
      </c>
      <c r="IK91" s="266"/>
      <c r="IL91" s="230" t="str">
        <f>IF(IK91="","",VLOOKUP(IK91,Language!$D$5:$E$100,2,0))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IF(IV91="","",VLOOKUP(IV91,Language!$D$5:$E$100,2,0))</f>
        <v/>
      </c>
      <c r="IX91" s="266"/>
      <c r="IY91" s="230" t="str">
        <f>IF(IX91="","",VLOOKUP(IX91,Language!$D$5:$E$100,2,0))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IF(JI91="","",VLOOKUP(JI91,Language!$D$5:$E$100,2,0))</f>
        <v/>
      </c>
      <c r="JK91" s="266"/>
      <c r="JL91" s="230" t="str">
        <f>IF(JK91="","",VLOOKUP(JK91,Language!$D$5:$E$100,2,0))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IF(JV91="","",VLOOKUP(JV91,Language!$D$5:$E$100,2,0))</f>
        <v/>
      </c>
      <c r="JX91" s="266"/>
      <c r="JY91" s="230" t="str">
        <f>IF(JX91="","",VLOOKUP(JX91,Language!$D$5:$E$100,2,0))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IF(KI91="","",VLOOKUP(KI91,Language!$D$5:$E$100,2,0))</f>
        <v/>
      </c>
      <c r="KK91" s="266"/>
      <c r="KL91" s="230" t="str">
        <f>IF(KK91="","",VLOOKUP(KK91,Language!$D$5:$E$100,2,0))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IF(KV91="","",VLOOKUP(KV91,Language!$D$5:$E$100,2,0))</f>
        <v/>
      </c>
      <c r="KX91" s="266"/>
      <c r="KY91" s="230" t="str">
        <f>IF(KX91="","",VLOOKUP(KX91,Language!$D$5:$E$100,2,0))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IF(LI91="","",VLOOKUP(LI91,Language!$D$5:$E$100,2,0))</f>
        <v/>
      </c>
      <c r="LK91" s="266"/>
      <c r="LL91" s="230" t="str">
        <f>IF(LK91="","",VLOOKUP(LK91,Language!$D$5:$E$100,2,0))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IF(LV91="","",VLOOKUP(LV91,Language!$D$5:$E$100,2,0))</f>
        <v/>
      </c>
      <c r="LX91" s="266"/>
      <c r="LY91" s="230" t="str">
        <f>IF(LX91="","",VLOOKUP(LX91,Language!$D$5:$E$100,2,0))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25</v>
      </c>
      <c r="C92" s="230" t="str">
        <f>'World Cup'!$H$50</f>
        <v>South Korea</v>
      </c>
      <c r="D92" s="231">
        <f>IF(E92="","",INDEX(Groups!$C$7:$C$65,MATCH(E92,Groups!$D$7:$D$65,0)))</f>
        <v>19</v>
      </c>
      <c r="E92" s="230" t="str">
        <f>'World Cup'!$I$50</f>
        <v>Switzerland</v>
      </c>
      <c r="F92" s="232" t="str">
        <f>IF(AND('World Cup'!$H$51&lt;&gt;"",'World Cup'!$I$51&lt;&gt;""),'World Cup'!$H$51+IF(AND('World Cup'!$H$53&lt;&gt;"",'World Cup'!$I$53&lt;&gt;"",'World Cup'!$H$51='World Cup'!$I$51),'World Cup'!$H$53,0),"")</f>
        <v/>
      </c>
      <c r="G92" s="233" t="str">
        <f>IF(AND('World Cup'!$H$51&lt;&gt;"",'World Cup'!$I$51&lt;&gt;""),'World Cup'!$I$51+IF(AND('World Cup'!$H$53&lt;&gt;"",'World Cup'!$I$53&lt;&gt;"",'World Cup'!$H$51='World Cup'!$I$51),'World Cup'!$I$53,0),"")</f>
        <v/>
      </c>
      <c r="I92" s="265"/>
      <c r="J92" s="230" t="str">
        <f>IF(I92="","",VLOOKUP(I92,Language!$D$5:$E$100,2,0))</f>
        <v/>
      </c>
      <c r="K92" s="266"/>
      <c r="L92" s="230" t="str">
        <f>IF(K92="","",VLOOKUP(K92,Language!$D$5:$E$100,2,0))</f>
        <v/>
      </c>
      <c r="M92" s="302"/>
      <c r="N92" s="303"/>
      <c r="O92" s="286"/>
      <c r="P92" s="286"/>
      <c r="Q92" s="287">
        <f t="shared" si="1430"/>
        <v>0</v>
      </c>
      <c r="R92" s="287">
        <f t="shared" si="1431"/>
        <v>0</v>
      </c>
      <c r="S92" s="287"/>
      <c r="T92" s="252" t="str">
        <f t="shared" si="1432"/>
        <v/>
      </c>
      <c r="V92" s="265"/>
      <c r="W92" s="230" t="str">
        <f>IF(V92="","",VLOOKUP(V92,Language!$D$5:$E$100,2,0))</f>
        <v/>
      </c>
      <c r="X92" s="266"/>
      <c r="Y92" s="230" t="str">
        <f>IF(X92="","",VLOOKUP(X92,Language!$D$5:$E$100,2,0))</f>
        <v/>
      </c>
      <c r="Z92" s="302"/>
      <c r="AA92" s="303"/>
      <c r="AB92" s="286"/>
      <c r="AC92" s="286"/>
      <c r="AD92" s="287">
        <f t="shared" si="1433"/>
        <v>0</v>
      </c>
      <c r="AE92" s="287">
        <f t="shared" si="1434"/>
        <v>0</v>
      </c>
      <c r="AF92" s="287"/>
      <c r="AG92" s="252" t="str">
        <f t="shared" si="1435"/>
        <v/>
      </c>
      <c r="AI92" s="265"/>
      <c r="AJ92" s="230" t="str">
        <f>IF(AI92="","",VLOOKUP(AI92,Language!$D$5:$E$100,2,0))</f>
        <v/>
      </c>
      <c r="AK92" s="266"/>
      <c r="AL92" s="230" t="str">
        <f>IF(AK92="","",VLOOKUP(AK92,Language!$D$5:$E$100,2,0))</f>
        <v/>
      </c>
      <c r="AM92" s="302"/>
      <c r="AN92" s="303"/>
      <c r="AO92" s="286"/>
      <c r="AP92" s="286"/>
      <c r="AQ92" s="287">
        <f t="shared" si="1436"/>
        <v>0</v>
      </c>
      <c r="AR92" s="287">
        <f t="shared" si="1437"/>
        <v>0</v>
      </c>
      <c r="AS92" s="287"/>
      <c r="AT92" s="252" t="str">
        <f t="shared" si="1438"/>
        <v/>
      </c>
      <c r="AV92" s="265"/>
      <c r="AW92" s="230" t="str">
        <f>IF(AV92="","",VLOOKUP(AV92,Language!$D$5:$E$100,2,0))</f>
        <v/>
      </c>
      <c r="AX92" s="266"/>
      <c r="AY92" s="230" t="str">
        <f>IF(AX92="","",VLOOKUP(AX92,Language!$D$5:$E$100,2,0))</f>
        <v/>
      </c>
      <c r="AZ92" s="302"/>
      <c r="BA92" s="303"/>
      <c r="BB92" s="286"/>
      <c r="BC92" s="286"/>
      <c r="BD92" s="287">
        <f t="shared" si="1439"/>
        <v>0</v>
      </c>
      <c r="BE92" s="287">
        <f t="shared" si="1440"/>
        <v>0</v>
      </c>
      <c r="BF92" s="287"/>
      <c r="BG92" s="252" t="str">
        <f t="shared" si="1441"/>
        <v/>
      </c>
      <c r="BI92" s="265"/>
      <c r="BJ92" s="230" t="str">
        <f>IF(BI92="","",VLOOKUP(BI92,Language!$D$5:$E$100,2,0))</f>
        <v/>
      </c>
      <c r="BK92" s="266"/>
      <c r="BL92" s="230" t="str">
        <f>IF(BK92="","",VLOOKUP(BK92,Language!$D$5:$E$100,2,0))</f>
        <v/>
      </c>
      <c r="BM92" s="302"/>
      <c r="BN92" s="303"/>
      <c r="BO92" s="286"/>
      <c r="BP92" s="286"/>
      <c r="BQ92" s="287">
        <f t="shared" si="1442"/>
        <v>0</v>
      </c>
      <c r="BR92" s="287">
        <f t="shared" si="1443"/>
        <v>0</v>
      </c>
      <c r="BS92" s="287"/>
      <c r="BT92" s="252" t="str">
        <f t="shared" si="1444"/>
        <v/>
      </c>
      <c r="BV92" s="265"/>
      <c r="BW92" s="230" t="str">
        <f>IF(BV92="","",VLOOKUP(BV92,Language!$D$5:$E$100,2,0))</f>
        <v/>
      </c>
      <c r="BX92" s="266"/>
      <c r="BY92" s="230" t="str">
        <f>IF(BX92="","",VLOOKUP(BX92,Language!$D$5:$E$100,2,0))</f>
        <v/>
      </c>
      <c r="BZ92" s="302"/>
      <c r="CA92" s="303"/>
      <c r="CB92" s="286"/>
      <c r="CC92" s="286"/>
      <c r="CD92" s="287">
        <f t="shared" si="1445"/>
        <v>0</v>
      </c>
      <c r="CE92" s="287">
        <f t="shared" si="1446"/>
        <v>0</v>
      </c>
      <c r="CF92" s="287"/>
      <c r="CG92" s="252" t="str">
        <f t="shared" si="1447"/>
        <v/>
      </c>
      <c r="CI92" s="265"/>
      <c r="CJ92" s="230" t="str">
        <f>IF(CI92="","",VLOOKUP(CI92,Language!$D$5:$E$100,2,0))</f>
        <v/>
      </c>
      <c r="CK92" s="266"/>
      <c r="CL92" s="230" t="str">
        <f>IF(CK92="","",VLOOKUP(CK92,Language!$D$5:$E$100,2,0))</f>
        <v/>
      </c>
      <c r="CM92" s="302"/>
      <c r="CN92" s="303"/>
      <c r="CO92" s="286"/>
      <c r="CP92" s="286"/>
      <c r="CQ92" s="287">
        <f t="shared" si="1448"/>
        <v>0</v>
      </c>
      <c r="CR92" s="287">
        <f t="shared" si="1449"/>
        <v>0</v>
      </c>
      <c r="CS92" s="287"/>
      <c r="CT92" s="252" t="str">
        <f t="shared" si="1450"/>
        <v/>
      </c>
      <c r="CV92" s="265"/>
      <c r="CW92" s="230" t="str">
        <f>IF(CV92="","",VLOOKUP(CV92,Language!$D$5:$E$100,2,0))</f>
        <v/>
      </c>
      <c r="CX92" s="266"/>
      <c r="CY92" s="230" t="str">
        <f>IF(CX92="","",VLOOKUP(CX92,Language!$D$5:$E$100,2,0))</f>
        <v/>
      </c>
      <c r="CZ92" s="302"/>
      <c r="DA92" s="303"/>
      <c r="DB92" s="286"/>
      <c r="DC92" s="286"/>
      <c r="DD92" s="287">
        <f t="shared" si="1451"/>
        <v>0</v>
      </c>
      <c r="DE92" s="287">
        <f t="shared" si="1452"/>
        <v>0</v>
      </c>
      <c r="DF92" s="287"/>
      <c r="DG92" s="252" t="str">
        <f t="shared" si="1453"/>
        <v/>
      </c>
      <c r="DI92" s="265"/>
      <c r="DJ92" s="230" t="str">
        <f>IF(DI92="","",VLOOKUP(DI92,Language!$D$5:$E$100,2,0))</f>
        <v/>
      </c>
      <c r="DK92" s="266"/>
      <c r="DL92" s="230" t="str">
        <f>IF(DK92="","",VLOOKUP(DK92,Language!$D$5:$E$100,2,0))</f>
        <v/>
      </c>
      <c r="DM92" s="302"/>
      <c r="DN92" s="303"/>
      <c r="DO92" s="286"/>
      <c r="DP92" s="286"/>
      <c r="DQ92" s="287">
        <f t="shared" si="1454"/>
        <v>0</v>
      </c>
      <c r="DR92" s="287">
        <f t="shared" si="1455"/>
        <v>0</v>
      </c>
      <c r="DS92" s="287"/>
      <c r="DT92" s="252" t="str">
        <f t="shared" si="1456"/>
        <v/>
      </c>
      <c r="DV92" s="265"/>
      <c r="DW92" s="230" t="str">
        <f>IF(DV92="","",VLOOKUP(DV92,Language!$D$5:$E$100,2,0))</f>
        <v/>
      </c>
      <c r="DX92" s="266"/>
      <c r="DY92" s="230" t="str">
        <f>IF(DX92="","",VLOOKUP(DX92,Language!$D$5:$E$100,2,0))</f>
        <v/>
      </c>
      <c r="DZ92" s="302"/>
      <c r="EA92" s="303"/>
      <c r="EB92" s="286"/>
      <c r="EC92" s="286"/>
      <c r="ED92" s="287">
        <f t="shared" si="1457"/>
        <v>0</v>
      </c>
      <c r="EE92" s="287">
        <f t="shared" si="1458"/>
        <v>0</v>
      </c>
      <c r="EF92" s="287"/>
      <c r="EG92" s="252" t="str">
        <f t="shared" si="1459"/>
        <v/>
      </c>
      <c r="EI92" s="265"/>
      <c r="EJ92" s="230" t="str">
        <f>IF(EI92="","",VLOOKUP(EI92,Language!$D$5:$E$100,2,0))</f>
        <v/>
      </c>
      <c r="EK92" s="266"/>
      <c r="EL92" s="230" t="str">
        <f>IF(EK92="","",VLOOKUP(EK92,Language!$D$5:$E$100,2,0))</f>
        <v/>
      </c>
      <c r="EM92" s="302"/>
      <c r="EN92" s="303"/>
      <c r="EO92" s="286"/>
      <c r="EP92" s="286"/>
      <c r="EQ92" s="287">
        <f t="shared" si="1460"/>
        <v>0</v>
      </c>
      <c r="ER92" s="287">
        <f t="shared" si="1461"/>
        <v>0</v>
      </c>
      <c r="ES92" s="287"/>
      <c r="ET92" s="252" t="str">
        <f t="shared" si="1462"/>
        <v/>
      </c>
      <c r="EV92" s="265"/>
      <c r="EW92" s="230" t="str">
        <f>IF(EV92="","",VLOOKUP(EV92,Language!$D$5:$E$100,2,0))</f>
        <v/>
      </c>
      <c r="EX92" s="266"/>
      <c r="EY92" s="230" t="str">
        <f>IF(EX92="","",VLOOKUP(EX92,Language!$D$5:$E$100,2,0))</f>
        <v/>
      </c>
      <c r="EZ92" s="302"/>
      <c r="FA92" s="303"/>
      <c r="FB92" s="286"/>
      <c r="FC92" s="286"/>
      <c r="FD92" s="287">
        <f t="shared" si="1463"/>
        <v>0</v>
      </c>
      <c r="FE92" s="287">
        <f t="shared" si="1464"/>
        <v>0</v>
      </c>
      <c r="FF92" s="287"/>
      <c r="FG92" s="252" t="str">
        <f t="shared" si="1465"/>
        <v/>
      </c>
      <c r="FI92" s="265"/>
      <c r="FJ92" s="230" t="str">
        <f>IF(FI92="","",VLOOKUP(FI92,Language!$D$5:$E$100,2,0))</f>
        <v/>
      </c>
      <c r="FK92" s="266"/>
      <c r="FL92" s="230" t="str">
        <f>IF(FK92="","",VLOOKUP(FK92,Language!$D$5:$E$100,2,0))</f>
        <v/>
      </c>
      <c r="FM92" s="302"/>
      <c r="FN92" s="303"/>
      <c r="FO92" s="286"/>
      <c r="FP92" s="286"/>
      <c r="FQ92" s="287">
        <f t="shared" si="1466"/>
        <v>0</v>
      </c>
      <c r="FR92" s="287">
        <f t="shared" si="1467"/>
        <v>0</v>
      </c>
      <c r="FS92" s="287"/>
      <c r="FT92" s="252" t="str">
        <f t="shared" si="1468"/>
        <v/>
      </c>
      <c r="FV92" s="265"/>
      <c r="FW92" s="230" t="str">
        <f>IF(FV92="","",VLOOKUP(FV92,Language!$D$5:$E$100,2,0))</f>
        <v/>
      </c>
      <c r="FX92" s="266"/>
      <c r="FY92" s="230" t="str">
        <f>IF(FX92="","",VLOOKUP(FX92,Language!$D$5:$E$100,2,0))</f>
        <v/>
      </c>
      <c r="FZ92" s="302"/>
      <c r="GA92" s="303"/>
      <c r="GB92" s="286"/>
      <c r="GC92" s="286"/>
      <c r="GD92" s="287">
        <f t="shared" si="1469"/>
        <v>0</v>
      </c>
      <c r="GE92" s="287">
        <f t="shared" si="1470"/>
        <v>0</v>
      </c>
      <c r="GF92" s="287"/>
      <c r="GG92" s="252" t="str">
        <f t="shared" si="1471"/>
        <v/>
      </c>
      <c r="GI92" s="265"/>
      <c r="GJ92" s="230" t="str">
        <f>IF(GI92="","",VLOOKUP(GI92,Language!$D$5:$E$100,2,0))</f>
        <v/>
      </c>
      <c r="GK92" s="266"/>
      <c r="GL92" s="230" t="str">
        <f>IF(GK92="","",VLOOKUP(GK92,Language!$D$5:$E$100,2,0))</f>
        <v/>
      </c>
      <c r="GM92" s="302"/>
      <c r="GN92" s="303"/>
      <c r="GO92" s="286"/>
      <c r="GP92" s="286"/>
      <c r="GQ92" s="287">
        <f t="shared" si="1472"/>
        <v>0</v>
      </c>
      <c r="GR92" s="287">
        <f t="shared" si="1473"/>
        <v>0</v>
      </c>
      <c r="GS92" s="287"/>
      <c r="GT92" s="252" t="str">
        <f t="shared" si="1474"/>
        <v/>
      </c>
      <c r="GV92" s="265"/>
      <c r="GW92" s="230" t="str">
        <f>IF(GV92="","",VLOOKUP(GV92,Language!$D$5:$E$100,2,0))</f>
        <v/>
      </c>
      <c r="GX92" s="266"/>
      <c r="GY92" s="230" t="str">
        <f>IF(GX92="","",VLOOKUP(GX92,Language!$D$5:$E$100,2,0))</f>
        <v/>
      </c>
      <c r="GZ92" s="302"/>
      <c r="HA92" s="303"/>
      <c r="HB92" s="286"/>
      <c r="HC92" s="286"/>
      <c r="HD92" s="287">
        <f t="shared" si="1475"/>
        <v>0</v>
      </c>
      <c r="HE92" s="287">
        <f t="shared" si="1476"/>
        <v>0</v>
      </c>
      <c r="HF92" s="287"/>
      <c r="HG92" s="252" t="str">
        <f t="shared" si="1477"/>
        <v/>
      </c>
      <c r="HI92" s="265"/>
      <c r="HJ92" s="230" t="str">
        <f>IF(HI92="","",VLOOKUP(HI92,Language!$D$5:$E$100,2,0))</f>
        <v/>
      </c>
      <c r="HK92" s="266"/>
      <c r="HL92" s="230" t="str">
        <f>IF(HK92="","",VLOOKUP(HK92,Language!$D$5:$E$100,2,0))</f>
        <v/>
      </c>
      <c r="HM92" s="302"/>
      <c r="HN92" s="303"/>
      <c r="HO92" s="286"/>
      <c r="HP92" s="286"/>
      <c r="HQ92" s="287">
        <f t="shared" si="1478"/>
        <v>0</v>
      </c>
      <c r="HR92" s="287">
        <f t="shared" si="1479"/>
        <v>0</v>
      </c>
      <c r="HS92" s="287"/>
      <c r="HT92" s="252" t="str">
        <f t="shared" si="1480"/>
        <v/>
      </c>
      <c r="HV92" s="265"/>
      <c r="HW92" s="230" t="str">
        <f>IF(HV92="","",VLOOKUP(HV92,Language!$D$5:$E$100,2,0))</f>
        <v/>
      </c>
      <c r="HX92" s="266"/>
      <c r="HY92" s="230" t="str">
        <f>IF(HX92="","",VLOOKUP(HX92,Language!$D$5:$E$100,2,0))</f>
        <v/>
      </c>
      <c r="HZ92" s="302"/>
      <c r="IA92" s="303"/>
      <c r="IB92" s="286"/>
      <c r="IC92" s="286"/>
      <c r="ID92" s="287">
        <f t="shared" si="1481"/>
        <v>0</v>
      </c>
      <c r="IE92" s="287">
        <f t="shared" si="1482"/>
        <v>0</v>
      </c>
      <c r="IF92" s="287"/>
      <c r="IG92" s="252" t="str">
        <f t="shared" si="1483"/>
        <v/>
      </c>
      <c r="II92" s="265"/>
      <c r="IJ92" s="230" t="str">
        <f>IF(II92="","",VLOOKUP(II92,Language!$D$5:$E$100,2,0))</f>
        <v/>
      </c>
      <c r="IK92" s="266"/>
      <c r="IL92" s="230" t="str">
        <f>IF(IK92="","",VLOOKUP(IK92,Language!$D$5:$E$100,2,0))</f>
        <v/>
      </c>
      <c r="IM92" s="302"/>
      <c r="IN92" s="303"/>
      <c r="IO92" s="286"/>
      <c r="IP92" s="286"/>
      <c r="IQ92" s="287">
        <f t="shared" si="1484"/>
        <v>0</v>
      </c>
      <c r="IR92" s="287">
        <f t="shared" si="1485"/>
        <v>0</v>
      </c>
      <c r="IS92" s="287"/>
      <c r="IT92" s="252" t="str">
        <f t="shared" si="1486"/>
        <v/>
      </c>
      <c r="IV92" s="265"/>
      <c r="IW92" s="230" t="str">
        <f>IF(IV92="","",VLOOKUP(IV92,Language!$D$5:$E$100,2,0))</f>
        <v/>
      </c>
      <c r="IX92" s="266"/>
      <c r="IY92" s="230" t="str">
        <f>IF(IX92="","",VLOOKUP(IX92,Language!$D$5:$E$100,2,0))</f>
        <v/>
      </c>
      <c r="IZ92" s="302"/>
      <c r="JA92" s="303"/>
      <c r="JB92" s="286"/>
      <c r="JC92" s="286"/>
      <c r="JD92" s="287">
        <f t="shared" si="1487"/>
        <v>0</v>
      </c>
      <c r="JE92" s="287">
        <f t="shared" si="1488"/>
        <v>0</v>
      </c>
      <c r="JF92" s="287"/>
      <c r="JG92" s="252" t="str">
        <f t="shared" si="1489"/>
        <v/>
      </c>
      <c r="JI92" s="265"/>
      <c r="JJ92" s="230" t="str">
        <f>IF(JI92="","",VLOOKUP(JI92,Language!$D$5:$E$100,2,0))</f>
        <v/>
      </c>
      <c r="JK92" s="266"/>
      <c r="JL92" s="230" t="str">
        <f>IF(JK92="","",VLOOKUP(JK92,Language!$D$5:$E$100,2,0))</f>
        <v/>
      </c>
      <c r="JM92" s="302"/>
      <c r="JN92" s="303"/>
      <c r="JO92" s="286"/>
      <c r="JP92" s="286"/>
      <c r="JQ92" s="287">
        <f t="shared" si="1490"/>
        <v>0</v>
      </c>
      <c r="JR92" s="287">
        <f t="shared" si="1491"/>
        <v>0</v>
      </c>
      <c r="JS92" s="287"/>
      <c r="JT92" s="252" t="str">
        <f t="shared" si="1492"/>
        <v/>
      </c>
      <c r="JV92" s="265"/>
      <c r="JW92" s="230" t="str">
        <f>IF(JV92="","",VLOOKUP(JV92,Language!$D$5:$E$100,2,0))</f>
        <v/>
      </c>
      <c r="JX92" s="266"/>
      <c r="JY92" s="230" t="str">
        <f>IF(JX92="","",VLOOKUP(JX92,Language!$D$5:$E$100,2,0))</f>
        <v/>
      </c>
      <c r="JZ92" s="302"/>
      <c r="KA92" s="303"/>
      <c r="KB92" s="286"/>
      <c r="KC92" s="286"/>
      <c r="KD92" s="287">
        <f t="shared" si="1493"/>
        <v>0</v>
      </c>
      <c r="KE92" s="287">
        <f t="shared" si="1494"/>
        <v>0</v>
      </c>
      <c r="KF92" s="287"/>
      <c r="KG92" s="252" t="str">
        <f t="shared" si="1495"/>
        <v/>
      </c>
      <c r="KI92" s="265"/>
      <c r="KJ92" s="230" t="str">
        <f>IF(KI92="","",VLOOKUP(KI92,Language!$D$5:$E$100,2,0))</f>
        <v/>
      </c>
      <c r="KK92" s="266"/>
      <c r="KL92" s="230" t="str">
        <f>IF(KK92="","",VLOOKUP(KK92,Language!$D$5:$E$100,2,0))</f>
        <v/>
      </c>
      <c r="KM92" s="302"/>
      <c r="KN92" s="303"/>
      <c r="KO92" s="286"/>
      <c r="KP92" s="286"/>
      <c r="KQ92" s="287">
        <f t="shared" si="1496"/>
        <v>0</v>
      </c>
      <c r="KR92" s="287">
        <f t="shared" si="1497"/>
        <v>0</v>
      </c>
      <c r="KS92" s="287"/>
      <c r="KT92" s="252" t="str">
        <f t="shared" si="1498"/>
        <v/>
      </c>
      <c r="KV92" s="265"/>
      <c r="KW92" s="230" t="str">
        <f>IF(KV92="","",VLOOKUP(KV92,Language!$D$5:$E$100,2,0))</f>
        <v/>
      </c>
      <c r="KX92" s="266"/>
      <c r="KY92" s="230" t="str">
        <f>IF(KX92="","",VLOOKUP(KX92,Language!$D$5:$E$100,2,0))</f>
        <v/>
      </c>
      <c r="KZ92" s="302"/>
      <c r="LA92" s="303"/>
      <c r="LB92" s="286"/>
      <c r="LC92" s="286"/>
      <c r="LD92" s="287">
        <f t="shared" si="1499"/>
        <v>0</v>
      </c>
      <c r="LE92" s="287">
        <f t="shared" si="1500"/>
        <v>0</v>
      </c>
      <c r="LF92" s="287"/>
      <c r="LG92" s="252" t="str">
        <f t="shared" si="1501"/>
        <v/>
      </c>
      <c r="LI92" s="265"/>
      <c r="LJ92" s="230" t="str">
        <f>IF(LI92="","",VLOOKUP(LI92,Language!$D$5:$E$100,2,0))</f>
        <v/>
      </c>
      <c r="LK92" s="266"/>
      <c r="LL92" s="230" t="str">
        <f>IF(LK92="","",VLOOKUP(LK92,Language!$D$5:$E$100,2,0))</f>
        <v/>
      </c>
      <c r="LM92" s="302"/>
      <c r="LN92" s="303"/>
      <c r="LO92" s="286"/>
      <c r="LP92" s="286"/>
      <c r="LQ92" s="287">
        <f t="shared" si="1502"/>
        <v>0</v>
      </c>
      <c r="LR92" s="287">
        <f t="shared" si="1503"/>
        <v>0</v>
      </c>
      <c r="LS92" s="287"/>
      <c r="LT92" s="252" t="str">
        <f t="shared" si="1504"/>
        <v/>
      </c>
      <c r="LV92" s="265"/>
      <c r="LW92" s="230" t="str">
        <f>IF(LV92="","",VLOOKUP(LV92,Language!$D$5:$E$100,2,0))</f>
        <v/>
      </c>
      <c r="LX92" s="266"/>
      <c r="LY92" s="230" t="str">
        <f>IF(LX92="","",VLOOKUP(LX92,Language!$D$5:$E$100,2,0))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Netherlands</v>
      </c>
      <c r="D93" s="231">
        <f>IF(E93="","",INDEX(Groups!$C$7:$C$65,MATCH(E93,Groups!$D$7:$D$65,0)))</f>
        <v>8</v>
      </c>
      <c r="E93" s="230" t="str">
        <f>'World Cup'!$L$50</f>
        <v>Morocco</v>
      </c>
      <c r="F93" s="232" t="str">
        <f>IF(AND('World Cup'!$K$51&lt;&gt;"",'World Cup'!$L$51&lt;&gt;""),'World Cup'!$K$51+IF(AND('World Cup'!$K$53&lt;&gt;"",'World Cup'!$L$53&lt;&gt;"",'World Cup'!$K$51='World Cup'!$L$51),'World Cup'!$K$53,0),"")</f>
        <v/>
      </c>
      <c r="G93" s="233" t="str">
        <f>IF(AND('World Cup'!$K$51&lt;&gt;"",'World Cup'!$L$51&lt;&gt;""),'World Cup'!$L$51+IF(AND('World Cup'!$K$53&lt;&gt;"",'World Cup'!$L$53&lt;&gt;"",'World Cup'!$K$51='World Cup'!$L$51),'World Cup'!$L$53,0),"")</f>
        <v/>
      </c>
      <c r="I93" s="265"/>
      <c r="J93" s="230" t="str">
        <f>IF(I93="","",VLOOKUP(I93,Language!$D$5:$E$100,2,0))</f>
        <v/>
      </c>
      <c r="K93" s="266"/>
      <c r="L93" s="230" t="str">
        <f>IF(K93="","",VLOOKUP(K93,Language!$D$5:$E$100,2,0))</f>
        <v/>
      </c>
      <c r="M93" s="302"/>
      <c r="N93" s="303"/>
      <c r="O93" s="286"/>
      <c r="P93" s="286"/>
      <c r="Q93" s="287">
        <f t="shared" si="1430"/>
        <v>0</v>
      </c>
      <c r="R93" s="287">
        <f t="shared" si="1431"/>
        <v>0</v>
      </c>
      <c r="S93" s="287"/>
      <c r="T93" s="252" t="str">
        <f t="shared" si="1432"/>
        <v/>
      </c>
      <c r="V93" s="265"/>
      <c r="W93" s="230" t="str">
        <f>IF(V93="","",VLOOKUP(V93,Language!$D$5:$E$100,2,0))</f>
        <v/>
      </c>
      <c r="X93" s="266"/>
      <c r="Y93" s="230" t="str">
        <f>IF(X93="","",VLOOKUP(X93,Language!$D$5:$E$100,2,0))</f>
        <v/>
      </c>
      <c r="Z93" s="302"/>
      <c r="AA93" s="303"/>
      <c r="AB93" s="286"/>
      <c r="AC93" s="286"/>
      <c r="AD93" s="287">
        <f t="shared" si="1433"/>
        <v>0</v>
      </c>
      <c r="AE93" s="287">
        <f t="shared" si="1434"/>
        <v>0</v>
      </c>
      <c r="AF93" s="287"/>
      <c r="AG93" s="252" t="str">
        <f t="shared" si="1435"/>
        <v/>
      </c>
      <c r="AI93" s="265"/>
      <c r="AJ93" s="230" t="str">
        <f>IF(AI93="","",VLOOKUP(AI93,Language!$D$5:$E$100,2,0))</f>
        <v/>
      </c>
      <c r="AK93" s="266"/>
      <c r="AL93" s="230" t="str">
        <f>IF(AK93="","",VLOOKUP(AK93,Language!$D$5:$E$100,2,0))</f>
        <v/>
      </c>
      <c r="AM93" s="302"/>
      <c r="AN93" s="303"/>
      <c r="AO93" s="286"/>
      <c r="AP93" s="286"/>
      <c r="AQ93" s="287">
        <f t="shared" si="1436"/>
        <v>0</v>
      </c>
      <c r="AR93" s="287">
        <f t="shared" si="1437"/>
        <v>0</v>
      </c>
      <c r="AS93" s="287"/>
      <c r="AT93" s="252" t="str">
        <f t="shared" si="1438"/>
        <v/>
      </c>
      <c r="AV93" s="265"/>
      <c r="AW93" s="230" t="str">
        <f>IF(AV93="","",VLOOKUP(AV93,Language!$D$5:$E$100,2,0))</f>
        <v/>
      </c>
      <c r="AX93" s="266"/>
      <c r="AY93" s="230" t="str">
        <f>IF(AX93="","",VLOOKUP(AX93,Language!$D$5:$E$100,2,0))</f>
        <v/>
      </c>
      <c r="AZ93" s="302"/>
      <c r="BA93" s="303"/>
      <c r="BB93" s="286"/>
      <c r="BC93" s="286"/>
      <c r="BD93" s="287">
        <f t="shared" si="1439"/>
        <v>0</v>
      </c>
      <c r="BE93" s="287">
        <f t="shared" si="1440"/>
        <v>0</v>
      </c>
      <c r="BF93" s="287"/>
      <c r="BG93" s="252" t="str">
        <f t="shared" si="1441"/>
        <v/>
      </c>
      <c r="BI93" s="265"/>
      <c r="BJ93" s="230" t="str">
        <f>IF(BI93="","",VLOOKUP(BI93,Language!$D$5:$E$100,2,0))</f>
        <v/>
      </c>
      <c r="BK93" s="266"/>
      <c r="BL93" s="230" t="str">
        <f>IF(BK93="","",VLOOKUP(BK93,Language!$D$5:$E$100,2,0))</f>
        <v/>
      </c>
      <c r="BM93" s="302"/>
      <c r="BN93" s="303"/>
      <c r="BO93" s="286"/>
      <c r="BP93" s="286"/>
      <c r="BQ93" s="287">
        <f t="shared" si="1442"/>
        <v>0</v>
      </c>
      <c r="BR93" s="287">
        <f t="shared" si="1443"/>
        <v>0</v>
      </c>
      <c r="BS93" s="287"/>
      <c r="BT93" s="252" t="str">
        <f t="shared" si="1444"/>
        <v/>
      </c>
      <c r="BV93" s="265"/>
      <c r="BW93" s="230" t="str">
        <f>IF(BV93="","",VLOOKUP(BV93,Language!$D$5:$E$100,2,0))</f>
        <v/>
      </c>
      <c r="BX93" s="266"/>
      <c r="BY93" s="230" t="str">
        <f>IF(BX93="","",VLOOKUP(BX93,Language!$D$5:$E$100,2,0))</f>
        <v/>
      </c>
      <c r="BZ93" s="302"/>
      <c r="CA93" s="303"/>
      <c r="CB93" s="286"/>
      <c r="CC93" s="286"/>
      <c r="CD93" s="287">
        <f t="shared" si="1445"/>
        <v>0</v>
      </c>
      <c r="CE93" s="287">
        <f t="shared" si="1446"/>
        <v>0</v>
      </c>
      <c r="CF93" s="287"/>
      <c r="CG93" s="252" t="str">
        <f t="shared" si="1447"/>
        <v/>
      </c>
      <c r="CI93" s="265"/>
      <c r="CJ93" s="230" t="str">
        <f>IF(CI93="","",VLOOKUP(CI93,Language!$D$5:$E$100,2,0))</f>
        <v/>
      </c>
      <c r="CK93" s="266"/>
      <c r="CL93" s="230" t="str">
        <f>IF(CK93="","",VLOOKUP(CK93,Language!$D$5:$E$100,2,0))</f>
        <v/>
      </c>
      <c r="CM93" s="302"/>
      <c r="CN93" s="303"/>
      <c r="CO93" s="286"/>
      <c r="CP93" s="286"/>
      <c r="CQ93" s="287">
        <f t="shared" si="1448"/>
        <v>0</v>
      </c>
      <c r="CR93" s="287">
        <f t="shared" si="1449"/>
        <v>0</v>
      </c>
      <c r="CS93" s="287"/>
      <c r="CT93" s="252" t="str">
        <f t="shared" si="1450"/>
        <v/>
      </c>
      <c r="CV93" s="265"/>
      <c r="CW93" s="230" t="str">
        <f>IF(CV93="","",VLOOKUP(CV93,Language!$D$5:$E$100,2,0))</f>
        <v/>
      </c>
      <c r="CX93" s="266"/>
      <c r="CY93" s="230" t="str">
        <f>IF(CX93="","",VLOOKUP(CX93,Language!$D$5:$E$100,2,0))</f>
        <v/>
      </c>
      <c r="CZ93" s="302"/>
      <c r="DA93" s="303"/>
      <c r="DB93" s="286"/>
      <c r="DC93" s="286"/>
      <c r="DD93" s="287">
        <f t="shared" si="1451"/>
        <v>0</v>
      </c>
      <c r="DE93" s="287">
        <f t="shared" si="1452"/>
        <v>0</v>
      </c>
      <c r="DF93" s="287"/>
      <c r="DG93" s="252" t="str">
        <f t="shared" si="1453"/>
        <v/>
      </c>
      <c r="DI93" s="265"/>
      <c r="DJ93" s="230" t="str">
        <f>IF(DI93="","",VLOOKUP(DI93,Language!$D$5:$E$100,2,0))</f>
        <v/>
      </c>
      <c r="DK93" s="266"/>
      <c r="DL93" s="230" t="str">
        <f>IF(DK93="","",VLOOKUP(DK93,Language!$D$5:$E$100,2,0))</f>
        <v/>
      </c>
      <c r="DM93" s="302"/>
      <c r="DN93" s="303"/>
      <c r="DO93" s="286"/>
      <c r="DP93" s="286"/>
      <c r="DQ93" s="287">
        <f t="shared" si="1454"/>
        <v>0</v>
      </c>
      <c r="DR93" s="287">
        <f t="shared" si="1455"/>
        <v>0</v>
      </c>
      <c r="DS93" s="287"/>
      <c r="DT93" s="252" t="str">
        <f t="shared" si="1456"/>
        <v/>
      </c>
      <c r="DV93" s="265"/>
      <c r="DW93" s="230" t="str">
        <f>IF(DV93="","",VLOOKUP(DV93,Language!$D$5:$E$100,2,0))</f>
        <v/>
      </c>
      <c r="DX93" s="266"/>
      <c r="DY93" s="230" t="str">
        <f>IF(DX93="","",VLOOKUP(DX93,Language!$D$5:$E$100,2,0))</f>
        <v/>
      </c>
      <c r="DZ93" s="302"/>
      <c r="EA93" s="303"/>
      <c r="EB93" s="286"/>
      <c r="EC93" s="286"/>
      <c r="ED93" s="287">
        <f t="shared" si="1457"/>
        <v>0</v>
      </c>
      <c r="EE93" s="287">
        <f t="shared" si="1458"/>
        <v>0</v>
      </c>
      <c r="EF93" s="287"/>
      <c r="EG93" s="252" t="str">
        <f t="shared" si="1459"/>
        <v/>
      </c>
      <c r="EI93" s="265"/>
      <c r="EJ93" s="230" t="str">
        <f>IF(EI93="","",VLOOKUP(EI93,Language!$D$5:$E$100,2,0))</f>
        <v/>
      </c>
      <c r="EK93" s="266"/>
      <c r="EL93" s="230" t="str">
        <f>IF(EK93="","",VLOOKUP(EK93,Language!$D$5:$E$100,2,0))</f>
        <v/>
      </c>
      <c r="EM93" s="302"/>
      <c r="EN93" s="303"/>
      <c r="EO93" s="286"/>
      <c r="EP93" s="286"/>
      <c r="EQ93" s="287">
        <f t="shared" si="1460"/>
        <v>0</v>
      </c>
      <c r="ER93" s="287">
        <f t="shared" si="1461"/>
        <v>0</v>
      </c>
      <c r="ES93" s="287"/>
      <c r="ET93" s="252" t="str">
        <f t="shared" si="1462"/>
        <v/>
      </c>
      <c r="EV93" s="265"/>
      <c r="EW93" s="230" t="str">
        <f>IF(EV93="","",VLOOKUP(EV93,Language!$D$5:$E$100,2,0))</f>
        <v/>
      </c>
      <c r="EX93" s="266"/>
      <c r="EY93" s="230" t="str">
        <f>IF(EX93="","",VLOOKUP(EX93,Language!$D$5:$E$100,2,0))</f>
        <v/>
      </c>
      <c r="EZ93" s="302"/>
      <c r="FA93" s="303"/>
      <c r="FB93" s="286"/>
      <c r="FC93" s="286"/>
      <c r="FD93" s="287">
        <f t="shared" si="1463"/>
        <v>0</v>
      </c>
      <c r="FE93" s="287">
        <f t="shared" si="1464"/>
        <v>0</v>
      </c>
      <c r="FF93" s="287"/>
      <c r="FG93" s="252" t="str">
        <f t="shared" si="1465"/>
        <v/>
      </c>
      <c r="FI93" s="265"/>
      <c r="FJ93" s="230" t="str">
        <f>IF(FI93="","",VLOOKUP(FI93,Language!$D$5:$E$100,2,0))</f>
        <v/>
      </c>
      <c r="FK93" s="266"/>
      <c r="FL93" s="230" t="str">
        <f>IF(FK93="","",VLOOKUP(FK93,Language!$D$5:$E$100,2,0))</f>
        <v/>
      </c>
      <c r="FM93" s="302"/>
      <c r="FN93" s="303"/>
      <c r="FO93" s="286"/>
      <c r="FP93" s="286"/>
      <c r="FQ93" s="287">
        <f t="shared" si="1466"/>
        <v>0</v>
      </c>
      <c r="FR93" s="287">
        <f t="shared" si="1467"/>
        <v>0</v>
      </c>
      <c r="FS93" s="287"/>
      <c r="FT93" s="252" t="str">
        <f t="shared" si="1468"/>
        <v/>
      </c>
      <c r="FV93" s="265"/>
      <c r="FW93" s="230" t="str">
        <f>IF(FV93="","",VLOOKUP(FV93,Language!$D$5:$E$100,2,0))</f>
        <v/>
      </c>
      <c r="FX93" s="266"/>
      <c r="FY93" s="230" t="str">
        <f>IF(FX93="","",VLOOKUP(FX93,Language!$D$5:$E$100,2,0))</f>
        <v/>
      </c>
      <c r="FZ93" s="302"/>
      <c r="GA93" s="303"/>
      <c r="GB93" s="286"/>
      <c r="GC93" s="286"/>
      <c r="GD93" s="287">
        <f t="shared" si="1469"/>
        <v>0</v>
      </c>
      <c r="GE93" s="287">
        <f t="shared" si="1470"/>
        <v>0</v>
      </c>
      <c r="GF93" s="287"/>
      <c r="GG93" s="252" t="str">
        <f t="shared" si="1471"/>
        <v/>
      </c>
      <c r="GI93" s="265"/>
      <c r="GJ93" s="230" t="str">
        <f>IF(GI93="","",VLOOKUP(GI93,Language!$D$5:$E$100,2,0))</f>
        <v/>
      </c>
      <c r="GK93" s="266"/>
      <c r="GL93" s="230" t="str">
        <f>IF(GK93="","",VLOOKUP(GK93,Language!$D$5:$E$100,2,0))</f>
        <v/>
      </c>
      <c r="GM93" s="302"/>
      <c r="GN93" s="303"/>
      <c r="GO93" s="286"/>
      <c r="GP93" s="286"/>
      <c r="GQ93" s="287">
        <f t="shared" si="1472"/>
        <v>0</v>
      </c>
      <c r="GR93" s="287">
        <f t="shared" si="1473"/>
        <v>0</v>
      </c>
      <c r="GS93" s="287"/>
      <c r="GT93" s="252" t="str">
        <f t="shared" si="1474"/>
        <v/>
      </c>
      <c r="GV93" s="265"/>
      <c r="GW93" s="230" t="str">
        <f>IF(GV93="","",VLOOKUP(GV93,Language!$D$5:$E$100,2,0))</f>
        <v/>
      </c>
      <c r="GX93" s="266"/>
      <c r="GY93" s="230" t="str">
        <f>IF(GX93="","",VLOOKUP(GX93,Language!$D$5:$E$100,2,0))</f>
        <v/>
      </c>
      <c r="GZ93" s="302"/>
      <c r="HA93" s="303"/>
      <c r="HB93" s="286"/>
      <c r="HC93" s="286"/>
      <c r="HD93" s="287">
        <f t="shared" si="1475"/>
        <v>0</v>
      </c>
      <c r="HE93" s="287">
        <f t="shared" si="1476"/>
        <v>0</v>
      </c>
      <c r="HF93" s="287"/>
      <c r="HG93" s="252" t="str">
        <f t="shared" si="1477"/>
        <v/>
      </c>
      <c r="HI93" s="265"/>
      <c r="HJ93" s="230" t="str">
        <f>IF(HI93="","",VLOOKUP(HI93,Language!$D$5:$E$100,2,0))</f>
        <v/>
      </c>
      <c r="HK93" s="266"/>
      <c r="HL93" s="230" t="str">
        <f>IF(HK93="","",VLOOKUP(HK93,Language!$D$5:$E$100,2,0))</f>
        <v/>
      </c>
      <c r="HM93" s="302"/>
      <c r="HN93" s="303"/>
      <c r="HO93" s="286"/>
      <c r="HP93" s="286"/>
      <c r="HQ93" s="287">
        <f t="shared" si="1478"/>
        <v>0</v>
      </c>
      <c r="HR93" s="287">
        <f t="shared" si="1479"/>
        <v>0</v>
      </c>
      <c r="HS93" s="287"/>
      <c r="HT93" s="252" t="str">
        <f t="shared" si="1480"/>
        <v/>
      </c>
      <c r="HV93" s="265"/>
      <c r="HW93" s="230" t="str">
        <f>IF(HV93="","",VLOOKUP(HV93,Language!$D$5:$E$100,2,0))</f>
        <v/>
      </c>
      <c r="HX93" s="266"/>
      <c r="HY93" s="230" t="str">
        <f>IF(HX93="","",VLOOKUP(HX93,Language!$D$5:$E$100,2,0))</f>
        <v/>
      </c>
      <c r="HZ93" s="302"/>
      <c r="IA93" s="303"/>
      <c r="IB93" s="286"/>
      <c r="IC93" s="286"/>
      <c r="ID93" s="287">
        <f t="shared" si="1481"/>
        <v>0</v>
      </c>
      <c r="IE93" s="287">
        <f t="shared" si="1482"/>
        <v>0</v>
      </c>
      <c r="IF93" s="287"/>
      <c r="IG93" s="252" t="str">
        <f t="shared" si="1483"/>
        <v/>
      </c>
      <c r="II93" s="265"/>
      <c r="IJ93" s="230" t="str">
        <f>IF(II93="","",VLOOKUP(II93,Language!$D$5:$E$100,2,0))</f>
        <v/>
      </c>
      <c r="IK93" s="266"/>
      <c r="IL93" s="230" t="str">
        <f>IF(IK93="","",VLOOKUP(IK93,Language!$D$5:$E$100,2,0))</f>
        <v/>
      </c>
      <c r="IM93" s="302"/>
      <c r="IN93" s="303"/>
      <c r="IO93" s="286"/>
      <c r="IP93" s="286"/>
      <c r="IQ93" s="287">
        <f t="shared" si="1484"/>
        <v>0</v>
      </c>
      <c r="IR93" s="287">
        <f t="shared" si="1485"/>
        <v>0</v>
      </c>
      <c r="IS93" s="287"/>
      <c r="IT93" s="252" t="str">
        <f t="shared" si="1486"/>
        <v/>
      </c>
      <c r="IV93" s="265"/>
      <c r="IW93" s="230" t="str">
        <f>IF(IV93="","",VLOOKUP(IV93,Language!$D$5:$E$100,2,0))</f>
        <v/>
      </c>
      <c r="IX93" s="266"/>
      <c r="IY93" s="230" t="str">
        <f>IF(IX93="","",VLOOKUP(IX93,Language!$D$5:$E$100,2,0))</f>
        <v/>
      </c>
      <c r="IZ93" s="302"/>
      <c r="JA93" s="303"/>
      <c r="JB93" s="286"/>
      <c r="JC93" s="286"/>
      <c r="JD93" s="287">
        <f t="shared" si="1487"/>
        <v>0</v>
      </c>
      <c r="JE93" s="287">
        <f t="shared" si="1488"/>
        <v>0</v>
      </c>
      <c r="JF93" s="287"/>
      <c r="JG93" s="252" t="str">
        <f t="shared" si="1489"/>
        <v/>
      </c>
      <c r="JI93" s="265"/>
      <c r="JJ93" s="230" t="str">
        <f>IF(JI93="","",VLOOKUP(JI93,Language!$D$5:$E$100,2,0))</f>
        <v/>
      </c>
      <c r="JK93" s="266"/>
      <c r="JL93" s="230" t="str">
        <f>IF(JK93="","",VLOOKUP(JK93,Language!$D$5:$E$100,2,0))</f>
        <v/>
      </c>
      <c r="JM93" s="302"/>
      <c r="JN93" s="303"/>
      <c r="JO93" s="286"/>
      <c r="JP93" s="286"/>
      <c r="JQ93" s="287">
        <f t="shared" si="1490"/>
        <v>0</v>
      </c>
      <c r="JR93" s="287">
        <f t="shared" si="1491"/>
        <v>0</v>
      </c>
      <c r="JS93" s="287"/>
      <c r="JT93" s="252" t="str">
        <f t="shared" si="1492"/>
        <v/>
      </c>
      <c r="JV93" s="265"/>
      <c r="JW93" s="230" t="str">
        <f>IF(JV93="","",VLOOKUP(JV93,Language!$D$5:$E$100,2,0))</f>
        <v/>
      </c>
      <c r="JX93" s="266"/>
      <c r="JY93" s="230" t="str">
        <f>IF(JX93="","",VLOOKUP(JX93,Language!$D$5:$E$100,2,0))</f>
        <v/>
      </c>
      <c r="JZ93" s="302"/>
      <c r="KA93" s="303"/>
      <c r="KB93" s="286"/>
      <c r="KC93" s="286"/>
      <c r="KD93" s="287">
        <f t="shared" si="1493"/>
        <v>0</v>
      </c>
      <c r="KE93" s="287">
        <f t="shared" si="1494"/>
        <v>0</v>
      </c>
      <c r="KF93" s="287"/>
      <c r="KG93" s="252" t="str">
        <f t="shared" si="1495"/>
        <v/>
      </c>
      <c r="KI93" s="265"/>
      <c r="KJ93" s="230" t="str">
        <f>IF(KI93="","",VLOOKUP(KI93,Language!$D$5:$E$100,2,0))</f>
        <v/>
      </c>
      <c r="KK93" s="266"/>
      <c r="KL93" s="230" t="str">
        <f>IF(KK93="","",VLOOKUP(KK93,Language!$D$5:$E$100,2,0))</f>
        <v/>
      </c>
      <c r="KM93" s="302"/>
      <c r="KN93" s="303"/>
      <c r="KO93" s="286"/>
      <c r="KP93" s="286"/>
      <c r="KQ93" s="287">
        <f t="shared" si="1496"/>
        <v>0</v>
      </c>
      <c r="KR93" s="287">
        <f t="shared" si="1497"/>
        <v>0</v>
      </c>
      <c r="KS93" s="287"/>
      <c r="KT93" s="252" t="str">
        <f t="shared" si="1498"/>
        <v/>
      </c>
      <c r="KV93" s="265"/>
      <c r="KW93" s="230" t="str">
        <f>IF(KV93="","",VLOOKUP(KV93,Language!$D$5:$E$100,2,0))</f>
        <v/>
      </c>
      <c r="KX93" s="266"/>
      <c r="KY93" s="230" t="str">
        <f>IF(KX93="","",VLOOKUP(KX93,Language!$D$5:$E$100,2,0))</f>
        <v/>
      </c>
      <c r="KZ93" s="302"/>
      <c r="LA93" s="303"/>
      <c r="LB93" s="286"/>
      <c r="LC93" s="286"/>
      <c r="LD93" s="287">
        <f t="shared" si="1499"/>
        <v>0</v>
      </c>
      <c r="LE93" s="287">
        <f t="shared" si="1500"/>
        <v>0</v>
      </c>
      <c r="LF93" s="287"/>
      <c r="LG93" s="252" t="str">
        <f t="shared" si="1501"/>
        <v/>
      </c>
      <c r="LI93" s="265"/>
      <c r="LJ93" s="230" t="str">
        <f>IF(LI93="","",VLOOKUP(LI93,Language!$D$5:$E$100,2,0))</f>
        <v/>
      </c>
      <c r="LK93" s="266"/>
      <c r="LL93" s="230" t="str">
        <f>IF(LK93="","",VLOOKUP(LK93,Language!$D$5:$E$100,2,0))</f>
        <v/>
      </c>
      <c r="LM93" s="302"/>
      <c r="LN93" s="303"/>
      <c r="LO93" s="286"/>
      <c r="LP93" s="286"/>
      <c r="LQ93" s="287">
        <f t="shared" si="1502"/>
        <v>0</v>
      </c>
      <c r="LR93" s="287">
        <f t="shared" si="1503"/>
        <v>0</v>
      </c>
      <c r="LS93" s="287"/>
      <c r="LT93" s="252" t="str">
        <f t="shared" si="1504"/>
        <v/>
      </c>
      <c r="LV93" s="265"/>
      <c r="LW93" s="230" t="str">
        <f>IF(LV93="","",VLOOKUP(LV93,Language!$D$5:$E$100,2,0))</f>
        <v/>
      </c>
      <c r="LX93" s="266"/>
      <c r="LY93" s="230" t="str">
        <f>IF(LX93="","",VLOOKUP(LX93,Language!$D$5:$E$100,2,0))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46</v>
      </c>
      <c r="C94" s="230" t="str">
        <f>'World Cup'!$N$50</f>
        <v>DR Congo</v>
      </c>
      <c r="D94" s="231">
        <f>IF(E94="","",INDEX(Groups!$C$7:$C$65,MATCH(E94,Groups!$D$7:$D$65,0)))</f>
        <v>74</v>
      </c>
      <c r="E94" s="230" t="str">
        <f>'World Cup'!$O$50</f>
        <v>Ghana</v>
      </c>
      <c r="F94" s="232" t="str">
        <f>IF(AND('World Cup'!$N$51&lt;&gt;"",'World Cup'!$O$51&lt;&gt;""),'World Cup'!$N$51+IF(AND('World Cup'!$N$53&lt;&gt;"",'World Cup'!$O$53&lt;&gt;"",'World Cup'!$N$51='World Cup'!$O$51),'World Cup'!$N$53,0),"")</f>
        <v/>
      </c>
      <c r="G94" s="233" t="str">
        <f>IF(AND('World Cup'!$N$51&lt;&gt;"",'World Cup'!$O$51&lt;&gt;""),'World Cup'!$O$51+IF(AND('World Cup'!$N$53&lt;&gt;"",'World Cup'!$O$53&lt;&gt;"",'World Cup'!$N$51='World Cup'!$O$51),'World Cup'!$O$53,0),"")</f>
        <v/>
      </c>
      <c r="I94" s="265"/>
      <c r="J94" s="230" t="str">
        <f>IF(I94="","",VLOOKUP(I94,Language!$D$5:$E$100,2,0))</f>
        <v/>
      </c>
      <c r="K94" s="266"/>
      <c r="L94" s="230" t="str">
        <f>IF(K94="","",VLOOKUP(K94,Language!$D$5:$E$100,2,0))</f>
        <v/>
      </c>
      <c r="M94" s="302"/>
      <c r="N94" s="303"/>
      <c r="O94" s="286"/>
      <c r="P94" s="286"/>
      <c r="Q94" s="287">
        <f t="shared" si="1430"/>
        <v>0</v>
      </c>
      <c r="R94" s="287">
        <f t="shared" si="1431"/>
        <v>0</v>
      </c>
      <c r="S94" s="287"/>
      <c r="T94" s="252" t="str">
        <f t="shared" si="1432"/>
        <v/>
      </c>
      <c r="V94" s="265"/>
      <c r="W94" s="230" t="str">
        <f>IF(V94="","",VLOOKUP(V94,Language!$D$5:$E$100,2,0))</f>
        <v/>
      </c>
      <c r="X94" s="266"/>
      <c r="Y94" s="230" t="str">
        <f>IF(X94="","",VLOOKUP(X94,Language!$D$5:$E$100,2,0))</f>
        <v/>
      </c>
      <c r="Z94" s="302"/>
      <c r="AA94" s="303"/>
      <c r="AB94" s="286"/>
      <c r="AC94" s="286"/>
      <c r="AD94" s="287">
        <f t="shared" si="1433"/>
        <v>0</v>
      </c>
      <c r="AE94" s="287">
        <f t="shared" si="1434"/>
        <v>0</v>
      </c>
      <c r="AF94" s="287"/>
      <c r="AG94" s="252" t="str">
        <f t="shared" si="1435"/>
        <v/>
      </c>
      <c r="AI94" s="265"/>
      <c r="AJ94" s="230" t="str">
        <f>IF(AI94="","",VLOOKUP(AI94,Language!$D$5:$E$100,2,0))</f>
        <v/>
      </c>
      <c r="AK94" s="266"/>
      <c r="AL94" s="230" t="str">
        <f>IF(AK94="","",VLOOKUP(AK94,Language!$D$5:$E$100,2,0))</f>
        <v/>
      </c>
      <c r="AM94" s="302"/>
      <c r="AN94" s="303"/>
      <c r="AO94" s="286"/>
      <c r="AP94" s="286"/>
      <c r="AQ94" s="287">
        <f t="shared" si="1436"/>
        <v>0</v>
      </c>
      <c r="AR94" s="287">
        <f t="shared" si="1437"/>
        <v>0</v>
      </c>
      <c r="AS94" s="287"/>
      <c r="AT94" s="252" t="str">
        <f t="shared" si="1438"/>
        <v/>
      </c>
      <c r="AV94" s="265"/>
      <c r="AW94" s="230" t="str">
        <f>IF(AV94="","",VLOOKUP(AV94,Language!$D$5:$E$100,2,0))</f>
        <v/>
      </c>
      <c r="AX94" s="266"/>
      <c r="AY94" s="230" t="str">
        <f>IF(AX94="","",VLOOKUP(AX94,Language!$D$5:$E$100,2,0))</f>
        <v/>
      </c>
      <c r="AZ94" s="302"/>
      <c r="BA94" s="303"/>
      <c r="BB94" s="286"/>
      <c r="BC94" s="286"/>
      <c r="BD94" s="287">
        <f t="shared" si="1439"/>
        <v>0</v>
      </c>
      <c r="BE94" s="287">
        <f t="shared" si="1440"/>
        <v>0</v>
      </c>
      <c r="BF94" s="287"/>
      <c r="BG94" s="252" t="str">
        <f t="shared" si="1441"/>
        <v/>
      </c>
      <c r="BI94" s="265"/>
      <c r="BJ94" s="230" t="str">
        <f>IF(BI94="","",VLOOKUP(BI94,Language!$D$5:$E$100,2,0))</f>
        <v/>
      </c>
      <c r="BK94" s="266"/>
      <c r="BL94" s="230" t="str">
        <f>IF(BK94="","",VLOOKUP(BK94,Language!$D$5:$E$100,2,0))</f>
        <v/>
      </c>
      <c r="BM94" s="302"/>
      <c r="BN94" s="303"/>
      <c r="BO94" s="286"/>
      <c r="BP94" s="286"/>
      <c r="BQ94" s="287">
        <f t="shared" si="1442"/>
        <v>0</v>
      </c>
      <c r="BR94" s="287">
        <f t="shared" si="1443"/>
        <v>0</v>
      </c>
      <c r="BS94" s="287"/>
      <c r="BT94" s="252" t="str">
        <f t="shared" si="1444"/>
        <v/>
      </c>
      <c r="BV94" s="265"/>
      <c r="BW94" s="230" t="str">
        <f>IF(BV94="","",VLOOKUP(BV94,Language!$D$5:$E$100,2,0))</f>
        <v/>
      </c>
      <c r="BX94" s="266"/>
      <c r="BY94" s="230" t="str">
        <f>IF(BX94="","",VLOOKUP(BX94,Language!$D$5:$E$100,2,0))</f>
        <v/>
      </c>
      <c r="BZ94" s="302"/>
      <c r="CA94" s="303"/>
      <c r="CB94" s="286"/>
      <c r="CC94" s="286"/>
      <c r="CD94" s="287">
        <f t="shared" si="1445"/>
        <v>0</v>
      </c>
      <c r="CE94" s="287">
        <f t="shared" si="1446"/>
        <v>0</v>
      </c>
      <c r="CF94" s="287"/>
      <c r="CG94" s="252" t="str">
        <f t="shared" si="1447"/>
        <v/>
      </c>
      <c r="CI94" s="265"/>
      <c r="CJ94" s="230" t="str">
        <f>IF(CI94="","",VLOOKUP(CI94,Language!$D$5:$E$100,2,0))</f>
        <v/>
      </c>
      <c r="CK94" s="266"/>
      <c r="CL94" s="230" t="str">
        <f>IF(CK94="","",VLOOKUP(CK94,Language!$D$5:$E$100,2,0))</f>
        <v/>
      </c>
      <c r="CM94" s="302"/>
      <c r="CN94" s="303"/>
      <c r="CO94" s="286"/>
      <c r="CP94" s="286"/>
      <c r="CQ94" s="287">
        <f t="shared" si="1448"/>
        <v>0</v>
      </c>
      <c r="CR94" s="287">
        <f t="shared" si="1449"/>
        <v>0</v>
      </c>
      <c r="CS94" s="287"/>
      <c r="CT94" s="252" t="str">
        <f t="shared" si="1450"/>
        <v/>
      </c>
      <c r="CV94" s="265"/>
      <c r="CW94" s="230" t="str">
        <f>IF(CV94="","",VLOOKUP(CV94,Language!$D$5:$E$100,2,0))</f>
        <v/>
      </c>
      <c r="CX94" s="266"/>
      <c r="CY94" s="230" t="str">
        <f>IF(CX94="","",VLOOKUP(CX94,Language!$D$5:$E$100,2,0))</f>
        <v/>
      </c>
      <c r="CZ94" s="302"/>
      <c r="DA94" s="303"/>
      <c r="DB94" s="286"/>
      <c r="DC94" s="286"/>
      <c r="DD94" s="287">
        <f t="shared" si="1451"/>
        <v>0</v>
      </c>
      <c r="DE94" s="287">
        <f t="shared" si="1452"/>
        <v>0</v>
      </c>
      <c r="DF94" s="287"/>
      <c r="DG94" s="252" t="str">
        <f t="shared" si="1453"/>
        <v/>
      </c>
      <c r="DI94" s="265"/>
      <c r="DJ94" s="230" t="str">
        <f>IF(DI94="","",VLOOKUP(DI94,Language!$D$5:$E$100,2,0))</f>
        <v/>
      </c>
      <c r="DK94" s="266"/>
      <c r="DL94" s="230" t="str">
        <f>IF(DK94="","",VLOOKUP(DK94,Language!$D$5:$E$100,2,0))</f>
        <v/>
      </c>
      <c r="DM94" s="302"/>
      <c r="DN94" s="303"/>
      <c r="DO94" s="286"/>
      <c r="DP94" s="286"/>
      <c r="DQ94" s="287">
        <f t="shared" si="1454"/>
        <v>0</v>
      </c>
      <c r="DR94" s="287">
        <f t="shared" si="1455"/>
        <v>0</v>
      </c>
      <c r="DS94" s="287"/>
      <c r="DT94" s="252" t="str">
        <f t="shared" si="1456"/>
        <v/>
      </c>
      <c r="DV94" s="265"/>
      <c r="DW94" s="230" t="str">
        <f>IF(DV94="","",VLOOKUP(DV94,Language!$D$5:$E$100,2,0))</f>
        <v/>
      </c>
      <c r="DX94" s="266"/>
      <c r="DY94" s="230" t="str">
        <f>IF(DX94="","",VLOOKUP(DX94,Language!$D$5:$E$100,2,0))</f>
        <v/>
      </c>
      <c r="DZ94" s="302"/>
      <c r="EA94" s="303"/>
      <c r="EB94" s="286"/>
      <c r="EC94" s="286"/>
      <c r="ED94" s="287">
        <f t="shared" si="1457"/>
        <v>0</v>
      </c>
      <c r="EE94" s="287">
        <f t="shared" si="1458"/>
        <v>0</v>
      </c>
      <c r="EF94" s="287"/>
      <c r="EG94" s="252" t="str">
        <f t="shared" si="1459"/>
        <v/>
      </c>
      <c r="EI94" s="265"/>
      <c r="EJ94" s="230" t="str">
        <f>IF(EI94="","",VLOOKUP(EI94,Language!$D$5:$E$100,2,0))</f>
        <v/>
      </c>
      <c r="EK94" s="266"/>
      <c r="EL94" s="230" t="str">
        <f>IF(EK94="","",VLOOKUP(EK94,Language!$D$5:$E$100,2,0))</f>
        <v/>
      </c>
      <c r="EM94" s="302"/>
      <c r="EN94" s="303"/>
      <c r="EO94" s="286"/>
      <c r="EP94" s="286"/>
      <c r="EQ94" s="287">
        <f t="shared" si="1460"/>
        <v>0</v>
      </c>
      <c r="ER94" s="287">
        <f t="shared" si="1461"/>
        <v>0</v>
      </c>
      <c r="ES94" s="287"/>
      <c r="ET94" s="252" t="str">
        <f t="shared" si="1462"/>
        <v/>
      </c>
      <c r="EV94" s="265"/>
      <c r="EW94" s="230" t="str">
        <f>IF(EV94="","",VLOOKUP(EV94,Language!$D$5:$E$100,2,0))</f>
        <v/>
      </c>
      <c r="EX94" s="266"/>
      <c r="EY94" s="230" t="str">
        <f>IF(EX94="","",VLOOKUP(EX94,Language!$D$5:$E$100,2,0))</f>
        <v/>
      </c>
      <c r="EZ94" s="302"/>
      <c r="FA94" s="303"/>
      <c r="FB94" s="286"/>
      <c r="FC94" s="286"/>
      <c r="FD94" s="287">
        <f t="shared" si="1463"/>
        <v>0</v>
      </c>
      <c r="FE94" s="287">
        <f t="shared" si="1464"/>
        <v>0</v>
      </c>
      <c r="FF94" s="287"/>
      <c r="FG94" s="252" t="str">
        <f t="shared" si="1465"/>
        <v/>
      </c>
      <c r="FI94" s="265"/>
      <c r="FJ94" s="230" t="str">
        <f>IF(FI94="","",VLOOKUP(FI94,Language!$D$5:$E$100,2,0))</f>
        <v/>
      </c>
      <c r="FK94" s="266"/>
      <c r="FL94" s="230" t="str">
        <f>IF(FK94="","",VLOOKUP(FK94,Language!$D$5:$E$100,2,0))</f>
        <v/>
      </c>
      <c r="FM94" s="302"/>
      <c r="FN94" s="303"/>
      <c r="FO94" s="286"/>
      <c r="FP94" s="286"/>
      <c r="FQ94" s="287">
        <f t="shared" si="1466"/>
        <v>0</v>
      </c>
      <c r="FR94" s="287">
        <f t="shared" si="1467"/>
        <v>0</v>
      </c>
      <c r="FS94" s="287"/>
      <c r="FT94" s="252" t="str">
        <f t="shared" si="1468"/>
        <v/>
      </c>
      <c r="FV94" s="265"/>
      <c r="FW94" s="230" t="str">
        <f>IF(FV94="","",VLOOKUP(FV94,Language!$D$5:$E$100,2,0))</f>
        <v/>
      </c>
      <c r="FX94" s="266"/>
      <c r="FY94" s="230" t="str">
        <f>IF(FX94="","",VLOOKUP(FX94,Language!$D$5:$E$100,2,0))</f>
        <v/>
      </c>
      <c r="FZ94" s="302"/>
      <c r="GA94" s="303"/>
      <c r="GB94" s="286"/>
      <c r="GC94" s="286"/>
      <c r="GD94" s="287">
        <f t="shared" si="1469"/>
        <v>0</v>
      </c>
      <c r="GE94" s="287">
        <f t="shared" si="1470"/>
        <v>0</v>
      </c>
      <c r="GF94" s="287"/>
      <c r="GG94" s="252" t="str">
        <f t="shared" si="1471"/>
        <v/>
      </c>
      <c r="GI94" s="265"/>
      <c r="GJ94" s="230" t="str">
        <f>IF(GI94="","",VLOOKUP(GI94,Language!$D$5:$E$100,2,0))</f>
        <v/>
      </c>
      <c r="GK94" s="266"/>
      <c r="GL94" s="230" t="str">
        <f>IF(GK94="","",VLOOKUP(GK94,Language!$D$5:$E$100,2,0))</f>
        <v/>
      </c>
      <c r="GM94" s="302"/>
      <c r="GN94" s="303"/>
      <c r="GO94" s="286"/>
      <c r="GP94" s="286"/>
      <c r="GQ94" s="287">
        <f t="shared" si="1472"/>
        <v>0</v>
      </c>
      <c r="GR94" s="287">
        <f t="shared" si="1473"/>
        <v>0</v>
      </c>
      <c r="GS94" s="287"/>
      <c r="GT94" s="252" t="str">
        <f t="shared" si="1474"/>
        <v/>
      </c>
      <c r="GV94" s="265"/>
      <c r="GW94" s="230" t="str">
        <f>IF(GV94="","",VLOOKUP(GV94,Language!$D$5:$E$100,2,0))</f>
        <v/>
      </c>
      <c r="GX94" s="266"/>
      <c r="GY94" s="230" t="str">
        <f>IF(GX94="","",VLOOKUP(GX94,Language!$D$5:$E$100,2,0))</f>
        <v/>
      </c>
      <c r="GZ94" s="302"/>
      <c r="HA94" s="303"/>
      <c r="HB94" s="286"/>
      <c r="HC94" s="286"/>
      <c r="HD94" s="287">
        <f t="shared" si="1475"/>
        <v>0</v>
      </c>
      <c r="HE94" s="287">
        <f t="shared" si="1476"/>
        <v>0</v>
      </c>
      <c r="HF94" s="287"/>
      <c r="HG94" s="252" t="str">
        <f t="shared" si="1477"/>
        <v/>
      </c>
      <c r="HI94" s="265"/>
      <c r="HJ94" s="230" t="str">
        <f>IF(HI94="","",VLOOKUP(HI94,Language!$D$5:$E$100,2,0))</f>
        <v/>
      </c>
      <c r="HK94" s="266"/>
      <c r="HL94" s="230" t="str">
        <f>IF(HK94="","",VLOOKUP(HK94,Language!$D$5:$E$100,2,0))</f>
        <v/>
      </c>
      <c r="HM94" s="302"/>
      <c r="HN94" s="303"/>
      <c r="HO94" s="286"/>
      <c r="HP94" s="286"/>
      <c r="HQ94" s="287">
        <f t="shared" si="1478"/>
        <v>0</v>
      </c>
      <c r="HR94" s="287">
        <f t="shared" si="1479"/>
        <v>0</v>
      </c>
      <c r="HS94" s="287"/>
      <c r="HT94" s="252" t="str">
        <f t="shared" si="1480"/>
        <v/>
      </c>
      <c r="HV94" s="265"/>
      <c r="HW94" s="230" t="str">
        <f>IF(HV94="","",VLOOKUP(HV94,Language!$D$5:$E$100,2,0))</f>
        <v/>
      </c>
      <c r="HX94" s="266"/>
      <c r="HY94" s="230" t="str">
        <f>IF(HX94="","",VLOOKUP(HX94,Language!$D$5:$E$100,2,0))</f>
        <v/>
      </c>
      <c r="HZ94" s="302"/>
      <c r="IA94" s="303"/>
      <c r="IB94" s="286"/>
      <c r="IC94" s="286"/>
      <c r="ID94" s="287">
        <f t="shared" si="1481"/>
        <v>0</v>
      </c>
      <c r="IE94" s="287">
        <f t="shared" si="1482"/>
        <v>0</v>
      </c>
      <c r="IF94" s="287"/>
      <c r="IG94" s="252" t="str">
        <f t="shared" si="1483"/>
        <v/>
      </c>
      <c r="II94" s="265"/>
      <c r="IJ94" s="230" t="str">
        <f>IF(II94="","",VLOOKUP(II94,Language!$D$5:$E$100,2,0))</f>
        <v/>
      </c>
      <c r="IK94" s="266"/>
      <c r="IL94" s="230" t="str">
        <f>IF(IK94="","",VLOOKUP(IK94,Language!$D$5:$E$100,2,0))</f>
        <v/>
      </c>
      <c r="IM94" s="302"/>
      <c r="IN94" s="303"/>
      <c r="IO94" s="286"/>
      <c r="IP94" s="286"/>
      <c r="IQ94" s="287">
        <f t="shared" si="1484"/>
        <v>0</v>
      </c>
      <c r="IR94" s="287">
        <f t="shared" si="1485"/>
        <v>0</v>
      </c>
      <c r="IS94" s="287"/>
      <c r="IT94" s="252" t="str">
        <f t="shared" si="1486"/>
        <v/>
      </c>
      <c r="IV94" s="265"/>
      <c r="IW94" s="230" t="str">
        <f>IF(IV94="","",VLOOKUP(IV94,Language!$D$5:$E$100,2,0))</f>
        <v/>
      </c>
      <c r="IX94" s="266"/>
      <c r="IY94" s="230" t="str">
        <f>IF(IX94="","",VLOOKUP(IX94,Language!$D$5:$E$100,2,0))</f>
        <v/>
      </c>
      <c r="IZ94" s="302"/>
      <c r="JA94" s="303"/>
      <c r="JB94" s="286"/>
      <c r="JC94" s="286"/>
      <c r="JD94" s="287">
        <f t="shared" si="1487"/>
        <v>0</v>
      </c>
      <c r="JE94" s="287">
        <f t="shared" si="1488"/>
        <v>0</v>
      </c>
      <c r="JF94" s="287"/>
      <c r="JG94" s="252" t="str">
        <f t="shared" si="1489"/>
        <v/>
      </c>
      <c r="JI94" s="265"/>
      <c r="JJ94" s="230" t="str">
        <f>IF(JI94="","",VLOOKUP(JI94,Language!$D$5:$E$100,2,0))</f>
        <v/>
      </c>
      <c r="JK94" s="266"/>
      <c r="JL94" s="230" t="str">
        <f>IF(JK94="","",VLOOKUP(JK94,Language!$D$5:$E$100,2,0))</f>
        <v/>
      </c>
      <c r="JM94" s="302"/>
      <c r="JN94" s="303"/>
      <c r="JO94" s="286"/>
      <c r="JP94" s="286"/>
      <c r="JQ94" s="287">
        <f t="shared" si="1490"/>
        <v>0</v>
      </c>
      <c r="JR94" s="287">
        <f t="shared" si="1491"/>
        <v>0</v>
      </c>
      <c r="JS94" s="287"/>
      <c r="JT94" s="252" t="str">
        <f t="shared" si="1492"/>
        <v/>
      </c>
      <c r="JV94" s="265"/>
      <c r="JW94" s="230" t="str">
        <f>IF(JV94="","",VLOOKUP(JV94,Language!$D$5:$E$100,2,0))</f>
        <v/>
      </c>
      <c r="JX94" s="266"/>
      <c r="JY94" s="230" t="str">
        <f>IF(JX94="","",VLOOKUP(JX94,Language!$D$5:$E$100,2,0))</f>
        <v/>
      </c>
      <c r="JZ94" s="302"/>
      <c r="KA94" s="303"/>
      <c r="KB94" s="286"/>
      <c r="KC94" s="286"/>
      <c r="KD94" s="287">
        <f t="shared" si="1493"/>
        <v>0</v>
      </c>
      <c r="KE94" s="287">
        <f t="shared" si="1494"/>
        <v>0</v>
      </c>
      <c r="KF94" s="287"/>
      <c r="KG94" s="252" t="str">
        <f t="shared" si="1495"/>
        <v/>
      </c>
      <c r="KI94" s="265"/>
      <c r="KJ94" s="230" t="str">
        <f>IF(KI94="","",VLOOKUP(KI94,Language!$D$5:$E$100,2,0))</f>
        <v/>
      </c>
      <c r="KK94" s="266"/>
      <c r="KL94" s="230" t="str">
        <f>IF(KK94="","",VLOOKUP(KK94,Language!$D$5:$E$100,2,0))</f>
        <v/>
      </c>
      <c r="KM94" s="302"/>
      <c r="KN94" s="303"/>
      <c r="KO94" s="286"/>
      <c r="KP94" s="286"/>
      <c r="KQ94" s="287">
        <f t="shared" si="1496"/>
        <v>0</v>
      </c>
      <c r="KR94" s="287">
        <f t="shared" si="1497"/>
        <v>0</v>
      </c>
      <c r="KS94" s="287"/>
      <c r="KT94" s="252" t="str">
        <f t="shared" si="1498"/>
        <v/>
      </c>
      <c r="KV94" s="265"/>
      <c r="KW94" s="230" t="str">
        <f>IF(KV94="","",VLOOKUP(KV94,Language!$D$5:$E$100,2,0))</f>
        <v/>
      </c>
      <c r="KX94" s="266"/>
      <c r="KY94" s="230" t="str">
        <f>IF(KX94="","",VLOOKUP(KX94,Language!$D$5:$E$100,2,0))</f>
        <v/>
      </c>
      <c r="KZ94" s="302"/>
      <c r="LA94" s="303"/>
      <c r="LB94" s="286"/>
      <c r="LC94" s="286"/>
      <c r="LD94" s="287">
        <f t="shared" si="1499"/>
        <v>0</v>
      </c>
      <c r="LE94" s="287">
        <f t="shared" si="1500"/>
        <v>0</v>
      </c>
      <c r="LF94" s="287"/>
      <c r="LG94" s="252" t="str">
        <f t="shared" si="1501"/>
        <v/>
      </c>
      <c r="LI94" s="265"/>
      <c r="LJ94" s="230" t="str">
        <f>IF(LI94="","",VLOOKUP(LI94,Language!$D$5:$E$100,2,0))</f>
        <v/>
      </c>
      <c r="LK94" s="266"/>
      <c r="LL94" s="230" t="str">
        <f>IF(LK94="","",VLOOKUP(LK94,Language!$D$5:$E$100,2,0))</f>
        <v/>
      </c>
      <c r="LM94" s="302"/>
      <c r="LN94" s="303"/>
      <c r="LO94" s="286"/>
      <c r="LP94" s="286"/>
      <c r="LQ94" s="287">
        <f t="shared" si="1502"/>
        <v>0</v>
      </c>
      <c r="LR94" s="287">
        <f t="shared" si="1503"/>
        <v>0</v>
      </c>
      <c r="LS94" s="287"/>
      <c r="LT94" s="252" t="str">
        <f t="shared" si="1504"/>
        <v/>
      </c>
      <c r="LV94" s="265"/>
      <c r="LW94" s="230" t="str">
        <f>IF(LV94="","",VLOOKUP(LV94,Language!$D$5:$E$100,2,0))</f>
        <v/>
      </c>
      <c r="LX94" s="266"/>
      <c r="LY94" s="230" t="str">
        <f>IF(LX94="","",VLOOKUP(LX94,Language!$D$5:$E$100,2,0))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Spain</v>
      </c>
      <c r="D95" s="231">
        <f>IF(E95="","",INDEX(Groups!$C$7:$C$65,MATCH(E95,Groups!$D$7:$D$65,0)))</f>
        <v>24</v>
      </c>
      <c r="E95" s="230" t="str">
        <f>'World Cup'!$R$50</f>
        <v>Austria</v>
      </c>
      <c r="F95" s="232" t="str">
        <f>IF(AND('World Cup'!$Q$51&lt;&gt;"",'World Cup'!$R$51&lt;&gt;""),'World Cup'!$Q$51+IF(AND('World Cup'!$Q$53&lt;&gt;"",'World Cup'!$R$53&lt;&gt;"",'World Cup'!$Q$51='World Cup'!$R$51),'World Cup'!$Q$53,0),"")</f>
        <v/>
      </c>
      <c r="G95" s="233" t="str">
        <f>IF(AND('World Cup'!$Q$51&lt;&gt;"",'World Cup'!$R$51&lt;&gt;""),'World Cup'!$R$51+IF(AND('World Cup'!$Q$53&lt;&gt;"",'World Cup'!$R$53&lt;&gt;"",'World Cup'!$Q$51='World Cup'!$R$51),'World Cup'!$R$53,0),"")</f>
        <v/>
      </c>
      <c r="I95" s="265"/>
      <c r="J95" s="230" t="str">
        <f>IF(I95="","",VLOOKUP(I95,Language!$D$5:$E$100,2,0))</f>
        <v/>
      </c>
      <c r="K95" s="266"/>
      <c r="L95" s="230" t="str">
        <f>IF(K95="","",VLOOKUP(K95,Language!$D$5:$E$100,2,0))</f>
        <v/>
      </c>
      <c r="M95" s="302"/>
      <c r="N95" s="303"/>
      <c r="O95" s="286"/>
      <c r="P95" s="286"/>
      <c r="Q95" s="287">
        <f t="shared" si="1430"/>
        <v>0</v>
      </c>
      <c r="R95" s="287">
        <f t="shared" si="1431"/>
        <v>0</v>
      </c>
      <c r="S95" s="287"/>
      <c r="T95" s="252" t="str">
        <f t="shared" si="1432"/>
        <v/>
      </c>
      <c r="V95" s="265"/>
      <c r="W95" s="230" t="str">
        <f>IF(V95="","",VLOOKUP(V95,Language!$D$5:$E$100,2,0))</f>
        <v/>
      </c>
      <c r="X95" s="266"/>
      <c r="Y95" s="230" t="str">
        <f>IF(X95="","",VLOOKUP(X95,Language!$D$5:$E$100,2,0))</f>
        <v/>
      </c>
      <c r="Z95" s="302"/>
      <c r="AA95" s="303"/>
      <c r="AB95" s="286"/>
      <c r="AC95" s="286"/>
      <c r="AD95" s="287">
        <f t="shared" si="1433"/>
        <v>0</v>
      </c>
      <c r="AE95" s="287">
        <f t="shared" si="1434"/>
        <v>0</v>
      </c>
      <c r="AF95" s="287"/>
      <c r="AG95" s="252" t="str">
        <f t="shared" si="1435"/>
        <v/>
      </c>
      <c r="AI95" s="265"/>
      <c r="AJ95" s="230" t="str">
        <f>IF(AI95="","",VLOOKUP(AI95,Language!$D$5:$E$100,2,0))</f>
        <v/>
      </c>
      <c r="AK95" s="266"/>
      <c r="AL95" s="230" t="str">
        <f>IF(AK95="","",VLOOKUP(AK95,Language!$D$5:$E$100,2,0))</f>
        <v/>
      </c>
      <c r="AM95" s="302"/>
      <c r="AN95" s="303"/>
      <c r="AO95" s="286"/>
      <c r="AP95" s="286"/>
      <c r="AQ95" s="287">
        <f t="shared" si="1436"/>
        <v>0</v>
      </c>
      <c r="AR95" s="287">
        <f t="shared" si="1437"/>
        <v>0</v>
      </c>
      <c r="AS95" s="287"/>
      <c r="AT95" s="252" t="str">
        <f t="shared" si="1438"/>
        <v/>
      </c>
      <c r="AV95" s="265"/>
      <c r="AW95" s="230" t="str">
        <f>IF(AV95="","",VLOOKUP(AV95,Language!$D$5:$E$100,2,0))</f>
        <v/>
      </c>
      <c r="AX95" s="266"/>
      <c r="AY95" s="230" t="str">
        <f>IF(AX95="","",VLOOKUP(AX95,Language!$D$5:$E$100,2,0))</f>
        <v/>
      </c>
      <c r="AZ95" s="302"/>
      <c r="BA95" s="303"/>
      <c r="BB95" s="286"/>
      <c r="BC95" s="286"/>
      <c r="BD95" s="287">
        <f t="shared" si="1439"/>
        <v>0</v>
      </c>
      <c r="BE95" s="287">
        <f t="shared" si="1440"/>
        <v>0</v>
      </c>
      <c r="BF95" s="287"/>
      <c r="BG95" s="252" t="str">
        <f t="shared" si="1441"/>
        <v/>
      </c>
      <c r="BI95" s="265"/>
      <c r="BJ95" s="230" t="str">
        <f>IF(BI95="","",VLOOKUP(BI95,Language!$D$5:$E$100,2,0))</f>
        <v/>
      </c>
      <c r="BK95" s="266"/>
      <c r="BL95" s="230" t="str">
        <f>IF(BK95="","",VLOOKUP(BK95,Language!$D$5:$E$100,2,0))</f>
        <v/>
      </c>
      <c r="BM95" s="302"/>
      <c r="BN95" s="303"/>
      <c r="BO95" s="286"/>
      <c r="BP95" s="286"/>
      <c r="BQ95" s="287">
        <f t="shared" si="1442"/>
        <v>0</v>
      </c>
      <c r="BR95" s="287">
        <f t="shared" si="1443"/>
        <v>0</v>
      </c>
      <c r="BS95" s="287"/>
      <c r="BT95" s="252" t="str">
        <f t="shared" si="1444"/>
        <v/>
      </c>
      <c r="BV95" s="265"/>
      <c r="BW95" s="230" t="str">
        <f>IF(BV95="","",VLOOKUP(BV95,Language!$D$5:$E$100,2,0))</f>
        <v/>
      </c>
      <c r="BX95" s="266"/>
      <c r="BY95" s="230" t="str">
        <f>IF(BX95="","",VLOOKUP(BX95,Language!$D$5:$E$100,2,0))</f>
        <v/>
      </c>
      <c r="BZ95" s="302"/>
      <c r="CA95" s="303"/>
      <c r="CB95" s="286"/>
      <c r="CC95" s="286"/>
      <c r="CD95" s="287">
        <f t="shared" si="1445"/>
        <v>0</v>
      </c>
      <c r="CE95" s="287">
        <f t="shared" si="1446"/>
        <v>0</v>
      </c>
      <c r="CF95" s="287"/>
      <c r="CG95" s="252" t="str">
        <f t="shared" si="1447"/>
        <v/>
      </c>
      <c r="CI95" s="265"/>
      <c r="CJ95" s="230" t="str">
        <f>IF(CI95="","",VLOOKUP(CI95,Language!$D$5:$E$100,2,0))</f>
        <v/>
      </c>
      <c r="CK95" s="266"/>
      <c r="CL95" s="230" t="str">
        <f>IF(CK95="","",VLOOKUP(CK95,Language!$D$5:$E$100,2,0))</f>
        <v/>
      </c>
      <c r="CM95" s="302"/>
      <c r="CN95" s="303"/>
      <c r="CO95" s="286"/>
      <c r="CP95" s="286"/>
      <c r="CQ95" s="287">
        <f t="shared" si="1448"/>
        <v>0</v>
      </c>
      <c r="CR95" s="287">
        <f t="shared" si="1449"/>
        <v>0</v>
      </c>
      <c r="CS95" s="287"/>
      <c r="CT95" s="252" t="str">
        <f t="shared" si="1450"/>
        <v/>
      </c>
      <c r="CV95" s="265"/>
      <c r="CW95" s="230" t="str">
        <f>IF(CV95="","",VLOOKUP(CV95,Language!$D$5:$E$100,2,0))</f>
        <v/>
      </c>
      <c r="CX95" s="266"/>
      <c r="CY95" s="230" t="str">
        <f>IF(CX95="","",VLOOKUP(CX95,Language!$D$5:$E$100,2,0))</f>
        <v/>
      </c>
      <c r="CZ95" s="302"/>
      <c r="DA95" s="303"/>
      <c r="DB95" s="286"/>
      <c r="DC95" s="286"/>
      <c r="DD95" s="287">
        <f t="shared" si="1451"/>
        <v>0</v>
      </c>
      <c r="DE95" s="287">
        <f t="shared" si="1452"/>
        <v>0</v>
      </c>
      <c r="DF95" s="287"/>
      <c r="DG95" s="252" t="str">
        <f t="shared" si="1453"/>
        <v/>
      </c>
      <c r="DI95" s="265"/>
      <c r="DJ95" s="230" t="str">
        <f>IF(DI95="","",VLOOKUP(DI95,Language!$D$5:$E$100,2,0))</f>
        <v/>
      </c>
      <c r="DK95" s="266"/>
      <c r="DL95" s="230" t="str">
        <f>IF(DK95="","",VLOOKUP(DK95,Language!$D$5:$E$100,2,0))</f>
        <v/>
      </c>
      <c r="DM95" s="302"/>
      <c r="DN95" s="303"/>
      <c r="DO95" s="286"/>
      <c r="DP95" s="286"/>
      <c r="DQ95" s="287">
        <f t="shared" si="1454"/>
        <v>0</v>
      </c>
      <c r="DR95" s="287">
        <f t="shared" si="1455"/>
        <v>0</v>
      </c>
      <c r="DS95" s="287"/>
      <c r="DT95" s="252" t="str">
        <f t="shared" si="1456"/>
        <v/>
      </c>
      <c r="DV95" s="265"/>
      <c r="DW95" s="230" t="str">
        <f>IF(DV95="","",VLOOKUP(DV95,Language!$D$5:$E$100,2,0))</f>
        <v/>
      </c>
      <c r="DX95" s="266"/>
      <c r="DY95" s="230" t="str">
        <f>IF(DX95="","",VLOOKUP(DX95,Language!$D$5:$E$100,2,0))</f>
        <v/>
      </c>
      <c r="DZ95" s="302"/>
      <c r="EA95" s="303"/>
      <c r="EB95" s="286"/>
      <c r="EC95" s="286"/>
      <c r="ED95" s="287">
        <f t="shared" si="1457"/>
        <v>0</v>
      </c>
      <c r="EE95" s="287">
        <f t="shared" si="1458"/>
        <v>0</v>
      </c>
      <c r="EF95" s="287"/>
      <c r="EG95" s="252" t="str">
        <f t="shared" si="1459"/>
        <v/>
      </c>
      <c r="EI95" s="265"/>
      <c r="EJ95" s="230" t="str">
        <f>IF(EI95="","",VLOOKUP(EI95,Language!$D$5:$E$100,2,0))</f>
        <v/>
      </c>
      <c r="EK95" s="266"/>
      <c r="EL95" s="230" t="str">
        <f>IF(EK95="","",VLOOKUP(EK95,Language!$D$5:$E$100,2,0))</f>
        <v/>
      </c>
      <c r="EM95" s="302"/>
      <c r="EN95" s="303"/>
      <c r="EO95" s="286"/>
      <c r="EP95" s="286"/>
      <c r="EQ95" s="287">
        <f t="shared" si="1460"/>
        <v>0</v>
      </c>
      <c r="ER95" s="287">
        <f t="shared" si="1461"/>
        <v>0</v>
      </c>
      <c r="ES95" s="287"/>
      <c r="ET95" s="252" t="str">
        <f t="shared" si="1462"/>
        <v/>
      </c>
      <c r="EV95" s="265"/>
      <c r="EW95" s="230" t="str">
        <f>IF(EV95="","",VLOOKUP(EV95,Language!$D$5:$E$100,2,0))</f>
        <v/>
      </c>
      <c r="EX95" s="266"/>
      <c r="EY95" s="230" t="str">
        <f>IF(EX95="","",VLOOKUP(EX95,Language!$D$5:$E$100,2,0))</f>
        <v/>
      </c>
      <c r="EZ95" s="302"/>
      <c r="FA95" s="303"/>
      <c r="FB95" s="286"/>
      <c r="FC95" s="286"/>
      <c r="FD95" s="287">
        <f t="shared" si="1463"/>
        <v>0</v>
      </c>
      <c r="FE95" s="287">
        <f t="shared" si="1464"/>
        <v>0</v>
      </c>
      <c r="FF95" s="287"/>
      <c r="FG95" s="252" t="str">
        <f t="shared" si="1465"/>
        <v/>
      </c>
      <c r="FI95" s="265"/>
      <c r="FJ95" s="230" t="str">
        <f>IF(FI95="","",VLOOKUP(FI95,Language!$D$5:$E$100,2,0))</f>
        <v/>
      </c>
      <c r="FK95" s="266"/>
      <c r="FL95" s="230" t="str">
        <f>IF(FK95="","",VLOOKUP(FK95,Language!$D$5:$E$100,2,0))</f>
        <v/>
      </c>
      <c r="FM95" s="302"/>
      <c r="FN95" s="303"/>
      <c r="FO95" s="286"/>
      <c r="FP95" s="286"/>
      <c r="FQ95" s="287">
        <f t="shared" si="1466"/>
        <v>0</v>
      </c>
      <c r="FR95" s="287">
        <f t="shared" si="1467"/>
        <v>0</v>
      </c>
      <c r="FS95" s="287"/>
      <c r="FT95" s="252" t="str">
        <f t="shared" si="1468"/>
        <v/>
      </c>
      <c r="FV95" s="265"/>
      <c r="FW95" s="230" t="str">
        <f>IF(FV95="","",VLOOKUP(FV95,Language!$D$5:$E$100,2,0))</f>
        <v/>
      </c>
      <c r="FX95" s="266"/>
      <c r="FY95" s="230" t="str">
        <f>IF(FX95="","",VLOOKUP(FX95,Language!$D$5:$E$100,2,0))</f>
        <v/>
      </c>
      <c r="FZ95" s="302"/>
      <c r="GA95" s="303"/>
      <c r="GB95" s="286"/>
      <c r="GC95" s="286"/>
      <c r="GD95" s="287">
        <f t="shared" si="1469"/>
        <v>0</v>
      </c>
      <c r="GE95" s="287">
        <f t="shared" si="1470"/>
        <v>0</v>
      </c>
      <c r="GF95" s="287"/>
      <c r="GG95" s="252" t="str">
        <f t="shared" si="1471"/>
        <v/>
      </c>
      <c r="GI95" s="265"/>
      <c r="GJ95" s="230" t="str">
        <f>IF(GI95="","",VLOOKUP(GI95,Language!$D$5:$E$100,2,0))</f>
        <v/>
      </c>
      <c r="GK95" s="266"/>
      <c r="GL95" s="230" t="str">
        <f>IF(GK95="","",VLOOKUP(GK95,Language!$D$5:$E$100,2,0))</f>
        <v/>
      </c>
      <c r="GM95" s="302"/>
      <c r="GN95" s="303"/>
      <c r="GO95" s="286"/>
      <c r="GP95" s="286"/>
      <c r="GQ95" s="287">
        <f t="shared" si="1472"/>
        <v>0</v>
      </c>
      <c r="GR95" s="287">
        <f t="shared" si="1473"/>
        <v>0</v>
      </c>
      <c r="GS95" s="287"/>
      <c r="GT95" s="252" t="str">
        <f t="shared" si="1474"/>
        <v/>
      </c>
      <c r="GV95" s="265"/>
      <c r="GW95" s="230" t="str">
        <f>IF(GV95="","",VLOOKUP(GV95,Language!$D$5:$E$100,2,0))</f>
        <v/>
      </c>
      <c r="GX95" s="266"/>
      <c r="GY95" s="230" t="str">
        <f>IF(GX95="","",VLOOKUP(GX95,Language!$D$5:$E$100,2,0))</f>
        <v/>
      </c>
      <c r="GZ95" s="302"/>
      <c r="HA95" s="303"/>
      <c r="HB95" s="286"/>
      <c r="HC95" s="286"/>
      <c r="HD95" s="287">
        <f t="shared" si="1475"/>
        <v>0</v>
      </c>
      <c r="HE95" s="287">
        <f t="shared" si="1476"/>
        <v>0</v>
      </c>
      <c r="HF95" s="287"/>
      <c r="HG95" s="252" t="str">
        <f t="shared" si="1477"/>
        <v/>
      </c>
      <c r="HI95" s="265"/>
      <c r="HJ95" s="230" t="str">
        <f>IF(HI95="","",VLOOKUP(HI95,Language!$D$5:$E$100,2,0))</f>
        <v/>
      </c>
      <c r="HK95" s="266"/>
      <c r="HL95" s="230" t="str">
        <f>IF(HK95="","",VLOOKUP(HK95,Language!$D$5:$E$100,2,0))</f>
        <v/>
      </c>
      <c r="HM95" s="302"/>
      <c r="HN95" s="303"/>
      <c r="HO95" s="286"/>
      <c r="HP95" s="286"/>
      <c r="HQ95" s="287">
        <f t="shared" si="1478"/>
        <v>0</v>
      </c>
      <c r="HR95" s="287">
        <f t="shared" si="1479"/>
        <v>0</v>
      </c>
      <c r="HS95" s="287"/>
      <c r="HT95" s="252" t="str">
        <f t="shared" si="1480"/>
        <v/>
      </c>
      <c r="HV95" s="265"/>
      <c r="HW95" s="230" t="str">
        <f>IF(HV95="","",VLOOKUP(HV95,Language!$D$5:$E$100,2,0))</f>
        <v/>
      </c>
      <c r="HX95" s="266"/>
      <c r="HY95" s="230" t="str">
        <f>IF(HX95="","",VLOOKUP(HX95,Language!$D$5:$E$100,2,0))</f>
        <v/>
      </c>
      <c r="HZ95" s="302"/>
      <c r="IA95" s="303"/>
      <c r="IB95" s="286"/>
      <c r="IC95" s="286"/>
      <c r="ID95" s="287">
        <f t="shared" si="1481"/>
        <v>0</v>
      </c>
      <c r="IE95" s="287">
        <f t="shared" si="1482"/>
        <v>0</v>
      </c>
      <c r="IF95" s="287"/>
      <c r="IG95" s="252" t="str">
        <f t="shared" si="1483"/>
        <v/>
      </c>
      <c r="II95" s="265"/>
      <c r="IJ95" s="230" t="str">
        <f>IF(II95="","",VLOOKUP(II95,Language!$D$5:$E$100,2,0))</f>
        <v/>
      </c>
      <c r="IK95" s="266"/>
      <c r="IL95" s="230" t="str">
        <f>IF(IK95="","",VLOOKUP(IK95,Language!$D$5:$E$100,2,0))</f>
        <v/>
      </c>
      <c r="IM95" s="302"/>
      <c r="IN95" s="303"/>
      <c r="IO95" s="286"/>
      <c r="IP95" s="286"/>
      <c r="IQ95" s="287">
        <f t="shared" si="1484"/>
        <v>0</v>
      </c>
      <c r="IR95" s="287">
        <f t="shared" si="1485"/>
        <v>0</v>
      </c>
      <c r="IS95" s="287"/>
      <c r="IT95" s="252" t="str">
        <f t="shared" si="1486"/>
        <v/>
      </c>
      <c r="IV95" s="265"/>
      <c r="IW95" s="230" t="str">
        <f>IF(IV95="","",VLOOKUP(IV95,Language!$D$5:$E$100,2,0))</f>
        <v/>
      </c>
      <c r="IX95" s="266"/>
      <c r="IY95" s="230" t="str">
        <f>IF(IX95="","",VLOOKUP(IX95,Language!$D$5:$E$100,2,0))</f>
        <v/>
      </c>
      <c r="IZ95" s="302"/>
      <c r="JA95" s="303"/>
      <c r="JB95" s="286"/>
      <c r="JC95" s="286"/>
      <c r="JD95" s="287">
        <f t="shared" si="1487"/>
        <v>0</v>
      </c>
      <c r="JE95" s="287">
        <f t="shared" si="1488"/>
        <v>0</v>
      </c>
      <c r="JF95" s="287"/>
      <c r="JG95" s="252" t="str">
        <f t="shared" si="1489"/>
        <v/>
      </c>
      <c r="JI95" s="265"/>
      <c r="JJ95" s="230" t="str">
        <f>IF(JI95="","",VLOOKUP(JI95,Language!$D$5:$E$100,2,0))</f>
        <v/>
      </c>
      <c r="JK95" s="266"/>
      <c r="JL95" s="230" t="str">
        <f>IF(JK95="","",VLOOKUP(JK95,Language!$D$5:$E$100,2,0))</f>
        <v/>
      </c>
      <c r="JM95" s="302"/>
      <c r="JN95" s="303"/>
      <c r="JO95" s="286"/>
      <c r="JP95" s="286"/>
      <c r="JQ95" s="287">
        <f t="shared" si="1490"/>
        <v>0</v>
      </c>
      <c r="JR95" s="287">
        <f t="shared" si="1491"/>
        <v>0</v>
      </c>
      <c r="JS95" s="287"/>
      <c r="JT95" s="252" t="str">
        <f t="shared" si="1492"/>
        <v/>
      </c>
      <c r="JV95" s="265"/>
      <c r="JW95" s="230" t="str">
        <f>IF(JV95="","",VLOOKUP(JV95,Language!$D$5:$E$100,2,0))</f>
        <v/>
      </c>
      <c r="JX95" s="266"/>
      <c r="JY95" s="230" t="str">
        <f>IF(JX95="","",VLOOKUP(JX95,Language!$D$5:$E$100,2,0))</f>
        <v/>
      </c>
      <c r="JZ95" s="302"/>
      <c r="KA95" s="303"/>
      <c r="KB95" s="286"/>
      <c r="KC95" s="286"/>
      <c r="KD95" s="287">
        <f t="shared" si="1493"/>
        <v>0</v>
      </c>
      <c r="KE95" s="287">
        <f t="shared" si="1494"/>
        <v>0</v>
      </c>
      <c r="KF95" s="287"/>
      <c r="KG95" s="252" t="str">
        <f t="shared" si="1495"/>
        <v/>
      </c>
      <c r="KI95" s="265"/>
      <c r="KJ95" s="230" t="str">
        <f>IF(KI95="","",VLOOKUP(KI95,Language!$D$5:$E$100,2,0))</f>
        <v/>
      </c>
      <c r="KK95" s="266"/>
      <c r="KL95" s="230" t="str">
        <f>IF(KK95="","",VLOOKUP(KK95,Language!$D$5:$E$100,2,0))</f>
        <v/>
      </c>
      <c r="KM95" s="302"/>
      <c r="KN95" s="303"/>
      <c r="KO95" s="286"/>
      <c r="KP95" s="286"/>
      <c r="KQ95" s="287">
        <f t="shared" si="1496"/>
        <v>0</v>
      </c>
      <c r="KR95" s="287">
        <f t="shared" si="1497"/>
        <v>0</v>
      </c>
      <c r="KS95" s="287"/>
      <c r="KT95" s="252" t="str">
        <f t="shared" si="1498"/>
        <v/>
      </c>
      <c r="KV95" s="265"/>
      <c r="KW95" s="230" t="str">
        <f>IF(KV95="","",VLOOKUP(KV95,Language!$D$5:$E$100,2,0))</f>
        <v/>
      </c>
      <c r="KX95" s="266"/>
      <c r="KY95" s="230" t="str">
        <f>IF(KX95="","",VLOOKUP(KX95,Language!$D$5:$E$100,2,0))</f>
        <v/>
      </c>
      <c r="KZ95" s="302"/>
      <c r="LA95" s="303"/>
      <c r="LB95" s="286"/>
      <c r="LC95" s="286"/>
      <c r="LD95" s="287">
        <f t="shared" si="1499"/>
        <v>0</v>
      </c>
      <c r="LE95" s="287">
        <f t="shared" si="1500"/>
        <v>0</v>
      </c>
      <c r="LF95" s="287"/>
      <c r="LG95" s="252" t="str">
        <f t="shared" si="1501"/>
        <v/>
      </c>
      <c r="LI95" s="265"/>
      <c r="LJ95" s="230" t="str">
        <f>IF(LI95="","",VLOOKUP(LI95,Language!$D$5:$E$100,2,0))</f>
        <v/>
      </c>
      <c r="LK95" s="266"/>
      <c r="LL95" s="230" t="str">
        <f>IF(LK95="","",VLOOKUP(LK95,Language!$D$5:$E$100,2,0))</f>
        <v/>
      </c>
      <c r="LM95" s="302"/>
      <c r="LN95" s="303"/>
      <c r="LO95" s="286"/>
      <c r="LP95" s="286"/>
      <c r="LQ95" s="287">
        <f t="shared" si="1502"/>
        <v>0</v>
      </c>
      <c r="LR95" s="287">
        <f t="shared" si="1503"/>
        <v>0</v>
      </c>
      <c r="LS95" s="287"/>
      <c r="LT95" s="252" t="str">
        <f t="shared" si="1504"/>
        <v/>
      </c>
      <c r="LV95" s="265"/>
      <c r="LW95" s="230" t="str">
        <f>IF(LV95="","",VLOOKUP(LV95,Language!$D$5:$E$100,2,0))</f>
        <v/>
      </c>
      <c r="LX95" s="266"/>
      <c r="LY95" s="230" t="str">
        <f>IF(LX95="","",VLOOKUP(LX95,Language!$D$5:$E$100,2,0))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23</v>
      </c>
      <c r="E96" s="230" t="str">
        <f>'World Cup'!$U$50</f>
        <v>Ecuador</v>
      </c>
      <c r="F96" s="232" t="str">
        <f>IF(AND('World Cup'!$T$51&lt;&gt;"",'World Cup'!$U$51&lt;&gt;""),'World Cup'!$T$51+IF(AND('World Cup'!$T$53&lt;&gt;"",'World Cup'!$U$53&lt;&gt;"",'World Cup'!$T$51='World Cup'!$U$51),'World Cup'!$T$53,0),"")</f>
        <v/>
      </c>
      <c r="G96" s="233" t="str">
        <f>IF(AND('World Cup'!$T$51&lt;&gt;"",'World Cup'!$U$51&lt;&gt;""),'World Cup'!$U$51+IF(AND('World Cup'!$T$53&lt;&gt;"",'World Cup'!$U$53&lt;&gt;"",'World Cup'!$T$51='World Cup'!$U$51),'World Cup'!$U$53,0),"")</f>
        <v/>
      </c>
      <c r="I96" s="265"/>
      <c r="J96" s="230" t="str">
        <f>IF(I96="","",VLOOKUP(I96,Language!$D$5:$E$100,2,0))</f>
        <v/>
      </c>
      <c r="K96" s="266"/>
      <c r="L96" s="230" t="str">
        <f>IF(K96="","",VLOOKUP(K96,Language!$D$5:$E$100,2,0))</f>
        <v/>
      </c>
      <c r="M96" s="302"/>
      <c r="N96" s="303"/>
      <c r="O96" s="286"/>
      <c r="P96" s="286"/>
      <c r="Q96" s="287">
        <f t="shared" si="1430"/>
        <v>0</v>
      </c>
      <c r="R96" s="287">
        <f t="shared" si="1431"/>
        <v>0</v>
      </c>
      <c r="S96" s="287"/>
      <c r="T96" s="252" t="str">
        <f t="shared" si="1432"/>
        <v/>
      </c>
      <c r="V96" s="265"/>
      <c r="W96" s="230" t="str">
        <f>IF(V96="","",VLOOKUP(V96,Language!$D$5:$E$100,2,0))</f>
        <v/>
      </c>
      <c r="X96" s="266"/>
      <c r="Y96" s="230" t="str">
        <f>IF(X96="","",VLOOKUP(X96,Language!$D$5:$E$100,2,0))</f>
        <v/>
      </c>
      <c r="Z96" s="302"/>
      <c r="AA96" s="303"/>
      <c r="AB96" s="286"/>
      <c r="AC96" s="286"/>
      <c r="AD96" s="287">
        <f t="shared" si="1433"/>
        <v>0</v>
      </c>
      <c r="AE96" s="287">
        <f t="shared" si="1434"/>
        <v>0</v>
      </c>
      <c r="AF96" s="287"/>
      <c r="AG96" s="252" t="str">
        <f t="shared" si="1435"/>
        <v/>
      </c>
      <c r="AI96" s="265"/>
      <c r="AJ96" s="230" t="str">
        <f>IF(AI96="","",VLOOKUP(AI96,Language!$D$5:$E$100,2,0))</f>
        <v/>
      </c>
      <c r="AK96" s="266"/>
      <c r="AL96" s="230" t="str">
        <f>IF(AK96="","",VLOOKUP(AK96,Language!$D$5:$E$100,2,0))</f>
        <v/>
      </c>
      <c r="AM96" s="302"/>
      <c r="AN96" s="303"/>
      <c r="AO96" s="286"/>
      <c r="AP96" s="286"/>
      <c r="AQ96" s="287">
        <f t="shared" si="1436"/>
        <v>0</v>
      </c>
      <c r="AR96" s="287">
        <f t="shared" si="1437"/>
        <v>0</v>
      </c>
      <c r="AS96" s="287"/>
      <c r="AT96" s="252" t="str">
        <f t="shared" si="1438"/>
        <v/>
      </c>
      <c r="AV96" s="265"/>
      <c r="AW96" s="230" t="str">
        <f>IF(AV96="","",VLOOKUP(AV96,Language!$D$5:$E$100,2,0))</f>
        <v/>
      </c>
      <c r="AX96" s="266"/>
      <c r="AY96" s="230" t="str">
        <f>IF(AX96="","",VLOOKUP(AX96,Language!$D$5:$E$100,2,0))</f>
        <v/>
      </c>
      <c r="AZ96" s="302"/>
      <c r="BA96" s="303"/>
      <c r="BB96" s="286"/>
      <c r="BC96" s="286"/>
      <c r="BD96" s="287">
        <f t="shared" si="1439"/>
        <v>0</v>
      </c>
      <c r="BE96" s="287">
        <f t="shared" si="1440"/>
        <v>0</v>
      </c>
      <c r="BF96" s="287"/>
      <c r="BG96" s="252" t="str">
        <f t="shared" si="1441"/>
        <v/>
      </c>
      <c r="BI96" s="265"/>
      <c r="BJ96" s="230" t="str">
        <f>IF(BI96="","",VLOOKUP(BI96,Language!$D$5:$E$100,2,0))</f>
        <v/>
      </c>
      <c r="BK96" s="266"/>
      <c r="BL96" s="230" t="str">
        <f>IF(BK96="","",VLOOKUP(BK96,Language!$D$5:$E$100,2,0))</f>
        <v/>
      </c>
      <c r="BM96" s="302"/>
      <c r="BN96" s="303"/>
      <c r="BO96" s="286"/>
      <c r="BP96" s="286"/>
      <c r="BQ96" s="287">
        <f t="shared" si="1442"/>
        <v>0</v>
      </c>
      <c r="BR96" s="287">
        <f t="shared" si="1443"/>
        <v>0</v>
      </c>
      <c r="BS96" s="287"/>
      <c r="BT96" s="252" t="str">
        <f t="shared" si="1444"/>
        <v/>
      </c>
      <c r="BV96" s="265"/>
      <c r="BW96" s="230" t="str">
        <f>IF(BV96="","",VLOOKUP(BV96,Language!$D$5:$E$100,2,0))</f>
        <v/>
      </c>
      <c r="BX96" s="266"/>
      <c r="BY96" s="230" t="str">
        <f>IF(BX96="","",VLOOKUP(BX96,Language!$D$5:$E$100,2,0))</f>
        <v/>
      </c>
      <c r="BZ96" s="302"/>
      <c r="CA96" s="303"/>
      <c r="CB96" s="286"/>
      <c r="CC96" s="286"/>
      <c r="CD96" s="287">
        <f t="shared" si="1445"/>
        <v>0</v>
      </c>
      <c r="CE96" s="287">
        <f t="shared" si="1446"/>
        <v>0</v>
      </c>
      <c r="CF96" s="287"/>
      <c r="CG96" s="252" t="str">
        <f t="shared" si="1447"/>
        <v/>
      </c>
      <c r="CI96" s="265"/>
      <c r="CJ96" s="230" t="str">
        <f>IF(CI96="","",VLOOKUP(CI96,Language!$D$5:$E$100,2,0))</f>
        <v/>
      </c>
      <c r="CK96" s="266"/>
      <c r="CL96" s="230" t="str">
        <f>IF(CK96="","",VLOOKUP(CK96,Language!$D$5:$E$100,2,0))</f>
        <v/>
      </c>
      <c r="CM96" s="302"/>
      <c r="CN96" s="303"/>
      <c r="CO96" s="286"/>
      <c r="CP96" s="286"/>
      <c r="CQ96" s="287">
        <f t="shared" si="1448"/>
        <v>0</v>
      </c>
      <c r="CR96" s="287">
        <f t="shared" si="1449"/>
        <v>0</v>
      </c>
      <c r="CS96" s="287"/>
      <c r="CT96" s="252" t="str">
        <f t="shared" si="1450"/>
        <v/>
      </c>
      <c r="CV96" s="265"/>
      <c r="CW96" s="230" t="str">
        <f>IF(CV96="","",VLOOKUP(CV96,Language!$D$5:$E$100,2,0))</f>
        <v/>
      </c>
      <c r="CX96" s="266"/>
      <c r="CY96" s="230" t="str">
        <f>IF(CX96="","",VLOOKUP(CX96,Language!$D$5:$E$100,2,0))</f>
        <v/>
      </c>
      <c r="CZ96" s="302"/>
      <c r="DA96" s="303"/>
      <c r="DB96" s="286"/>
      <c r="DC96" s="286"/>
      <c r="DD96" s="287">
        <f t="shared" si="1451"/>
        <v>0</v>
      </c>
      <c r="DE96" s="287">
        <f t="shared" si="1452"/>
        <v>0</v>
      </c>
      <c r="DF96" s="287"/>
      <c r="DG96" s="252" t="str">
        <f t="shared" si="1453"/>
        <v/>
      </c>
      <c r="DI96" s="265"/>
      <c r="DJ96" s="230" t="str">
        <f>IF(DI96="","",VLOOKUP(DI96,Language!$D$5:$E$100,2,0))</f>
        <v/>
      </c>
      <c r="DK96" s="266"/>
      <c r="DL96" s="230" t="str">
        <f>IF(DK96="","",VLOOKUP(DK96,Language!$D$5:$E$100,2,0))</f>
        <v/>
      </c>
      <c r="DM96" s="302"/>
      <c r="DN96" s="303"/>
      <c r="DO96" s="286"/>
      <c r="DP96" s="286"/>
      <c r="DQ96" s="287">
        <f t="shared" si="1454"/>
        <v>0</v>
      </c>
      <c r="DR96" s="287">
        <f t="shared" si="1455"/>
        <v>0</v>
      </c>
      <c r="DS96" s="287"/>
      <c r="DT96" s="252" t="str">
        <f t="shared" si="1456"/>
        <v/>
      </c>
      <c r="DV96" s="265"/>
      <c r="DW96" s="230" t="str">
        <f>IF(DV96="","",VLOOKUP(DV96,Language!$D$5:$E$100,2,0))</f>
        <v/>
      </c>
      <c r="DX96" s="266"/>
      <c r="DY96" s="230" t="str">
        <f>IF(DX96="","",VLOOKUP(DX96,Language!$D$5:$E$100,2,0))</f>
        <v/>
      </c>
      <c r="DZ96" s="302"/>
      <c r="EA96" s="303"/>
      <c r="EB96" s="286"/>
      <c r="EC96" s="286"/>
      <c r="ED96" s="287">
        <f t="shared" si="1457"/>
        <v>0</v>
      </c>
      <c r="EE96" s="287">
        <f t="shared" si="1458"/>
        <v>0</v>
      </c>
      <c r="EF96" s="287"/>
      <c r="EG96" s="252" t="str">
        <f t="shared" si="1459"/>
        <v/>
      </c>
      <c r="EI96" s="265"/>
      <c r="EJ96" s="230" t="str">
        <f>IF(EI96="","",VLOOKUP(EI96,Language!$D$5:$E$100,2,0))</f>
        <v/>
      </c>
      <c r="EK96" s="266"/>
      <c r="EL96" s="230" t="str">
        <f>IF(EK96="","",VLOOKUP(EK96,Language!$D$5:$E$100,2,0))</f>
        <v/>
      </c>
      <c r="EM96" s="302"/>
      <c r="EN96" s="303"/>
      <c r="EO96" s="286"/>
      <c r="EP96" s="286"/>
      <c r="EQ96" s="287">
        <f t="shared" si="1460"/>
        <v>0</v>
      </c>
      <c r="ER96" s="287">
        <f t="shared" si="1461"/>
        <v>0</v>
      </c>
      <c r="ES96" s="287"/>
      <c r="ET96" s="252" t="str">
        <f t="shared" si="1462"/>
        <v/>
      </c>
      <c r="EV96" s="265"/>
      <c r="EW96" s="230" t="str">
        <f>IF(EV96="","",VLOOKUP(EV96,Language!$D$5:$E$100,2,0))</f>
        <v/>
      </c>
      <c r="EX96" s="266"/>
      <c r="EY96" s="230" t="str">
        <f>IF(EX96="","",VLOOKUP(EX96,Language!$D$5:$E$100,2,0))</f>
        <v/>
      </c>
      <c r="EZ96" s="302"/>
      <c r="FA96" s="303"/>
      <c r="FB96" s="286"/>
      <c r="FC96" s="286"/>
      <c r="FD96" s="287">
        <f t="shared" si="1463"/>
        <v>0</v>
      </c>
      <c r="FE96" s="287">
        <f t="shared" si="1464"/>
        <v>0</v>
      </c>
      <c r="FF96" s="287"/>
      <c r="FG96" s="252" t="str">
        <f t="shared" si="1465"/>
        <v/>
      </c>
      <c r="FI96" s="265"/>
      <c r="FJ96" s="230" t="str">
        <f>IF(FI96="","",VLOOKUP(FI96,Language!$D$5:$E$100,2,0))</f>
        <v/>
      </c>
      <c r="FK96" s="266"/>
      <c r="FL96" s="230" t="str">
        <f>IF(FK96="","",VLOOKUP(FK96,Language!$D$5:$E$100,2,0))</f>
        <v/>
      </c>
      <c r="FM96" s="302"/>
      <c r="FN96" s="303"/>
      <c r="FO96" s="286"/>
      <c r="FP96" s="286"/>
      <c r="FQ96" s="287">
        <f t="shared" si="1466"/>
        <v>0</v>
      </c>
      <c r="FR96" s="287">
        <f t="shared" si="1467"/>
        <v>0</v>
      </c>
      <c r="FS96" s="287"/>
      <c r="FT96" s="252" t="str">
        <f t="shared" si="1468"/>
        <v/>
      </c>
      <c r="FV96" s="265"/>
      <c r="FW96" s="230" t="str">
        <f>IF(FV96="","",VLOOKUP(FV96,Language!$D$5:$E$100,2,0))</f>
        <v/>
      </c>
      <c r="FX96" s="266"/>
      <c r="FY96" s="230" t="str">
        <f>IF(FX96="","",VLOOKUP(FX96,Language!$D$5:$E$100,2,0))</f>
        <v/>
      </c>
      <c r="FZ96" s="302"/>
      <c r="GA96" s="303"/>
      <c r="GB96" s="286"/>
      <c r="GC96" s="286"/>
      <c r="GD96" s="287">
        <f t="shared" si="1469"/>
        <v>0</v>
      </c>
      <c r="GE96" s="287">
        <f t="shared" si="1470"/>
        <v>0</v>
      </c>
      <c r="GF96" s="287"/>
      <c r="GG96" s="252" t="str">
        <f t="shared" si="1471"/>
        <v/>
      </c>
      <c r="GI96" s="265"/>
      <c r="GJ96" s="230" t="str">
        <f>IF(GI96="","",VLOOKUP(GI96,Language!$D$5:$E$100,2,0))</f>
        <v/>
      </c>
      <c r="GK96" s="266"/>
      <c r="GL96" s="230" t="str">
        <f>IF(GK96="","",VLOOKUP(GK96,Language!$D$5:$E$100,2,0))</f>
        <v/>
      </c>
      <c r="GM96" s="302"/>
      <c r="GN96" s="303"/>
      <c r="GO96" s="286"/>
      <c r="GP96" s="286"/>
      <c r="GQ96" s="287">
        <f t="shared" si="1472"/>
        <v>0</v>
      </c>
      <c r="GR96" s="287">
        <f t="shared" si="1473"/>
        <v>0</v>
      </c>
      <c r="GS96" s="287"/>
      <c r="GT96" s="252" t="str">
        <f t="shared" si="1474"/>
        <v/>
      </c>
      <c r="GV96" s="265"/>
      <c r="GW96" s="230" t="str">
        <f>IF(GV96="","",VLOOKUP(GV96,Language!$D$5:$E$100,2,0))</f>
        <v/>
      </c>
      <c r="GX96" s="266"/>
      <c r="GY96" s="230" t="str">
        <f>IF(GX96="","",VLOOKUP(GX96,Language!$D$5:$E$100,2,0))</f>
        <v/>
      </c>
      <c r="GZ96" s="302"/>
      <c r="HA96" s="303"/>
      <c r="HB96" s="286"/>
      <c r="HC96" s="286"/>
      <c r="HD96" s="287">
        <f t="shared" si="1475"/>
        <v>0</v>
      </c>
      <c r="HE96" s="287">
        <f t="shared" si="1476"/>
        <v>0</v>
      </c>
      <c r="HF96" s="287"/>
      <c r="HG96" s="252" t="str">
        <f t="shared" si="1477"/>
        <v/>
      </c>
      <c r="HI96" s="265"/>
      <c r="HJ96" s="230" t="str">
        <f>IF(HI96="","",VLOOKUP(HI96,Language!$D$5:$E$100,2,0))</f>
        <v/>
      </c>
      <c r="HK96" s="266"/>
      <c r="HL96" s="230" t="str">
        <f>IF(HK96="","",VLOOKUP(HK96,Language!$D$5:$E$100,2,0))</f>
        <v/>
      </c>
      <c r="HM96" s="302"/>
      <c r="HN96" s="303"/>
      <c r="HO96" s="286"/>
      <c r="HP96" s="286"/>
      <c r="HQ96" s="287">
        <f t="shared" si="1478"/>
        <v>0</v>
      </c>
      <c r="HR96" s="287">
        <f t="shared" si="1479"/>
        <v>0</v>
      </c>
      <c r="HS96" s="287"/>
      <c r="HT96" s="252" t="str">
        <f t="shared" si="1480"/>
        <v/>
      </c>
      <c r="HV96" s="265"/>
      <c r="HW96" s="230" t="str">
        <f>IF(HV96="","",VLOOKUP(HV96,Language!$D$5:$E$100,2,0))</f>
        <v/>
      </c>
      <c r="HX96" s="266"/>
      <c r="HY96" s="230" t="str">
        <f>IF(HX96="","",VLOOKUP(HX96,Language!$D$5:$E$100,2,0))</f>
        <v/>
      </c>
      <c r="HZ96" s="302"/>
      <c r="IA96" s="303"/>
      <c r="IB96" s="286"/>
      <c r="IC96" s="286"/>
      <c r="ID96" s="287">
        <f t="shared" si="1481"/>
        <v>0</v>
      </c>
      <c r="IE96" s="287">
        <f t="shared" si="1482"/>
        <v>0</v>
      </c>
      <c r="IF96" s="287"/>
      <c r="IG96" s="252" t="str">
        <f t="shared" si="1483"/>
        <v/>
      </c>
      <c r="II96" s="265"/>
      <c r="IJ96" s="230" t="str">
        <f>IF(II96="","",VLOOKUP(II96,Language!$D$5:$E$100,2,0))</f>
        <v/>
      </c>
      <c r="IK96" s="266"/>
      <c r="IL96" s="230" t="str">
        <f>IF(IK96="","",VLOOKUP(IK96,Language!$D$5:$E$100,2,0))</f>
        <v/>
      </c>
      <c r="IM96" s="302"/>
      <c r="IN96" s="303"/>
      <c r="IO96" s="286"/>
      <c r="IP96" s="286"/>
      <c r="IQ96" s="287">
        <f t="shared" si="1484"/>
        <v>0</v>
      </c>
      <c r="IR96" s="287">
        <f t="shared" si="1485"/>
        <v>0</v>
      </c>
      <c r="IS96" s="287"/>
      <c r="IT96" s="252" t="str">
        <f t="shared" si="1486"/>
        <v/>
      </c>
      <c r="IV96" s="265"/>
      <c r="IW96" s="230" t="str">
        <f>IF(IV96="","",VLOOKUP(IV96,Language!$D$5:$E$100,2,0))</f>
        <v/>
      </c>
      <c r="IX96" s="266"/>
      <c r="IY96" s="230" t="str">
        <f>IF(IX96="","",VLOOKUP(IX96,Language!$D$5:$E$100,2,0))</f>
        <v/>
      </c>
      <c r="IZ96" s="302"/>
      <c r="JA96" s="303"/>
      <c r="JB96" s="286"/>
      <c r="JC96" s="286"/>
      <c r="JD96" s="287">
        <f t="shared" si="1487"/>
        <v>0</v>
      </c>
      <c r="JE96" s="287">
        <f t="shared" si="1488"/>
        <v>0</v>
      </c>
      <c r="JF96" s="287"/>
      <c r="JG96" s="252" t="str">
        <f t="shared" si="1489"/>
        <v/>
      </c>
      <c r="JI96" s="265"/>
      <c r="JJ96" s="230" t="str">
        <f>IF(JI96="","",VLOOKUP(JI96,Language!$D$5:$E$100,2,0))</f>
        <v/>
      </c>
      <c r="JK96" s="266"/>
      <c r="JL96" s="230" t="str">
        <f>IF(JK96="","",VLOOKUP(JK96,Language!$D$5:$E$100,2,0))</f>
        <v/>
      </c>
      <c r="JM96" s="302"/>
      <c r="JN96" s="303"/>
      <c r="JO96" s="286"/>
      <c r="JP96" s="286"/>
      <c r="JQ96" s="287">
        <f t="shared" si="1490"/>
        <v>0</v>
      </c>
      <c r="JR96" s="287">
        <f t="shared" si="1491"/>
        <v>0</v>
      </c>
      <c r="JS96" s="287"/>
      <c r="JT96" s="252" t="str">
        <f t="shared" si="1492"/>
        <v/>
      </c>
      <c r="JV96" s="265"/>
      <c r="JW96" s="230" t="str">
        <f>IF(JV96="","",VLOOKUP(JV96,Language!$D$5:$E$100,2,0))</f>
        <v/>
      </c>
      <c r="JX96" s="266"/>
      <c r="JY96" s="230" t="str">
        <f>IF(JX96="","",VLOOKUP(JX96,Language!$D$5:$E$100,2,0))</f>
        <v/>
      </c>
      <c r="JZ96" s="302"/>
      <c r="KA96" s="303"/>
      <c r="KB96" s="286"/>
      <c r="KC96" s="286"/>
      <c r="KD96" s="287">
        <f t="shared" si="1493"/>
        <v>0</v>
      </c>
      <c r="KE96" s="287">
        <f t="shared" si="1494"/>
        <v>0</v>
      </c>
      <c r="KF96" s="287"/>
      <c r="KG96" s="252" t="str">
        <f t="shared" si="1495"/>
        <v/>
      </c>
      <c r="KI96" s="265"/>
      <c r="KJ96" s="230" t="str">
        <f>IF(KI96="","",VLOOKUP(KI96,Language!$D$5:$E$100,2,0))</f>
        <v/>
      </c>
      <c r="KK96" s="266"/>
      <c r="KL96" s="230" t="str">
        <f>IF(KK96="","",VLOOKUP(KK96,Language!$D$5:$E$100,2,0))</f>
        <v/>
      </c>
      <c r="KM96" s="302"/>
      <c r="KN96" s="303"/>
      <c r="KO96" s="286"/>
      <c r="KP96" s="286"/>
      <c r="KQ96" s="287">
        <f t="shared" si="1496"/>
        <v>0</v>
      </c>
      <c r="KR96" s="287">
        <f t="shared" si="1497"/>
        <v>0</v>
      </c>
      <c r="KS96" s="287"/>
      <c r="KT96" s="252" t="str">
        <f t="shared" si="1498"/>
        <v/>
      </c>
      <c r="KV96" s="265"/>
      <c r="KW96" s="230" t="str">
        <f>IF(KV96="","",VLOOKUP(KV96,Language!$D$5:$E$100,2,0))</f>
        <v/>
      </c>
      <c r="KX96" s="266"/>
      <c r="KY96" s="230" t="str">
        <f>IF(KX96="","",VLOOKUP(KX96,Language!$D$5:$E$100,2,0))</f>
        <v/>
      </c>
      <c r="KZ96" s="302"/>
      <c r="LA96" s="303"/>
      <c r="LB96" s="286"/>
      <c r="LC96" s="286"/>
      <c r="LD96" s="287">
        <f t="shared" si="1499"/>
        <v>0</v>
      </c>
      <c r="LE96" s="287">
        <f t="shared" si="1500"/>
        <v>0</v>
      </c>
      <c r="LF96" s="287"/>
      <c r="LG96" s="252" t="str">
        <f t="shared" si="1501"/>
        <v/>
      </c>
      <c r="LI96" s="265"/>
      <c r="LJ96" s="230" t="str">
        <f>IF(LI96="","",VLOOKUP(LI96,Language!$D$5:$E$100,2,0))</f>
        <v/>
      </c>
      <c r="LK96" s="266"/>
      <c r="LL96" s="230" t="str">
        <f>IF(LK96="","",VLOOKUP(LK96,Language!$D$5:$E$100,2,0))</f>
        <v/>
      </c>
      <c r="LM96" s="302"/>
      <c r="LN96" s="303"/>
      <c r="LO96" s="286"/>
      <c r="LP96" s="286"/>
      <c r="LQ96" s="287">
        <f t="shared" si="1502"/>
        <v>0</v>
      </c>
      <c r="LR96" s="287">
        <f t="shared" si="1503"/>
        <v>0</v>
      </c>
      <c r="LS96" s="287"/>
      <c r="LT96" s="252" t="str">
        <f t="shared" si="1504"/>
        <v/>
      </c>
      <c r="LV96" s="265"/>
      <c r="LW96" s="230" t="str">
        <f>IF(LV96="","",VLOOKUP(LV96,Language!$D$5:$E$100,2,0))</f>
        <v/>
      </c>
      <c r="LX96" s="266"/>
      <c r="LY96" s="230" t="str">
        <f>IF(LX96="","",VLOOKUP(LX96,Language!$D$5:$E$100,2,0))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29</v>
      </c>
      <c r="C97" s="230" t="str">
        <f>'World Cup'!$W$50</f>
        <v>Egypt</v>
      </c>
      <c r="D97" s="231">
        <f>IF(E97="","",INDEX(Groups!$C$7:$C$65,MATCH(E97,Groups!$D$7:$D$65,0)))</f>
        <v>41</v>
      </c>
      <c r="E97" s="230" t="str">
        <f>'World Cup'!$X$50</f>
        <v>Czechia</v>
      </c>
      <c r="F97" s="232" t="str">
        <f>IF(AND('World Cup'!$W$51&lt;&gt;"",'World Cup'!$X$51&lt;&gt;""),'World Cup'!$W$51+IF(AND('World Cup'!$W$53&lt;&gt;"",'World Cup'!$X$53&lt;&gt;"",'World Cup'!$W$51='World Cup'!$X$51),'World Cup'!$W$53,0),"")</f>
        <v/>
      </c>
      <c r="G97" s="233" t="str">
        <f>IF(AND('World Cup'!$W$51&lt;&gt;"",'World Cup'!$X$51&lt;&gt;""),'World Cup'!$X$51+IF(AND('World Cup'!$W$53&lt;&gt;"",'World Cup'!$X$53&lt;&gt;"",'World Cup'!$W$51='World Cup'!$X$51),'World Cup'!$X$53,0),"")</f>
        <v/>
      </c>
      <c r="I97" s="265"/>
      <c r="J97" s="230" t="str">
        <f>IF(I97="","",VLOOKUP(I97,Language!$D$5:$E$100,2,0))</f>
        <v/>
      </c>
      <c r="K97" s="266"/>
      <c r="L97" s="230" t="str">
        <f>IF(K97="","",VLOOKUP(K97,Language!$D$5:$E$100,2,0))</f>
        <v/>
      </c>
      <c r="M97" s="302"/>
      <c r="N97" s="303"/>
      <c r="O97" s="286"/>
      <c r="P97" s="286"/>
      <c r="Q97" s="287">
        <f t="shared" si="1430"/>
        <v>0</v>
      </c>
      <c r="R97" s="287">
        <f t="shared" si="1431"/>
        <v>0</v>
      </c>
      <c r="S97" s="287"/>
      <c r="T97" s="252" t="str">
        <f t="shared" si="1432"/>
        <v/>
      </c>
      <c r="V97" s="265"/>
      <c r="W97" s="230" t="str">
        <f>IF(V97="","",VLOOKUP(V97,Language!$D$5:$E$100,2,0))</f>
        <v/>
      </c>
      <c r="X97" s="266"/>
      <c r="Y97" s="230" t="str">
        <f>IF(X97="","",VLOOKUP(X97,Language!$D$5:$E$100,2,0))</f>
        <v/>
      </c>
      <c r="Z97" s="302"/>
      <c r="AA97" s="303"/>
      <c r="AB97" s="286"/>
      <c r="AC97" s="286"/>
      <c r="AD97" s="287">
        <f t="shared" si="1433"/>
        <v>0</v>
      </c>
      <c r="AE97" s="287">
        <f t="shared" si="1434"/>
        <v>0</v>
      </c>
      <c r="AF97" s="287"/>
      <c r="AG97" s="252" t="str">
        <f t="shared" si="1435"/>
        <v/>
      </c>
      <c r="AI97" s="265"/>
      <c r="AJ97" s="230" t="str">
        <f>IF(AI97="","",VLOOKUP(AI97,Language!$D$5:$E$100,2,0))</f>
        <v/>
      </c>
      <c r="AK97" s="266"/>
      <c r="AL97" s="230" t="str">
        <f>IF(AK97="","",VLOOKUP(AK97,Language!$D$5:$E$100,2,0))</f>
        <v/>
      </c>
      <c r="AM97" s="302"/>
      <c r="AN97" s="303"/>
      <c r="AO97" s="286"/>
      <c r="AP97" s="286"/>
      <c r="AQ97" s="287">
        <f t="shared" si="1436"/>
        <v>0</v>
      </c>
      <c r="AR97" s="287">
        <f t="shared" si="1437"/>
        <v>0</v>
      </c>
      <c r="AS97" s="287"/>
      <c r="AT97" s="252" t="str">
        <f t="shared" si="1438"/>
        <v/>
      </c>
      <c r="AV97" s="265"/>
      <c r="AW97" s="230" t="str">
        <f>IF(AV97="","",VLOOKUP(AV97,Language!$D$5:$E$100,2,0))</f>
        <v/>
      </c>
      <c r="AX97" s="266"/>
      <c r="AY97" s="230" t="str">
        <f>IF(AX97="","",VLOOKUP(AX97,Language!$D$5:$E$100,2,0))</f>
        <v/>
      </c>
      <c r="AZ97" s="302"/>
      <c r="BA97" s="303"/>
      <c r="BB97" s="286"/>
      <c r="BC97" s="286"/>
      <c r="BD97" s="287">
        <f t="shared" si="1439"/>
        <v>0</v>
      </c>
      <c r="BE97" s="287">
        <f t="shared" si="1440"/>
        <v>0</v>
      </c>
      <c r="BF97" s="287"/>
      <c r="BG97" s="252" t="str">
        <f t="shared" si="1441"/>
        <v/>
      </c>
      <c r="BI97" s="265"/>
      <c r="BJ97" s="230" t="str">
        <f>IF(BI97="","",VLOOKUP(BI97,Language!$D$5:$E$100,2,0))</f>
        <v/>
      </c>
      <c r="BK97" s="266"/>
      <c r="BL97" s="230" t="str">
        <f>IF(BK97="","",VLOOKUP(BK97,Language!$D$5:$E$100,2,0))</f>
        <v/>
      </c>
      <c r="BM97" s="302"/>
      <c r="BN97" s="303"/>
      <c r="BO97" s="286"/>
      <c r="BP97" s="286"/>
      <c r="BQ97" s="287">
        <f t="shared" si="1442"/>
        <v>0</v>
      </c>
      <c r="BR97" s="287">
        <f t="shared" si="1443"/>
        <v>0</v>
      </c>
      <c r="BS97" s="287"/>
      <c r="BT97" s="252" t="str">
        <f t="shared" si="1444"/>
        <v/>
      </c>
      <c r="BV97" s="265"/>
      <c r="BW97" s="230" t="str">
        <f>IF(BV97="","",VLOOKUP(BV97,Language!$D$5:$E$100,2,0))</f>
        <v/>
      </c>
      <c r="BX97" s="266"/>
      <c r="BY97" s="230" t="str">
        <f>IF(BX97="","",VLOOKUP(BX97,Language!$D$5:$E$100,2,0))</f>
        <v/>
      </c>
      <c r="BZ97" s="302"/>
      <c r="CA97" s="303"/>
      <c r="CB97" s="286"/>
      <c r="CC97" s="286"/>
      <c r="CD97" s="287">
        <f t="shared" si="1445"/>
        <v>0</v>
      </c>
      <c r="CE97" s="287">
        <f t="shared" si="1446"/>
        <v>0</v>
      </c>
      <c r="CF97" s="287"/>
      <c r="CG97" s="252" t="str">
        <f t="shared" si="1447"/>
        <v/>
      </c>
      <c r="CI97" s="265"/>
      <c r="CJ97" s="230" t="str">
        <f>IF(CI97="","",VLOOKUP(CI97,Language!$D$5:$E$100,2,0))</f>
        <v/>
      </c>
      <c r="CK97" s="266"/>
      <c r="CL97" s="230" t="str">
        <f>IF(CK97="","",VLOOKUP(CK97,Language!$D$5:$E$100,2,0))</f>
        <v/>
      </c>
      <c r="CM97" s="302"/>
      <c r="CN97" s="303"/>
      <c r="CO97" s="286"/>
      <c r="CP97" s="286"/>
      <c r="CQ97" s="287">
        <f t="shared" si="1448"/>
        <v>0</v>
      </c>
      <c r="CR97" s="287">
        <f t="shared" si="1449"/>
        <v>0</v>
      </c>
      <c r="CS97" s="287"/>
      <c r="CT97" s="252" t="str">
        <f t="shared" si="1450"/>
        <v/>
      </c>
      <c r="CV97" s="265"/>
      <c r="CW97" s="230" t="str">
        <f>IF(CV97="","",VLOOKUP(CV97,Language!$D$5:$E$100,2,0))</f>
        <v/>
      </c>
      <c r="CX97" s="266"/>
      <c r="CY97" s="230" t="str">
        <f>IF(CX97="","",VLOOKUP(CX97,Language!$D$5:$E$100,2,0))</f>
        <v/>
      </c>
      <c r="CZ97" s="302"/>
      <c r="DA97" s="303"/>
      <c r="DB97" s="286"/>
      <c r="DC97" s="286"/>
      <c r="DD97" s="287">
        <f t="shared" si="1451"/>
        <v>0</v>
      </c>
      <c r="DE97" s="287">
        <f t="shared" si="1452"/>
        <v>0</v>
      </c>
      <c r="DF97" s="287"/>
      <c r="DG97" s="252" t="str">
        <f t="shared" si="1453"/>
        <v/>
      </c>
      <c r="DI97" s="265"/>
      <c r="DJ97" s="230" t="str">
        <f>IF(DI97="","",VLOOKUP(DI97,Language!$D$5:$E$100,2,0))</f>
        <v/>
      </c>
      <c r="DK97" s="266"/>
      <c r="DL97" s="230" t="str">
        <f>IF(DK97="","",VLOOKUP(DK97,Language!$D$5:$E$100,2,0))</f>
        <v/>
      </c>
      <c r="DM97" s="302"/>
      <c r="DN97" s="303"/>
      <c r="DO97" s="286"/>
      <c r="DP97" s="286"/>
      <c r="DQ97" s="287">
        <f t="shared" si="1454"/>
        <v>0</v>
      </c>
      <c r="DR97" s="287">
        <f t="shared" si="1455"/>
        <v>0</v>
      </c>
      <c r="DS97" s="287"/>
      <c r="DT97" s="252" t="str">
        <f t="shared" si="1456"/>
        <v/>
      </c>
      <c r="DV97" s="265"/>
      <c r="DW97" s="230" t="str">
        <f>IF(DV97="","",VLOOKUP(DV97,Language!$D$5:$E$100,2,0))</f>
        <v/>
      </c>
      <c r="DX97" s="266"/>
      <c r="DY97" s="230" t="str">
        <f>IF(DX97="","",VLOOKUP(DX97,Language!$D$5:$E$100,2,0))</f>
        <v/>
      </c>
      <c r="DZ97" s="302"/>
      <c r="EA97" s="303"/>
      <c r="EB97" s="286"/>
      <c r="EC97" s="286"/>
      <c r="ED97" s="287">
        <f t="shared" si="1457"/>
        <v>0</v>
      </c>
      <c r="EE97" s="287">
        <f t="shared" si="1458"/>
        <v>0</v>
      </c>
      <c r="EF97" s="287"/>
      <c r="EG97" s="252" t="str">
        <f t="shared" si="1459"/>
        <v/>
      </c>
      <c r="EI97" s="265"/>
      <c r="EJ97" s="230" t="str">
        <f>IF(EI97="","",VLOOKUP(EI97,Language!$D$5:$E$100,2,0))</f>
        <v/>
      </c>
      <c r="EK97" s="266"/>
      <c r="EL97" s="230" t="str">
        <f>IF(EK97="","",VLOOKUP(EK97,Language!$D$5:$E$100,2,0))</f>
        <v/>
      </c>
      <c r="EM97" s="302"/>
      <c r="EN97" s="303"/>
      <c r="EO97" s="286"/>
      <c r="EP97" s="286"/>
      <c r="EQ97" s="287">
        <f t="shared" si="1460"/>
        <v>0</v>
      </c>
      <c r="ER97" s="287">
        <f t="shared" si="1461"/>
        <v>0</v>
      </c>
      <c r="ES97" s="287"/>
      <c r="ET97" s="252" t="str">
        <f t="shared" si="1462"/>
        <v/>
      </c>
      <c r="EV97" s="265"/>
      <c r="EW97" s="230" t="str">
        <f>IF(EV97="","",VLOOKUP(EV97,Language!$D$5:$E$100,2,0))</f>
        <v/>
      </c>
      <c r="EX97" s="266"/>
      <c r="EY97" s="230" t="str">
        <f>IF(EX97="","",VLOOKUP(EX97,Language!$D$5:$E$100,2,0))</f>
        <v/>
      </c>
      <c r="EZ97" s="302"/>
      <c r="FA97" s="303"/>
      <c r="FB97" s="286"/>
      <c r="FC97" s="286"/>
      <c r="FD97" s="287">
        <f t="shared" si="1463"/>
        <v>0</v>
      </c>
      <c r="FE97" s="287">
        <f t="shared" si="1464"/>
        <v>0</v>
      </c>
      <c r="FF97" s="287"/>
      <c r="FG97" s="252" t="str">
        <f t="shared" si="1465"/>
        <v/>
      </c>
      <c r="FI97" s="265"/>
      <c r="FJ97" s="230" t="str">
        <f>IF(FI97="","",VLOOKUP(FI97,Language!$D$5:$E$100,2,0))</f>
        <v/>
      </c>
      <c r="FK97" s="266"/>
      <c r="FL97" s="230" t="str">
        <f>IF(FK97="","",VLOOKUP(FK97,Language!$D$5:$E$100,2,0))</f>
        <v/>
      </c>
      <c r="FM97" s="302"/>
      <c r="FN97" s="303"/>
      <c r="FO97" s="286"/>
      <c r="FP97" s="286"/>
      <c r="FQ97" s="287">
        <f t="shared" si="1466"/>
        <v>0</v>
      </c>
      <c r="FR97" s="287">
        <f t="shared" si="1467"/>
        <v>0</v>
      </c>
      <c r="FS97" s="287"/>
      <c r="FT97" s="252" t="str">
        <f t="shared" si="1468"/>
        <v/>
      </c>
      <c r="FV97" s="265"/>
      <c r="FW97" s="230" t="str">
        <f>IF(FV97="","",VLOOKUP(FV97,Language!$D$5:$E$100,2,0))</f>
        <v/>
      </c>
      <c r="FX97" s="266"/>
      <c r="FY97" s="230" t="str">
        <f>IF(FX97="","",VLOOKUP(FX97,Language!$D$5:$E$100,2,0))</f>
        <v/>
      </c>
      <c r="FZ97" s="302"/>
      <c r="GA97" s="303"/>
      <c r="GB97" s="286"/>
      <c r="GC97" s="286"/>
      <c r="GD97" s="287">
        <f t="shared" si="1469"/>
        <v>0</v>
      </c>
      <c r="GE97" s="287">
        <f t="shared" si="1470"/>
        <v>0</v>
      </c>
      <c r="GF97" s="287"/>
      <c r="GG97" s="252" t="str">
        <f t="shared" si="1471"/>
        <v/>
      </c>
      <c r="GI97" s="265"/>
      <c r="GJ97" s="230" t="str">
        <f>IF(GI97="","",VLOOKUP(GI97,Language!$D$5:$E$100,2,0))</f>
        <v/>
      </c>
      <c r="GK97" s="266"/>
      <c r="GL97" s="230" t="str">
        <f>IF(GK97="","",VLOOKUP(GK97,Language!$D$5:$E$100,2,0))</f>
        <v/>
      </c>
      <c r="GM97" s="302"/>
      <c r="GN97" s="303"/>
      <c r="GO97" s="286"/>
      <c r="GP97" s="286"/>
      <c r="GQ97" s="287">
        <f t="shared" si="1472"/>
        <v>0</v>
      </c>
      <c r="GR97" s="287">
        <f t="shared" si="1473"/>
        <v>0</v>
      </c>
      <c r="GS97" s="287"/>
      <c r="GT97" s="252" t="str">
        <f t="shared" si="1474"/>
        <v/>
      </c>
      <c r="GV97" s="265"/>
      <c r="GW97" s="230" t="str">
        <f>IF(GV97="","",VLOOKUP(GV97,Language!$D$5:$E$100,2,0))</f>
        <v/>
      </c>
      <c r="GX97" s="266"/>
      <c r="GY97" s="230" t="str">
        <f>IF(GX97="","",VLOOKUP(GX97,Language!$D$5:$E$100,2,0))</f>
        <v/>
      </c>
      <c r="GZ97" s="302"/>
      <c r="HA97" s="303"/>
      <c r="HB97" s="286"/>
      <c r="HC97" s="286"/>
      <c r="HD97" s="287">
        <f t="shared" si="1475"/>
        <v>0</v>
      </c>
      <c r="HE97" s="287">
        <f t="shared" si="1476"/>
        <v>0</v>
      </c>
      <c r="HF97" s="287"/>
      <c r="HG97" s="252" t="str">
        <f t="shared" si="1477"/>
        <v/>
      </c>
      <c r="HI97" s="265"/>
      <c r="HJ97" s="230" t="str">
        <f>IF(HI97="","",VLOOKUP(HI97,Language!$D$5:$E$100,2,0))</f>
        <v/>
      </c>
      <c r="HK97" s="266"/>
      <c r="HL97" s="230" t="str">
        <f>IF(HK97="","",VLOOKUP(HK97,Language!$D$5:$E$100,2,0))</f>
        <v/>
      </c>
      <c r="HM97" s="302"/>
      <c r="HN97" s="303"/>
      <c r="HO97" s="286"/>
      <c r="HP97" s="286"/>
      <c r="HQ97" s="287">
        <f t="shared" si="1478"/>
        <v>0</v>
      </c>
      <c r="HR97" s="287">
        <f t="shared" si="1479"/>
        <v>0</v>
      </c>
      <c r="HS97" s="287"/>
      <c r="HT97" s="252" t="str">
        <f t="shared" si="1480"/>
        <v/>
      </c>
      <c r="HV97" s="265"/>
      <c r="HW97" s="230" t="str">
        <f>IF(HV97="","",VLOOKUP(HV97,Language!$D$5:$E$100,2,0))</f>
        <v/>
      </c>
      <c r="HX97" s="266"/>
      <c r="HY97" s="230" t="str">
        <f>IF(HX97="","",VLOOKUP(HX97,Language!$D$5:$E$100,2,0))</f>
        <v/>
      </c>
      <c r="HZ97" s="302"/>
      <c r="IA97" s="303"/>
      <c r="IB97" s="286"/>
      <c r="IC97" s="286"/>
      <c r="ID97" s="287">
        <f t="shared" si="1481"/>
        <v>0</v>
      </c>
      <c r="IE97" s="287">
        <f t="shared" si="1482"/>
        <v>0</v>
      </c>
      <c r="IF97" s="287"/>
      <c r="IG97" s="252" t="str">
        <f t="shared" si="1483"/>
        <v/>
      </c>
      <c r="II97" s="265"/>
      <c r="IJ97" s="230" t="str">
        <f>IF(II97="","",VLOOKUP(II97,Language!$D$5:$E$100,2,0))</f>
        <v/>
      </c>
      <c r="IK97" s="266"/>
      <c r="IL97" s="230" t="str">
        <f>IF(IK97="","",VLOOKUP(IK97,Language!$D$5:$E$100,2,0))</f>
        <v/>
      </c>
      <c r="IM97" s="302"/>
      <c r="IN97" s="303"/>
      <c r="IO97" s="286"/>
      <c r="IP97" s="286"/>
      <c r="IQ97" s="287">
        <f t="shared" si="1484"/>
        <v>0</v>
      </c>
      <c r="IR97" s="287">
        <f t="shared" si="1485"/>
        <v>0</v>
      </c>
      <c r="IS97" s="287"/>
      <c r="IT97" s="252" t="str">
        <f t="shared" si="1486"/>
        <v/>
      </c>
      <c r="IV97" s="265"/>
      <c r="IW97" s="230" t="str">
        <f>IF(IV97="","",VLOOKUP(IV97,Language!$D$5:$E$100,2,0))</f>
        <v/>
      </c>
      <c r="IX97" s="266"/>
      <c r="IY97" s="230" t="str">
        <f>IF(IX97="","",VLOOKUP(IX97,Language!$D$5:$E$100,2,0))</f>
        <v/>
      </c>
      <c r="IZ97" s="302"/>
      <c r="JA97" s="303"/>
      <c r="JB97" s="286"/>
      <c r="JC97" s="286"/>
      <c r="JD97" s="287">
        <f t="shared" si="1487"/>
        <v>0</v>
      </c>
      <c r="JE97" s="287">
        <f t="shared" si="1488"/>
        <v>0</v>
      </c>
      <c r="JF97" s="287"/>
      <c r="JG97" s="252" t="str">
        <f t="shared" si="1489"/>
        <v/>
      </c>
      <c r="JI97" s="265"/>
      <c r="JJ97" s="230" t="str">
        <f>IF(JI97="","",VLOOKUP(JI97,Language!$D$5:$E$100,2,0))</f>
        <v/>
      </c>
      <c r="JK97" s="266"/>
      <c r="JL97" s="230" t="str">
        <f>IF(JK97="","",VLOOKUP(JK97,Language!$D$5:$E$100,2,0))</f>
        <v/>
      </c>
      <c r="JM97" s="302"/>
      <c r="JN97" s="303"/>
      <c r="JO97" s="286"/>
      <c r="JP97" s="286"/>
      <c r="JQ97" s="287">
        <f t="shared" si="1490"/>
        <v>0</v>
      </c>
      <c r="JR97" s="287">
        <f t="shared" si="1491"/>
        <v>0</v>
      </c>
      <c r="JS97" s="287"/>
      <c r="JT97" s="252" t="str">
        <f t="shared" si="1492"/>
        <v/>
      </c>
      <c r="JV97" s="265"/>
      <c r="JW97" s="230" t="str">
        <f>IF(JV97="","",VLOOKUP(JV97,Language!$D$5:$E$100,2,0))</f>
        <v/>
      </c>
      <c r="JX97" s="266"/>
      <c r="JY97" s="230" t="str">
        <f>IF(JX97="","",VLOOKUP(JX97,Language!$D$5:$E$100,2,0))</f>
        <v/>
      </c>
      <c r="JZ97" s="302"/>
      <c r="KA97" s="303"/>
      <c r="KB97" s="286"/>
      <c r="KC97" s="286"/>
      <c r="KD97" s="287">
        <f t="shared" si="1493"/>
        <v>0</v>
      </c>
      <c r="KE97" s="287">
        <f t="shared" si="1494"/>
        <v>0</v>
      </c>
      <c r="KF97" s="287"/>
      <c r="KG97" s="252" t="str">
        <f t="shared" si="1495"/>
        <v/>
      </c>
      <c r="KI97" s="265"/>
      <c r="KJ97" s="230" t="str">
        <f>IF(KI97="","",VLOOKUP(KI97,Language!$D$5:$E$100,2,0))</f>
        <v/>
      </c>
      <c r="KK97" s="266"/>
      <c r="KL97" s="230" t="str">
        <f>IF(KK97="","",VLOOKUP(KK97,Language!$D$5:$E$100,2,0))</f>
        <v/>
      </c>
      <c r="KM97" s="302"/>
      <c r="KN97" s="303"/>
      <c r="KO97" s="286"/>
      <c r="KP97" s="286"/>
      <c r="KQ97" s="287">
        <f t="shared" si="1496"/>
        <v>0</v>
      </c>
      <c r="KR97" s="287">
        <f t="shared" si="1497"/>
        <v>0</v>
      </c>
      <c r="KS97" s="287"/>
      <c r="KT97" s="252" t="str">
        <f t="shared" si="1498"/>
        <v/>
      </c>
      <c r="KV97" s="265"/>
      <c r="KW97" s="230" t="str">
        <f>IF(KV97="","",VLOOKUP(KV97,Language!$D$5:$E$100,2,0))</f>
        <v/>
      </c>
      <c r="KX97" s="266"/>
      <c r="KY97" s="230" t="str">
        <f>IF(KX97="","",VLOOKUP(KX97,Language!$D$5:$E$100,2,0))</f>
        <v/>
      </c>
      <c r="KZ97" s="302"/>
      <c r="LA97" s="303"/>
      <c r="LB97" s="286"/>
      <c r="LC97" s="286"/>
      <c r="LD97" s="287">
        <f t="shared" si="1499"/>
        <v>0</v>
      </c>
      <c r="LE97" s="287">
        <f t="shared" si="1500"/>
        <v>0</v>
      </c>
      <c r="LF97" s="287"/>
      <c r="LG97" s="252" t="str">
        <f t="shared" si="1501"/>
        <v/>
      </c>
      <c r="LI97" s="265"/>
      <c r="LJ97" s="230" t="str">
        <f>IF(LI97="","",VLOOKUP(LI97,Language!$D$5:$E$100,2,0))</f>
        <v/>
      </c>
      <c r="LK97" s="266"/>
      <c r="LL97" s="230" t="str">
        <f>IF(LK97="","",VLOOKUP(LK97,Language!$D$5:$E$100,2,0))</f>
        <v/>
      </c>
      <c r="LM97" s="302"/>
      <c r="LN97" s="303"/>
      <c r="LO97" s="286"/>
      <c r="LP97" s="286"/>
      <c r="LQ97" s="287">
        <f t="shared" si="1502"/>
        <v>0</v>
      </c>
      <c r="LR97" s="287">
        <f t="shared" si="1503"/>
        <v>0</v>
      </c>
      <c r="LS97" s="287"/>
      <c r="LT97" s="252" t="str">
        <f t="shared" si="1504"/>
        <v/>
      </c>
      <c r="LV97" s="265"/>
      <c r="LW97" s="230" t="str">
        <f>IF(LV97="","",VLOOKUP(LV97,Language!$D$5:$E$100,2,0))</f>
        <v/>
      </c>
      <c r="LX97" s="266"/>
      <c r="LY97" s="230" t="str">
        <f>IF(LX97="","",VLOOKUP(LX97,Language!$D$5:$E$100,2,0))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Brazil</v>
      </c>
      <c r="D98" s="231">
        <f>IF(E98="","",INDEX(Groups!$C$7:$C$65,MATCH(E98,Groups!$D$7:$D$65,0)))</f>
        <v>18</v>
      </c>
      <c r="E98" s="230" t="str">
        <f>'World Cup'!$AA$50</f>
        <v>Japan</v>
      </c>
      <c r="F98" s="232" t="str">
        <f>IF(AND('World Cup'!$Z$51&lt;&gt;"",'World Cup'!$AA$51&lt;&gt;""),'World Cup'!$Z$51+IF(AND('World Cup'!$Z$53&lt;&gt;"",'World Cup'!$AA$53&lt;&gt;"",'World Cup'!$Z$51='World Cup'!$AA$51),'World Cup'!$Z$53,0),"")</f>
        <v/>
      </c>
      <c r="G98" s="233" t="str">
        <f>IF(AND('World Cup'!$Z$51&lt;&gt;"",'World Cup'!$AA$51&lt;&gt;""),'World Cup'!$AA$51+IF(AND('World Cup'!$Z$53&lt;&gt;"",'World Cup'!$AA$53&lt;&gt;"",'World Cup'!$Z$51='World Cup'!$AA$51),'World Cup'!$AA$53,0),"")</f>
        <v/>
      </c>
      <c r="I98" s="265"/>
      <c r="J98" s="230" t="str">
        <f>IF(I98="","",VLOOKUP(I98,Language!$D$5:$E$100,2,0))</f>
        <v/>
      </c>
      <c r="K98" s="266"/>
      <c r="L98" s="230" t="str">
        <f>IF(K98="","",VLOOKUP(K98,Language!$D$5:$E$100,2,0))</f>
        <v/>
      </c>
      <c r="M98" s="302"/>
      <c r="N98" s="303"/>
      <c r="O98" s="286"/>
      <c r="P98" s="286"/>
      <c r="Q98" s="287">
        <f t="shared" si="1430"/>
        <v>0</v>
      </c>
      <c r="R98" s="287">
        <f t="shared" si="1431"/>
        <v>0</v>
      </c>
      <c r="S98" s="287"/>
      <c r="T98" s="252" t="str">
        <f t="shared" si="1432"/>
        <v/>
      </c>
      <c r="V98" s="265"/>
      <c r="W98" s="230" t="str">
        <f>IF(V98="","",VLOOKUP(V98,Language!$D$5:$E$100,2,0))</f>
        <v/>
      </c>
      <c r="X98" s="266"/>
      <c r="Y98" s="230" t="str">
        <f>IF(X98="","",VLOOKUP(X98,Language!$D$5:$E$100,2,0))</f>
        <v/>
      </c>
      <c r="Z98" s="302"/>
      <c r="AA98" s="303"/>
      <c r="AB98" s="286"/>
      <c r="AC98" s="286"/>
      <c r="AD98" s="287">
        <f t="shared" si="1433"/>
        <v>0</v>
      </c>
      <c r="AE98" s="287">
        <f t="shared" si="1434"/>
        <v>0</v>
      </c>
      <c r="AF98" s="287"/>
      <c r="AG98" s="252" t="str">
        <f t="shared" si="1435"/>
        <v/>
      </c>
      <c r="AI98" s="265"/>
      <c r="AJ98" s="230" t="str">
        <f>IF(AI98="","",VLOOKUP(AI98,Language!$D$5:$E$100,2,0))</f>
        <v/>
      </c>
      <c r="AK98" s="266"/>
      <c r="AL98" s="230" t="str">
        <f>IF(AK98="","",VLOOKUP(AK98,Language!$D$5:$E$100,2,0))</f>
        <v/>
      </c>
      <c r="AM98" s="302"/>
      <c r="AN98" s="303"/>
      <c r="AO98" s="286"/>
      <c r="AP98" s="286"/>
      <c r="AQ98" s="287">
        <f t="shared" si="1436"/>
        <v>0</v>
      </c>
      <c r="AR98" s="287">
        <f t="shared" si="1437"/>
        <v>0</v>
      </c>
      <c r="AS98" s="287"/>
      <c r="AT98" s="252" t="str">
        <f t="shared" si="1438"/>
        <v/>
      </c>
      <c r="AV98" s="265"/>
      <c r="AW98" s="230" t="str">
        <f>IF(AV98="","",VLOOKUP(AV98,Language!$D$5:$E$100,2,0))</f>
        <v/>
      </c>
      <c r="AX98" s="266"/>
      <c r="AY98" s="230" t="str">
        <f>IF(AX98="","",VLOOKUP(AX98,Language!$D$5:$E$100,2,0))</f>
        <v/>
      </c>
      <c r="AZ98" s="302"/>
      <c r="BA98" s="303"/>
      <c r="BB98" s="286"/>
      <c r="BC98" s="286"/>
      <c r="BD98" s="287">
        <f t="shared" si="1439"/>
        <v>0</v>
      </c>
      <c r="BE98" s="287">
        <f t="shared" si="1440"/>
        <v>0</v>
      </c>
      <c r="BF98" s="287"/>
      <c r="BG98" s="252" t="str">
        <f t="shared" si="1441"/>
        <v/>
      </c>
      <c r="BI98" s="265"/>
      <c r="BJ98" s="230" t="str">
        <f>IF(BI98="","",VLOOKUP(BI98,Language!$D$5:$E$100,2,0))</f>
        <v/>
      </c>
      <c r="BK98" s="266"/>
      <c r="BL98" s="230" t="str">
        <f>IF(BK98="","",VLOOKUP(BK98,Language!$D$5:$E$100,2,0))</f>
        <v/>
      </c>
      <c r="BM98" s="302"/>
      <c r="BN98" s="303"/>
      <c r="BO98" s="286"/>
      <c r="BP98" s="286"/>
      <c r="BQ98" s="287">
        <f t="shared" si="1442"/>
        <v>0</v>
      </c>
      <c r="BR98" s="287">
        <f t="shared" si="1443"/>
        <v>0</v>
      </c>
      <c r="BS98" s="287"/>
      <c r="BT98" s="252" t="str">
        <f t="shared" si="1444"/>
        <v/>
      </c>
      <c r="BV98" s="265"/>
      <c r="BW98" s="230" t="str">
        <f>IF(BV98="","",VLOOKUP(BV98,Language!$D$5:$E$100,2,0))</f>
        <v/>
      </c>
      <c r="BX98" s="266"/>
      <c r="BY98" s="230" t="str">
        <f>IF(BX98="","",VLOOKUP(BX98,Language!$D$5:$E$100,2,0))</f>
        <v/>
      </c>
      <c r="BZ98" s="302"/>
      <c r="CA98" s="303"/>
      <c r="CB98" s="286"/>
      <c r="CC98" s="286"/>
      <c r="CD98" s="287">
        <f t="shared" si="1445"/>
        <v>0</v>
      </c>
      <c r="CE98" s="287">
        <f t="shared" si="1446"/>
        <v>0</v>
      </c>
      <c r="CF98" s="287"/>
      <c r="CG98" s="252" t="str">
        <f t="shared" si="1447"/>
        <v/>
      </c>
      <c r="CI98" s="265"/>
      <c r="CJ98" s="230" t="str">
        <f>IF(CI98="","",VLOOKUP(CI98,Language!$D$5:$E$100,2,0))</f>
        <v/>
      </c>
      <c r="CK98" s="266"/>
      <c r="CL98" s="230" t="str">
        <f>IF(CK98="","",VLOOKUP(CK98,Language!$D$5:$E$100,2,0))</f>
        <v/>
      </c>
      <c r="CM98" s="302"/>
      <c r="CN98" s="303"/>
      <c r="CO98" s="286"/>
      <c r="CP98" s="286"/>
      <c r="CQ98" s="287">
        <f t="shared" si="1448"/>
        <v>0</v>
      </c>
      <c r="CR98" s="287">
        <f t="shared" si="1449"/>
        <v>0</v>
      </c>
      <c r="CS98" s="287"/>
      <c r="CT98" s="252" t="str">
        <f t="shared" si="1450"/>
        <v/>
      </c>
      <c r="CV98" s="265"/>
      <c r="CW98" s="230" t="str">
        <f>IF(CV98="","",VLOOKUP(CV98,Language!$D$5:$E$100,2,0))</f>
        <v/>
      </c>
      <c r="CX98" s="266"/>
      <c r="CY98" s="230" t="str">
        <f>IF(CX98="","",VLOOKUP(CX98,Language!$D$5:$E$100,2,0))</f>
        <v/>
      </c>
      <c r="CZ98" s="302"/>
      <c r="DA98" s="303"/>
      <c r="DB98" s="286"/>
      <c r="DC98" s="286"/>
      <c r="DD98" s="287">
        <f t="shared" si="1451"/>
        <v>0</v>
      </c>
      <c r="DE98" s="287">
        <f t="shared" si="1452"/>
        <v>0</v>
      </c>
      <c r="DF98" s="287"/>
      <c r="DG98" s="252" t="str">
        <f t="shared" si="1453"/>
        <v/>
      </c>
      <c r="DI98" s="265"/>
      <c r="DJ98" s="230" t="str">
        <f>IF(DI98="","",VLOOKUP(DI98,Language!$D$5:$E$100,2,0))</f>
        <v/>
      </c>
      <c r="DK98" s="266"/>
      <c r="DL98" s="230" t="str">
        <f>IF(DK98="","",VLOOKUP(DK98,Language!$D$5:$E$100,2,0))</f>
        <v/>
      </c>
      <c r="DM98" s="302"/>
      <c r="DN98" s="303"/>
      <c r="DO98" s="286"/>
      <c r="DP98" s="286"/>
      <c r="DQ98" s="287">
        <f t="shared" si="1454"/>
        <v>0</v>
      </c>
      <c r="DR98" s="287">
        <f t="shared" si="1455"/>
        <v>0</v>
      </c>
      <c r="DS98" s="287"/>
      <c r="DT98" s="252" t="str">
        <f t="shared" si="1456"/>
        <v/>
      </c>
      <c r="DV98" s="265"/>
      <c r="DW98" s="230" t="str">
        <f>IF(DV98="","",VLOOKUP(DV98,Language!$D$5:$E$100,2,0))</f>
        <v/>
      </c>
      <c r="DX98" s="266"/>
      <c r="DY98" s="230" t="str">
        <f>IF(DX98="","",VLOOKUP(DX98,Language!$D$5:$E$100,2,0))</f>
        <v/>
      </c>
      <c r="DZ98" s="302"/>
      <c r="EA98" s="303"/>
      <c r="EB98" s="286"/>
      <c r="EC98" s="286"/>
      <c r="ED98" s="287">
        <f t="shared" si="1457"/>
        <v>0</v>
      </c>
      <c r="EE98" s="287">
        <f t="shared" si="1458"/>
        <v>0</v>
      </c>
      <c r="EF98" s="287"/>
      <c r="EG98" s="252" t="str">
        <f t="shared" si="1459"/>
        <v/>
      </c>
      <c r="EI98" s="265"/>
      <c r="EJ98" s="230" t="str">
        <f>IF(EI98="","",VLOOKUP(EI98,Language!$D$5:$E$100,2,0))</f>
        <v/>
      </c>
      <c r="EK98" s="266"/>
      <c r="EL98" s="230" t="str">
        <f>IF(EK98="","",VLOOKUP(EK98,Language!$D$5:$E$100,2,0))</f>
        <v/>
      </c>
      <c r="EM98" s="302"/>
      <c r="EN98" s="303"/>
      <c r="EO98" s="286"/>
      <c r="EP98" s="286"/>
      <c r="EQ98" s="287">
        <f t="shared" si="1460"/>
        <v>0</v>
      </c>
      <c r="ER98" s="287">
        <f t="shared" si="1461"/>
        <v>0</v>
      </c>
      <c r="ES98" s="287"/>
      <c r="ET98" s="252" t="str">
        <f t="shared" si="1462"/>
        <v/>
      </c>
      <c r="EV98" s="265"/>
      <c r="EW98" s="230" t="str">
        <f>IF(EV98="","",VLOOKUP(EV98,Language!$D$5:$E$100,2,0))</f>
        <v/>
      </c>
      <c r="EX98" s="266"/>
      <c r="EY98" s="230" t="str">
        <f>IF(EX98="","",VLOOKUP(EX98,Language!$D$5:$E$100,2,0))</f>
        <v/>
      </c>
      <c r="EZ98" s="302"/>
      <c r="FA98" s="303"/>
      <c r="FB98" s="286"/>
      <c r="FC98" s="286"/>
      <c r="FD98" s="287">
        <f t="shared" si="1463"/>
        <v>0</v>
      </c>
      <c r="FE98" s="287">
        <f t="shared" si="1464"/>
        <v>0</v>
      </c>
      <c r="FF98" s="287"/>
      <c r="FG98" s="252" t="str">
        <f t="shared" si="1465"/>
        <v/>
      </c>
      <c r="FI98" s="265"/>
      <c r="FJ98" s="230" t="str">
        <f>IF(FI98="","",VLOOKUP(FI98,Language!$D$5:$E$100,2,0))</f>
        <v/>
      </c>
      <c r="FK98" s="266"/>
      <c r="FL98" s="230" t="str">
        <f>IF(FK98="","",VLOOKUP(FK98,Language!$D$5:$E$100,2,0))</f>
        <v/>
      </c>
      <c r="FM98" s="302"/>
      <c r="FN98" s="303"/>
      <c r="FO98" s="286"/>
      <c r="FP98" s="286"/>
      <c r="FQ98" s="287">
        <f t="shared" si="1466"/>
        <v>0</v>
      </c>
      <c r="FR98" s="287">
        <f t="shared" si="1467"/>
        <v>0</v>
      </c>
      <c r="FS98" s="287"/>
      <c r="FT98" s="252" t="str">
        <f t="shared" si="1468"/>
        <v/>
      </c>
      <c r="FV98" s="265"/>
      <c r="FW98" s="230" t="str">
        <f>IF(FV98="","",VLOOKUP(FV98,Language!$D$5:$E$100,2,0))</f>
        <v/>
      </c>
      <c r="FX98" s="266"/>
      <c r="FY98" s="230" t="str">
        <f>IF(FX98="","",VLOOKUP(FX98,Language!$D$5:$E$100,2,0))</f>
        <v/>
      </c>
      <c r="FZ98" s="302"/>
      <c r="GA98" s="303"/>
      <c r="GB98" s="286"/>
      <c r="GC98" s="286"/>
      <c r="GD98" s="287">
        <f t="shared" si="1469"/>
        <v>0</v>
      </c>
      <c r="GE98" s="287">
        <f t="shared" si="1470"/>
        <v>0</v>
      </c>
      <c r="GF98" s="287"/>
      <c r="GG98" s="252" t="str">
        <f t="shared" si="1471"/>
        <v/>
      </c>
      <c r="GI98" s="265"/>
      <c r="GJ98" s="230" t="str">
        <f>IF(GI98="","",VLOOKUP(GI98,Language!$D$5:$E$100,2,0))</f>
        <v/>
      </c>
      <c r="GK98" s="266"/>
      <c r="GL98" s="230" t="str">
        <f>IF(GK98="","",VLOOKUP(GK98,Language!$D$5:$E$100,2,0))</f>
        <v/>
      </c>
      <c r="GM98" s="302"/>
      <c r="GN98" s="303"/>
      <c r="GO98" s="286"/>
      <c r="GP98" s="286"/>
      <c r="GQ98" s="287">
        <f t="shared" si="1472"/>
        <v>0</v>
      </c>
      <c r="GR98" s="287">
        <f t="shared" si="1473"/>
        <v>0</v>
      </c>
      <c r="GS98" s="287"/>
      <c r="GT98" s="252" t="str">
        <f t="shared" si="1474"/>
        <v/>
      </c>
      <c r="GV98" s="265"/>
      <c r="GW98" s="230" t="str">
        <f>IF(GV98="","",VLOOKUP(GV98,Language!$D$5:$E$100,2,0))</f>
        <v/>
      </c>
      <c r="GX98" s="266"/>
      <c r="GY98" s="230" t="str">
        <f>IF(GX98="","",VLOOKUP(GX98,Language!$D$5:$E$100,2,0))</f>
        <v/>
      </c>
      <c r="GZ98" s="302"/>
      <c r="HA98" s="303"/>
      <c r="HB98" s="286"/>
      <c r="HC98" s="286"/>
      <c r="HD98" s="287">
        <f t="shared" si="1475"/>
        <v>0</v>
      </c>
      <c r="HE98" s="287">
        <f t="shared" si="1476"/>
        <v>0</v>
      </c>
      <c r="HF98" s="287"/>
      <c r="HG98" s="252" t="str">
        <f t="shared" si="1477"/>
        <v/>
      </c>
      <c r="HI98" s="265"/>
      <c r="HJ98" s="230" t="str">
        <f>IF(HI98="","",VLOOKUP(HI98,Language!$D$5:$E$100,2,0))</f>
        <v/>
      </c>
      <c r="HK98" s="266"/>
      <c r="HL98" s="230" t="str">
        <f>IF(HK98="","",VLOOKUP(HK98,Language!$D$5:$E$100,2,0))</f>
        <v/>
      </c>
      <c r="HM98" s="302"/>
      <c r="HN98" s="303"/>
      <c r="HO98" s="286"/>
      <c r="HP98" s="286"/>
      <c r="HQ98" s="287">
        <f t="shared" si="1478"/>
        <v>0</v>
      </c>
      <c r="HR98" s="287">
        <f t="shared" si="1479"/>
        <v>0</v>
      </c>
      <c r="HS98" s="287"/>
      <c r="HT98" s="252" t="str">
        <f t="shared" si="1480"/>
        <v/>
      </c>
      <c r="HV98" s="265"/>
      <c r="HW98" s="230" t="str">
        <f>IF(HV98="","",VLOOKUP(HV98,Language!$D$5:$E$100,2,0))</f>
        <v/>
      </c>
      <c r="HX98" s="266"/>
      <c r="HY98" s="230" t="str">
        <f>IF(HX98="","",VLOOKUP(HX98,Language!$D$5:$E$100,2,0))</f>
        <v/>
      </c>
      <c r="HZ98" s="302"/>
      <c r="IA98" s="303"/>
      <c r="IB98" s="286"/>
      <c r="IC98" s="286"/>
      <c r="ID98" s="287">
        <f t="shared" si="1481"/>
        <v>0</v>
      </c>
      <c r="IE98" s="287">
        <f t="shared" si="1482"/>
        <v>0</v>
      </c>
      <c r="IF98" s="287"/>
      <c r="IG98" s="252" t="str">
        <f t="shared" si="1483"/>
        <v/>
      </c>
      <c r="II98" s="265"/>
      <c r="IJ98" s="230" t="str">
        <f>IF(II98="","",VLOOKUP(II98,Language!$D$5:$E$100,2,0))</f>
        <v/>
      </c>
      <c r="IK98" s="266"/>
      <c r="IL98" s="230" t="str">
        <f>IF(IK98="","",VLOOKUP(IK98,Language!$D$5:$E$100,2,0))</f>
        <v/>
      </c>
      <c r="IM98" s="302"/>
      <c r="IN98" s="303"/>
      <c r="IO98" s="286"/>
      <c r="IP98" s="286"/>
      <c r="IQ98" s="287">
        <f t="shared" si="1484"/>
        <v>0</v>
      </c>
      <c r="IR98" s="287">
        <f t="shared" si="1485"/>
        <v>0</v>
      </c>
      <c r="IS98" s="287"/>
      <c r="IT98" s="252" t="str">
        <f t="shared" si="1486"/>
        <v/>
      </c>
      <c r="IV98" s="265"/>
      <c r="IW98" s="230" t="str">
        <f>IF(IV98="","",VLOOKUP(IV98,Language!$D$5:$E$100,2,0))</f>
        <v/>
      </c>
      <c r="IX98" s="266"/>
      <c r="IY98" s="230" t="str">
        <f>IF(IX98="","",VLOOKUP(IX98,Language!$D$5:$E$100,2,0))</f>
        <v/>
      </c>
      <c r="IZ98" s="302"/>
      <c r="JA98" s="303"/>
      <c r="JB98" s="286"/>
      <c r="JC98" s="286"/>
      <c r="JD98" s="287">
        <f t="shared" si="1487"/>
        <v>0</v>
      </c>
      <c r="JE98" s="287">
        <f t="shared" si="1488"/>
        <v>0</v>
      </c>
      <c r="JF98" s="287"/>
      <c r="JG98" s="252" t="str">
        <f t="shared" si="1489"/>
        <v/>
      </c>
      <c r="JI98" s="265"/>
      <c r="JJ98" s="230" t="str">
        <f>IF(JI98="","",VLOOKUP(JI98,Language!$D$5:$E$100,2,0))</f>
        <v/>
      </c>
      <c r="JK98" s="266"/>
      <c r="JL98" s="230" t="str">
        <f>IF(JK98="","",VLOOKUP(JK98,Language!$D$5:$E$100,2,0))</f>
        <v/>
      </c>
      <c r="JM98" s="302"/>
      <c r="JN98" s="303"/>
      <c r="JO98" s="286"/>
      <c r="JP98" s="286"/>
      <c r="JQ98" s="287">
        <f t="shared" si="1490"/>
        <v>0</v>
      </c>
      <c r="JR98" s="287">
        <f t="shared" si="1491"/>
        <v>0</v>
      </c>
      <c r="JS98" s="287"/>
      <c r="JT98" s="252" t="str">
        <f t="shared" si="1492"/>
        <v/>
      </c>
      <c r="JV98" s="265"/>
      <c r="JW98" s="230" t="str">
        <f>IF(JV98="","",VLOOKUP(JV98,Language!$D$5:$E$100,2,0))</f>
        <v/>
      </c>
      <c r="JX98" s="266"/>
      <c r="JY98" s="230" t="str">
        <f>IF(JX98="","",VLOOKUP(JX98,Language!$D$5:$E$100,2,0))</f>
        <v/>
      </c>
      <c r="JZ98" s="302"/>
      <c r="KA98" s="303"/>
      <c r="KB98" s="286"/>
      <c r="KC98" s="286"/>
      <c r="KD98" s="287">
        <f t="shared" si="1493"/>
        <v>0</v>
      </c>
      <c r="KE98" s="287">
        <f t="shared" si="1494"/>
        <v>0</v>
      </c>
      <c r="KF98" s="287"/>
      <c r="KG98" s="252" t="str">
        <f t="shared" si="1495"/>
        <v/>
      </c>
      <c r="KI98" s="265"/>
      <c r="KJ98" s="230" t="str">
        <f>IF(KI98="","",VLOOKUP(KI98,Language!$D$5:$E$100,2,0))</f>
        <v/>
      </c>
      <c r="KK98" s="266"/>
      <c r="KL98" s="230" t="str">
        <f>IF(KK98="","",VLOOKUP(KK98,Language!$D$5:$E$100,2,0))</f>
        <v/>
      </c>
      <c r="KM98" s="302"/>
      <c r="KN98" s="303"/>
      <c r="KO98" s="286"/>
      <c r="KP98" s="286"/>
      <c r="KQ98" s="287">
        <f t="shared" si="1496"/>
        <v>0</v>
      </c>
      <c r="KR98" s="287">
        <f t="shared" si="1497"/>
        <v>0</v>
      </c>
      <c r="KS98" s="287"/>
      <c r="KT98" s="252" t="str">
        <f t="shared" si="1498"/>
        <v/>
      </c>
      <c r="KV98" s="265"/>
      <c r="KW98" s="230" t="str">
        <f>IF(KV98="","",VLOOKUP(KV98,Language!$D$5:$E$100,2,0))</f>
        <v/>
      </c>
      <c r="KX98" s="266"/>
      <c r="KY98" s="230" t="str">
        <f>IF(KX98="","",VLOOKUP(KX98,Language!$D$5:$E$100,2,0))</f>
        <v/>
      </c>
      <c r="KZ98" s="302"/>
      <c r="LA98" s="303"/>
      <c r="LB98" s="286"/>
      <c r="LC98" s="286"/>
      <c r="LD98" s="287">
        <f t="shared" si="1499"/>
        <v>0</v>
      </c>
      <c r="LE98" s="287">
        <f t="shared" si="1500"/>
        <v>0</v>
      </c>
      <c r="LF98" s="287"/>
      <c r="LG98" s="252" t="str">
        <f t="shared" si="1501"/>
        <v/>
      </c>
      <c r="LI98" s="265"/>
      <c r="LJ98" s="230" t="str">
        <f>IF(LI98="","",VLOOKUP(LI98,Language!$D$5:$E$100,2,0))</f>
        <v/>
      </c>
      <c r="LK98" s="266"/>
      <c r="LL98" s="230" t="str">
        <f>IF(LK98="","",VLOOKUP(LK98,Language!$D$5:$E$100,2,0))</f>
        <v/>
      </c>
      <c r="LM98" s="302"/>
      <c r="LN98" s="303"/>
      <c r="LO98" s="286"/>
      <c r="LP98" s="286"/>
      <c r="LQ98" s="287">
        <f t="shared" si="1502"/>
        <v>0</v>
      </c>
      <c r="LR98" s="287">
        <f t="shared" si="1503"/>
        <v>0</v>
      </c>
      <c r="LS98" s="287"/>
      <c r="LT98" s="252" t="str">
        <f t="shared" si="1504"/>
        <v/>
      </c>
      <c r="LV98" s="265"/>
      <c r="LW98" s="230" t="str">
        <f>IF(LV98="","",VLOOKUP(LV98,Language!$D$5:$E$100,2,0))</f>
        <v/>
      </c>
      <c r="LX98" s="266"/>
      <c r="LY98" s="230" t="str">
        <f>IF(LX98="","",VLOOKUP(LX98,Language!$D$5:$E$100,2,0))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Cote d'Ivoire</v>
      </c>
      <c r="D99" s="231">
        <f>IF(E99="","",INDEX(Groups!$C$7:$C$65,MATCH(E99,Groups!$D$7:$D$65,0)))</f>
        <v>1</v>
      </c>
      <c r="E99" s="230" t="str">
        <f>'World Cup'!$AD$50</f>
        <v>France</v>
      </c>
      <c r="F99" s="232" t="str">
        <f>IF(AND('World Cup'!$AC$51&lt;&gt;"",'World Cup'!$AD$51&lt;&gt;""),'World Cup'!$AC$51+IF(AND('World Cup'!$AC$53&lt;&gt;"",'World Cup'!$AD$53&lt;&gt;"",'World Cup'!$AC$51='World Cup'!$AD$51),'World Cup'!$AC$53,0),"")</f>
        <v/>
      </c>
      <c r="G99" s="233" t="str">
        <f>IF(AND('World Cup'!$AC$51&lt;&gt;"",'World Cup'!$AD$51&lt;&gt;""),'World Cup'!$AD$51+IF(AND('World Cup'!$AC$53&lt;&gt;"",'World Cup'!$AD$53&lt;&gt;"",'World Cup'!$AC$51='World Cup'!$AD$51),'World Cup'!$AD$53,0),"")</f>
        <v/>
      </c>
      <c r="I99" s="265"/>
      <c r="J99" s="230" t="str">
        <f>IF(I99="","",VLOOKUP(I99,Language!$D$5:$E$100,2,0))</f>
        <v/>
      </c>
      <c r="K99" s="266"/>
      <c r="L99" s="230" t="str">
        <f>IF(K99="","",VLOOKUP(K99,Language!$D$5:$E$100,2,0))</f>
        <v/>
      </c>
      <c r="M99" s="302"/>
      <c r="N99" s="303"/>
      <c r="O99" s="286"/>
      <c r="P99" s="286"/>
      <c r="Q99" s="287">
        <f t="shared" si="1430"/>
        <v>0</v>
      </c>
      <c r="R99" s="287">
        <f t="shared" si="1431"/>
        <v>0</v>
      </c>
      <c r="S99" s="287"/>
      <c r="T99" s="252" t="str">
        <f t="shared" si="1432"/>
        <v/>
      </c>
      <c r="V99" s="265"/>
      <c r="W99" s="230" t="str">
        <f>IF(V99="","",VLOOKUP(V99,Language!$D$5:$E$100,2,0))</f>
        <v/>
      </c>
      <c r="X99" s="266"/>
      <c r="Y99" s="230" t="str">
        <f>IF(X99="","",VLOOKUP(X99,Language!$D$5:$E$100,2,0))</f>
        <v/>
      </c>
      <c r="Z99" s="302"/>
      <c r="AA99" s="303"/>
      <c r="AB99" s="286"/>
      <c r="AC99" s="286"/>
      <c r="AD99" s="287">
        <f t="shared" si="1433"/>
        <v>0</v>
      </c>
      <c r="AE99" s="287">
        <f t="shared" si="1434"/>
        <v>0</v>
      </c>
      <c r="AF99" s="287"/>
      <c r="AG99" s="252" t="str">
        <f t="shared" si="1435"/>
        <v/>
      </c>
      <c r="AI99" s="265"/>
      <c r="AJ99" s="230" t="str">
        <f>IF(AI99="","",VLOOKUP(AI99,Language!$D$5:$E$100,2,0))</f>
        <v/>
      </c>
      <c r="AK99" s="266"/>
      <c r="AL99" s="230" t="str">
        <f>IF(AK99="","",VLOOKUP(AK99,Language!$D$5:$E$100,2,0))</f>
        <v/>
      </c>
      <c r="AM99" s="302"/>
      <c r="AN99" s="303"/>
      <c r="AO99" s="286"/>
      <c r="AP99" s="286"/>
      <c r="AQ99" s="287">
        <f t="shared" si="1436"/>
        <v>0</v>
      </c>
      <c r="AR99" s="287">
        <f t="shared" si="1437"/>
        <v>0</v>
      </c>
      <c r="AS99" s="287"/>
      <c r="AT99" s="252" t="str">
        <f t="shared" si="1438"/>
        <v/>
      </c>
      <c r="AV99" s="265"/>
      <c r="AW99" s="230" t="str">
        <f>IF(AV99="","",VLOOKUP(AV99,Language!$D$5:$E$100,2,0))</f>
        <v/>
      </c>
      <c r="AX99" s="266"/>
      <c r="AY99" s="230" t="str">
        <f>IF(AX99="","",VLOOKUP(AX99,Language!$D$5:$E$100,2,0))</f>
        <v/>
      </c>
      <c r="AZ99" s="302"/>
      <c r="BA99" s="303"/>
      <c r="BB99" s="286"/>
      <c r="BC99" s="286"/>
      <c r="BD99" s="287">
        <f t="shared" si="1439"/>
        <v>0</v>
      </c>
      <c r="BE99" s="287">
        <f t="shared" si="1440"/>
        <v>0</v>
      </c>
      <c r="BF99" s="287"/>
      <c r="BG99" s="252" t="str">
        <f t="shared" si="1441"/>
        <v/>
      </c>
      <c r="BI99" s="265"/>
      <c r="BJ99" s="230" t="str">
        <f>IF(BI99="","",VLOOKUP(BI99,Language!$D$5:$E$100,2,0))</f>
        <v/>
      </c>
      <c r="BK99" s="266"/>
      <c r="BL99" s="230" t="str">
        <f>IF(BK99="","",VLOOKUP(BK99,Language!$D$5:$E$100,2,0))</f>
        <v/>
      </c>
      <c r="BM99" s="302"/>
      <c r="BN99" s="303"/>
      <c r="BO99" s="286"/>
      <c r="BP99" s="286"/>
      <c r="BQ99" s="287">
        <f t="shared" si="1442"/>
        <v>0</v>
      </c>
      <c r="BR99" s="287">
        <f t="shared" si="1443"/>
        <v>0</v>
      </c>
      <c r="BS99" s="287"/>
      <c r="BT99" s="252" t="str">
        <f t="shared" si="1444"/>
        <v/>
      </c>
      <c r="BV99" s="265"/>
      <c r="BW99" s="230" t="str">
        <f>IF(BV99="","",VLOOKUP(BV99,Language!$D$5:$E$100,2,0))</f>
        <v/>
      </c>
      <c r="BX99" s="266"/>
      <c r="BY99" s="230" t="str">
        <f>IF(BX99="","",VLOOKUP(BX99,Language!$D$5:$E$100,2,0))</f>
        <v/>
      </c>
      <c r="BZ99" s="302"/>
      <c r="CA99" s="303"/>
      <c r="CB99" s="286"/>
      <c r="CC99" s="286"/>
      <c r="CD99" s="287">
        <f t="shared" si="1445"/>
        <v>0</v>
      </c>
      <c r="CE99" s="287">
        <f t="shared" si="1446"/>
        <v>0</v>
      </c>
      <c r="CF99" s="287"/>
      <c r="CG99" s="252" t="str">
        <f t="shared" si="1447"/>
        <v/>
      </c>
      <c r="CI99" s="265"/>
      <c r="CJ99" s="230" t="str">
        <f>IF(CI99="","",VLOOKUP(CI99,Language!$D$5:$E$100,2,0))</f>
        <v/>
      </c>
      <c r="CK99" s="266"/>
      <c r="CL99" s="230" t="str">
        <f>IF(CK99="","",VLOOKUP(CK99,Language!$D$5:$E$100,2,0))</f>
        <v/>
      </c>
      <c r="CM99" s="302"/>
      <c r="CN99" s="303"/>
      <c r="CO99" s="286"/>
      <c r="CP99" s="286"/>
      <c r="CQ99" s="287">
        <f t="shared" si="1448"/>
        <v>0</v>
      </c>
      <c r="CR99" s="287">
        <f t="shared" si="1449"/>
        <v>0</v>
      </c>
      <c r="CS99" s="287"/>
      <c r="CT99" s="252" t="str">
        <f t="shared" si="1450"/>
        <v/>
      </c>
      <c r="CV99" s="265"/>
      <c r="CW99" s="230" t="str">
        <f>IF(CV99="","",VLOOKUP(CV99,Language!$D$5:$E$100,2,0))</f>
        <v/>
      </c>
      <c r="CX99" s="266"/>
      <c r="CY99" s="230" t="str">
        <f>IF(CX99="","",VLOOKUP(CX99,Language!$D$5:$E$100,2,0))</f>
        <v/>
      </c>
      <c r="CZ99" s="302"/>
      <c r="DA99" s="303"/>
      <c r="DB99" s="286"/>
      <c r="DC99" s="286"/>
      <c r="DD99" s="287">
        <f t="shared" si="1451"/>
        <v>0</v>
      </c>
      <c r="DE99" s="287">
        <f t="shared" si="1452"/>
        <v>0</v>
      </c>
      <c r="DF99" s="287"/>
      <c r="DG99" s="252" t="str">
        <f t="shared" si="1453"/>
        <v/>
      </c>
      <c r="DI99" s="265"/>
      <c r="DJ99" s="230" t="str">
        <f>IF(DI99="","",VLOOKUP(DI99,Language!$D$5:$E$100,2,0))</f>
        <v/>
      </c>
      <c r="DK99" s="266"/>
      <c r="DL99" s="230" t="str">
        <f>IF(DK99="","",VLOOKUP(DK99,Language!$D$5:$E$100,2,0))</f>
        <v/>
      </c>
      <c r="DM99" s="302"/>
      <c r="DN99" s="303"/>
      <c r="DO99" s="286"/>
      <c r="DP99" s="286"/>
      <c r="DQ99" s="287">
        <f t="shared" si="1454"/>
        <v>0</v>
      </c>
      <c r="DR99" s="287">
        <f t="shared" si="1455"/>
        <v>0</v>
      </c>
      <c r="DS99" s="287"/>
      <c r="DT99" s="252" t="str">
        <f t="shared" si="1456"/>
        <v/>
      </c>
      <c r="DV99" s="265"/>
      <c r="DW99" s="230" t="str">
        <f>IF(DV99="","",VLOOKUP(DV99,Language!$D$5:$E$100,2,0))</f>
        <v/>
      </c>
      <c r="DX99" s="266"/>
      <c r="DY99" s="230" t="str">
        <f>IF(DX99="","",VLOOKUP(DX99,Language!$D$5:$E$100,2,0))</f>
        <v/>
      </c>
      <c r="DZ99" s="302"/>
      <c r="EA99" s="303"/>
      <c r="EB99" s="286"/>
      <c r="EC99" s="286"/>
      <c r="ED99" s="287">
        <f t="shared" si="1457"/>
        <v>0</v>
      </c>
      <c r="EE99" s="287">
        <f t="shared" si="1458"/>
        <v>0</v>
      </c>
      <c r="EF99" s="287"/>
      <c r="EG99" s="252" t="str">
        <f t="shared" si="1459"/>
        <v/>
      </c>
      <c r="EI99" s="265"/>
      <c r="EJ99" s="230" t="str">
        <f>IF(EI99="","",VLOOKUP(EI99,Language!$D$5:$E$100,2,0))</f>
        <v/>
      </c>
      <c r="EK99" s="266"/>
      <c r="EL99" s="230" t="str">
        <f>IF(EK99="","",VLOOKUP(EK99,Language!$D$5:$E$100,2,0))</f>
        <v/>
      </c>
      <c r="EM99" s="302"/>
      <c r="EN99" s="303"/>
      <c r="EO99" s="286"/>
      <c r="EP99" s="286"/>
      <c r="EQ99" s="287">
        <f t="shared" si="1460"/>
        <v>0</v>
      </c>
      <c r="ER99" s="287">
        <f t="shared" si="1461"/>
        <v>0</v>
      </c>
      <c r="ES99" s="287"/>
      <c r="ET99" s="252" t="str">
        <f t="shared" si="1462"/>
        <v/>
      </c>
      <c r="EV99" s="265"/>
      <c r="EW99" s="230" t="str">
        <f>IF(EV99="","",VLOOKUP(EV99,Language!$D$5:$E$100,2,0))</f>
        <v/>
      </c>
      <c r="EX99" s="266"/>
      <c r="EY99" s="230" t="str">
        <f>IF(EX99="","",VLOOKUP(EX99,Language!$D$5:$E$100,2,0))</f>
        <v/>
      </c>
      <c r="EZ99" s="302"/>
      <c r="FA99" s="303"/>
      <c r="FB99" s="286"/>
      <c r="FC99" s="286"/>
      <c r="FD99" s="287">
        <f t="shared" si="1463"/>
        <v>0</v>
      </c>
      <c r="FE99" s="287">
        <f t="shared" si="1464"/>
        <v>0</v>
      </c>
      <c r="FF99" s="287"/>
      <c r="FG99" s="252" t="str">
        <f t="shared" si="1465"/>
        <v/>
      </c>
      <c r="FI99" s="265"/>
      <c r="FJ99" s="230" t="str">
        <f>IF(FI99="","",VLOOKUP(FI99,Language!$D$5:$E$100,2,0))</f>
        <v/>
      </c>
      <c r="FK99" s="266"/>
      <c r="FL99" s="230" t="str">
        <f>IF(FK99="","",VLOOKUP(FK99,Language!$D$5:$E$100,2,0))</f>
        <v/>
      </c>
      <c r="FM99" s="302"/>
      <c r="FN99" s="303"/>
      <c r="FO99" s="286"/>
      <c r="FP99" s="286"/>
      <c r="FQ99" s="287">
        <f t="shared" si="1466"/>
        <v>0</v>
      </c>
      <c r="FR99" s="287">
        <f t="shared" si="1467"/>
        <v>0</v>
      </c>
      <c r="FS99" s="287"/>
      <c r="FT99" s="252" t="str">
        <f t="shared" si="1468"/>
        <v/>
      </c>
      <c r="FV99" s="265"/>
      <c r="FW99" s="230" t="str">
        <f>IF(FV99="","",VLOOKUP(FV99,Language!$D$5:$E$100,2,0))</f>
        <v/>
      </c>
      <c r="FX99" s="266"/>
      <c r="FY99" s="230" t="str">
        <f>IF(FX99="","",VLOOKUP(FX99,Language!$D$5:$E$100,2,0))</f>
        <v/>
      </c>
      <c r="FZ99" s="302"/>
      <c r="GA99" s="303"/>
      <c r="GB99" s="286"/>
      <c r="GC99" s="286"/>
      <c r="GD99" s="287">
        <f t="shared" si="1469"/>
        <v>0</v>
      </c>
      <c r="GE99" s="287">
        <f t="shared" si="1470"/>
        <v>0</v>
      </c>
      <c r="GF99" s="287"/>
      <c r="GG99" s="252" t="str">
        <f t="shared" si="1471"/>
        <v/>
      </c>
      <c r="GI99" s="265"/>
      <c r="GJ99" s="230" t="str">
        <f>IF(GI99="","",VLOOKUP(GI99,Language!$D$5:$E$100,2,0))</f>
        <v/>
      </c>
      <c r="GK99" s="266"/>
      <c r="GL99" s="230" t="str">
        <f>IF(GK99="","",VLOOKUP(GK99,Language!$D$5:$E$100,2,0))</f>
        <v/>
      </c>
      <c r="GM99" s="302"/>
      <c r="GN99" s="303"/>
      <c r="GO99" s="286"/>
      <c r="GP99" s="286"/>
      <c r="GQ99" s="287">
        <f t="shared" si="1472"/>
        <v>0</v>
      </c>
      <c r="GR99" s="287">
        <f t="shared" si="1473"/>
        <v>0</v>
      </c>
      <c r="GS99" s="287"/>
      <c r="GT99" s="252" t="str">
        <f t="shared" si="1474"/>
        <v/>
      </c>
      <c r="GV99" s="265"/>
      <c r="GW99" s="230" t="str">
        <f>IF(GV99="","",VLOOKUP(GV99,Language!$D$5:$E$100,2,0))</f>
        <v/>
      </c>
      <c r="GX99" s="266"/>
      <c r="GY99" s="230" t="str">
        <f>IF(GX99="","",VLOOKUP(GX99,Language!$D$5:$E$100,2,0))</f>
        <v/>
      </c>
      <c r="GZ99" s="302"/>
      <c r="HA99" s="303"/>
      <c r="HB99" s="286"/>
      <c r="HC99" s="286"/>
      <c r="HD99" s="287">
        <f t="shared" si="1475"/>
        <v>0</v>
      </c>
      <c r="HE99" s="287">
        <f t="shared" si="1476"/>
        <v>0</v>
      </c>
      <c r="HF99" s="287"/>
      <c r="HG99" s="252" t="str">
        <f t="shared" si="1477"/>
        <v/>
      </c>
      <c r="HI99" s="265"/>
      <c r="HJ99" s="230" t="str">
        <f>IF(HI99="","",VLOOKUP(HI99,Language!$D$5:$E$100,2,0))</f>
        <v/>
      </c>
      <c r="HK99" s="266"/>
      <c r="HL99" s="230" t="str">
        <f>IF(HK99="","",VLOOKUP(HK99,Language!$D$5:$E$100,2,0))</f>
        <v/>
      </c>
      <c r="HM99" s="302"/>
      <c r="HN99" s="303"/>
      <c r="HO99" s="286"/>
      <c r="HP99" s="286"/>
      <c r="HQ99" s="287">
        <f t="shared" si="1478"/>
        <v>0</v>
      </c>
      <c r="HR99" s="287">
        <f t="shared" si="1479"/>
        <v>0</v>
      </c>
      <c r="HS99" s="287"/>
      <c r="HT99" s="252" t="str">
        <f t="shared" si="1480"/>
        <v/>
      </c>
      <c r="HV99" s="265"/>
      <c r="HW99" s="230" t="str">
        <f>IF(HV99="","",VLOOKUP(HV99,Language!$D$5:$E$100,2,0))</f>
        <v/>
      </c>
      <c r="HX99" s="266"/>
      <c r="HY99" s="230" t="str">
        <f>IF(HX99="","",VLOOKUP(HX99,Language!$D$5:$E$100,2,0))</f>
        <v/>
      </c>
      <c r="HZ99" s="302"/>
      <c r="IA99" s="303"/>
      <c r="IB99" s="286"/>
      <c r="IC99" s="286"/>
      <c r="ID99" s="287">
        <f t="shared" si="1481"/>
        <v>0</v>
      </c>
      <c r="IE99" s="287">
        <f t="shared" si="1482"/>
        <v>0</v>
      </c>
      <c r="IF99" s="287"/>
      <c r="IG99" s="252" t="str">
        <f t="shared" si="1483"/>
        <v/>
      </c>
      <c r="II99" s="265"/>
      <c r="IJ99" s="230" t="str">
        <f>IF(II99="","",VLOOKUP(II99,Language!$D$5:$E$100,2,0))</f>
        <v/>
      </c>
      <c r="IK99" s="266"/>
      <c r="IL99" s="230" t="str">
        <f>IF(IK99="","",VLOOKUP(IK99,Language!$D$5:$E$100,2,0))</f>
        <v/>
      </c>
      <c r="IM99" s="302"/>
      <c r="IN99" s="303"/>
      <c r="IO99" s="286"/>
      <c r="IP99" s="286"/>
      <c r="IQ99" s="287">
        <f t="shared" si="1484"/>
        <v>0</v>
      </c>
      <c r="IR99" s="287">
        <f t="shared" si="1485"/>
        <v>0</v>
      </c>
      <c r="IS99" s="287"/>
      <c r="IT99" s="252" t="str">
        <f t="shared" si="1486"/>
        <v/>
      </c>
      <c r="IV99" s="265"/>
      <c r="IW99" s="230" t="str">
        <f>IF(IV99="","",VLOOKUP(IV99,Language!$D$5:$E$100,2,0))</f>
        <v/>
      </c>
      <c r="IX99" s="266"/>
      <c r="IY99" s="230" t="str">
        <f>IF(IX99="","",VLOOKUP(IX99,Language!$D$5:$E$100,2,0))</f>
        <v/>
      </c>
      <c r="IZ99" s="302"/>
      <c r="JA99" s="303"/>
      <c r="JB99" s="286"/>
      <c r="JC99" s="286"/>
      <c r="JD99" s="287">
        <f t="shared" si="1487"/>
        <v>0</v>
      </c>
      <c r="JE99" s="287">
        <f t="shared" si="1488"/>
        <v>0</v>
      </c>
      <c r="JF99" s="287"/>
      <c r="JG99" s="252" t="str">
        <f t="shared" si="1489"/>
        <v/>
      </c>
      <c r="JI99" s="265"/>
      <c r="JJ99" s="230" t="str">
        <f>IF(JI99="","",VLOOKUP(JI99,Language!$D$5:$E$100,2,0))</f>
        <v/>
      </c>
      <c r="JK99" s="266"/>
      <c r="JL99" s="230" t="str">
        <f>IF(JK99="","",VLOOKUP(JK99,Language!$D$5:$E$100,2,0))</f>
        <v/>
      </c>
      <c r="JM99" s="302"/>
      <c r="JN99" s="303"/>
      <c r="JO99" s="286"/>
      <c r="JP99" s="286"/>
      <c r="JQ99" s="287">
        <f t="shared" si="1490"/>
        <v>0</v>
      </c>
      <c r="JR99" s="287">
        <f t="shared" si="1491"/>
        <v>0</v>
      </c>
      <c r="JS99" s="287"/>
      <c r="JT99" s="252" t="str">
        <f t="shared" si="1492"/>
        <v/>
      </c>
      <c r="JV99" s="265"/>
      <c r="JW99" s="230" t="str">
        <f>IF(JV99="","",VLOOKUP(JV99,Language!$D$5:$E$100,2,0))</f>
        <v/>
      </c>
      <c r="JX99" s="266"/>
      <c r="JY99" s="230" t="str">
        <f>IF(JX99="","",VLOOKUP(JX99,Language!$D$5:$E$100,2,0))</f>
        <v/>
      </c>
      <c r="JZ99" s="302"/>
      <c r="KA99" s="303"/>
      <c r="KB99" s="286"/>
      <c r="KC99" s="286"/>
      <c r="KD99" s="287">
        <f t="shared" si="1493"/>
        <v>0</v>
      </c>
      <c r="KE99" s="287">
        <f t="shared" si="1494"/>
        <v>0</v>
      </c>
      <c r="KF99" s="287"/>
      <c r="KG99" s="252" t="str">
        <f t="shared" si="1495"/>
        <v/>
      </c>
      <c r="KI99" s="265"/>
      <c r="KJ99" s="230" t="str">
        <f>IF(KI99="","",VLOOKUP(KI99,Language!$D$5:$E$100,2,0))</f>
        <v/>
      </c>
      <c r="KK99" s="266"/>
      <c r="KL99" s="230" t="str">
        <f>IF(KK99="","",VLOOKUP(KK99,Language!$D$5:$E$100,2,0))</f>
        <v/>
      </c>
      <c r="KM99" s="302"/>
      <c r="KN99" s="303"/>
      <c r="KO99" s="286"/>
      <c r="KP99" s="286"/>
      <c r="KQ99" s="287">
        <f t="shared" si="1496"/>
        <v>0</v>
      </c>
      <c r="KR99" s="287">
        <f t="shared" si="1497"/>
        <v>0</v>
      </c>
      <c r="KS99" s="287"/>
      <c r="KT99" s="252" t="str">
        <f t="shared" si="1498"/>
        <v/>
      </c>
      <c r="KV99" s="265"/>
      <c r="KW99" s="230" t="str">
        <f>IF(KV99="","",VLOOKUP(KV99,Language!$D$5:$E$100,2,0))</f>
        <v/>
      </c>
      <c r="KX99" s="266"/>
      <c r="KY99" s="230" t="str">
        <f>IF(KX99="","",VLOOKUP(KX99,Language!$D$5:$E$100,2,0))</f>
        <v/>
      </c>
      <c r="KZ99" s="302"/>
      <c r="LA99" s="303"/>
      <c r="LB99" s="286"/>
      <c r="LC99" s="286"/>
      <c r="LD99" s="287">
        <f t="shared" si="1499"/>
        <v>0</v>
      </c>
      <c r="LE99" s="287">
        <f t="shared" si="1500"/>
        <v>0</v>
      </c>
      <c r="LF99" s="287"/>
      <c r="LG99" s="252" t="str">
        <f t="shared" si="1501"/>
        <v/>
      </c>
      <c r="LI99" s="265"/>
      <c r="LJ99" s="230" t="str">
        <f>IF(LI99="","",VLOOKUP(LI99,Language!$D$5:$E$100,2,0))</f>
        <v/>
      </c>
      <c r="LK99" s="266"/>
      <c r="LL99" s="230" t="str">
        <f>IF(LK99="","",VLOOKUP(LK99,Language!$D$5:$E$100,2,0))</f>
        <v/>
      </c>
      <c r="LM99" s="302"/>
      <c r="LN99" s="303"/>
      <c r="LO99" s="286"/>
      <c r="LP99" s="286"/>
      <c r="LQ99" s="287">
        <f t="shared" si="1502"/>
        <v>0</v>
      </c>
      <c r="LR99" s="287">
        <f t="shared" si="1503"/>
        <v>0</v>
      </c>
      <c r="LS99" s="287"/>
      <c r="LT99" s="252" t="str">
        <f t="shared" si="1504"/>
        <v/>
      </c>
      <c r="LV99" s="265"/>
      <c r="LW99" s="230" t="str">
        <f>IF(LV99="","",VLOOKUP(LV99,Language!$D$5:$E$100,2,0))</f>
        <v/>
      </c>
      <c r="LX99" s="266"/>
      <c r="LY99" s="230" t="str">
        <f>IF(LX99="","",VLOOKUP(LX99,Language!$D$5:$E$100,2,0))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Mexico</v>
      </c>
      <c r="D100" s="231">
        <f>IF(E100="","",INDEX(Groups!$C$7:$C$65,MATCH(E100,Groups!$D$7:$D$65,0)))</f>
        <v>69</v>
      </c>
      <c r="E100" s="230" t="str">
        <f>'World Cup'!$AG$50</f>
        <v>Cabo Verde</v>
      </c>
      <c r="F100" s="232" t="str">
        <f>IF(AND('World Cup'!$AF$51&lt;&gt;"",'World Cup'!$AG$51&lt;&gt;""),'World Cup'!$AF$51+IF(AND('World Cup'!$AF$53&lt;&gt;"",'World Cup'!$AG$53&lt;&gt;"",'World Cup'!$AF$51='World Cup'!$AG$51),'World Cup'!$AF$53,0),"")</f>
        <v/>
      </c>
      <c r="G100" s="233" t="str">
        <f>IF(AND('World Cup'!$AF$51&lt;&gt;"",'World Cup'!$AG$51&lt;&gt;""),'World Cup'!$AG$51+IF(AND('World Cup'!$AF$53&lt;&gt;"",'World Cup'!$AG$53&lt;&gt;"",'World Cup'!$AF$51='World Cup'!$AG$51),'World Cup'!$AG$53,0),"")</f>
        <v/>
      </c>
      <c r="I100" s="265"/>
      <c r="J100" s="230" t="str">
        <f>IF(I100="","",VLOOKUP(I100,Language!$D$5:$E$100,2,0))</f>
        <v/>
      </c>
      <c r="K100" s="266"/>
      <c r="L100" s="230" t="str">
        <f>IF(K100="","",VLOOKUP(K100,Language!$D$5:$E$100,2,0))</f>
        <v/>
      </c>
      <c r="M100" s="302"/>
      <c r="N100" s="303"/>
      <c r="O100" s="286"/>
      <c r="P100" s="286"/>
      <c r="Q100" s="287">
        <f t="shared" si="1430"/>
        <v>0</v>
      </c>
      <c r="R100" s="287">
        <f t="shared" si="1431"/>
        <v>0</v>
      </c>
      <c r="S100" s="287"/>
      <c r="T100" s="252" t="str">
        <f t="shared" si="1432"/>
        <v/>
      </c>
      <c r="V100" s="265"/>
      <c r="W100" s="230" t="str">
        <f>IF(V100="","",VLOOKUP(V100,Language!$D$5:$E$100,2,0))</f>
        <v/>
      </c>
      <c r="X100" s="266"/>
      <c r="Y100" s="230" t="str">
        <f>IF(X100="","",VLOOKUP(X100,Language!$D$5:$E$100,2,0))</f>
        <v/>
      </c>
      <c r="Z100" s="302"/>
      <c r="AA100" s="303"/>
      <c r="AB100" s="286"/>
      <c r="AC100" s="286"/>
      <c r="AD100" s="287">
        <f t="shared" si="1433"/>
        <v>0</v>
      </c>
      <c r="AE100" s="287">
        <f t="shared" si="1434"/>
        <v>0</v>
      </c>
      <c r="AF100" s="287"/>
      <c r="AG100" s="252" t="str">
        <f t="shared" si="1435"/>
        <v/>
      </c>
      <c r="AI100" s="265"/>
      <c r="AJ100" s="230" t="str">
        <f>IF(AI100="","",VLOOKUP(AI100,Language!$D$5:$E$100,2,0))</f>
        <v/>
      </c>
      <c r="AK100" s="266"/>
      <c r="AL100" s="230" t="str">
        <f>IF(AK100="","",VLOOKUP(AK100,Language!$D$5:$E$100,2,0))</f>
        <v/>
      </c>
      <c r="AM100" s="302"/>
      <c r="AN100" s="303"/>
      <c r="AO100" s="286"/>
      <c r="AP100" s="286"/>
      <c r="AQ100" s="287">
        <f t="shared" si="1436"/>
        <v>0</v>
      </c>
      <c r="AR100" s="287">
        <f t="shared" si="1437"/>
        <v>0</v>
      </c>
      <c r="AS100" s="287"/>
      <c r="AT100" s="252" t="str">
        <f t="shared" si="1438"/>
        <v/>
      </c>
      <c r="AV100" s="265"/>
      <c r="AW100" s="230" t="str">
        <f>IF(AV100="","",VLOOKUP(AV100,Language!$D$5:$E$100,2,0))</f>
        <v/>
      </c>
      <c r="AX100" s="266"/>
      <c r="AY100" s="230" t="str">
        <f>IF(AX100="","",VLOOKUP(AX100,Language!$D$5:$E$100,2,0))</f>
        <v/>
      </c>
      <c r="AZ100" s="302"/>
      <c r="BA100" s="303"/>
      <c r="BB100" s="286"/>
      <c r="BC100" s="286"/>
      <c r="BD100" s="287">
        <f t="shared" si="1439"/>
        <v>0</v>
      </c>
      <c r="BE100" s="287">
        <f t="shared" si="1440"/>
        <v>0</v>
      </c>
      <c r="BF100" s="287"/>
      <c r="BG100" s="252" t="str">
        <f t="shared" si="1441"/>
        <v/>
      </c>
      <c r="BI100" s="265"/>
      <c r="BJ100" s="230" t="str">
        <f>IF(BI100="","",VLOOKUP(BI100,Language!$D$5:$E$100,2,0))</f>
        <v/>
      </c>
      <c r="BK100" s="266"/>
      <c r="BL100" s="230" t="str">
        <f>IF(BK100="","",VLOOKUP(BK100,Language!$D$5:$E$100,2,0))</f>
        <v/>
      </c>
      <c r="BM100" s="302"/>
      <c r="BN100" s="303"/>
      <c r="BO100" s="286"/>
      <c r="BP100" s="286"/>
      <c r="BQ100" s="287">
        <f t="shared" si="1442"/>
        <v>0</v>
      </c>
      <c r="BR100" s="287">
        <f t="shared" si="1443"/>
        <v>0</v>
      </c>
      <c r="BS100" s="287"/>
      <c r="BT100" s="252" t="str">
        <f t="shared" si="1444"/>
        <v/>
      </c>
      <c r="BV100" s="265"/>
      <c r="BW100" s="230" t="str">
        <f>IF(BV100="","",VLOOKUP(BV100,Language!$D$5:$E$100,2,0))</f>
        <v/>
      </c>
      <c r="BX100" s="266"/>
      <c r="BY100" s="230" t="str">
        <f>IF(BX100="","",VLOOKUP(BX100,Language!$D$5:$E$100,2,0))</f>
        <v/>
      </c>
      <c r="BZ100" s="302"/>
      <c r="CA100" s="303"/>
      <c r="CB100" s="286"/>
      <c r="CC100" s="286"/>
      <c r="CD100" s="287">
        <f t="shared" si="1445"/>
        <v>0</v>
      </c>
      <c r="CE100" s="287">
        <f t="shared" si="1446"/>
        <v>0</v>
      </c>
      <c r="CF100" s="287"/>
      <c r="CG100" s="252" t="str">
        <f t="shared" si="1447"/>
        <v/>
      </c>
      <c r="CI100" s="265"/>
      <c r="CJ100" s="230" t="str">
        <f>IF(CI100="","",VLOOKUP(CI100,Language!$D$5:$E$100,2,0))</f>
        <v/>
      </c>
      <c r="CK100" s="266"/>
      <c r="CL100" s="230" t="str">
        <f>IF(CK100="","",VLOOKUP(CK100,Language!$D$5:$E$100,2,0))</f>
        <v/>
      </c>
      <c r="CM100" s="302"/>
      <c r="CN100" s="303"/>
      <c r="CO100" s="286"/>
      <c r="CP100" s="286"/>
      <c r="CQ100" s="287">
        <f t="shared" si="1448"/>
        <v>0</v>
      </c>
      <c r="CR100" s="287">
        <f t="shared" si="1449"/>
        <v>0</v>
      </c>
      <c r="CS100" s="287"/>
      <c r="CT100" s="252" t="str">
        <f t="shared" si="1450"/>
        <v/>
      </c>
      <c r="CV100" s="265"/>
      <c r="CW100" s="230" t="str">
        <f>IF(CV100="","",VLOOKUP(CV100,Language!$D$5:$E$100,2,0))</f>
        <v/>
      </c>
      <c r="CX100" s="266"/>
      <c r="CY100" s="230" t="str">
        <f>IF(CX100="","",VLOOKUP(CX100,Language!$D$5:$E$100,2,0))</f>
        <v/>
      </c>
      <c r="CZ100" s="302"/>
      <c r="DA100" s="303"/>
      <c r="DB100" s="286"/>
      <c r="DC100" s="286"/>
      <c r="DD100" s="287">
        <f t="shared" si="1451"/>
        <v>0</v>
      </c>
      <c r="DE100" s="287">
        <f t="shared" si="1452"/>
        <v>0</v>
      </c>
      <c r="DF100" s="287"/>
      <c r="DG100" s="252" t="str">
        <f t="shared" si="1453"/>
        <v/>
      </c>
      <c r="DI100" s="265"/>
      <c r="DJ100" s="230" t="str">
        <f>IF(DI100="","",VLOOKUP(DI100,Language!$D$5:$E$100,2,0))</f>
        <v/>
      </c>
      <c r="DK100" s="266"/>
      <c r="DL100" s="230" t="str">
        <f>IF(DK100="","",VLOOKUP(DK100,Language!$D$5:$E$100,2,0))</f>
        <v/>
      </c>
      <c r="DM100" s="302"/>
      <c r="DN100" s="303"/>
      <c r="DO100" s="286"/>
      <c r="DP100" s="286"/>
      <c r="DQ100" s="287">
        <f t="shared" si="1454"/>
        <v>0</v>
      </c>
      <c r="DR100" s="287">
        <f t="shared" si="1455"/>
        <v>0</v>
      </c>
      <c r="DS100" s="287"/>
      <c r="DT100" s="252" t="str">
        <f t="shared" si="1456"/>
        <v/>
      </c>
      <c r="DV100" s="265"/>
      <c r="DW100" s="230" t="str">
        <f>IF(DV100="","",VLOOKUP(DV100,Language!$D$5:$E$100,2,0))</f>
        <v/>
      </c>
      <c r="DX100" s="266"/>
      <c r="DY100" s="230" t="str">
        <f>IF(DX100="","",VLOOKUP(DX100,Language!$D$5:$E$100,2,0))</f>
        <v/>
      </c>
      <c r="DZ100" s="302"/>
      <c r="EA100" s="303"/>
      <c r="EB100" s="286"/>
      <c r="EC100" s="286"/>
      <c r="ED100" s="287">
        <f t="shared" si="1457"/>
        <v>0</v>
      </c>
      <c r="EE100" s="287">
        <f t="shared" si="1458"/>
        <v>0</v>
      </c>
      <c r="EF100" s="287"/>
      <c r="EG100" s="252" t="str">
        <f t="shared" si="1459"/>
        <v/>
      </c>
      <c r="EI100" s="265"/>
      <c r="EJ100" s="230" t="str">
        <f>IF(EI100="","",VLOOKUP(EI100,Language!$D$5:$E$100,2,0))</f>
        <v/>
      </c>
      <c r="EK100" s="266"/>
      <c r="EL100" s="230" t="str">
        <f>IF(EK100="","",VLOOKUP(EK100,Language!$D$5:$E$100,2,0))</f>
        <v/>
      </c>
      <c r="EM100" s="302"/>
      <c r="EN100" s="303"/>
      <c r="EO100" s="286"/>
      <c r="EP100" s="286"/>
      <c r="EQ100" s="287">
        <f t="shared" si="1460"/>
        <v>0</v>
      </c>
      <c r="ER100" s="287">
        <f t="shared" si="1461"/>
        <v>0</v>
      </c>
      <c r="ES100" s="287"/>
      <c r="ET100" s="252" t="str">
        <f t="shared" si="1462"/>
        <v/>
      </c>
      <c r="EV100" s="265"/>
      <c r="EW100" s="230" t="str">
        <f>IF(EV100="","",VLOOKUP(EV100,Language!$D$5:$E$100,2,0))</f>
        <v/>
      </c>
      <c r="EX100" s="266"/>
      <c r="EY100" s="230" t="str">
        <f>IF(EX100="","",VLOOKUP(EX100,Language!$D$5:$E$100,2,0))</f>
        <v/>
      </c>
      <c r="EZ100" s="302"/>
      <c r="FA100" s="303"/>
      <c r="FB100" s="286"/>
      <c r="FC100" s="286"/>
      <c r="FD100" s="287">
        <f t="shared" si="1463"/>
        <v>0</v>
      </c>
      <c r="FE100" s="287">
        <f t="shared" si="1464"/>
        <v>0</v>
      </c>
      <c r="FF100" s="287"/>
      <c r="FG100" s="252" t="str">
        <f t="shared" si="1465"/>
        <v/>
      </c>
      <c r="FI100" s="265"/>
      <c r="FJ100" s="230" t="str">
        <f>IF(FI100="","",VLOOKUP(FI100,Language!$D$5:$E$100,2,0))</f>
        <v/>
      </c>
      <c r="FK100" s="266"/>
      <c r="FL100" s="230" t="str">
        <f>IF(FK100="","",VLOOKUP(FK100,Language!$D$5:$E$100,2,0))</f>
        <v/>
      </c>
      <c r="FM100" s="302"/>
      <c r="FN100" s="303"/>
      <c r="FO100" s="286"/>
      <c r="FP100" s="286"/>
      <c r="FQ100" s="287">
        <f t="shared" si="1466"/>
        <v>0</v>
      </c>
      <c r="FR100" s="287">
        <f t="shared" si="1467"/>
        <v>0</v>
      </c>
      <c r="FS100" s="287"/>
      <c r="FT100" s="252" t="str">
        <f t="shared" si="1468"/>
        <v/>
      </c>
      <c r="FV100" s="265"/>
      <c r="FW100" s="230" t="str">
        <f>IF(FV100="","",VLOOKUP(FV100,Language!$D$5:$E$100,2,0))</f>
        <v/>
      </c>
      <c r="FX100" s="266"/>
      <c r="FY100" s="230" t="str">
        <f>IF(FX100="","",VLOOKUP(FX100,Language!$D$5:$E$100,2,0))</f>
        <v/>
      </c>
      <c r="FZ100" s="302"/>
      <c r="GA100" s="303"/>
      <c r="GB100" s="286"/>
      <c r="GC100" s="286"/>
      <c r="GD100" s="287">
        <f t="shared" si="1469"/>
        <v>0</v>
      </c>
      <c r="GE100" s="287">
        <f t="shared" si="1470"/>
        <v>0</v>
      </c>
      <c r="GF100" s="287"/>
      <c r="GG100" s="252" t="str">
        <f t="shared" si="1471"/>
        <v/>
      </c>
      <c r="GI100" s="265"/>
      <c r="GJ100" s="230" t="str">
        <f>IF(GI100="","",VLOOKUP(GI100,Language!$D$5:$E$100,2,0))</f>
        <v/>
      </c>
      <c r="GK100" s="266"/>
      <c r="GL100" s="230" t="str">
        <f>IF(GK100="","",VLOOKUP(GK100,Language!$D$5:$E$100,2,0))</f>
        <v/>
      </c>
      <c r="GM100" s="302"/>
      <c r="GN100" s="303"/>
      <c r="GO100" s="286"/>
      <c r="GP100" s="286"/>
      <c r="GQ100" s="287">
        <f t="shared" si="1472"/>
        <v>0</v>
      </c>
      <c r="GR100" s="287">
        <f t="shared" si="1473"/>
        <v>0</v>
      </c>
      <c r="GS100" s="287"/>
      <c r="GT100" s="252" t="str">
        <f t="shared" si="1474"/>
        <v/>
      </c>
      <c r="GV100" s="265"/>
      <c r="GW100" s="230" t="str">
        <f>IF(GV100="","",VLOOKUP(GV100,Language!$D$5:$E$100,2,0))</f>
        <v/>
      </c>
      <c r="GX100" s="266"/>
      <c r="GY100" s="230" t="str">
        <f>IF(GX100="","",VLOOKUP(GX100,Language!$D$5:$E$100,2,0))</f>
        <v/>
      </c>
      <c r="GZ100" s="302"/>
      <c r="HA100" s="303"/>
      <c r="HB100" s="286"/>
      <c r="HC100" s="286"/>
      <c r="HD100" s="287">
        <f t="shared" si="1475"/>
        <v>0</v>
      </c>
      <c r="HE100" s="287">
        <f t="shared" si="1476"/>
        <v>0</v>
      </c>
      <c r="HF100" s="287"/>
      <c r="HG100" s="252" t="str">
        <f t="shared" si="1477"/>
        <v/>
      </c>
      <c r="HI100" s="265"/>
      <c r="HJ100" s="230" t="str">
        <f>IF(HI100="","",VLOOKUP(HI100,Language!$D$5:$E$100,2,0))</f>
        <v/>
      </c>
      <c r="HK100" s="266"/>
      <c r="HL100" s="230" t="str">
        <f>IF(HK100="","",VLOOKUP(HK100,Language!$D$5:$E$100,2,0))</f>
        <v/>
      </c>
      <c r="HM100" s="302"/>
      <c r="HN100" s="303"/>
      <c r="HO100" s="286"/>
      <c r="HP100" s="286"/>
      <c r="HQ100" s="287">
        <f t="shared" si="1478"/>
        <v>0</v>
      </c>
      <c r="HR100" s="287">
        <f t="shared" si="1479"/>
        <v>0</v>
      </c>
      <c r="HS100" s="287"/>
      <c r="HT100" s="252" t="str">
        <f t="shared" si="1480"/>
        <v/>
      </c>
      <c r="HV100" s="265"/>
      <c r="HW100" s="230" t="str">
        <f>IF(HV100="","",VLOOKUP(HV100,Language!$D$5:$E$100,2,0))</f>
        <v/>
      </c>
      <c r="HX100" s="266"/>
      <c r="HY100" s="230" t="str">
        <f>IF(HX100="","",VLOOKUP(HX100,Language!$D$5:$E$100,2,0))</f>
        <v/>
      </c>
      <c r="HZ100" s="302"/>
      <c r="IA100" s="303"/>
      <c r="IB100" s="286"/>
      <c r="IC100" s="286"/>
      <c r="ID100" s="287">
        <f t="shared" si="1481"/>
        <v>0</v>
      </c>
      <c r="IE100" s="287">
        <f t="shared" si="1482"/>
        <v>0</v>
      </c>
      <c r="IF100" s="287"/>
      <c r="IG100" s="252" t="str">
        <f t="shared" si="1483"/>
        <v/>
      </c>
      <c r="II100" s="265"/>
      <c r="IJ100" s="230" t="str">
        <f>IF(II100="","",VLOOKUP(II100,Language!$D$5:$E$100,2,0))</f>
        <v/>
      </c>
      <c r="IK100" s="266"/>
      <c r="IL100" s="230" t="str">
        <f>IF(IK100="","",VLOOKUP(IK100,Language!$D$5:$E$100,2,0))</f>
        <v/>
      </c>
      <c r="IM100" s="302"/>
      <c r="IN100" s="303"/>
      <c r="IO100" s="286"/>
      <c r="IP100" s="286"/>
      <c r="IQ100" s="287">
        <f t="shared" si="1484"/>
        <v>0</v>
      </c>
      <c r="IR100" s="287">
        <f t="shared" si="1485"/>
        <v>0</v>
      </c>
      <c r="IS100" s="287"/>
      <c r="IT100" s="252" t="str">
        <f t="shared" si="1486"/>
        <v/>
      </c>
      <c r="IV100" s="265"/>
      <c r="IW100" s="230" t="str">
        <f>IF(IV100="","",VLOOKUP(IV100,Language!$D$5:$E$100,2,0))</f>
        <v/>
      </c>
      <c r="IX100" s="266"/>
      <c r="IY100" s="230" t="str">
        <f>IF(IX100="","",VLOOKUP(IX100,Language!$D$5:$E$100,2,0))</f>
        <v/>
      </c>
      <c r="IZ100" s="302"/>
      <c r="JA100" s="303"/>
      <c r="JB100" s="286"/>
      <c r="JC100" s="286"/>
      <c r="JD100" s="287">
        <f t="shared" si="1487"/>
        <v>0</v>
      </c>
      <c r="JE100" s="287">
        <f t="shared" si="1488"/>
        <v>0</v>
      </c>
      <c r="JF100" s="287"/>
      <c r="JG100" s="252" t="str">
        <f t="shared" si="1489"/>
        <v/>
      </c>
      <c r="JI100" s="265"/>
      <c r="JJ100" s="230" t="str">
        <f>IF(JI100="","",VLOOKUP(JI100,Language!$D$5:$E$100,2,0))</f>
        <v/>
      </c>
      <c r="JK100" s="266"/>
      <c r="JL100" s="230" t="str">
        <f>IF(JK100="","",VLOOKUP(JK100,Language!$D$5:$E$100,2,0))</f>
        <v/>
      </c>
      <c r="JM100" s="302"/>
      <c r="JN100" s="303"/>
      <c r="JO100" s="286"/>
      <c r="JP100" s="286"/>
      <c r="JQ100" s="287">
        <f t="shared" si="1490"/>
        <v>0</v>
      </c>
      <c r="JR100" s="287">
        <f t="shared" si="1491"/>
        <v>0</v>
      </c>
      <c r="JS100" s="287"/>
      <c r="JT100" s="252" t="str">
        <f t="shared" si="1492"/>
        <v/>
      </c>
      <c r="JV100" s="265"/>
      <c r="JW100" s="230" t="str">
        <f>IF(JV100="","",VLOOKUP(JV100,Language!$D$5:$E$100,2,0))</f>
        <v/>
      </c>
      <c r="JX100" s="266"/>
      <c r="JY100" s="230" t="str">
        <f>IF(JX100="","",VLOOKUP(JX100,Language!$D$5:$E$100,2,0))</f>
        <v/>
      </c>
      <c r="JZ100" s="302"/>
      <c r="KA100" s="303"/>
      <c r="KB100" s="286"/>
      <c r="KC100" s="286"/>
      <c r="KD100" s="287">
        <f t="shared" si="1493"/>
        <v>0</v>
      </c>
      <c r="KE100" s="287">
        <f t="shared" si="1494"/>
        <v>0</v>
      </c>
      <c r="KF100" s="287"/>
      <c r="KG100" s="252" t="str">
        <f t="shared" si="1495"/>
        <v/>
      </c>
      <c r="KI100" s="265"/>
      <c r="KJ100" s="230" t="str">
        <f>IF(KI100="","",VLOOKUP(KI100,Language!$D$5:$E$100,2,0))</f>
        <v/>
      </c>
      <c r="KK100" s="266"/>
      <c r="KL100" s="230" t="str">
        <f>IF(KK100="","",VLOOKUP(KK100,Language!$D$5:$E$100,2,0))</f>
        <v/>
      </c>
      <c r="KM100" s="302"/>
      <c r="KN100" s="303"/>
      <c r="KO100" s="286"/>
      <c r="KP100" s="286"/>
      <c r="KQ100" s="287">
        <f t="shared" si="1496"/>
        <v>0</v>
      </c>
      <c r="KR100" s="287">
        <f t="shared" si="1497"/>
        <v>0</v>
      </c>
      <c r="KS100" s="287"/>
      <c r="KT100" s="252" t="str">
        <f t="shared" si="1498"/>
        <v/>
      </c>
      <c r="KV100" s="265"/>
      <c r="KW100" s="230" t="str">
        <f>IF(KV100="","",VLOOKUP(KV100,Language!$D$5:$E$100,2,0))</f>
        <v/>
      </c>
      <c r="KX100" s="266"/>
      <c r="KY100" s="230" t="str">
        <f>IF(KX100="","",VLOOKUP(KX100,Language!$D$5:$E$100,2,0))</f>
        <v/>
      </c>
      <c r="KZ100" s="302"/>
      <c r="LA100" s="303"/>
      <c r="LB100" s="286"/>
      <c r="LC100" s="286"/>
      <c r="LD100" s="287">
        <f t="shared" si="1499"/>
        <v>0</v>
      </c>
      <c r="LE100" s="287">
        <f t="shared" si="1500"/>
        <v>0</v>
      </c>
      <c r="LF100" s="287"/>
      <c r="LG100" s="252" t="str">
        <f t="shared" si="1501"/>
        <v/>
      </c>
      <c r="LI100" s="265"/>
      <c r="LJ100" s="230" t="str">
        <f>IF(LI100="","",VLOOKUP(LI100,Language!$D$5:$E$100,2,0))</f>
        <v/>
      </c>
      <c r="LK100" s="266"/>
      <c r="LL100" s="230" t="str">
        <f>IF(LK100="","",VLOOKUP(LK100,Language!$D$5:$E$100,2,0))</f>
        <v/>
      </c>
      <c r="LM100" s="302"/>
      <c r="LN100" s="303"/>
      <c r="LO100" s="286"/>
      <c r="LP100" s="286"/>
      <c r="LQ100" s="287">
        <f t="shared" si="1502"/>
        <v>0</v>
      </c>
      <c r="LR100" s="287">
        <f t="shared" si="1503"/>
        <v>0</v>
      </c>
      <c r="LS100" s="287"/>
      <c r="LT100" s="252" t="str">
        <f t="shared" si="1504"/>
        <v/>
      </c>
      <c r="LV100" s="265"/>
      <c r="LW100" s="230" t="str">
        <f>IF(LV100="","",VLOOKUP(LV100,Language!$D$5:$E$100,2,0))</f>
        <v/>
      </c>
      <c r="LX100" s="266"/>
      <c r="LY100" s="230" t="str">
        <f>IF(LX100="","",VLOOKUP(LX100,Language!$D$5:$E$100,2,0))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5</v>
      </c>
      <c r="E101" s="230" t="str">
        <f>'World Cup'!$AJ$50</f>
        <v>Portugal</v>
      </c>
      <c r="F101" s="232" t="str">
        <f>IF(AND('World Cup'!$AI$51&lt;&gt;"",'World Cup'!$AJ$51&lt;&gt;""),'World Cup'!$AI$51+IF(AND('World Cup'!$AI$53&lt;&gt;"",'World Cup'!$AJ$53&lt;&gt;"",'World Cup'!$AI$51='World Cup'!$AJ$51),'World Cup'!$AI$53,0),"")</f>
        <v/>
      </c>
      <c r="G101" s="233" t="str">
        <f>IF(AND('World Cup'!$AI$51&lt;&gt;"",'World Cup'!$AJ$51&lt;&gt;""),'World Cup'!$AJ$51+IF(AND('World Cup'!$AI$53&lt;&gt;"",'World Cup'!$AJ$53&lt;&gt;"",'World Cup'!$AI$51='World Cup'!$AJ$51),'World Cup'!$AJ$53,0),"")</f>
        <v/>
      </c>
      <c r="I101" s="265"/>
      <c r="J101" s="230" t="str">
        <f>IF(I101="","",VLOOKUP(I101,Language!$D$5:$E$100,2,0))</f>
        <v/>
      </c>
      <c r="K101" s="266"/>
      <c r="L101" s="230" t="str">
        <f>IF(K101="","",VLOOKUP(K101,Language!$D$5:$E$100,2,0))</f>
        <v/>
      </c>
      <c r="M101" s="302"/>
      <c r="N101" s="303"/>
      <c r="O101" s="286"/>
      <c r="P101" s="286"/>
      <c r="Q101" s="287">
        <f t="shared" si="1430"/>
        <v>0</v>
      </c>
      <c r="R101" s="287">
        <f t="shared" si="1431"/>
        <v>0</v>
      </c>
      <c r="S101" s="287"/>
      <c r="T101" s="252" t="str">
        <f t="shared" si="1432"/>
        <v/>
      </c>
      <c r="V101" s="265"/>
      <c r="W101" s="230" t="str">
        <f>IF(V101="","",VLOOKUP(V101,Language!$D$5:$E$100,2,0))</f>
        <v/>
      </c>
      <c r="X101" s="266"/>
      <c r="Y101" s="230" t="str">
        <f>IF(X101="","",VLOOKUP(X101,Language!$D$5:$E$100,2,0))</f>
        <v/>
      </c>
      <c r="Z101" s="302"/>
      <c r="AA101" s="303"/>
      <c r="AB101" s="286"/>
      <c r="AC101" s="286"/>
      <c r="AD101" s="287">
        <f t="shared" si="1433"/>
        <v>0</v>
      </c>
      <c r="AE101" s="287">
        <f t="shared" si="1434"/>
        <v>0</v>
      </c>
      <c r="AF101" s="287"/>
      <c r="AG101" s="252" t="str">
        <f t="shared" si="1435"/>
        <v/>
      </c>
      <c r="AI101" s="265"/>
      <c r="AJ101" s="230" t="str">
        <f>IF(AI101="","",VLOOKUP(AI101,Language!$D$5:$E$100,2,0))</f>
        <v/>
      </c>
      <c r="AK101" s="266"/>
      <c r="AL101" s="230" t="str">
        <f>IF(AK101="","",VLOOKUP(AK101,Language!$D$5:$E$100,2,0))</f>
        <v/>
      </c>
      <c r="AM101" s="302"/>
      <c r="AN101" s="303"/>
      <c r="AO101" s="286"/>
      <c r="AP101" s="286"/>
      <c r="AQ101" s="287">
        <f t="shared" si="1436"/>
        <v>0</v>
      </c>
      <c r="AR101" s="287">
        <f t="shared" si="1437"/>
        <v>0</v>
      </c>
      <c r="AS101" s="287"/>
      <c r="AT101" s="252" t="str">
        <f t="shared" si="1438"/>
        <v/>
      </c>
      <c r="AV101" s="265"/>
      <c r="AW101" s="230" t="str">
        <f>IF(AV101="","",VLOOKUP(AV101,Language!$D$5:$E$100,2,0))</f>
        <v/>
      </c>
      <c r="AX101" s="266"/>
      <c r="AY101" s="230" t="str">
        <f>IF(AX101="","",VLOOKUP(AX101,Language!$D$5:$E$100,2,0))</f>
        <v/>
      </c>
      <c r="AZ101" s="302"/>
      <c r="BA101" s="303"/>
      <c r="BB101" s="286"/>
      <c r="BC101" s="286"/>
      <c r="BD101" s="287">
        <f t="shared" si="1439"/>
        <v>0</v>
      </c>
      <c r="BE101" s="287">
        <f t="shared" si="1440"/>
        <v>0</v>
      </c>
      <c r="BF101" s="287"/>
      <c r="BG101" s="252" t="str">
        <f t="shared" si="1441"/>
        <v/>
      </c>
      <c r="BI101" s="265"/>
      <c r="BJ101" s="230" t="str">
        <f>IF(BI101="","",VLOOKUP(BI101,Language!$D$5:$E$100,2,0))</f>
        <v/>
      </c>
      <c r="BK101" s="266"/>
      <c r="BL101" s="230" t="str">
        <f>IF(BK101="","",VLOOKUP(BK101,Language!$D$5:$E$100,2,0))</f>
        <v/>
      </c>
      <c r="BM101" s="302"/>
      <c r="BN101" s="303"/>
      <c r="BO101" s="286"/>
      <c r="BP101" s="286"/>
      <c r="BQ101" s="287">
        <f t="shared" si="1442"/>
        <v>0</v>
      </c>
      <c r="BR101" s="287">
        <f t="shared" si="1443"/>
        <v>0</v>
      </c>
      <c r="BS101" s="287"/>
      <c r="BT101" s="252" t="str">
        <f t="shared" si="1444"/>
        <v/>
      </c>
      <c r="BV101" s="265"/>
      <c r="BW101" s="230" t="str">
        <f>IF(BV101="","",VLOOKUP(BV101,Language!$D$5:$E$100,2,0))</f>
        <v/>
      </c>
      <c r="BX101" s="266"/>
      <c r="BY101" s="230" t="str">
        <f>IF(BX101="","",VLOOKUP(BX101,Language!$D$5:$E$100,2,0))</f>
        <v/>
      </c>
      <c r="BZ101" s="302"/>
      <c r="CA101" s="303"/>
      <c r="CB101" s="286"/>
      <c r="CC101" s="286"/>
      <c r="CD101" s="287">
        <f t="shared" si="1445"/>
        <v>0</v>
      </c>
      <c r="CE101" s="287">
        <f t="shared" si="1446"/>
        <v>0</v>
      </c>
      <c r="CF101" s="287"/>
      <c r="CG101" s="252" t="str">
        <f t="shared" si="1447"/>
        <v/>
      </c>
      <c r="CI101" s="265"/>
      <c r="CJ101" s="230" t="str">
        <f>IF(CI101="","",VLOOKUP(CI101,Language!$D$5:$E$100,2,0))</f>
        <v/>
      </c>
      <c r="CK101" s="266"/>
      <c r="CL101" s="230" t="str">
        <f>IF(CK101="","",VLOOKUP(CK101,Language!$D$5:$E$100,2,0))</f>
        <v/>
      </c>
      <c r="CM101" s="302"/>
      <c r="CN101" s="303"/>
      <c r="CO101" s="286"/>
      <c r="CP101" s="286"/>
      <c r="CQ101" s="287">
        <f t="shared" si="1448"/>
        <v>0</v>
      </c>
      <c r="CR101" s="287">
        <f t="shared" si="1449"/>
        <v>0</v>
      </c>
      <c r="CS101" s="287"/>
      <c r="CT101" s="252" t="str">
        <f t="shared" si="1450"/>
        <v/>
      </c>
      <c r="CV101" s="265"/>
      <c r="CW101" s="230" t="str">
        <f>IF(CV101="","",VLOOKUP(CV101,Language!$D$5:$E$100,2,0))</f>
        <v/>
      </c>
      <c r="CX101" s="266"/>
      <c r="CY101" s="230" t="str">
        <f>IF(CX101="","",VLOOKUP(CX101,Language!$D$5:$E$100,2,0))</f>
        <v/>
      </c>
      <c r="CZ101" s="302"/>
      <c r="DA101" s="303"/>
      <c r="DB101" s="286"/>
      <c r="DC101" s="286"/>
      <c r="DD101" s="287">
        <f t="shared" si="1451"/>
        <v>0</v>
      </c>
      <c r="DE101" s="287">
        <f t="shared" si="1452"/>
        <v>0</v>
      </c>
      <c r="DF101" s="287"/>
      <c r="DG101" s="252" t="str">
        <f t="shared" si="1453"/>
        <v/>
      </c>
      <c r="DI101" s="265"/>
      <c r="DJ101" s="230" t="str">
        <f>IF(DI101="","",VLOOKUP(DI101,Language!$D$5:$E$100,2,0))</f>
        <v/>
      </c>
      <c r="DK101" s="266"/>
      <c r="DL101" s="230" t="str">
        <f>IF(DK101="","",VLOOKUP(DK101,Language!$D$5:$E$100,2,0))</f>
        <v/>
      </c>
      <c r="DM101" s="302"/>
      <c r="DN101" s="303"/>
      <c r="DO101" s="286"/>
      <c r="DP101" s="286"/>
      <c r="DQ101" s="287">
        <f t="shared" si="1454"/>
        <v>0</v>
      </c>
      <c r="DR101" s="287">
        <f t="shared" si="1455"/>
        <v>0</v>
      </c>
      <c r="DS101" s="287"/>
      <c r="DT101" s="252" t="str">
        <f t="shared" si="1456"/>
        <v/>
      </c>
      <c r="DV101" s="265"/>
      <c r="DW101" s="230" t="str">
        <f>IF(DV101="","",VLOOKUP(DV101,Language!$D$5:$E$100,2,0))</f>
        <v/>
      </c>
      <c r="DX101" s="266"/>
      <c r="DY101" s="230" t="str">
        <f>IF(DX101="","",VLOOKUP(DX101,Language!$D$5:$E$100,2,0))</f>
        <v/>
      </c>
      <c r="DZ101" s="302"/>
      <c r="EA101" s="303"/>
      <c r="EB101" s="286"/>
      <c r="EC101" s="286"/>
      <c r="ED101" s="287">
        <f t="shared" si="1457"/>
        <v>0</v>
      </c>
      <c r="EE101" s="287">
        <f t="shared" si="1458"/>
        <v>0</v>
      </c>
      <c r="EF101" s="287"/>
      <c r="EG101" s="252" t="str">
        <f t="shared" si="1459"/>
        <v/>
      </c>
      <c r="EI101" s="265"/>
      <c r="EJ101" s="230" t="str">
        <f>IF(EI101="","",VLOOKUP(EI101,Language!$D$5:$E$100,2,0))</f>
        <v/>
      </c>
      <c r="EK101" s="266"/>
      <c r="EL101" s="230" t="str">
        <f>IF(EK101="","",VLOOKUP(EK101,Language!$D$5:$E$100,2,0))</f>
        <v/>
      </c>
      <c r="EM101" s="302"/>
      <c r="EN101" s="303"/>
      <c r="EO101" s="286"/>
      <c r="EP101" s="286"/>
      <c r="EQ101" s="287">
        <f t="shared" si="1460"/>
        <v>0</v>
      </c>
      <c r="ER101" s="287">
        <f t="shared" si="1461"/>
        <v>0</v>
      </c>
      <c r="ES101" s="287"/>
      <c r="ET101" s="252" t="str">
        <f t="shared" si="1462"/>
        <v/>
      </c>
      <c r="EV101" s="265"/>
      <c r="EW101" s="230" t="str">
        <f>IF(EV101="","",VLOOKUP(EV101,Language!$D$5:$E$100,2,0))</f>
        <v/>
      </c>
      <c r="EX101" s="266"/>
      <c r="EY101" s="230" t="str">
        <f>IF(EX101="","",VLOOKUP(EX101,Language!$D$5:$E$100,2,0))</f>
        <v/>
      </c>
      <c r="EZ101" s="302"/>
      <c r="FA101" s="303"/>
      <c r="FB101" s="286"/>
      <c r="FC101" s="286"/>
      <c r="FD101" s="287">
        <f t="shared" si="1463"/>
        <v>0</v>
      </c>
      <c r="FE101" s="287">
        <f t="shared" si="1464"/>
        <v>0</v>
      </c>
      <c r="FF101" s="287"/>
      <c r="FG101" s="252" t="str">
        <f t="shared" si="1465"/>
        <v/>
      </c>
      <c r="FI101" s="265"/>
      <c r="FJ101" s="230" t="str">
        <f>IF(FI101="","",VLOOKUP(FI101,Language!$D$5:$E$100,2,0))</f>
        <v/>
      </c>
      <c r="FK101" s="266"/>
      <c r="FL101" s="230" t="str">
        <f>IF(FK101="","",VLOOKUP(FK101,Language!$D$5:$E$100,2,0))</f>
        <v/>
      </c>
      <c r="FM101" s="302"/>
      <c r="FN101" s="303"/>
      <c r="FO101" s="286"/>
      <c r="FP101" s="286"/>
      <c r="FQ101" s="287">
        <f t="shared" si="1466"/>
        <v>0</v>
      </c>
      <c r="FR101" s="287">
        <f t="shared" si="1467"/>
        <v>0</v>
      </c>
      <c r="FS101" s="287"/>
      <c r="FT101" s="252" t="str">
        <f t="shared" si="1468"/>
        <v/>
      </c>
      <c r="FV101" s="265"/>
      <c r="FW101" s="230" t="str">
        <f>IF(FV101="","",VLOOKUP(FV101,Language!$D$5:$E$100,2,0))</f>
        <v/>
      </c>
      <c r="FX101" s="266"/>
      <c r="FY101" s="230" t="str">
        <f>IF(FX101="","",VLOOKUP(FX101,Language!$D$5:$E$100,2,0))</f>
        <v/>
      </c>
      <c r="FZ101" s="302"/>
      <c r="GA101" s="303"/>
      <c r="GB101" s="286"/>
      <c r="GC101" s="286"/>
      <c r="GD101" s="287">
        <f t="shared" si="1469"/>
        <v>0</v>
      </c>
      <c r="GE101" s="287">
        <f t="shared" si="1470"/>
        <v>0</v>
      </c>
      <c r="GF101" s="287"/>
      <c r="GG101" s="252" t="str">
        <f t="shared" si="1471"/>
        <v/>
      </c>
      <c r="GI101" s="265"/>
      <c r="GJ101" s="230" t="str">
        <f>IF(GI101="","",VLOOKUP(GI101,Language!$D$5:$E$100,2,0))</f>
        <v/>
      </c>
      <c r="GK101" s="266"/>
      <c r="GL101" s="230" t="str">
        <f>IF(GK101="","",VLOOKUP(GK101,Language!$D$5:$E$100,2,0))</f>
        <v/>
      </c>
      <c r="GM101" s="302"/>
      <c r="GN101" s="303"/>
      <c r="GO101" s="286"/>
      <c r="GP101" s="286"/>
      <c r="GQ101" s="287">
        <f t="shared" si="1472"/>
        <v>0</v>
      </c>
      <c r="GR101" s="287">
        <f t="shared" si="1473"/>
        <v>0</v>
      </c>
      <c r="GS101" s="287"/>
      <c r="GT101" s="252" t="str">
        <f t="shared" si="1474"/>
        <v/>
      </c>
      <c r="GV101" s="265"/>
      <c r="GW101" s="230" t="str">
        <f>IF(GV101="","",VLOOKUP(GV101,Language!$D$5:$E$100,2,0))</f>
        <v/>
      </c>
      <c r="GX101" s="266"/>
      <c r="GY101" s="230" t="str">
        <f>IF(GX101="","",VLOOKUP(GX101,Language!$D$5:$E$100,2,0))</f>
        <v/>
      </c>
      <c r="GZ101" s="302"/>
      <c r="HA101" s="303"/>
      <c r="HB101" s="286"/>
      <c r="HC101" s="286"/>
      <c r="HD101" s="287">
        <f t="shared" si="1475"/>
        <v>0</v>
      </c>
      <c r="HE101" s="287">
        <f t="shared" si="1476"/>
        <v>0</v>
      </c>
      <c r="HF101" s="287"/>
      <c r="HG101" s="252" t="str">
        <f t="shared" si="1477"/>
        <v/>
      </c>
      <c r="HI101" s="265"/>
      <c r="HJ101" s="230" t="str">
        <f>IF(HI101="","",VLOOKUP(HI101,Language!$D$5:$E$100,2,0))</f>
        <v/>
      </c>
      <c r="HK101" s="266"/>
      <c r="HL101" s="230" t="str">
        <f>IF(HK101="","",VLOOKUP(HK101,Language!$D$5:$E$100,2,0))</f>
        <v/>
      </c>
      <c r="HM101" s="302"/>
      <c r="HN101" s="303"/>
      <c r="HO101" s="286"/>
      <c r="HP101" s="286"/>
      <c r="HQ101" s="287">
        <f t="shared" si="1478"/>
        <v>0</v>
      </c>
      <c r="HR101" s="287">
        <f t="shared" si="1479"/>
        <v>0</v>
      </c>
      <c r="HS101" s="287"/>
      <c r="HT101" s="252" t="str">
        <f t="shared" si="1480"/>
        <v/>
      </c>
      <c r="HV101" s="265"/>
      <c r="HW101" s="230" t="str">
        <f>IF(HV101="","",VLOOKUP(HV101,Language!$D$5:$E$100,2,0))</f>
        <v/>
      </c>
      <c r="HX101" s="266"/>
      <c r="HY101" s="230" t="str">
        <f>IF(HX101="","",VLOOKUP(HX101,Language!$D$5:$E$100,2,0))</f>
        <v/>
      </c>
      <c r="HZ101" s="302"/>
      <c r="IA101" s="303"/>
      <c r="IB101" s="286"/>
      <c r="IC101" s="286"/>
      <c r="ID101" s="287">
        <f t="shared" si="1481"/>
        <v>0</v>
      </c>
      <c r="IE101" s="287">
        <f t="shared" si="1482"/>
        <v>0</v>
      </c>
      <c r="IF101" s="287"/>
      <c r="IG101" s="252" t="str">
        <f t="shared" si="1483"/>
        <v/>
      </c>
      <c r="II101" s="265"/>
      <c r="IJ101" s="230" t="str">
        <f>IF(II101="","",VLOOKUP(II101,Language!$D$5:$E$100,2,0))</f>
        <v/>
      </c>
      <c r="IK101" s="266"/>
      <c r="IL101" s="230" t="str">
        <f>IF(IK101="","",VLOOKUP(IK101,Language!$D$5:$E$100,2,0))</f>
        <v/>
      </c>
      <c r="IM101" s="302"/>
      <c r="IN101" s="303"/>
      <c r="IO101" s="286"/>
      <c r="IP101" s="286"/>
      <c r="IQ101" s="287">
        <f t="shared" si="1484"/>
        <v>0</v>
      </c>
      <c r="IR101" s="287">
        <f t="shared" si="1485"/>
        <v>0</v>
      </c>
      <c r="IS101" s="287"/>
      <c r="IT101" s="252" t="str">
        <f t="shared" si="1486"/>
        <v/>
      </c>
      <c r="IV101" s="265"/>
      <c r="IW101" s="230" t="str">
        <f>IF(IV101="","",VLOOKUP(IV101,Language!$D$5:$E$100,2,0))</f>
        <v/>
      </c>
      <c r="IX101" s="266"/>
      <c r="IY101" s="230" t="str">
        <f>IF(IX101="","",VLOOKUP(IX101,Language!$D$5:$E$100,2,0))</f>
        <v/>
      </c>
      <c r="IZ101" s="302"/>
      <c r="JA101" s="303"/>
      <c r="JB101" s="286"/>
      <c r="JC101" s="286"/>
      <c r="JD101" s="287">
        <f t="shared" si="1487"/>
        <v>0</v>
      </c>
      <c r="JE101" s="287">
        <f t="shared" si="1488"/>
        <v>0</v>
      </c>
      <c r="JF101" s="287"/>
      <c r="JG101" s="252" t="str">
        <f t="shared" si="1489"/>
        <v/>
      </c>
      <c r="JI101" s="265"/>
      <c r="JJ101" s="230" t="str">
        <f>IF(JI101="","",VLOOKUP(JI101,Language!$D$5:$E$100,2,0))</f>
        <v/>
      </c>
      <c r="JK101" s="266"/>
      <c r="JL101" s="230" t="str">
        <f>IF(JK101="","",VLOOKUP(JK101,Language!$D$5:$E$100,2,0))</f>
        <v/>
      </c>
      <c r="JM101" s="302"/>
      <c r="JN101" s="303"/>
      <c r="JO101" s="286"/>
      <c r="JP101" s="286"/>
      <c r="JQ101" s="287">
        <f t="shared" si="1490"/>
        <v>0</v>
      </c>
      <c r="JR101" s="287">
        <f t="shared" si="1491"/>
        <v>0</v>
      </c>
      <c r="JS101" s="287"/>
      <c r="JT101" s="252" t="str">
        <f t="shared" si="1492"/>
        <v/>
      </c>
      <c r="JV101" s="265"/>
      <c r="JW101" s="230" t="str">
        <f>IF(JV101="","",VLOOKUP(JV101,Language!$D$5:$E$100,2,0))</f>
        <v/>
      </c>
      <c r="JX101" s="266"/>
      <c r="JY101" s="230" t="str">
        <f>IF(JX101="","",VLOOKUP(JX101,Language!$D$5:$E$100,2,0))</f>
        <v/>
      </c>
      <c r="JZ101" s="302"/>
      <c r="KA101" s="303"/>
      <c r="KB101" s="286"/>
      <c r="KC101" s="286"/>
      <c r="KD101" s="287">
        <f t="shared" si="1493"/>
        <v>0</v>
      </c>
      <c r="KE101" s="287">
        <f t="shared" si="1494"/>
        <v>0</v>
      </c>
      <c r="KF101" s="287"/>
      <c r="KG101" s="252" t="str">
        <f t="shared" si="1495"/>
        <v/>
      </c>
      <c r="KI101" s="265"/>
      <c r="KJ101" s="230" t="str">
        <f>IF(KI101="","",VLOOKUP(KI101,Language!$D$5:$E$100,2,0))</f>
        <v/>
      </c>
      <c r="KK101" s="266"/>
      <c r="KL101" s="230" t="str">
        <f>IF(KK101="","",VLOOKUP(KK101,Language!$D$5:$E$100,2,0))</f>
        <v/>
      </c>
      <c r="KM101" s="302"/>
      <c r="KN101" s="303"/>
      <c r="KO101" s="286"/>
      <c r="KP101" s="286"/>
      <c r="KQ101" s="287">
        <f t="shared" si="1496"/>
        <v>0</v>
      </c>
      <c r="KR101" s="287">
        <f t="shared" si="1497"/>
        <v>0</v>
      </c>
      <c r="KS101" s="287"/>
      <c r="KT101" s="252" t="str">
        <f t="shared" si="1498"/>
        <v/>
      </c>
      <c r="KV101" s="265"/>
      <c r="KW101" s="230" t="str">
        <f>IF(KV101="","",VLOOKUP(KV101,Language!$D$5:$E$100,2,0))</f>
        <v/>
      </c>
      <c r="KX101" s="266"/>
      <c r="KY101" s="230" t="str">
        <f>IF(KX101="","",VLOOKUP(KX101,Language!$D$5:$E$100,2,0))</f>
        <v/>
      </c>
      <c r="KZ101" s="302"/>
      <c r="LA101" s="303"/>
      <c r="LB101" s="286"/>
      <c r="LC101" s="286"/>
      <c r="LD101" s="287">
        <f t="shared" si="1499"/>
        <v>0</v>
      </c>
      <c r="LE101" s="287">
        <f t="shared" si="1500"/>
        <v>0</v>
      </c>
      <c r="LF101" s="287"/>
      <c r="LG101" s="252" t="str">
        <f t="shared" si="1501"/>
        <v/>
      </c>
      <c r="LI101" s="265"/>
      <c r="LJ101" s="230" t="str">
        <f>IF(LI101="","",VLOOKUP(LI101,Language!$D$5:$E$100,2,0))</f>
        <v/>
      </c>
      <c r="LK101" s="266"/>
      <c r="LL101" s="230" t="str">
        <f>IF(LK101="","",VLOOKUP(LK101,Language!$D$5:$E$100,2,0))</f>
        <v/>
      </c>
      <c r="LM101" s="302"/>
      <c r="LN101" s="303"/>
      <c r="LO101" s="286"/>
      <c r="LP101" s="286"/>
      <c r="LQ101" s="287">
        <f t="shared" si="1502"/>
        <v>0</v>
      </c>
      <c r="LR101" s="287">
        <f t="shared" si="1503"/>
        <v>0</v>
      </c>
      <c r="LS101" s="287"/>
      <c r="LT101" s="252" t="str">
        <f t="shared" si="1504"/>
        <v/>
      </c>
      <c r="LV101" s="265"/>
      <c r="LW101" s="230" t="str">
        <f>IF(LV101="","",VLOOKUP(LV101,Language!$D$5:$E$100,2,0))</f>
        <v/>
      </c>
      <c r="LX101" s="266"/>
      <c r="LY101" s="230" t="str">
        <f>IF(LX101="","",VLOOKUP(LX101,Language!$D$5:$E$100,2,0))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Argentina</v>
      </c>
      <c r="D102" s="231">
        <f>IF(E102="","",INDEX(Groups!$C$7:$C$65,MATCH(E102,Groups!$D$7:$D$65,0)))</f>
        <v>17</v>
      </c>
      <c r="E102" s="230" t="str">
        <f>'World Cup'!$AM$50</f>
        <v>Uruguay</v>
      </c>
      <c r="F102" s="232" t="str">
        <f>IF(AND('World Cup'!$AL$51&lt;&gt;"",'World Cup'!$AM$51&lt;&gt;""),'World Cup'!$AL$51+IF(AND('World Cup'!$AL$53&lt;&gt;"",'World Cup'!$AM$53&lt;&gt;"",'World Cup'!$AL$51='World Cup'!$AM$51),'World Cup'!$AL$53,0),"")</f>
        <v/>
      </c>
      <c r="G102" s="233" t="str">
        <f>IF(AND('World Cup'!$AL$51&lt;&gt;"",'World Cup'!$AM$51&lt;&gt;""),'World Cup'!$AM$51+IF(AND('World Cup'!$AL$53&lt;&gt;"",'World Cup'!$AM$53&lt;&gt;"",'World Cup'!$AL$51='World Cup'!$AM$51),'World Cup'!$AM$53,0),"")</f>
        <v/>
      </c>
      <c r="I102" s="265"/>
      <c r="J102" s="230" t="str">
        <f>IF(I102="","",VLOOKUP(I102,Language!$D$5:$E$100,2,0))</f>
        <v/>
      </c>
      <c r="K102" s="266"/>
      <c r="L102" s="230" t="str">
        <f>IF(K102="","",VLOOKUP(K102,Language!$D$5:$E$100,2,0))</f>
        <v/>
      </c>
      <c r="M102" s="302"/>
      <c r="N102" s="303"/>
      <c r="O102" s="286"/>
      <c r="P102" s="286"/>
      <c r="Q102" s="287">
        <f t="shared" si="1430"/>
        <v>0</v>
      </c>
      <c r="R102" s="287">
        <f t="shared" si="1431"/>
        <v>0</v>
      </c>
      <c r="S102" s="287"/>
      <c r="T102" s="252" t="str">
        <f t="shared" si="1432"/>
        <v/>
      </c>
      <c r="V102" s="265"/>
      <c r="W102" s="230" t="str">
        <f>IF(V102="","",VLOOKUP(V102,Language!$D$5:$E$100,2,0))</f>
        <v/>
      </c>
      <c r="X102" s="266"/>
      <c r="Y102" s="230" t="str">
        <f>IF(X102="","",VLOOKUP(X102,Language!$D$5:$E$100,2,0))</f>
        <v/>
      </c>
      <c r="Z102" s="302"/>
      <c r="AA102" s="303"/>
      <c r="AB102" s="286"/>
      <c r="AC102" s="286"/>
      <c r="AD102" s="287">
        <f t="shared" si="1433"/>
        <v>0</v>
      </c>
      <c r="AE102" s="287">
        <f t="shared" si="1434"/>
        <v>0</v>
      </c>
      <c r="AF102" s="287"/>
      <c r="AG102" s="252" t="str">
        <f t="shared" si="1435"/>
        <v/>
      </c>
      <c r="AI102" s="265"/>
      <c r="AJ102" s="230" t="str">
        <f>IF(AI102="","",VLOOKUP(AI102,Language!$D$5:$E$100,2,0))</f>
        <v/>
      </c>
      <c r="AK102" s="266"/>
      <c r="AL102" s="230" t="str">
        <f>IF(AK102="","",VLOOKUP(AK102,Language!$D$5:$E$100,2,0))</f>
        <v/>
      </c>
      <c r="AM102" s="302"/>
      <c r="AN102" s="303"/>
      <c r="AO102" s="286"/>
      <c r="AP102" s="286"/>
      <c r="AQ102" s="287">
        <f t="shared" si="1436"/>
        <v>0</v>
      </c>
      <c r="AR102" s="287">
        <f t="shared" si="1437"/>
        <v>0</v>
      </c>
      <c r="AS102" s="287"/>
      <c r="AT102" s="252" t="str">
        <f t="shared" si="1438"/>
        <v/>
      </c>
      <c r="AV102" s="265"/>
      <c r="AW102" s="230" t="str">
        <f>IF(AV102="","",VLOOKUP(AV102,Language!$D$5:$E$100,2,0))</f>
        <v/>
      </c>
      <c r="AX102" s="266"/>
      <c r="AY102" s="230" t="str">
        <f>IF(AX102="","",VLOOKUP(AX102,Language!$D$5:$E$100,2,0))</f>
        <v/>
      </c>
      <c r="AZ102" s="302"/>
      <c r="BA102" s="303"/>
      <c r="BB102" s="286"/>
      <c r="BC102" s="286"/>
      <c r="BD102" s="287">
        <f t="shared" si="1439"/>
        <v>0</v>
      </c>
      <c r="BE102" s="287">
        <f t="shared" si="1440"/>
        <v>0</v>
      </c>
      <c r="BF102" s="287"/>
      <c r="BG102" s="252" t="str">
        <f t="shared" si="1441"/>
        <v/>
      </c>
      <c r="BI102" s="265"/>
      <c r="BJ102" s="230" t="str">
        <f>IF(BI102="","",VLOOKUP(BI102,Language!$D$5:$E$100,2,0))</f>
        <v/>
      </c>
      <c r="BK102" s="266"/>
      <c r="BL102" s="230" t="str">
        <f>IF(BK102="","",VLOOKUP(BK102,Language!$D$5:$E$100,2,0))</f>
        <v/>
      </c>
      <c r="BM102" s="302"/>
      <c r="BN102" s="303"/>
      <c r="BO102" s="286"/>
      <c r="BP102" s="286"/>
      <c r="BQ102" s="287">
        <f t="shared" si="1442"/>
        <v>0</v>
      </c>
      <c r="BR102" s="287">
        <f t="shared" si="1443"/>
        <v>0</v>
      </c>
      <c r="BS102" s="287"/>
      <c r="BT102" s="252" t="str">
        <f t="shared" si="1444"/>
        <v/>
      </c>
      <c r="BV102" s="265"/>
      <c r="BW102" s="230" t="str">
        <f>IF(BV102="","",VLOOKUP(BV102,Language!$D$5:$E$100,2,0))</f>
        <v/>
      </c>
      <c r="BX102" s="266"/>
      <c r="BY102" s="230" t="str">
        <f>IF(BX102="","",VLOOKUP(BX102,Language!$D$5:$E$100,2,0))</f>
        <v/>
      </c>
      <c r="BZ102" s="302"/>
      <c r="CA102" s="303"/>
      <c r="CB102" s="286"/>
      <c r="CC102" s="286"/>
      <c r="CD102" s="287">
        <f t="shared" si="1445"/>
        <v>0</v>
      </c>
      <c r="CE102" s="287">
        <f t="shared" si="1446"/>
        <v>0</v>
      </c>
      <c r="CF102" s="287"/>
      <c r="CG102" s="252" t="str">
        <f t="shared" si="1447"/>
        <v/>
      </c>
      <c r="CI102" s="265"/>
      <c r="CJ102" s="230" t="str">
        <f>IF(CI102="","",VLOOKUP(CI102,Language!$D$5:$E$100,2,0))</f>
        <v/>
      </c>
      <c r="CK102" s="266"/>
      <c r="CL102" s="230" t="str">
        <f>IF(CK102="","",VLOOKUP(CK102,Language!$D$5:$E$100,2,0))</f>
        <v/>
      </c>
      <c r="CM102" s="302"/>
      <c r="CN102" s="303"/>
      <c r="CO102" s="286"/>
      <c r="CP102" s="286"/>
      <c r="CQ102" s="287">
        <f t="shared" si="1448"/>
        <v>0</v>
      </c>
      <c r="CR102" s="287">
        <f t="shared" si="1449"/>
        <v>0</v>
      </c>
      <c r="CS102" s="287"/>
      <c r="CT102" s="252" t="str">
        <f t="shared" si="1450"/>
        <v/>
      </c>
      <c r="CV102" s="265"/>
      <c r="CW102" s="230" t="str">
        <f>IF(CV102="","",VLOOKUP(CV102,Language!$D$5:$E$100,2,0))</f>
        <v/>
      </c>
      <c r="CX102" s="266"/>
      <c r="CY102" s="230" t="str">
        <f>IF(CX102="","",VLOOKUP(CX102,Language!$D$5:$E$100,2,0))</f>
        <v/>
      </c>
      <c r="CZ102" s="302"/>
      <c r="DA102" s="303"/>
      <c r="DB102" s="286"/>
      <c r="DC102" s="286"/>
      <c r="DD102" s="287">
        <f t="shared" si="1451"/>
        <v>0</v>
      </c>
      <c r="DE102" s="287">
        <f t="shared" si="1452"/>
        <v>0</v>
      </c>
      <c r="DF102" s="287"/>
      <c r="DG102" s="252" t="str">
        <f t="shared" si="1453"/>
        <v/>
      </c>
      <c r="DI102" s="265"/>
      <c r="DJ102" s="230" t="str">
        <f>IF(DI102="","",VLOOKUP(DI102,Language!$D$5:$E$100,2,0))</f>
        <v/>
      </c>
      <c r="DK102" s="266"/>
      <c r="DL102" s="230" t="str">
        <f>IF(DK102="","",VLOOKUP(DK102,Language!$D$5:$E$100,2,0))</f>
        <v/>
      </c>
      <c r="DM102" s="302"/>
      <c r="DN102" s="303"/>
      <c r="DO102" s="286"/>
      <c r="DP102" s="286"/>
      <c r="DQ102" s="287">
        <f t="shared" si="1454"/>
        <v>0</v>
      </c>
      <c r="DR102" s="287">
        <f t="shared" si="1455"/>
        <v>0</v>
      </c>
      <c r="DS102" s="287"/>
      <c r="DT102" s="252" t="str">
        <f t="shared" si="1456"/>
        <v/>
      </c>
      <c r="DV102" s="265"/>
      <c r="DW102" s="230" t="str">
        <f>IF(DV102="","",VLOOKUP(DV102,Language!$D$5:$E$100,2,0))</f>
        <v/>
      </c>
      <c r="DX102" s="266"/>
      <c r="DY102" s="230" t="str">
        <f>IF(DX102="","",VLOOKUP(DX102,Language!$D$5:$E$100,2,0))</f>
        <v/>
      </c>
      <c r="DZ102" s="302"/>
      <c r="EA102" s="303"/>
      <c r="EB102" s="286"/>
      <c r="EC102" s="286"/>
      <c r="ED102" s="287">
        <f t="shared" si="1457"/>
        <v>0</v>
      </c>
      <c r="EE102" s="287">
        <f t="shared" si="1458"/>
        <v>0</v>
      </c>
      <c r="EF102" s="287"/>
      <c r="EG102" s="252" t="str">
        <f t="shared" si="1459"/>
        <v/>
      </c>
      <c r="EI102" s="265"/>
      <c r="EJ102" s="230" t="str">
        <f>IF(EI102="","",VLOOKUP(EI102,Language!$D$5:$E$100,2,0))</f>
        <v/>
      </c>
      <c r="EK102" s="266"/>
      <c r="EL102" s="230" t="str">
        <f>IF(EK102="","",VLOOKUP(EK102,Language!$D$5:$E$100,2,0))</f>
        <v/>
      </c>
      <c r="EM102" s="302"/>
      <c r="EN102" s="303"/>
      <c r="EO102" s="286"/>
      <c r="EP102" s="286"/>
      <c r="EQ102" s="287">
        <f t="shared" si="1460"/>
        <v>0</v>
      </c>
      <c r="ER102" s="287">
        <f t="shared" si="1461"/>
        <v>0</v>
      </c>
      <c r="ES102" s="287"/>
      <c r="ET102" s="252" t="str">
        <f t="shared" si="1462"/>
        <v/>
      </c>
      <c r="EV102" s="265"/>
      <c r="EW102" s="230" t="str">
        <f>IF(EV102="","",VLOOKUP(EV102,Language!$D$5:$E$100,2,0))</f>
        <v/>
      </c>
      <c r="EX102" s="266"/>
      <c r="EY102" s="230" t="str">
        <f>IF(EX102="","",VLOOKUP(EX102,Language!$D$5:$E$100,2,0))</f>
        <v/>
      </c>
      <c r="EZ102" s="302"/>
      <c r="FA102" s="303"/>
      <c r="FB102" s="286"/>
      <c r="FC102" s="286"/>
      <c r="FD102" s="287">
        <f t="shared" si="1463"/>
        <v>0</v>
      </c>
      <c r="FE102" s="287">
        <f t="shared" si="1464"/>
        <v>0</v>
      </c>
      <c r="FF102" s="287"/>
      <c r="FG102" s="252" t="str">
        <f t="shared" si="1465"/>
        <v/>
      </c>
      <c r="FI102" s="265"/>
      <c r="FJ102" s="230" t="str">
        <f>IF(FI102="","",VLOOKUP(FI102,Language!$D$5:$E$100,2,0))</f>
        <v/>
      </c>
      <c r="FK102" s="266"/>
      <c r="FL102" s="230" t="str">
        <f>IF(FK102="","",VLOOKUP(FK102,Language!$D$5:$E$100,2,0))</f>
        <v/>
      </c>
      <c r="FM102" s="302"/>
      <c r="FN102" s="303"/>
      <c r="FO102" s="286"/>
      <c r="FP102" s="286"/>
      <c r="FQ102" s="287">
        <f t="shared" si="1466"/>
        <v>0</v>
      </c>
      <c r="FR102" s="287">
        <f t="shared" si="1467"/>
        <v>0</v>
      </c>
      <c r="FS102" s="287"/>
      <c r="FT102" s="252" t="str">
        <f t="shared" si="1468"/>
        <v/>
      </c>
      <c r="FV102" s="265"/>
      <c r="FW102" s="230" t="str">
        <f>IF(FV102="","",VLOOKUP(FV102,Language!$D$5:$E$100,2,0))</f>
        <v/>
      </c>
      <c r="FX102" s="266"/>
      <c r="FY102" s="230" t="str">
        <f>IF(FX102="","",VLOOKUP(FX102,Language!$D$5:$E$100,2,0))</f>
        <v/>
      </c>
      <c r="FZ102" s="302"/>
      <c r="GA102" s="303"/>
      <c r="GB102" s="286"/>
      <c r="GC102" s="286"/>
      <c r="GD102" s="287">
        <f t="shared" si="1469"/>
        <v>0</v>
      </c>
      <c r="GE102" s="287">
        <f t="shared" si="1470"/>
        <v>0</v>
      </c>
      <c r="GF102" s="287"/>
      <c r="GG102" s="252" t="str">
        <f t="shared" si="1471"/>
        <v/>
      </c>
      <c r="GI102" s="265"/>
      <c r="GJ102" s="230" t="str">
        <f>IF(GI102="","",VLOOKUP(GI102,Language!$D$5:$E$100,2,0))</f>
        <v/>
      </c>
      <c r="GK102" s="266"/>
      <c r="GL102" s="230" t="str">
        <f>IF(GK102="","",VLOOKUP(GK102,Language!$D$5:$E$100,2,0))</f>
        <v/>
      </c>
      <c r="GM102" s="302"/>
      <c r="GN102" s="303"/>
      <c r="GO102" s="286"/>
      <c r="GP102" s="286"/>
      <c r="GQ102" s="287">
        <f t="shared" si="1472"/>
        <v>0</v>
      </c>
      <c r="GR102" s="287">
        <f t="shared" si="1473"/>
        <v>0</v>
      </c>
      <c r="GS102" s="287"/>
      <c r="GT102" s="252" t="str">
        <f t="shared" si="1474"/>
        <v/>
      </c>
      <c r="GV102" s="265"/>
      <c r="GW102" s="230" t="str">
        <f>IF(GV102="","",VLOOKUP(GV102,Language!$D$5:$E$100,2,0))</f>
        <v/>
      </c>
      <c r="GX102" s="266"/>
      <c r="GY102" s="230" t="str">
        <f>IF(GX102="","",VLOOKUP(GX102,Language!$D$5:$E$100,2,0))</f>
        <v/>
      </c>
      <c r="GZ102" s="302"/>
      <c r="HA102" s="303"/>
      <c r="HB102" s="286"/>
      <c r="HC102" s="286"/>
      <c r="HD102" s="287">
        <f t="shared" si="1475"/>
        <v>0</v>
      </c>
      <c r="HE102" s="287">
        <f t="shared" si="1476"/>
        <v>0</v>
      </c>
      <c r="HF102" s="287"/>
      <c r="HG102" s="252" t="str">
        <f t="shared" si="1477"/>
        <v/>
      </c>
      <c r="HI102" s="265"/>
      <c r="HJ102" s="230" t="str">
        <f>IF(HI102="","",VLOOKUP(HI102,Language!$D$5:$E$100,2,0))</f>
        <v/>
      </c>
      <c r="HK102" s="266"/>
      <c r="HL102" s="230" t="str">
        <f>IF(HK102="","",VLOOKUP(HK102,Language!$D$5:$E$100,2,0))</f>
        <v/>
      </c>
      <c r="HM102" s="302"/>
      <c r="HN102" s="303"/>
      <c r="HO102" s="286"/>
      <c r="HP102" s="286"/>
      <c r="HQ102" s="287">
        <f t="shared" si="1478"/>
        <v>0</v>
      </c>
      <c r="HR102" s="287">
        <f t="shared" si="1479"/>
        <v>0</v>
      </c>
      <c r="HS102" s="287"/>
      <c r="HT102" s="252" t="str">
        <f t="shared" si="1480"/>
        <v/>
      </c>
      <c r="HV102" s="265"/>
      <c r="HW102" s="230" t="str">
        <f>IF(HV102="","",VLOOKUP(HV102,Language!$D$5:$E$100,2,0))</f>
        <v/>
      </c>
      <c r="HX102" s="266"/>
      <c r="HY102" s="230" t="str">
        <f>IF(HX102="","",VLOOKUP(HX102,Language!$D$5:$E$100,2,0))</f>
        <v/>
      </c>
      <c r="HZ102" s="302"/>
      <c r="IA102" s="303"/>
      <c r="IB102" s="286"/>
      <c r="IC102" s="286"/>
      <c r="ID102" s="287">
        <f t="shared" si="1481"/>
        <v>0</v>
      </c>
      <c r="IE102" s="287">
        <f t="shared" si="1482"/>
        <v>0</v>
      </c>
      <c r="IF102" s="287"/>
      <c r="IG102" s="252" t="str">
        <f t="shared" si="1483"/>
        <v/>
      </c>
      <c r="II102" s="265"/>
      <c r="IJ102" s="230" t="str">
        <f>IF(II102="","",VLOOKUP(II102,Language!$D$5:$E$100,2,0))</f>
        <v/>
      </c>
      <c r="IK102" s="266"/>
      <c r="IL102" s="230" t="str">
        <f>IF(IK102="","",VLOOKUP(IK102,Language!$D$5:$E$100,2,0))</f>
        <v/>
      </c>
      <c r="IM102" s="302"/>
      <c r="IN102" s="303"/>
      <c r="IO102" s="286"/>
      <c r="IP102" s="286"/>
      <c r="IQ102" s="287">
        <f t="shared" si="1484"/>
        <v>0</v>
      </c>
      <c r="IR102" s="287">
        <f t="shared" si="1485"/>
        <v>0</v>
      </c>
      <c r="IS102" s="287"/>
      <c r="IT102" s="252" t="str">
        <f t="shared" si="1486"/>
        <v/>
      </c>
      <c r="IV102" s="265"/>
      <c r="IW102" s="230" t="str">
        <f>IF(IV102="","",VLOOKUP(IV102,Language!$D$5:$E$100,2,0))</f>
        <v/>
      </c>
      <c r="IX102" s="266"/>
      <c r="IY102" s="230" t="str">
        <f>IF(IX102="","",VLOOKUP(IX102,Language!$D$5:$E$100,2,0))</f>
        <v/>
      </c>
      <c r="IZ102" s="302"/>
      <c r="JA102" s="303"/>
      <c r="JB102" s="286"/>
      <c r="JC102" s="286"/>
      <c r="JD102" s="287">
        <f t="shared" si="1487"/>
        <v>0</v>
      </c>
      <c r="JE102" s="287">
        <f t="shared" si="1488"/>
        <v>0</v>
      </c>
      <c r="JF102" s="287"/>
      <c r="JG102" s="252" t="str">
        <f t="shared" si="1489"/>
        <v/>
      </c>
      <c r="JI102" s="265"/>
      <c r="JJ102" s="230" t="str">
        <f>IF(JI102="","",VLOOKUP(JI102,Language!$D$5:$E$100,2,0))</f>
        <v/>
      </c>
      <c r="JK102" s="266"/>
      <c r="JL102" s="230" t="str">
        <f>IF(JK102="","",VLOOKUP(JK102,Language!$D$5:$E$100,2,0))</f>
        <v/>
      </c>
      <c r="JM102" s="302"/>
      <c r="JN102" s="303"/>
      <c r="JO102" s="286"/>
      <c r="JP102" s="286"/>
      <c r="JQ102" s="287">
        <f t="shared" si="1490"/>
        <v>0</v>
      </c>
      <c r="JR102" s="287">
        <f t="shared" si="1491"/>
        <v>0</v>
      </c>
      <c r="JS102" s="287"/>
      <c r="JT102" s="252" t="str">
        <f t="shared" si="1492"/>
        <v/>
      </c>
      <c r="JV102" s="265"/>
      <c r="JW102" s="230" t="str">
        <f>IF(JV102="","",VLOOKUP(JV102,Language!$D$5:$E$100,2,0))</f>
        <v/>
      </c>
      <c r="JX102" s="266"/>
      <c r="JY102" s="230" t="str">
        <f>IF(JX102="","",VLOOKUP(JX102,Language!$D$5:$E$100,2,0))</f>
        <v/>
      </c>
      <c r="JZ102" s="302"/>
      <c r="KA102" s="303"/>
      <c r="KB102" s="286"/>
      <c r="KC102" s="286"/>
      <c r="KD102" s="287">
        <f t="shared" si="1493"/>
        <v>0</v>
      </c>
      <c r="KE102" s="287">
        <f t="shared" si="1494"/>
        <v>0</v>
      </c>
      <c r="KF102" s="287"/>
      <c r="KG102" s="252" t="str">
        <f t="shared" si="1495"/>
        <v/>
      </c>
      <c r="KI102" s="265"/>
      <c r="KJ102" s="230" t="str">
        <f>IF(KI102="","",VLOOKUP(KI102,Language!$D$5:$E$100,2,0))</f>
        <v/>
      </c>
      <c r="KK102" s="266"/>
      <c r="KL102" s="230" t="str">
        <f>IF(KK102="","",VLOOKUP(KK102,Language!$D$5:$E$100,2,0))</f>
        <v/>
      </c>
      <c r="KM102" s="302"/>
      <c r="KN102" s="303"/>
      <c r="KO102" s="286"/>
      <c r="KP102" s="286"/>
      <c r="KQ102" s="287">
        <f t="shared" si="1496"/>
        <v>0</v>
      </c>
      <c r="KR102" s="287">
        <f t="shared" si="1497"/>
        <v>0</v>
      </c>
      <c r="KS102" s="287"/>
      <c r="KT102" s="252" t="str">
        <f t="shared" si="1498"/>
        <v/>
      </c>
      <c r="KV102" s="265"/>
      <c r="KW102" s="230" t="str">
        <f>IF(KV102="","",VLOOKUP(KV102,Language!$D$5:$E$100,2,0))</f>
        <v/>
      </c>
      <c r="KX102" s="266"/>
      <c r="KY102" s="230" t="str">
        <f>IF(KX102="","",VLOOKUP(KX102,Language!$D$5:$E$100,2,0))</f>
        <v/>
      </c>
      <c r="KZ102" s="302"/>
      <c r="LA102" s="303"/>
      <c r="LB102" s="286"/>
      <c r="LC102" s="286"/>
      <c r="LD102" s="287">
        <f t="shared" si="1499"/>
        <v>0</v>
      </c>
      <c r="LE102" s="287">
        <f t="shared" si="1500"/>
        <v>0</v>
      </c>
      <c r="LF102" s="287"/>
      <c r="LG102" s="252" t="str">
        <f t="shared" si="1501"/>
        <v/>
      </c>
      <c r="LI102" s="265"/>
      <c r="LJ102" s="230" t="str">
        <f>IF(LI102="","",VLOOKUP(LI102,Language!$D$5:$E$100,2,0))</f>
        <v/>
      </c>
      <c r="LK102" s="266"/>
      <c r="LL102" s="230" t="str">
        <f>IF(LK102="","",VLOOKUP(LK102,Language!$D$5:$E$100,2,0))</f>
        <v/>
      </c>
      <c r="LM102" s="302"/>
      <c r="LN102" s="303"/>
      <c r="LO102" s="286"/>
      <c r="LP102" s="286"/>
      <c r="LQ102" s="287">
        <f t="shared" si="1502"/>
        <v>0</v>
      </c>
      <c r="LR102" s="287">
        <f t="shared" si="1503"/>
        <v>0</v>
      </c>
      <c r="LS102" s="287"/>
      <c r="LT102" s="252" t="str">
        <f t="shared" si="1504"/>
        <v/>
      </c>
      <c r="LV102" s="265"/>
      <c r="LW102" s="230" t="str">
        <f>IF(LV102="","",VLOOKUP(LV102,Language!$D$5:$E$100,2,0))</f>
        <v/>
      </c>
      <c r="LX102" s="266"/>
      <c r="LY102" s="230" t="str">
        <f>IF(LX102="","",VLOOKUP(LX102,Language!$D$5:$E$100,2,0))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Australia</v>
      </c>
      <c r="D103" s="231">
        <f>IF(E103="","",INDEX(Groups!$C$7:$C$65,MATCH(E103,Groups!$D$7:$D$65,0)))</f>
        <v>21</v>
      </c>
      <c r="E103" s="230" t="str">
        <f>'World Cup'!$AP$50</f>
        <v>IR Iran</v>
      </c>
      <c r="F103" s="232" t="str">
        <f>IF(AND('World Cup'!$AO$51&lt;&gt;"",'World Cup'!$AP$51&lt;&gt;""),'World Cup'!$AO$51+IF(AND('World Cup'!$AO$53&lt;&gt;"",'World Cup'!$AP$53&lt;&gt;"",'World Cup'!$AO$51='World Cup'!$AP$51),'World Cup'!$AO$53,0),"")</f>
        <v/>
      </c>
      <c r="G103" s="233" t="str">
        <f>IF(AND('World Cup'!$AO$51&lt;&gt;"",'World Cup'!$AP$51&lt;&gt;""),'World Cup'!$AP$51+IF(AND('World Cup'!$AO$53&lt;&gt;"",'World Cup'!$AP$53&lt;&gt;"",'World Cup'!$AO$51='World Cup'!$AP$51),'World Cup'!$AP$53,0),"")</f>
        <v/>
      </c>
      <c r="I103" s="265"/>
      <c r="J103" s="230" t="str">
        <f>IF(I103="","",VLOOKUP(I103,Language!$D$5:$E$100,2,0))</f>
        <v/>
      </c>
      <c r="K103" s="266"/>
      <c r="L103" s="230" t="str">
        <f>IF(K103="","",VLOOKUP(K103,Language!$D$5:$E$100,2,0))</f>
        <v/>
      </c>
      <c r="M103" s="302"/>
      <c r="N103" s="303"/>
      <c r="O103" s="286"/>
      <c r="P103" s="286"/>
      <c r="Q103" s="287">
        <f t="shared" si="1430"/>
        <v>0</v>
      </c>
      <c r="R103" s="287">
        <f t="shared" si="1431"/>
        <v>0</v>
      </c>
      <c r="S103" s="287"/>
      <c r="T103" s="252" t="str">
        <f t="shared" si="1432"/>
        <v/>
      </c>
      <c r="V103" s="265"/>
      <c r="W103" s="230" t="str">
        <f>IF(V103="","",VLOOKUP(V103,Language!$D$5:$E$100,2,0))</f>
        <v/>
      </c>
      <c r="X103" s="266"/>
      <c r="Y103" s="230" t="str">
        <f>IF(X103="","",VLOOKUP(X103,Language!$D$5:$E$100,2,0))</f>
        <v/>
      </c>
      <c r="Z103" s="302"/>
      <c r="AA103" s="303"/>
      <c r="AB103" s="286"/>
      <c r="AC103" s="286"/>
      <c r="AD103" s="287">
        <f t="shared" si="1433"/>
        <v>0</v>
      </c>
      <c r="AE103" s="287">
        <f t="shared" si="1434"/>
        <v>0</v>
      </c>
      <c r="AF103" s="287"/>
      <c r="AG103" s="252" t="str">
        <f t="shared" si="1435"/>
        <v/>
      </c>
      <c r="AI103" s="265"/>
      <c r="AJ103" s="230" t="str">
        <f>IF(AI103="","",VLOOKUP(AI103,Language!$D$5:$E$100,2,0))</f>
        <v/>
      </c>
      <c r="AK103" s="266"/>
      <c r="AL103" s="230" t="str">
        <f>IF(AK103="","",VLOOKUP(AK103,Language!$D$5:$E$100,2,0))</f>
        <v/>
      </c>
      <c r="AM103" s="302"/>
      <c r="AN103" s="303"/>
      <c r="AO103" s="286"/>
      <c r="AP103" s="286"/>
      <c r="AQ103" s="287">
        <f t="shared" si="1436"/>
        <v>0</v>
      </c>
      <c r="AR103" s="287">
        <f t="shared" si="1437"/>
        <v>0</v>
      </c>
      <c r="AS103" s="287"/>
      <c r="AT103" s="252" t="str">
        <f t="shared" si="1438"/>
        <v/>
      </c>
      <c r="AV103" s="265"/>
      <c r="AW103" s="230" t="str">
        <f>IF(AV103="","",VLOOKUP(AV103,Language!$D$5:$E$100,2,0))</f>
        <v/>
      </c>
      <c r="AX103" s="266"/>
      <c r="AY103" s="230" t="str">
        <f>IF(AX103="","",VLOOKUP(AX103,Language!$D$5:$E$100,2,0))</f>
        <v/>
      </c>
      <c r="AZ103" s="302"/>
      <c r="BA103" s="303"/>
      <c r="BB103" s="286"/>
      <c r="BC103" s="286"/>
      <c r="BD103" s="287">
        <f t="shared" si="1439"/>
        <v>0</v>
      </c>
      <c r="BE103" s="287">
        <f t="shared" si="1440"/>
        <v>0</v>
      </c>
      <c r="BF103" s="287"/>
      <c r="BG103" s="252" t="str">
        <f t="shared" si="1441"/>
        <v/>
      </c>
      <c r="BI103" s="265"/>
      <c r="BJ103" s="230" t="str">
        <f>IF(BI103="","",VLOOKUP(BI103,Language!$D$5:$E$100,2,0))</f>
        <v/>
      </c>
      <c r="BK103" s="266"/>
      <c r="BL103" s="230" t="str">
        <f>IF(BK103="","",VLOOKUP(BK103,Language!$D$5:$E$100,2,0))</f>
        <v/>
      </c>
      <c r="BM103" s="302"/>
      <c r="BN103" s="303"/>
      <c r="BO103" s="286"/>
      <c r="BP103" s="286"/>
      <c r="BQ103" s="287">
        <f t="shared" si="1442"/>
        <v>0</v>
      </c>
      <c r="BR103" s="287">
        <f t="shared" si="1443"/>
        <v>0</v>
      </c>
      <c r="BS103" s="287"/>
      <c r="BT103" s="252" t="str">
        <f t="shared" si="1444"/>
        <v/>
      </c>
      <c r="BV103" s="265"/>
      <c r="BW103" s="230" t="str">
        <f>IF(BV103="","",VLOOKUP(BV103,Language!$D$5:$E$100,2,0))</f>
        <v/>
      </c>
      <c r="BX103" s="266"/>
      <c r="BY103" s="230" t="str">
        <f>IF(BX103="","",VLOOKUP(BX103,Language!$D$5:$E$100,2,0))</f>
        <v/>
      </c>
      <c r="BZ103" s="302"/>
      <c r="CA103" s="303"/>
      <c r="CB103" s="286"/>
      <c r="CC103" s="286"/>
      <c r="CD103" s="287">
        <f t="shared" si="1445"/>
        <v>0</v>
      </c>
      <c r="CE103" s="287">
        <f t="shared" si="1446"/>
        <v>0</v>
      </c>
      <c r="CF103" s="287"/>
      <c r="CG103" s="252" t="str">
        <f t="shared" si="1447"/>
        <v/>
      </c>
      <c r="CI103" s="265"/>
      <c r="CJ103" s="230" t="str">
        <f>IF(CI103="","",VLOOKUP(CI103,Language!$D$5:$E$100,2,0))</f>
        <v/>
      </c>
      <c r="CK103" s="266"/>
      <c r="CL103" s="230" t="str">
        <f>IF(CK103="","",VLOOKUP(CK103,Language!$D$5:$E$100,2,0))</f>
        <v/>
      </c>
      <c r="CM103" s="302"/>
      <c r="CN103" s="303"/>
      <c r="CO103" s="286"/>
      <c r="CP103" s="286"/>
      <c r="CQ103" s="287">
        <f t="shared" si="1448"/>
        <v>0</v>
      </c>
      <c r="CR103" s="287">
        <f t="shared" si="1449"/>
        <v>0</v>
      </c>
      <c r="CS103" s="287"/>
      <c r="CT103" s="252" t="str">
        <f t="shared" si="1450"/>
        <v/>
      </c>
      <c r="CV103" s="265"/>
      <c r="CW103" s="230" t="str">
        <f>IF(CV103="","",VLOOKUP(CV103,Language!$D$5:$E$100,2,0))</f>
        <v/>
      </c>
      <c r="CX103" s="266"/>
      <c r="CY103" s="230" t="str">
        <f>IF(CX103="","",VLOOKUP(CX103,Language!$D$5:$E$100,2,0))</f>
        <v/>
      </c>
      <c r="CZ103" s="302"/>
      <c r="DA103" s="303"/>
      <c r="DB103" s="286"/>
      <c r="DC103" s="286"/>
      <c r="DD103" s="287">
        <f t="shared" si="1451"/>
        <v>0</v>
      </c>
      <c r="DE103" s="287">
        <f t="shared" si="1452"/>
        <v>0</v>
      </c>
      <c r="DF103" s="287"/>
      <c r="DG103" s="252" t="str">
        <f t="shared" si="1453"/>
        <v/>
      </c>
      <c r="DI103" s="265"/>
      <c r="DJ103" s="230" t="str">
        <f>IF(DI103="","",VLOOKUP(DI103,Language!$D$5:$E$100,2,0))</f>
        <v/>
      </c>
      <c r="DK103" s="266"/>
      <c r="DL103" s="230" t="str">
        <f>IF(DK103="","",VLOOKUP(DK103,Language!$D$5:$E$100,2,0))</f>
        <v/>
      </c>
      <c r="DM103" s="302"/>
      <c r="DN103" s="303"/>
      <c r="DO103" s="286"/>
      <c r="DP103" s="286"/>
      <c r="DQ103" s="287">
        <f t="shared" si="1454"/>
        <v>0</v>
      </c>
      <c r="DR103" s="287">
        <f t="shared" si="1455"/>
        <v>0</v>
      </c>
      <c r="DS103" s="287"/>
      <c r="DT103" s="252" t="str">
        <f t="shared" si="1456"/>
        <v/>
      </c>
      <c r="DV103" s="265"/>
      <c r="DW103" s="230" t="str">
        <f>IF(DV103="","",VLOOKUP(DV103,Language!$D$5:$E$100,2,0))</f>
        <v/>
      </c>
      <c r="DX103" s="266"/>
      <c r="DY103" s="230" t="str">
        <f>IF(DX103="","",VLOOKUP(DX103,Language!$D$5:$E$100,2,0))</f>
        <v/>
      </c>
      <c r="DZ103" s="302"/>
      <c r="EA103" s="303"/>
      <c r="EB103" s="286"/>
      <c r="EC103" s="286"/>
      <c r="ED103" s="287">
        <f t="shared" si="1457"/>
        <v>0</v>
      </c>
      <c r="EE103" s="287">
        <f t="shared" si="1458"/>
        <v>0</v>
      </c>
      <c r="EF103" s="287"/>
      <c r="EG103" s="252" t="str">
        <f t="shared" si="1459"/>
        <v/>
      </c>
      <c r="EI103" s="265"/>
      <c r="EJ103" s="230" t="str">
        <f>IF(EI103="","",VLOOKUP(EI103,Language!$D$5:$E$100,2,0))</f>
        <v/>
      </c>
      <c r="EK103" s="266"/>
      <c r="EL103" s="230" t="str">
        <f>IF(EK103="","",VLOOKUP(EK103,Language!$D$5:$E$100,2,0))</f>
        <v/>
      </c>
      <c r="EM103" s="302"/>
      <c r="EN103" s="303"/>
      <c r="EO103" s="286"/>
      <c r="EP103" s="286"/>
      <c r="EQ103" s="287">
        <f t="shared" si="1460"/>
        <v>0</v>
      </c>
      <c r="ER103" s="287">
        <f t="shared" si="1461"/>
        <v>0</v>
      </c>
      <c r="ES103" s="287"/>
      <c r="ET103" s="252" t="str">
        <f t="shared" si="1462"/>
        <v/>
      </c>
      <c r="EV103" s="265"/>
      <c r="EW103" s="230" t="str">
        <f>IF(EV103="","",VLOOKUP(EV103,Language!$D$5:$E$100,2,0))</f>
        <v/>
      </c>
      <c r="EX103" s="266"/>
      <c r="EY103" s="230" t="str">
        <f>IF(EX103="","",VLOOKUP(EX103,Language!$D$5:$E$100,2,0))</f>
        <v/>
      </c>
      <c r="EZ103" s="302"/>
      <c r="FA103" s="303"/>
      <c r="FB103" s="286"/>
      <c r="FC103" s="286"/>
      <c r="FD103" s="287">
        <f t="shared" si="1463"/>
        <v>0</v>
      </c>
      <c r="FE103" s="287">
        <f t="shared" si="1464"/>
        <v>0</v>
      </c>
      <c r="FF103" s="287"/>
      <c r="FG103" s="252" t="str">
        <f t="shared" si="1465"/>
        <v/>
      </c>
      <c r="FI103" s="265"/>
      <c r="FJ103" s="230" t="str">
        <f>IF(FI103="","",VLOOKUP(FI103,Language!$D$5:$E$100,2,0))</f>
        <v/>
      </c>
      <c r="FK103" s="266"/>
      <c r="FL103" s="230" t="str">
        <f>IF(FK103="","",VLOOKUP(FK103,Language!$D$5:$E$100,2,0))</f>
        <v/>
      </c>
      <c r="FM103" s="302"/>
      <c r="FN103" s="303"/>
      <c r="FO103" s="286"/>
      <c r="FP103" s="286"/>
      <c r="FQ103" s="287">
        <f t="shared" si="1466"/>
        <v>0</v>
      </c>
      <c r="FR103" s="287">
        <f t="shared" si="1467"/>
        <v>0</v>
      </c>
      <c r="FS103" s="287"/>
      <c r="FT103" s="252" t="str">
        <f t="shared" si="1468"/>
        <v/>
      </c>
      <c r="FV103" s="265"/>
      <c r="FW103" s="230" t="str">
        <f>IF(FV103="","",VLOOKUP(FV103,Language!$D$5:$E$100,2,0))</f>
        <v/>
      </c>
      <c r="FX103" s="266"/>
      <c r="FY103" s="230" t="str">
        <f>IF(FX103="","",VLOOKUP(FX103,Language!$D$5:$E$100,2,0))</f>
        <v/>
      </c>
      <c r="FZ103" s="302"/>
      <c r="GA103" s="303"/>
      <c r="GB103" s="286"/>
      <c r="GC103" s="286"/>
      <c r="GD103" s="287">
        <f t="shared" si="1469"/>
        <v>0</v>
      </c>
      <c r="GE103" s="287">
        <f t="shared" si="1470"/>
        <v>0</v>
      </c>
      <c r="GF103" s="287"/>
      <c r="GG103" s="252" t="str">
        <f t="shared" si="1471"/>
        <v/>
      </c>
      <c r="GI103" s="265"/>
      <c r="GJ103" s="230" t="str">
        <f>IF(GI103="","",VLOOKUP(GI103,Language!$D$5:$E$100,2,0))</f>
        <v/>
      </c>
      <c r="GK103" s="266"/>
      <c r="GL103" s="230" t="str">
        <f>IF(GK103="","",VLOOKUP(GK103,Language!$D$5:$E$100,2,0))</f>
        <v/>
      </c>
      <c r="GM103" s="302"/>
      <c r="GN103" s="303"/>
      <c r="GO103" s="286"/>
      <c r="GP103" s="286"/>
      <c r="GQ103" s="287">
        <f t="shared" si="1472"/>
        <v>0</v>
      </c>
      <c r="GR103" s="287">
        <f t="shared" si="1473"/>
        <v>0</v>
      </c>
      <c r="GS103" s="287"/>
      <c r="GT103" s="252" t="str">
        <f t="shared" si="1474"/>
        <v/>
      </c>
      <c r="GV103" s="265"/>
      <c r="GW103" s="230" t="str">
        <f>IF(GV103="","",VLOOKUP(GV103,Language!$D$5:$E$100,2,0))</f>
        <v/>
      </c>
      <c r="GX103" s="266"/>
      <c r="GY103" s="230" t="str">
        <f>IF(GX103="","",VLOOKUP(GX103,Language!$D$5:$E$100,2,0))</f>
        <v/>
      </c>
      <c r="GZ103" s="302"/>
      <c r="HA103" s="303"/>
      <c r="HB103" s="286"/>
      <c r="HC103" s="286"/>
      <c r="HD103" s="287">
        <f t="shared" si="1475"/>
        <v>0</v>
      </c>
      <c r="HE103" s="287">
        <f t="shared" si="1476"/>
        <v>0</v>
      </c>
      <c r="HF103" s="287"/>
      <c r="HG103" s="252" t="str">
        <f t="shared" si="1477"/>
        <v/>
      </c>
      <c r="HI103" s="265"/>
      <c r="HJ103" s="230" t="str">
        <f>IF(HI103="","",VLOOKUP(HI103,Language!$D$5:$E$100,2,0))</f>
        <v/>
      </c>
      <c r="HK103" s="266"/>
      <c r="HL103" s="230" t="str">
        <f>IF(HK103="","",VLOOKUP(HK103,Language!$D$5:$E$100,2,0))</f>
        <v/>
      </c>
      <c r="HM103" s="302"/>
      <c r="HN103" s="303"/>
      <c r="HO103" s="286"/>
      <c r="HP103" s="286"/>
      <c r="HQ103" s="287">
        <f t="shared" si="1478"/>
        <v>0</v>
      </c>
      <c r="HR103" s="287">
        <f t="shared" si="1479"/>
        <v>0</v>
      </c>
      <c r="HS103" s="287"/>
      <c r="HT103" s="252" t="str">
        <f t="shared" si="1480"/>
        <v/>
      </c>
      <c r="HV103" s="265"/>
      <c r="HW103" s="230" t="str">
        <f>IF(HV103="","",VLOOKUP(HV103,Language!$D$5:$E$100,2,0))</f>
        <v/>
      </c>
      <c r="HX103" s="266"/>
      <c r="HY103" s="230" t="str">
        <f>IF(HX103="","",VLOOKUP(HX103,Language!$D$5:$E$100,2,0))</f>
        <v/>
      </c>
      <c r="HZ103" s="302"/>
      <c r="IA103" s="303"/>
      <c r="IB103" s="286"/>
      <c r="IC103" s="286"/>
      <c r="ID103" s="287">
        <f t="shared" si="1481"/>
        <v>0</v>
      </c>
      <c r="IE103" s="287">
        <f t="shared" si="1482"/>
        <v>0</v>
      </c>
      <c r="IF103" s="287"/>
      <c r="IG103" s="252" t="str">
        <f t="shared" si="1483"/>
        <v/>
      </c>
      <c r="II103" s="265"/>
      <c r="IJ103" s="230" t="str">
        <f>IF(II103="","",VLOOKUP(II103,Language!$D$5:$E$100,2,0))</f>
        <v/>
      </c>
      <c r="IK103" s="266"/>
      <c r="IL103" s="230" t="str">
        <f>IF(IK103="","",VLOOKUP(IK103,Language!$D$5:$E$100,2,0))</f>
        <v/>
      </c>
      <c r="IM103" s="302"/>
      <c r="IN103" s="303"/>
      <c r="IO103" s="286"/>
      <c r="IP103" s="286"/>
      <c r="IQ103" s="287">
        <f t="shared" si="1484"/>
        <v>0</v>
      </c>
      <c r="IR103" s="287">
        <f t="shared" si="1485"/>
        <v>0</v>
      </c>
      <c r="IS103" s="287"/>
      <c r="IT103" s="252" t="str">
        <f t="shared" si="1486"/>
        <v/>
      </c>
      <c r="IV103" s="265"/>
      <c r="IW103" s="230" t="str">
        <f>IF(IV103="","",VLOOKUP(IV103,Language!$D$5:$E$100,2,0))</f>
        <v/>
      </c>
      <c r="IX103" s="266"/>
      <c r="IY103" s="230" t="str">
        <f>IF(IX103="","",VLOOKUP(IX103,Language!$D$5:$E$100,2,0))</f>
        <v/>
      </c>
      <c r="IZ103" s="302"/>
      <c r="JA103" s="303"/>
      <c r="JB103" s="286"/>
      <c r="JC103" s="286"/>
      <c r="JD103" s="287">
        <f t="shared" si="1487"/>
        <v>0</v>
      </c>
      <c r="JE103" s="287">
        <f t="shared" si="1488"/>
        <v>0</v>
      </c>
      <c r="JF103" s="287"/>
      <c r="JG103" s="252" t="str">
        <f t="shared" si="1489"/>
        <v/>
      </c>
      <c r="JI103" s="265"/>
      <c r="JJ103" s="230" t="str">
        <f>IF(JI103="","",VLOOKUP(JI103,Language!$D$5:$E$100,2,0))</f>
        <v/>
      </c>
      <c r="JK103" s="266"/>
      <c r="JL103" s="230" t="str">
        <f>IF(JK103="","",VLOOKUP(JK103,Language!$D$5:$E$100,2,0))</f>
        <v/>
      </c>
      <c r="JM103" s="302"/>
      <c r="JN103" s="303"/>
      <c r="JO103" s="286"/>
      <c r="JP103" s="286"/>
      <c r="JQ103" s="287">
        <f t="shared" si="1490"/>
        <v>0</v>
      </c>
      <c r="JR103" s="287">
        <f t="shared" si="1491"/>
        <v>0</v>
      </c>
      <c r="JS103" s="287"/>
      <c r="JT103" s="252" t="str">
        <f t="shared" si="1492"/>
        <v/>
      </c>
      <c r="JV103" s="265"/>
      <c r="JW103" s="230" t="str">
        <f>IF(JV103="","",VLOOKUP(JV103,Language!$D$5:$E$100,2,0))</f>
        <v/>
      </c>
      <c r="JX103" s="266"/>
      <c r="JY103" s="230" t="str">
        <f>IF(JX103="","",VLOOKUP(JX103,Language!$D$5:$E$100,2,0))</f>
        <v/>
      </c>
      <c r="JZ103" s="302"/>
      <c r="KA103" s="303"/>
      <c r="KB103" s="286"/>
      <c r="KC103" s="286"/>
      <c r="KD103" s="287">
        <f t="shared" si="1493"/>
        <v>0</v>
      </c>
      <c r="KE103" s="287">
        <f t="shared" si="1494"/>
        <v>0</v>
      </c>
      <c r="KF103" s="287"/>
      <c r="KG103" s="252" t="str">
        <f t="shared" si="1495"/>
        <v/>
      </c>
      <c r="KI103" s="265"/>
      <c r="KJ103" s="230" t="str">
        <f>IF(KI103="","",VLOOKUP(KI103,Language!$D$5:$E$100,2,0))</f>
        <v/>
      </c>
      <c r="KK103" s="266"/>
      <c r="KL103" s="230" t="str">
        <f>IF(KK103="","",VLOOKUP(KK103,Language!$D$5:$E$100,2,0))</f>
        <v/>
      </c>
      <c r="KM103" s="302"/>
      <c r="KN103" s="303"/>
      <c r="KO103" s="286"/>
      <c r="KP103" s="286"/>
      <c r="KQ103" s="287">
        <f t="shared" si="1496"/>
        <v>0</v>
      </c>
      <c r="KR103" s="287">
        <f t="shared" si="1497"/>
        <v>0</v>
      </c>
      <c r="KS103" s="287"/>
      <c r="KT103" s="252" t="str">
        <f t="shared" si="1498"/>
        <v/>
      </c>
      <c r="KV103" s="265"/>
      <c r="KW103" s="230" t="str">
        <f>IF(KV103="","",VLOOKUP(KV103,Language!$D$5:$E$100,2,0))</f>
        <v/>
      </c>
      <c r="KX103" s="266"/>
      <c r="KY103" s="230" t="str">
        <f>IF(KX103="","",VLOOKUP(KX103,Language!$D$5:$E$100,2,0))</f>
        <v/>
      </c>
      <c r="KZ103" s="302"/>
      <c r="LA103" s="303"/>
      <c r="LB103" s="286"/>
      <c r="LC103" s="286"/>
      <c r="LD103" s="287">
        <f t="shared" si="1499"/>
        <v>0</v>
      </c>
      <c r="LE103" s="287">
        <f t="shared" si="1500"/>
        <v>0</v>
      </c>
      <c r="LF103" s="287"/>
      <c r="LG103" s="252" t="str">
        <f t="shared" si="1501"/>
        <v/>
      </c>
      <c r="LI103" s="265"/>
      <c r="LJ103" s="230" t="str">
        <f>IF(LI103="","",VLOOKUP(LI103,Language!$D$5:$E$100,2,0))</f>
        <v/>
      </c>
      <c r="LK103" s="266"/>
      <c r="LL103" s="230" t="str">
        <f>IF(LK103="","",VLOOKUP(LK103,Language!$D$5:$E$100,2,0))</f>
        <v/>
      </c>
      <c r="LM103" s="302"/>
      <c r="LN103" s="303"/>
      <c r="LO103" s="286"/>
      <c r="LP103" s="286"/>
      <c r="LQ103" s="287">
        <f t="shared" si="1502"/>
        <v>0</v>
      </c>
      <c r="LR103" s="287">
        <f t="shared" si="1503"/>
        <v>0</v>
      </c>
      <c r="LS103" s="287"/>
      <c r="LT103" s="252" t="str">
        <f t="shared" si="1504"/>
        <v/>
      </c>
      <c r="LV103" s="265"/>
      <c r="LW103" s="230" t="str">
        <f>IF(LV103="","",VLOOKUP(LV103,Language!$D$5:$E$100,2,0))</f>
        <v/>
      </c>
      <c r="LX103" s="266"/>
      <c r="LY103" s="230" t="str">
        <f>IF(LX103="","",VLOOKUP(LX103,Language!$D$5:$E$100,2,0))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30</v>
      </c>
      <c r="C104" s="230" t="str">
        <f>'World Cup'!$AR$50</f>
        <v>Canada</v>
      </c>
      <c r="D104" s="231">
        <f>IF(E104="","",INDEX(Groups!$C$7:$C$65,MATCH(E104,Groups!$D$7:$D$65,0)))</f>
        <v>9</v>
      </c>
      <c r="E104" s="230" t="str">
        <f>'World Cup'!$AS$50</f>
        <v>Belgium</v>
      </c>
      <c r="F104" s="232" t="str">
        <f>IF(AND('World Cup'!$AR$51&lt;&gt;"",'World Cup'!$AS$51&lt;&gt;""),'World Cup'!$AR$51+IF(AND('World Cup'!$AR$53&lt;&gt;"",'World Cup'!$AS$53&lt;&gt;"",'World Cup'!$AR$51='World Cup'!$AS$51),'World Cup'!$AR$53,0),"")</f>
        <v/>
      </c>
      <c r="G104" s="233" t="str">
        <f>IF(AND('World Cup'!$AR$51&lt;&gt;"",'World Cup'!$AS$51&lt;&gt;""),'World Cup'!$AS$51+IF(AND('World Cup'!$AR$53&lt;&gt;"",'World Cup'!$AS$53&lt;&gt;"",'World Cup'!$AR$51='World Cup'!$AS$51),'World Cup'!$AS$53,0),"")</f>
        <v/>
      </c>
      <c r="I104" s="265"/>
      <c r="J104" s="230" t="str">
        <f>IF(I104="","",VLOOKUP(I104,Language!$D$5:$E$100,2,0))</f>
        <v/>
      </c>
      <c r="K104" s="266"/>
      <c r="L104" s="230" t="str">
        <f>IF(K104="","",VLOOKUP(K104,Language!$D$5:$E$100,2,0))</f>
        <v/>
      </c>
      <c r="M104" s="302"/>
      <c r="N104" s="303"/>
      <c r="O104" s="286"/>
      <c r="P104" s="286"/>
      <c r="Q104" s="287">
        <f t="shared" si="1430"/>
        <v>0</v>
      </c>
      <c r="R104" s="287">
        <f t="shared" si="1431"/>
        <v>0</v>
      </c>
      <c r="S104" s="287"/>
      <c r="T104" s="252" t="str">
        <f t="shared" si="1432"/>
        <v/>
      </c>
      <c r="V104" s="265"/>
      <c r="W104" s="230" t="str">
        <f>IF(V104="","",VLOOKUP(V104,Language!$D$5:$E$100,2,0))</f>
        <v/>
      </c>
      <c r="X104" s="266"/>
      <c r="Y104" s="230" t="str">
        <f>IF(X104="","",VLOOKUP(X104,Language!$D$5:$E$100,2,0))</f>
        <v/>
      </c>
      <c r="Z104" s="302"/>
      <c r="AA104" s="303"/>
      <c r="AB104" s="286"/>
      <c r="AC104" s="286"/>
      <c r="AD104" s="287">
        <f t="shared" si="1433"/>
        <v>0</v>
      </c>
      <c r="AE104" s="287">
        <f t="shared" si="1434"/>
        <v>0</v>
      </c>
      <c r="AF104" s="287"/>
      <c r="AG104" s="252" t="str">
        <f t="shared" si="1435"/>
        <v/>
      </c>
      <c r="AI104" s="265"/>
      <c r="AJ104" s="230" t="str">
        <f>IF(AI104="","",VLOOKUP(AI104,Language!$D$5:$E$100,2,0))</f>
        <v/>
      </c>
      <c r="AK104" s="266"/>
      <c r="AL104" s="230" t="str">
        <f>IF(AK104="","",VLOOKUP(AK104,Language!$D$5:$E$100,2,0))</f>
        <v/>
      </c>
      <c r="AM104" s="302"/>
      <c r="AN104" s="303"/>
      <c r="AO104" s="286"/>
      <c r="AP104" s="286"/>
      <c r="AQ104" s="287">
        <f t="shared" si="1436"/>
        <v>0</v>
      </c>
      <c r="AR104" s="287">
        <f t="shared" si="1437"/>
        <v>0</v>
      </c>
      <c r="AS104" s="287"/>
      <c r="AT104" s="252" t="str">
        <f t="shared" si="1438"/>
        <v/>
      </c>
      <c r="AV104" s="265"/>
      <c r="AW104" s="230" t="str">
        <f>IF(AV104="","",VLOOKUP(AV104,Language!$D$5:$E$100,2,0))</f>
        <v/>
      </c>
      <c r="AX104" s="266"/>
      <c r="AY104" s="230" t="str">
        <f>IF(AX104="","",VLOOKUP(AX104,Language!$D$5:$E$100,2,0))</f>
        <v/>
      </c>
      <c r="AZ104" s="302"/>
      <c r="BA104" s="303"/>
      <c r="BB104" s="286"/>
      <c r="BC104" s="286"/>
      <c r="BD104" s="287">
        <f t="shared" si="1439"/>
        <v>0</v>
      </c>
      <c r="BE104" s="287">
        <f t="shared" si="1440"/>
        <v>0</v>
      </c>
      <c r="BF104" s="287"/>
      <c r="BG104" s="252" t="str">
        <f t="shared" si="1441"/>
        <v/>
      </c>
      <c r="BI104" s="265"/>
      <c r="BJ104" s="230" t="str">
        <f>IF(BI104="","",VLOOKUP(BI104,Language!$D$5:$E$100,2,0))</f>
        <v/>
      </c>
      <c r="BK104" s="266"/>
      <c r="BL104" s="230" t="str">
        <f>IF(BK104="","",VLOOKUP(BK104,Language!$D$5:$E$100,2,0))</f>
        <v/>
      </c>
      <c r="BM104" s="302"/>
      <c r="BN104" s="303"/>
      <c r="BO104" s="286"/>
      <c r="BP104" s="286"/>
      <c r="BQ104" s="287">
        <f t="shared" si="1442"/>
        <v>0</v>
      </c>
      <c r="BR104" s="287">
        <f t="shared" si="1443"/>
        <v>0</v>
      </c>
      <c r="BS104" s="287"/>
      <c r="BT104" s="252" t="str">
        <f t="shared" si="1444"/>
        <v/>
      </c>
      <c r="BV104" s="265"/>
      <c r="BW104" s="230" t="str">
        <f>IF(BV104="","",VLOOKUP(BV104,Language!$D$5:$E$100,2,0))</f>
        <v/>
      </c>
      <c r="BX104" s="266"/>
      <c r="BY104" s="230" t="str">
        <f>IF(BX104="","",VLOOKUP(BX104,Language!$D$5:$E$100,2,0))</f>
        <v/>
      </c>
      <c r="BZ104" s="302"/>
      <c r="CA104" s="303"/>
      <c r="CB104" s="286"/>
      <c r="CC104" s="286"/>
      <c r="CD104" s="287">
        <f t="shared" si="1445"/>
        <v>0</v>
      </c>
      <c r="CE104" s="287">
        <f t="shared" si="1446"/>
        <v>0</v>
      </c>
      <c r="CF104" s="287"/>
      <c r="CG104" s="252" t="str">
        <f t="shared" si="1447"/>
        <v/>
      </c>
      <c r="CI104" s="265"/>
      <c r="CJ104" s="230" t="str">
        <f>IF(CI104="","",VLOOKUP(CI104,Language!$D$5:$E$100,2,0))</f>
        <v/>
      </c>
      <c r="CK104" s="266"/>
      <c r="CL104" s="230" t="str">
        <f>IF(CK104="","",VLOOKUP(CK104,Language!$D$5:$E$100,2,0))</f>
        <v/>
      </c>
      <c r="CM104" s="302"/>
      <c r="CN104" s="303"/>
      <c r="CO104" s="286"/>
      <c r="CP104" s="286"/>
      <c r="CQ104" s="287">
        <f t="shared" si="1448"/>
        <v>0</v>
      </c>
      <c r="CR104" s="287">
        <f t="shared" si="1449"/>
        <v>0</v>
      </c>
      <c r="CS104" s="287"/>
      <c r="CT104" s="252" t="str">
        <f t="shared" si="1450"/>
        <v/>
      </c>
      <c r="CV104" s="265"/>
      <c r="CW104" s="230" t="str">
        <f>IF(CV104="","",VLOOKUP(CV104,Language!$D$5:$E$100,2,0))</f>
        <v/>
      </c>
      <c r="CX104" s="266"/>
      <c r="CY104" s="230" t="str">
        <f>IF(CX104="","",VLOOKUP(CX104,Language!$D$5:$E$100,2,0))</f>
        <v/>
      </c>
      <c r="CZ104" s="302"/>
      <c r="DA104" s="303"/>
      <c r="DB104" s="286"/>
      <c r="DC104" s="286"/>
      <c r="DD104" s="287">
        <f t="shared" si="1451"/>
        <v>0</v>
      </c>
      <c r="DE104" s="287">
        <f t="shared" si="1452"/>
        <v>0</v>
      </c>
      <c r="DF104" s="287"/>
      <c r="DG104" s="252" t="str">
        <f t="shared" si="1453"/>
        <v/>
      </c>
      <c r="DI104" s="265"/>
      <c r="DJ104" s="230" t="str">
        <f>IF(DI104="","",VLOOKUP(DI104,Language!$D$5:$E$100,2,0))</f>
        <v/>
      </c>
      <c r="DK104" s="266"/>
      <c r="DL104" s="230" t="str">
        <f>IF(DK104="","",VLOOKUP(DK104,Language!$D$5:$E$100,2,0))</f>
        <v/>
      </c>
      <c r="DM104" s="302"/>
      <c r="DN104" s="303"/>
      <c r="DO104" s="286"/>
      <c r="DP104" s="286"/>
      <c r="DQ104" s="287">
        <f t="shared" si="1454"/>
        <v>0</v>
      </c>
      <c r="DR104" s="287">
        <f t="shared" si="1455"/>
        <v>0</v>
      </c>
      <c r="DS104" s="287"/>
      <c r="DT104" s="252" t="str">
        <f t="shared" si="1456"/>
        <v/>
      </c>
      <c r="DV104" s="265"/>
      <c r="DW104" s="230" t="str">
        <f>IF(DV104="","",VLOOKUP(DV104,Language!$D$5:$E$100,2,0))</f>
        <v/>
      </c>
      <c r="DX104" s="266"/>
      <c r="DY104" s="230" t="str">
        <f>IF(DX104="","",VLOOKUP(DX104,Language!$D$5:$E$100,2,0))</f>
        <v/>
      </c>
      <c r="DZ104" s="302"/>
      <c r="EA104" s="303"/>
      <c r="EB104" s="286"/>
      <c r="EC104" s="286"/>
      <c r="ED104" s="287">
        <f t="shared" si="1457"/>
        <v>0</v>
      </c>
      <c r="EE104" s="287">
        <f t="shared" si="1458"/>
        <v>0</v>
      </c>
      <c r="EF104" s="287"/>
      <c r="EG104" s="252" t="str">
        <f t="shared" si="1459"/>
        <v/>
      </c>
      <c r="EI104" s="265"/>
      <c r="EJ104" s="230" t="str">
        <f>IF(EI104="","",VLOOKUP(EI104,Language!$D$5:$E$100,2,0))</f>
        <v/>
      </c>
      <c r="EK104" s="266"/>
      <c r="EL104" s="230" t="str">
        <f>IF(EK104="","",VLOOKUP(EK104,Language!$D$5:$E$100,2,0))</f>
        <v/>
      </c>
      <c r="EM104" s="302"/>
      <c r="EN104" s="303"/>
      <c r="EO104" s="286"/>
      <c r="EP104" s="286"/>
      <c r="EQ104" s="287">
        <f t="shared" si="1460"/>
        <v>0</v>
      </c>
      <c r="ER104" s="287">
        <f t="shared" si="1461"/>
        <v>0</v>
      </c>
      <c r="ES104" s="287"/>
      <c r="ET104" s="252" t="str">
        <f t="shared" si="1462"/>
        <v/>
      </c>
      <c r="EV104" s="265"/>
      <c r="EW104" s="230" t="str">
        <f>IF(EV104="","",VLOOKUP(EV104,Language!$D$5:$E$100,2,0))</f>
        <v/>
      </c>
      <c r="EX104" s="266"/>
      <c r="EY104" s="230" t="str">
        <f>IF(EX104="","",VLOOKUP(EX104,Language!$D$5:$E$100,2,0))</f>
        <v/>
      </c>
      <c r="EZ104" s="302"/>
      <c r="FA104" s="303"/>
      <c r="FB104" s="286"/>
      <c r="FC104" s="286"/>
      <c r="FD104" s="287">
        <f t="shared" si="1463"/>
        <v>0</v>
      </c>
      <c r="FE104" s="287">
        <f t="shared" si="1464"/>
        <v>0</v>
      </c>
      <c r="FF104" s="287"/>
      <c r="FG104" s="252" t="str">
        <f t="shared" si="1465"/>
        <v/>
      </c>
      <c r="FI104" s="265"/>
      <c r="FJ104" s="230" t="str">
        <f>IF(FI104="","",VLOOKUP(FI104,Language!$D$5:$E$100,2,0))</f>
        <v/>
      </c>
      <c r="FK104" s="266"/>
      <c r="FL104" s="230" t="str">
        <f>IF(FK104="","",VLOOKUP(FK104,Language!$D$5:$E$100,2,0))</f>
        <v/>
      </c>
      <c r="FM104" s="302"/>
      <c r="FN104" s="303"/>
      <c r="FO104" s="286"/>
      <c r="FP104" s="286"/>
      <c r="FQ104" s="287">
        <f t="shared" si="1466"/>
        <v>0</v>
      </c>
      <c r="FR104" s="287">
        <f t="shared" si="1467"/>
        <v>0</v>
      </c>
      <c r="FS104" s="287"/>
      <c r="FT104" s="252" t="str">
        <f t="shared" si="1468"/>
        <v/>
      </c>
      <c r="FV104" s="265"/>
      <c r="FW104" s="230" t="str">
        <f>IF(FV104="","",VLOOKUP(FV104,Language!$D$5:$E$100,2,0))</f>
        <v/>
      </c>
      <c r="FX104" s="266"/>
      <c r="FY104" s="230" t="str">
        <f>IF(FX104="","",VLOOKUP(FX104,Language!$D$5:$E$100,2,0))</f>
        <v/>
      </c>
      <c r="FZ104" s="302"/>
      <c r="GA104" s="303"/>
      <c r="GB104" s="286"/>
      <c r="GC104" s="286"/>
      <c r="GD104" s="287">
        <f t="shared" si="1469"/>
        <v>0</v>
      </c>
      <c r="GE104" s="287">
        <f t="shared" si="1470"/>
        <v>0</v>
      </c>
      <c r="GF104" s="287"/>
      <c r="GG104" s="252" t="str">
        <f t="shared" si="1471"/>
        <v/>
      </c>
      <c r="GI104" s="265"/>
      <c r="GJ104" s="230" t="str">
        <f>IF(GI104="","",VLOOKUP(GI104,Language!$D$5:$E$100,2,0))</f>
        <v/>
      </c>
      <c r="GK104" s="266"/>
      <c r="GL104" s="230" t="str">
        <f>IF(GK104="","",VLOOKUP(GK104,Language!$D$5:$E$100,2,0))</f>
        <v/>
      </c>
      <c r="GM104" s="302"/>
      <c r="GN104" s="303"/>
      <c r="GO104" s="286"/>
      <c r="GP104" s="286"/>
      <c r="GQ104" s="287">
        <f t="shared" si="1472"/>
        <v>0</v>
      </c>
      <c r="GR104" s="287">
        <f t="shared" si="1473"/>
        <v>0</v>
      </c>
      <c r="GS104" s="287"/>
      <c r="GT104" s="252" t="str">
        <f t="shared" si="1474"/>
        <v/>
      </c>
      <c r="GV104" s="265"/>
      <c r="GW104" s="230" t="str">
        <f>IF(GV104="","",VLOOKUP(GV104,Language!$D$5:$E$100,2,0))</f>
        <v/>
      </c>
      <c r="GX104" s="266"/>
      <c r="GY104" s="230" t="str">
        <f>IF(GX104="","",VLOOKUP(GX104,Language!$D$5:$E$100,2,0))</f>
        <v/>
      </c>
      <c r="GZ104" s="302"/>
      <c r="HA104" s="303"/>
      <c r="HB104" s="286"/>
      <c r="HC104" s="286"/>
      <c r="HD104" s="287">
        <f t="shared" si="1475"/>
        <v>0</v>
      </c>
      <c r="HE104" s="287">
        <f t="shared" si="1476"/>
        <v>0</v>
      </c>
      <c r="HF104" s="287"/>
      <c r="HG104" s="252" t="str">
        <f t="shared" si="1477"/>
        <v/>
      </c>
      <c r="HI104" s="265"/>
      <c r="HJ104" s="230" t="str">
        <f>IF(HI104="","",VLOOKUP(HI104,Language!$D$5:$E$100,2,0))</f>
        <v/>
      </c>
      <c r="HK104" s="266"/>
      <c r="HL104" s="230" t="str">
        <f>IF(HK104="","",VLOOKUP(HK104,Language!$D$5:$E$100,2,0))</f>
        <v/>
      </c>
      <c r="HM104" s="302"/>
      <c r="HN104" s="303"/>
      <c r="HO104" s="286"/>
      <c r="HP104" s="286"/>
      <c r="HQ104" s="287">
        <f t="shared" si="1478"/>
        <v>0</v>
      </c>
      <c r="HR104" s="287">
        <f t="shared" si="1479"/>
        <v>0</v>
      </c>
      <c r="HS104" s="287"/>
      <c r="HT104" s="252" t="str">
        <f t="shared" si="1480"/>
        <v/>
      </c>
      <c r="HV104" s="265"/>
      <c r="HW104" s="230" t="str">
        <f>IF(HV104="","",VLOOKUP(HV104,Language!$D$5:$E$100,2,0))</f>
        <v/>
      </c>
      <c r="HX104" s="266"/>
      <c r="HY104" s="230" t="str">
        <f>IF(HX104="","",VLOOKUP(HX104,Language!$D$5:$E$100,2,0))</f>
        <v/>
      </c>
      <c r="HZ104" s="302"/>
      <c r="IA104" s="303"/>
      <c r="IB104" s="286"/>
      <c r="IC104" s="286"/>
      <c r="ID104" s="287">
        <f t="shared" si="1481"/>
        <v>0</v>
      </c>
      <c r="IE104" s="287">
        <f t="shared" si="1482"/>
        <v>0</v>
      </c>
      <c r="IF104" s="287"/>
      <c r="IG104" s="252" t="str">
        <f t="shared" si="1483"/>
        <v/>
      </c>
      <c r="II104" s="265"/>
      <c r="IJ104" s="230" t="str">
        <f>IF(II104="","",VLOOKUP(II104,Language!$D$5:$E$100,2,0))</f>
        <v/>
      </c>
      <c r="IK104" s="266"/>
      <c r="IL104" s="230" t="str">
        <f>IF(IK104="","",VLOOKUP(IK104,Language!$D$5:$E$100,2,0))</f>
        <v/>
      </c>
      <c r="IM104" s="302"/>
      <c r="IN104" s="303"/>
      <c r="IO104" s="286"/>
      <c r="IP104" s="286"/>
      <c r="IQ104" s="287">
        <f t="shared" si="1484"/>
        <v>0</v>
      </c>
      <c r="IR104" s="287">
        <f t="shared" si="1485"/>
        <v>0</v>
      </c>
      <c r="IS104" s="287"/>
      <c r="IT104" s="252" t="str">
        <f t="shared" si="1486"/>
        <v/>
      </c>
      <c r="IV104" s="265"/>
      <c r="IW104" s="230" t="str">
        <f>IF(IV104="","",VLOOKUP(IV104,Language!$D$5:$E$100,2,0))</f>
        <v/>
      </c>
      <c r="IX104" s="266"/>
      <c r="IY104" s="230" t="str">
        <f>IF(IX104="","",VLOOKUP(IX104,Language!$D$5:$E$100,2,0))</f>
        <v/>
      </c>
      <c r="IZ104" s="302"/>
      <c r="JA104" s="303"/>
      <c r="JB104" s="286"/>
      <c r="JC104" s="286"/>
      <c r="JD104" s="287">
        <f t="shared" si="1487"/>
        <v>0</v>
      </c>
      <c r="JE104" s="287">
        <f t="shared" si="1488"/>
        <v>0</v>
      </c>
      <c r="JF104" s="287"/>
      <c r="JG104" s="252" t="str">
        <f t="shared" si="1489"/>
        <v/>
      </c>
      <c r="JI104" s="265"/>
      <c r="JJ104" s="230" t="str">
        <f>IF(JI104="","",VLOOKUP(JI104,Language!$D$5:$E$100,2,0))</f>
        <v/>
      </c>
      <c r="JK104" s="266"/>
      <c r="JL104" s="230" t="str">
        <f>IF(JK104="","",VLOOKUP(JK104,Language!$D$5:$E$100,2,0))</f>
        <v/>
      </c>
      <c r="JM104" s="302"/>
      <c r="JN104" s="303"/>
      <c r="JO104" s="286"/>
      <c r="JP104" s="286"/>
      <c r="JQ104" s="287">
        <f t="shared" si="1490"/>
        <v>0</v>
      </c>
      <c r="JR104" s="287">
        <f t="shared" si="1491"/>
        <v>0</v>
      </c>
      <c r="JS104" s="287"/>
      <c r="JT104" s="252" t="str">
        <f t="shared" si="1492"/>
        <v/>
      </c>
      <c r="JV104" s="265"/>
      <c r="JW104" s="230" t="str">
        <f>IF(JV104="","",VLOOKUP(JV104,Language!$D$5:$E$100,2,0))</f>
        <v/>
      </c>
      <c r="JX104" s="266"/>
      <c r="JY104" s="230" t="str">
        <f>IF(JX104="","",VLOOKUP(JX104,Language!$D$5:$E$100,2,0))</f>
        <v/>
      </c>
      <c r="JZ104" s="302"/>
      <c r="KA104" s="303"/>
      <c r="KB104" s="286"/>
      <c r="KC104" s="286"/>
      <c r="KD104" s="287">
        <f t="shared" si="1493"/>
        <v>0</v>
      </c>
      <c r="KE104" s="287">
        <f t="shared" si="1494"/>
        <v>0</v>
      </c>
      <c r="KF104" s="287"/>
      <c r="KG104" s="252" t="str">
        <f t="shared" si="1495"/>
        <v/>
      </c>
      <c r="KI104" s="265"/>
      <c r="KJ104" s="230" t="str">
        <f>IF(KI104="","",VLOOKUP(KI104,Language!$D$5:$E$100,2,0))</f>
        <v/>
      </c>
      <c r="KK104" s="266"/>
      <c r="KL104" s="230" t="str">
        <f>IF(KK104="","",VLOOKUP(KK104,Language!$D$5:$E$100,2,0))</f>
        <v/>
      </c>
      <c r="KM104" s="302"/>
      <c r="KN104" s="303"/>
      <c r="KO104" s="286"/>
      <c r="KP104" s="286"/>
      <c r="KQ104" s="287">
        <f t="shared" si="1496"/>
        <v>0</v>
      </c>
      <c r="KR104" s="287">
        <f t="shared" si="1497"/>
        <v>0</v>
      </c>
      <c r="KS104" s="287"/>
      <c r="KT104" s="252" t="str">
        <f t="shared" si="1498"/>
        <v/>
      </c>
      <c r="KV104" s="265"/>
      <c r="KW104" s="230" t="str">
        <f>IF(KV104="","",VLOOKUP(KV104,Language!$D$5:$E$100,2,0))</f>
        <v/>
      </c>
      <c r="KX104" s="266"/>
      <c r="KY104" s="230" t="str">
        <f>IF(KX104="","",VLOOKUP(KX104,Language!$D$5:$E$100,2,0))</f>
        <v/>
      </c>
      <c r="KZ104" s="302"/>
      <c r="LA104" s="303"/>
      <c r="LB104" s="286"/>
      <c r="LC104" s="286"/>
      <c r="LD104" s="287">
        <f t="shared" si="1499"/>
        <v>0</v>
      </c>
      <c r="LE104" s="287">
        <f t="shared" si="1500"/>
        <v>0</v>
      </c>
      <c r="LF104" s="287"/>
      <c r="LG104" s="252" t="str">
        <f t="shared" si="1501"/>
        <v/>
      </c>
      <c r="LI104" s="265"/>
      <c r="LJ104" s="230" t="str">
        <f>IF(LI104="","",VLOOKUP(LI104,Language!$D$5:$E$100,2,0))</f>
        <v/>
      </c>
      <c r="LK104" s="266"/>
      <c r="LL104" s="230" t="str">
        <f>IF(LK104="","",VLOOKUP(LK104,Language!$D$5:$E$100,2,0))</f>
        <v/>
      </c>
      <c r="LM104" s="302"/>
      <c r="LN104" s="303"/>
      <c r="LO104" s="286"/>
      <c r="LP104" s="286"/>
      <c r="LQ104" s="287">
        <f t="shared" si="1502"/>
        <v>0</v>
      </c>
      <c r="LR104" s="287">
        <f t="shared" si="1503"/>
        <v>0</v>
      </c>
      <c r="LS104" s="287"/>
      <c r="LT104" s="252" t="str">
        <f t="shared" si="1504"/>
        <v/>
      </c>
      <c r="LV104" s="265"/>
      <c r="LW104" s="230" t="str">
        <f>IF(LV104="","",VLOOKUP(LV104,Language!$D$5:$E$100,2,0))</f>
        <v/>
      </c>
      <c r="LX104" s="266"/>
      <c r="LY104" s="230" t="str">
        <f>IF(LX104="","",VLOOKUP(LX104,Language!$D$5:$E$100,2,0))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Colombia</v>
      </c>
      <c r="D105" s="231">
        <f>IF(E105="","",INDEX(Groups!$C$7:$C$65,MATCH(E105,Groups!$D$7:$D$65,0)))</f>
        <v>40</v>
      </c>
      <c r="E105" s="230" t="str">
        <f>'World Cup'!$AV$50</f>
        <v>Paraguay</v>
      </c>
      <c r="F105" s="232" t="str">
        <f>IF(AND('World Cup'!$AU$51&lt;&gt;"",'World Cup'!$AV$51&lt;&gt;""),'World Cup'!$AU$51+IF(AND('World Cup'!$AU$53&lt;&gt;"",'World Cup'!$AV$53&lt;&gt;"",'World Cup'!$AU$51='World Cup'!$AV$51),'World Cup'!$AU$53,0),"")</f>
        <v/>
      </c>
      <c r="G105" s="233" t="str">
        <f>IF(AND('World Cup'!$AU$51&lt;&gt;"",'World Cup'!$AV$51&lt;&gt;""),'World Cup'!$AV$51+IF(AND('World Cup'!$AU$53&lt;&gt;"",'World Cup'!$AV$53&lt;&gt;"",'World Cup'!$AU$51='World Cup'!$AV$51),'World Cup'!$AV$53,0),"")</f>
        <v/>
      </c>
      <c r="I105" s="265"/>
      <c r="J105" s="230" t="str">
        <f>IF(I105="","",VLOOKUP(I105,Language!$D$5:$E$100,2,0))</f>
        <v/>
      </c>
      <c r="K105" s="266"/>
      <c r="L105" s="230" t="str">
        <f>IF(K105="","",VLOOKUP(K105,Language!$D$5:$E$100,2,0))</f>
        <v/>
      </c>
      <c r="M105" s="304"/>
      <c r="N105" s="305"/>
      <c r="O105" s="288"/>
      <c r="P105" s="288"/>
      <c r="Q105" s="289">
        <f t="shared" si="1430"/>
        <v>0</v>
      </c>
      <c r="R105" s="289">
        <f t="shared" si="1431"/>
        <v>0</v>
      </c>
      <c r="S105" s="289"/>
      <c r="T105" s="252" t="str">
        <f t="shared" si="1432"/>
        <v/>
      </c>
      <c r="V105" s="265"/>
      <c r="W105" s="230" t="str">
        <f>IF(V105="","",VLOOKUP(V105,Language!$D$5:$E$100,2,0))</f>
        <v/>
      </c>
      <c r="X105" s="266"/>
      <c r="Y105" s="230" t="str">
        <f>IF(X105="","",VLOOKUP(X105,Language!$D$5:$E$100,2,0))</f>
        <v/>
      </c>
      <c r="Z105" s="304"/>
      <c r="AA105" s="305"/>
      <c r="AB105" s="288"/>
      <c r="AC105" s="288"/>
      <c r="AD105" s="289">
        <f t="shared" si="1433"/>
        <v>0</v>
      </c>
      <c r="AE105" s="289">
        <f t="shared" si="1434"/>
        <v>0</v>
      </c>
      <c r="AF105" s="289"/>
      <c r="AG105" s="252" t="str">
        <f t="shared" si="1435"/>
        <v/>
      </c>
      <c r="AI105" s="265"/>
      <c r="AJ105" s="230" t="str">
        <f>IF(AI105="","",VLOOKUP(AI105,Language!$D$5:$E$100,2,0))</f>
        <v/>
      </c>
      <c r="AK105" s="266"/>
      <c r="AL105" s="230" t="str">
        <f>IF(AK105="","",VLOOKUP(AK105,Language!$D$5:$E$100,2,0))</f>
        <v/>
      </c>
      <c r="AM105" s="304"/>
      <c r="AN105" s="305"/>
      <c r="AO105" s="288"/>
      <c r="AP105" s="288"/>
      <c r="AQ105" s="289">
        <f t="shared" si="1436"/>
        <v>0</v>
      </c>
      <c r="AR105" s="289">
        <f t="shared" si="1437"/>
        <v>0</v>
      </c>
      <c r="AS105" s="289"/>
      <c r="AT105" s="252" t="str">
        <f t="shared" si="1438"/>
        <v/>
      </c>
      <c r="AV105" s="265"/>
      <c r="AW105" s="230" t="str">
        <f>IF(AV105="","",VLOOKUP(AV105,Language!$D$5:$E$100,2,0))</f>
        <v/>
      </c>
      <c r="AX105" s="266"/>
      <c r="AY105" s="230" t="str">
        <f>IF(AX105="","",VLOOKUP(AX105,Language!$D$5:$E$100,2,0))</f>
        <v/>
      </c>
      <c r="AZ105" s="304"/>
      <c r="BA105" s="305"/>
      <c r="BB105" s="288"/>
      <c r="BC105" s="288"/>
      <c r="BD105" s="289">
        <f t="shared" si="1439"/>
        <v>0</v>
      </c>
      <c r="BE105" s="289">
        <f t="shared" si="1440"/>
        <v>0</v>
      </c>
      <c r="BF105" s="289"/>
      <c r="BG105" s="252" t="str">
        <f t="shared" si="1441"/>
        <v/>
      </c>
      <c r="BI105" s="265"/>
      <c r="BJ105" s="230" t="str">
        <f>IF(BI105="","",VLOOKUP(BI105,Language!$D$5:$E$100,2,0))</f>
        <v/>
      </c>
      <c r="BK105" s="266"/>
      <c r="BL105" s="230" t="str">
        <f>IF(BK105="","",VLOOKUP(BK105,Language!$D$5:$E$100,2,0))</f>
        <v/>
      </c>
      <c r="BM105" s="304"/>
      <c r="BN105" s="305"/>
      <c r="BO105" s="288"/>
      <c r="BP105" s="288"/>
      <c r="BQ105" s="289">
        <f t="shared" si="1442"/>
        <v>0</v>
      </c>
      <c r="BR105" s="289">
        <f t="shared" si="1443"/>
        <v>0</v>
      </c>
      <c r="BS105" s="289"/>
      <c r="BT105" s="252" t="str">
        <f t="shared" si="1444"/>
        <v/>
      </c>
      <c r="BV105" s="265"/>
      <c r="BW105" s="230" t="str">
        <f>IF(BV105="","",VLOOKUP(BV105,Language!$D$5:$E$100,2,0))</f>
        <v/>
      </c>
      <c r="BX105" s="266"/>
      <c r="BY105" s="230" t="str">
        <f>IF(BX105="","",VLOOKUP(BX105,Language!$D$5:$E$100,2,0))</f>
        <v/>
      </c>
      <c r="BZ105" s="304"/>
      <c r="CA105" s="305"/>
      <c r="CB105" s="288"/>
      <c r="CC105" s="288"/>
      <c r="CD105" s="289">
        <f t="shared" si="1445"/>
        <v>0</v>
      </c>
      <c r="CE105" s="289">
        <f t="shared" si="1446"/>
        <v>0</v>
      </c>
      <c r="CF105" s="289"/>
      <c r="CG105" s="252" t="str">
        <f t="shared" si="1447"/>
        <v/>
      </c>
      <c r="CI105" s="265"/>
      <c r="CJ105" s="230" t="str">
        <f>IF(CI105="","",VLOOKUP(CI105,Language!$D$5:$E$100,2,0))</f>
        <v/>
      </c>
      <c r="CK105" s="266"/>
      <c r="CL105" s="230" t="str">
        <f>IF(CK105="","",VLOOKUP(CK105,Language!$D$5:$E$100,2,0))</f>
        <v/>
      </c>
      <c r="CM105" s="304"/>
      <c r="CN105" s="305"/>
      <c r="CO105" s="288"/>
      <c r="CP105" s="288"/>
      <c r="CQ105" s="289">
        <f t="shared" si="1448"/>
        <v>0</v>
      </c>
      <c r="CR105" s="289">
        <f t="shared" si="1449"/>
        <v>0</v>
      </c>
      <c r="CS105" s="289"/>
      <c r="CT105" s="252" t="str">
        <f t="shared" si="1450"/>
        <v/>
      </c>
      <c r="CV105" s="265"/>
      <c r="CW105" s="230" t="str">
        <f>IF(CV105="","",VLOOKUP(CV105,Language!$D$5:$E$100,2,0))</f>
        <v/>
      </c>
      <c r="CX105" s="266"/>
      <c r="CY105" s="230" t="str">
        <f>IF(CX105="","",VLOOKUP(CX105,Language!$D$5:$E$100,2,0))</f>
        <v/>
      </c>
      <c r="CZ105" s="304"/>
      <c r="DA105" s="305"/>
      <c r="DB105" s="288"/>
      <c r="DC105" s="288"/>
      <c r="DD105" s="289">
        <f t="shared" si="1451"/>
        <v>0</v>
      </c>
      <c r="DE105" s="289">
        <f t="shared" si="1452"/>
        <v>0</v>
      </c>
      <c r="DF105" s="289"/>
      <c r="DG105" s="252" t="str">
        <f t="shared" si="1453"/>
        <v/>
      </c>
      <c r="DI105" s="265"/>
      <c r="DJ105" s="230" t="str">
        <f>IF(DI105="","",VLOOKUP(DI105,Language!$D$5:$E$100,2,0))</f>
        <v/>
      </c>
      <c r="DK105" s="266"/>
      <c r="DL105" s="230" t="str">
        <f>IF(DK105="","",VLOOKUP(DK105,Language!$D$5:$E$100,2,0))</f>
        <v/>
      </c>
      <c r="DM105" s="304"/>
      <c r="DN105" s="305"/>
      <c r="DO105" s="288"/>
      <c r="DP105" s="288"/>
      <c r="DQ105" s="289">
        <f t="shared" si="1454"/>
        <v>0</v>
      </c>
      <c r="DR105" s="289">
        <f t="shared" si="1455"/>
        <v>0</v>
      </c>
      <c r="DS105" s="289"/>
      <c r="DT105" s="252" t="str">
        <f t="shared" si="1456"/>
        <v/>
      </c>
      <c r="DV105" s="265"/>
      <c r="DW105" s="230" t="str">
        <f>IF(DV105="","",VLOOKUP(DV105,Language!$D$5:$E$100,2,0))</f>
        <v/>
      </c>
      <c r="DX105" s="266"/>
      <c r="DY105" s="230" t="str">
        <f>IF(DX105="","",VLOOKUP(DX105,Language!$D$5:$E$100,2,0))</f>
        <v/>
      </c>
      <c r="DZ105" s="304"/>
      <c r="EA105" s="305"/>
      <c r="EB105" s="288"/>
      <c r="EC105" s="288"/>
      <c r="ED105" s="289">
        <f t="shared" si="1457"/>
        <v>0</v>
      </c>
      <c r="EE105" s="289">
        <f t="shared" si="1458"/>
        <v>0</v>
      </c>
      <c r="EF105" s="289"/>
      <c r="EG105" s="252" t="str">
        <f t="shared" si="1459"/>
        <v/>
      </c>
      <c r="EI105" s="265"/>
      <c r="EJ105" s="230" t="str">
        <f>IF(EI105="","",VLOOKUP(EI105,Language!$D$5:$E$100,2,0))</f>
        <v/>
      </c>
      <c r="EK105" s="266"/>
      <c r="EL105" s="230" t="str">
        <f>IF(EK105="","",VLOOKUP(EK105,Language!$D$5:$E$100,2,0))</f>
        <v/>
      </c>
      <c r="EM105" s="304"/>
      <c r="EN105" s="305"/>
      <c r="EO105" s="288"/>
      <c r="EP105" s="288"/>
      <c r="EQ105" s="289">
        <f t="shared" si="1460"/>
        <v>0</v>
      </c>
      <c r="ER105" s="289">
        <f t="shared" si="1461"/>
        <v>0</v>
      </c>
      <c r="ES105" s="289"/>
      <c r="ET105" s="252" t="str">
        <f t="shared" si="1462"/>
        <v/>
      </c>
      <c r="EV105" s="265"/>
      <c r="EW105" s="230" t="str">
        <f>IF(EV105="","",VLOOKUP(EV105,Language!$D$5:$E$100,2,0))</f>
        <v/>
      </c>
      <c r="EX105" s="266"/>
      <c r="EY105" s="230" t="str">
        <f>IF(EX105="","",VLOOKUP(EX105,Language!$D$5:$E$100,2,0))</f>
        <v/>
      </c>
      <c r="EZ105" s="304"/>
      <c r="FA105" s="305"/>
      <c r="FB105" s="288"/>
      <c r="FC105" s="288"/>
      <c r="FD105" s="289">
        <f t="shared" si="1463"/>
        <v>0</v>
      </c>
      <c r="FE105" s="289">
        <f t="shared" si="1464"/>
        <v>0</v>
      </c>
      <c r="FF105" s="289"/>
      <c r="FG105" s="252" t="str">
        <f t="shared" si="1465"/>
        <v/>
      </c>
      <c r="FI105" s="265"/>
      <c r="FJ105" s="230" t="str">
        <f>IF(FI105="","",VLOOKUP(FI105,Language!$D$5:$E$100,2,0))</f>
        <v/>
      </c>
      <c r="FK105" s="266"/>
      <c r="FL105" s="230" t="str">
        <f>IF(FK105="","",VLOOKUP(FK105,Language!$D$5:$E$100,2,0))</f>
        <v/>
      </c>
      <c r="FM105" s="304"/>
      <c r="FN105" s="305"/>
      <c r="FO105" s="288"/>
      <c r="FP105" s="288"/>
      <c r="FQ105" s="289">
        <f t="shared" si="1466"/>
        <v>0</v>
      </c>
      <c r="FR105" s="289">
        <f t="shared" si="1467"/>
        <v>0</v>
      </c>
      <c r="FS105" s="289"/>
      <c r="FT105" s="252" t="str">
        <f t="shared" si="1468"/>
        <v/>
      </c>
      <c r="FV105" s="265"/>
      <c r="FW105" s="230" t="str">
        <f>IF(FV105="","",VLOOKUP(FV105,Language!$D$5:$E$100,2,0))</f>
        <v/>
      </c>
      <c r="FX105" s="266"/>
      <c r="FY105" s="230" t="str">
        <f>IF(FX105="","",VLOOKUP(FX105,Language!$D$5:$E$100,2,0))</f>
        <v/>
      </c>
      <c r="FZ105" s="304"/>
      <c r="GA105" s="305"/>
      <c r="GB105" s="288"/>
      <c r="GC105" s="288"/>
      <c r="GD105" s="289">
        <f t="shared" si="1469"/>
        <v>0</v>
      </c>
      <c r="GE105" s="289">
        <f t="shared" si="1470"/>
        <v>0</v>
      </c>
      <c r="GF105" s="289"/>
      <c r="GG105" s="252" t="str">
        <f t="shared" si="1471"/>
        <v/>
      </c>
      <c r="GI105" s="265"/>
      <c r="GJ105" s="230" t="str">
        <f>IF(GI105="","",VLOOKUP(GI105,Language!$D$5:$E$100,2,0))</f>
        <v/>
      </c>
      <c r="GK105" s="266"/>
      <c r="GL105" s="230" t="str">
        <f>IF(GK105="","",VLOOKUP(GK105,Language!$D$5:$E$100,2,0))</f>
        <v/>
      </c>
      <c r="GM105" s="304"/>
      <c r="GN105" s="305"/>
      <c r="GO105" s="288"/>
      <c r="GP105" s="288"/>
      <c r="GQ105" s="289">
        <f t="shared" si="1472"/>
        <v>0</v>
      </c>
      <c r="GR105" s="289">
        <f t="shared" si="1473"/>
        <v>0</v>
      </c>
      <c r="GS105" s="289"/>
      <c r="GT105" s="252" t="str">
        <f t="shared" si="1474"/>
        <v/>
      </c>
      <c r="GV105" s="265"/>
      <c r="GW105" s="230" t="str">
        <f>IF(GV105="","",VLOOKUP(GV105,Language!$D$5:$E$100,2,0))</f>
        <v/>
      </c>
      <c r="GX105" s="266"/>
      <c r="GY105" s="230" t="str">
        <f>IF(GX105="","",VLOOKUP(GX105,Language!$D$5:$E$100,2,0))</f>
        <v/>
      </c>
      <c r="GZ105" s="304"/>
      <c r="HA105" s="305"/>
      <c r="HB105" s="288"/>
      <c r="HC105" s="288"/>
      <c r="HD105" s="289">
        <f t="shared" si="1475"/>
        <v>0</v>
      </c>
      <c r="HE105" s="289">
        <f t="shared" si="1476"/>
        <v>0</v>
      </c>
      <c r="HF105" s="289"/>
      <c r="HG105" s="252" t="str">
        <f t="shared" si="1477"/>
        <v/>
      </c>
      <c r="HI105" s="265"/>
      <c r="HJ105" s="230" t="str">
        <f>IF(HI105="","",VLOOKUP(HI105,Language!$D$5:$E$100,2,0))</f>
        <v/>
      </c>
      <c r="HK105" s="266"/>
      <c r="HL105" s="230" t="str">
        <f>IF(HK105="","",VLOOKUP(HK105,Language!$D$5:$E$100,2,0))</f>
        <v/>
      </c>
      <c r="HM105" s="304"/>
      <c r="HN105" s="305"/>
      <c r="HO105" s="288"/>
      <c r="HP105" s="288"/>
      <c r="HQ105" s="289">
        <f t="shared" si="1478"/>
        <v>0</v>
      </c>
      <c r="HR105" s="289">
        <f t="shared" si="1479"/>
        <v>0</v>
      </c>
      <c r="HS105" s="289"/>
      <c r="HT105" s="252" t="str">
        <f t="shared" si="1480"/>
        <v/>
      </c>
      <c r="HV105" s="265"/>
      <c r="HW105" s="230" t="str">
        <f>IF(HV105="","",VLOOKUP(HV105,Language!$D$5:$E$100,2,0))</f>
        <v/>
      </c>
      <c r="HX105" s="266"/>
      <c r="HY105" s="230" t="str">
        <f>IF(HX105="","",VLOOKUP(HX105,Language!$D$5:$E$100,2,0))</f>
        <v/>
      </c>
      <c r="HZ105" s="304"/>
      <c r="IA105" s="305"/>
      <c r="IB105" s="288"/>
      <c r="IC105" s="288"/>
      <c r="ID105" s="289">
        <f t="shared" si="1481"/>
        <v>0</v>
      </c>
      <c r="IE105" s="289">
        <f t="shared" si="1482"/>
        <v>0</v>
      </c>
      <c r="IF105" s="289"/>
      <c r="IG105" s="252" t="str">
        <f t="shared" si="1483"/>
        <v/>
      </c>
      <c r="II105" s="265"/>
      <c r="IJ105" s="230" t="str">
        <f>IF(II105="","",VLOOKUP(II105,Language!$D$5:$E$100,2,0))</f>
        <v/>
      </c>
      <c r="IK105" s="266"/>
      <c r="IL105" s="230" t="str">
        <f>IF(IK105="","",VLOOKUP(IK105,Language!$D$5:$E$100,2,0))</f>
        <v/>
      </c>
      <c r="IM105" s="304"/>
      <c r="IN105" s="305"/>
      <c r="IO105" s="288"/>
      <c r="IP105" s="288"/>
      <c r="IQ105" s="289">
        <f t="shared" si="1484"/>
        <v>0</v>
      </c>
      <c r="IR105" s="289">
        <f t="shared" si="1485"/>
        <v>0</v>
      </c>
      <c r="IS105" s="289"/>
      <c r="IT105" s="252" t="str">
        <f t="shared" si="1486"/>
        <v/>
      </c>
      <c r="IV105" s="265"/>
      <c r="IW105" s="230" t="str">
        <f>IF(IV105="","",VLOOKUP(IV105,Language!$D$5:$E$100,2,0))</f>
        <v/>
      </c>
      <c r="IX105" s="266"/>
      <c r="IY105" s="230" t="str">
        <f>IF(IX105="","",VLOOKUP(IX105,Language!$D$5:$E$100,2,0))</f>
        <v/>
      </c>
      <c r="IZ105" s="304"/>
      <c r="JA105" s="305"/>
      <c r="JB105" s="288"/>
      <c r="JC105" s="288"/>
      <c r="JD105" s="289">
        <f t="shared" si="1487"/>
        <v>0</v>
      </c>
      <c r="JE105" s="289">
        <f t="shared" si="1488"/>
        <v>0</v>
      </c>
      <c r="JF105" s="289"/>
      <c r="JG105" s="252" t="str">
        <f t="shared" si="1489"/>
        <v/>
      </c>
      <c r="JI105" s="265"/>
      <c r="JJ105" s="230" t="str">
        <f>IF(JI105="","",VLOOKUP(JI105,Language!$D$5:$E$100,2,0))</f>
        <v/>
      </c>
      <c r="JK105" s="266"/>
      <c r="JL105" s="230" t="str">
        <f>IF(JK105="","",VLOOKUP(JK105,Language!$D$5:$E$100,2,0))</f>
        <v/>
      </c>
      <c r="JM105" s="304"/>
      <c r="JN105" s="305"/>
      <c r="JO105" s="288"/>
      <c r="JP105" s="288"/>
      <c r="JQ105" s="289">
        <f t="shared" si="1490"/>
        <v>0</v>
      </c>
      <c r="JR105" s="289">
        <f t="shared" si="1491"/>
        <v>0</v>
      </c>
      <c r="JS105" s="289"/>
      <c r="JT105" s="252" t="str">
        <f t="shared" si="1492"/>
        <v/>
      </c>
      <c r="JV105" s="265"/>
      <c r="JW105" s="230" t="str">
        <f>IF(JV105="","",VLOOKUP(JV105,Language!$D$5:$E$100,2,0))</f>
        <v/>
      </c>
      <c r="JX105" s="266"/>
      <c r="JY105" s="230" t="str">
        <f>IF(JX105="","",VLOOKUP(JX105,Language!$D$5:$E$100,2,0))</f>
        <v/>
      </c>
      <c r="JZ105" s="304"/>
      <c r="KA105" s="305"/>
      <c r="KB105" s="288"/>
      <c r="KC105" s="288"/>
      <c r="KD105" s="289">
        <f t="shared" si="1493"/>
        <v>0</v>
      </c>
      <c r="KE105" s="289">
        <f t="shared" si="1494"/>
        <v>0</v>
      </c>
      <c r="KF105" s="289"/>
      <c r="KG105" s="252" t="str">
        <f t="shared" si="1495"/>
        <v/>
      </c>
      <c r="KI105" s="265"/>
      <c r="KJ105" s="230" t="str">
        <f>IF(KI105="","",VLOOKUP(KI105,Language!$D$5:$E$100,2,0))</f>
        <v/>
      </c>
      <c r="KK105" s="266"/>
      <c r="KL105" s="230" t="str">
        <f>IF(KK105="","",VLOOKUP(KK105,Language!$D$5:$E$100,2,0))</f>
        <v/>
      </c>
      <c r="KM105" s="304"/>
      <c r="KN105" s="305"/>
      <c r="KO105" s="288"/>
      <c r="KP105" s="288"/>
      <c r="KQ105" s="289">
        <f t="shared" si="1496"/>
        <v>0</v>
      </c>
      <c r="KR105" s="289">
        <f t="shared" si="1497"/>
        <v>0</v>
      </c>
      <c r="KS105" s="289"/>
      <c r="KT105" s="252" t="str">
        <f t="shared" si="1498"/>
        <v/>
      </c>
      <c r="KV105" s="265"/>
      <c r="KW105" s="230" t="str">
        <f>IF(KV105="","",VLOOKUP(KV105,Language!$D$5:$E$100,2,0))</f>
        <v/>
      </c>
      <c r="KX105" s="266"/>
      <c r="KY105" s="230" t="str">
        <f>IF(KX105="","",VLOOKUP(KX105,Language!$D$5:$E$100,2,0))</f>
        <v/>
      </c>
      <c r="KZ105" s="304"/>
      <c r="LA105" s="305"/>
      <c r="LB105" s="288"/>
      <c r="LC105" s="288"/>
      <c r="LD105" s="289">
        <f t="shared" si="1499"/>
        <v>0</v>
      </c>
      <c r="LE105" s="289">
        <f t="shared" si="1500"/>
        <v>0</v>
      </c>
      <c r="LF105" s="289"/>
      <c r="LG105" s="252" t="str">
        <f t="shared" si="1501"/>
        <v/>
      </c>
      <c r="LI105" s="265"/>
      <c r="LJ105" s="230" t="str">
        <f>IF(LI105="","",VLOOKUP(LI105,Language!$D$5:$E$100,2,0))</f>
        <v/>
      </c>
      <c r="LK105" s="266"/>
      <c r="LL105" s="230" t="str">
        <f>IF(LK105="","",VLOOKUP(LK105,Language!$D$5:$E$100,2,0))</f>
        <v/>
      </c>
      <c r="LM105" s="304"/>
      <c r="LN105" s="305"/>
      <c r="LO105" s="288"/>
      <c r="LP105" s="288"/>
      <c r="LQ105" s="289">
        <f t="shared" si="1502"/>
        <v>0</v>
      </c>
      <c r="LR105" s="289">
        <f t="shared" si="1503"/>
        <v>0</v>
      </c>
      <c r="LS105" s="289"/>
      <c r="LT105" s="252" t="str">
        <f t="shared" si="1504"/>
        <v/>
      </c>
      <c r="LV105" s="265"/>
      <c r="LW105" s="230" t="str">
        <f>IF(LV105="","",VLOOKUP(LV105,Language!$D$5:$E$100,2,0))</f>
        <v/>
      </c>
      <c r="LX105" s="266"/>
      <c r="LY105" s="230" t="str">
        <f>IF(LX105="","",VLOOKUP(LX105,Language!$D$5:$E$100,2,0))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41"/>
      <c r="R106" s="241"/>
      <c r="S106" s="241"/>
      <c r="T106" s="255"/>
      <c r="V106" s="238" t="str">
        <f t="shared" si="1405"/>
        <v>Round of 16</v>
      </c>
      <c r="W106" s="240"/>
      <c r="X106" s="240"/>
      <c r="Y106" s="241"/>
      <c r="Z106" s="270"/>
      <c r="AA106" s="271"/>
      <c r="AB106" s="242"/>
      <c r="AC106" s="254"/>
      <c r="AD106" s="241"/>
      <c r="AE106" s="241"/>
      <c r="AF106" s="241"/>
      <c r="AG106" s="255"/>
      <c r="AI106" s="238" t="str">
        <f t="shared" si="1406"/>
        <v>Round of 16</v>
      </c>
      <c r="AJ106" s="240"/>
      <c r="AK106" s="240"/>
      <c r="AL106" s="241"/>
      <c r="AM106" s="270"/>
      <c r="AN106" s="271"/>
      <c r="AO106" s="242"/>
      <c r="AP106" s="254"/>
      <c r="AQ106" s="241"/>
      <c r="AR106" s="241"/>
      <c r="AS106" s="241"/>
      <c r="AT106" s="255"/>
      <c r="AV106" s="238" t="str">
        <f t="shared" si="1407"/>
        <v>Round of 16</v>
      </c>
      <c r="AW106" s="240"/>
      <c r="AX106" s="240"/>
      <c r="AY106" s="241"/>
      <c r="AZ106" s="270"/>
      <c r="BA106" s="271"/>
      <c r="BB106" s="242"/>
      <c r="BC106" s="254"/>
      <c r="BD106" s="241"/>
      <c r="BE106" s="241"/>
      <c r="BF106" s="241"/>
      <c r="BG106" s="255"/>
      <c r="BI106" s="238" t="str">
        <f t="shared" si="1408"/>
        <v>Round of 16</v>
      </c>
      <c r="BJ106" s="240"/>
      <c r="BK106" s="240"/>
      <c r="BL106" s="241"/>
      <c r="BM106" s="270"/>
      <c r="BN106" s="271"/>
      <c r="BO106" s="242"/>
      <c r="BP106" s="254"/>
      <c r="BQ106" s="241"/>
      <c r="BR106" s="241"/>
      <c r="BS106" s="241"/>
      <c r="BT106" s="255"/>
      <c r="BV106" s="238" t="str">
        <f t="shared" si="1409"/>
        <v>Round of 16</v>
      </c>
      <c r="BW106" s="240"/>
      <c r="BX106" s="240"/>
      <c r="BY106" s="241"/>
      <c r="BZ106" s="270"/>
      <c r="CA106" s="271"/>
      <c r="CB106" s="242"/>
      <c r="CC106" s="254"/>
      <c r="CD106" s="241"/>
      <c r="CE106" s="241"/>
      <c r="CF106" s="241"/>
      <c r="CG106" s="255"/>
      <c r="CI106" s="238" t="str">
        <f t="shared" si="1410"/>
        <v>Round of 16</v>
      </c>
      <c r="CJ106" s="240"/>
      <c r="CK106" s="240"/>
      <c r="CL106" s="241"/>
      <c r="CM106" s="270"/>
      <c r="CN106" s="271"/>
      <c r="CO106" s="242"/>
      <c r="CP106" s="254"/>
      <c r="CQ106" s="241"/>
      <c r="CR106" s="241"/>
      <c r="CS106" s="241"/>
      <c r="CT106" s="255"/>
      <c r="CV106" s="238" t="str">
        <f t="shared" si="1411"/>
        <v>Round of 16</v>
      </c>
      <c r="CW106" s="240"/>
      <c r="CX106" s="240"/>
      <c r="CY106" s="241"/>
      <c r="CZ106" s="270"/>
      <c r="DA106" s="271"/>
      <c r="DB106" s="242"/>
      <c r="DC106" s="254"/>
      <c r="DD106" s="241"/>
      <c r="DE106" s="241"/>
      <c r="DF106" s="241"/>
      <c r="DG106" s="255"/>
      <c r="DI106" s="238" t="str">
        <f t="shared" si="1412"/>
        <v>Round of 16</v>
      </c>
      <c r="DJ106" s="240"/>
      <c r="DK106" s="240"/>
      <c r="DL106" s="241"/>
      <c r="DM106" s="270"/>
      <c r="DN106" s="271"/>
      <c r="DO106" s="242"/>
      <c r="DP106" s="254"/>
      <c r="DQ106" s="241"/>
      <c r="DR106" s="241"/>
      <c r="DS106" s="241"/>
      <c r="DT106" s="255"/>
      <c r="DV106" s="238" t="str">
        <f t="shared" si="1413"/>
        <v>Round of 16</v>
      </c>
      <c r="DW106" s="240"/>
      <c r="DX106" s="240"/>
      <c r="DY106" s="241"/>
      <c r="DZ106" s="270"/>
      <c r="EA106" s="271"/>
      <c r="EB106" s="242"/>
      <c r="EC106" s="254"/>
      <c r="ED106" s="241"/>
      <c r="EE106" s="241"/>
      <c r="EF106" s="241"/>
      <c r="EG106" s="255"/>
      <c r="EI106" s="238" t="str">
        <f t="shared" si="1414"/>
        <v>Round of 16</v>
      </c>
      <c r="EJ106" s="240"/>
      <c r="EK106" s="240"/>
      <c r="EL106" s="241"/>
      <c r="EM106" s="270"/>
      <c r="EN106" s="271"/>
      <c r="EO106" s="242"/>
      <c r="EP106" s="254"/>
      <c r="EQ106" s="241"/>
      <c r="ER106" s="241"/>
      <c r="ES106" s="241"/>
      <c r="ET106" s="255"/>
      <c r="EV106" s="238" t="str">
        <f t="shared" si="1415"/>
        <v>Round of 16</v>
      </c>
      <c r="EW106" s="240"/>
      <c r="EX106" s="240"/>
      <c r="EY106" s="241"/>
      <c r="EZ106" s="270"/>
      <c r="FA106" s="271"/>
      <c r="FB106" s="242"/>
      <c r="FC106" s="254"/>
      <c r="FD106" s="241"/>
      <c r="FE106" s="241"/>
      <c r="FF106" s="241"/>
      <c r="FG106" s="255"/>
      <c r="FI106" s="238" t="str">
        <f t="shared" si="1416"/>
        <v>Round of 16</v>
      </c>
      <c r="FJ106" s="240"/>
      <c r="FK106" s="240"/>
      <c r="FL106" s="241"/>
      <c r="FM106" s="270"/>
      <c r="FN106" s="271"/>
      <c r="FO106" s="242"/>
      <c r="FP106" s="254"/>
      <c r="FQ106" s="241"/>
      <c r="FR106" s="241"/>
      <c r="FS106" s="241"/>
      <c r="FT106" s="255"/>
      <c r="FV106" s="238" t="str">
        <f t="shared" si="1417"/>
        <v>Round of 16</v>
      </c>
      <c r="FW106" s="240"/>
      <c r="FX106" s="240"/>
      <c r="FY106" s="241"/>
      <c r="FZ106" s="270"/>
      <c r="GA106" s="271"/>
      <c r="GB106" s="242"/>
      <c r="GC106" s="254"/>
      <c r="GD106" s="241"/>
      <c r="GE106" s="241"/>
      <c r="GF106" s="241"/>
      <c r="GG106" s="255"/>
      <c r="GI106" s="238" t="str">
        <f t="shared" si="1418"/>
        <v>Round of 16</v>
      </c>
      <c r="GJ106" s="240"/>
      <c r="GK106" s="240"/>
      <c r="GL106" s="241"/>
      <c r="GM106" s="270"/>
      <c r="GN106" s="271"/>
      <c r="GO106" s="242"/>
      <c r="GP106" s="254"/>
      <c r="GQ106" s="241"/>
      <c r="GR106" s="241"/>
      <c r="GS106" s="241"/>
      <c r="GT106" s="255"/>
      <c r="GV106" s="238" t="str">
        <f t="shared" si="1419"/>
        <v>Round of 16</v>
      </c>
      <c r="GW106" s="240"/>
      <c r="GX106" s="240"/>
      <c r="GY106" s="241"/>
      <c r="GZ106" s="270"/>
      <c r="HA106" s="271"/>
      <c r="HB106" s="242"/>
      <c r="HC106" s="254"/>
      <c r="HD106" s="241"/>
      <c r="HE106" s="241"/>
      <c r="HF106" s="241"/>
      <c r="HG106" s="255"/>
      <c r="HI106" s="238" t="str">
        <f t="shared" si="1420"/>
        <v>Round of 16</v>
      </c>
      <c r="HJ106" s="240"/>
      <c r="HK106" s="240"/>
      <c r="HL106" s="241"/>
      <c r="HM106" s="270"/>
      <c r="HN106" s="271"/>
      <c r="HO106" s="242"/>
      <c r="HP106" s="254"/>
      <c r="HQ106" s="241"/>
      <c r="HR106" s="241"/>
      <c r="HS106" s="241"/>
      <c r="HT106" s="255"/>
      <c r="HV106" s="238" t="str">
        <f t="shared" si="1421"/>
        <v>Round of 16</v>
      </c>
      <c r="HW106" s="240"/>
      <c r="HX106" s="240"/>
      <c r="HY106" s="241"/>
      <c r="HZ106" s="270"/>
      <c r="IA106" s="271"/>
      <c r="IB106" s="242"/>
      <c r="IC106" s="254"/>
      <c r="ID106" s="241"/>
      <c r="IE106" s="241"/>
      <c r="IF106" s="241"/>
      <c r="IG106" s="255"/>
      <c r="II106" s="238" t="str">
        <f t="shared" si="1422"/>
        <v>Round of 16</v>
      </c>
      <c r="IJ106" s="240"/>
      <c r="IK106" s="240"/>
      <c r="IL106" s="241"/>
      <c r="IM106" s="270"/>
      <c r="IN106" s="271"/>
      <c r="IO106" s="242"/>
      <c r="IP106" s="254"/>
      <c r="IQ106" s="241"/>
      <c r="IR106" s="241"/>
      <c r="IS106" s="241"/>
      <c r="IT106" s="255"/>
      <c r="IV106" s="238" t="str">
        <f t="shared" si="1423"/>
        <v>Round of 16</v>
      </c>
      <c r="IW106" s="240"/>
      <c r="IX106" s="240"/>
      <c r="IY106" s="241"/>
      <c r="IZ106" s="270"/>
      <c r="JA106" s="271"/>
      <c r="JB106" s="242"/>
      <c r="JC106" s="254"/>
      <c r="JD106" s="241"/>
      <c r="JE106" s="241"/>
      <c r="JF106" s="241"/>
      <c r="JG106" s="255"/>
      <c r="JI106" s="238" t="str">
        <f t="shared" si="1424"/>
        <v>Round of 16</v>
      </c>
      <c r="JJ106" s="240"/>
      <c r="JK106" s="240"/>
      <c r="JL106" s="241"/>
      <c r="JM106" s="270"/>
      <c r="JN106" s="271"/>
      <c r="JO106" s="242"/>
      <c r="JP106" s="254"/>
      <c r="JQ106" s="241"/>
      <c r="JR106" s="241"/>
      <c r="JS106" s="241"/>
      <c r="JT106" s="255"/>
      <c r="JV106" s="238" t="str">
        <f t="shared" si="1425"/>
        <v>Round of 16</v>
      </c>
      <c r="JW106" s="240"/>
      <c r="JX106" s="240"/>
      <c r="JY106" s="241"/>
      <c r="JZ106" s="270"/>
      <c r="KA106" s="271"/>
      <c r="KB106" s="242"/>
      <c r="KC106" s="254"/>
      <c r="KD106" s="241"/>
      <c r="KE106" s="241"/>
      <c r="KF106" s="241"/>
      <c r="KG106" s="255"/>
      <c r="KI106" s="238" t="str">
        <f t="shared" si="1426"/>
        <v>Round of 16</v>
      </c>
      <c r="KJ106" s="240"/>
      <c r="KK106" s="240"/>
      <c r="KL106" s="241"/>
      <c r="KM106" s="270"/>
      <c r="KN106" s="271"/>
      <c r="KO106" s="242"/>
      <c r="KP106" s="254"/>
      <c r="KQ106" s="241"/>
      <c r="KR106" s="241"/>
      <c r="KS106" s="241"/>
      <c r="KT106" s="255"/>
      <c r="KV106" s="238" t="str">
        <f t="shared" si="1427"/>
        <v>Round of 16</v>
      </c>
      <c r="KW106" s="240"/>
      <c r="KX106" s="240"/>
      <c r="KY106" s="241"/>
      <c r="KZ106" s="270"/>
      <c r="LA106" s="271"/>
      <c r="LB106" s="242"/>
      <c r="LC106" s="254"/>
      <c r="LD106" s="241"/>
      <c r="LE106" s="241"/>
      <c r="LF106" s="241"/>
      <c r="LG106" s="255"/>
      <c r="LI106" s="238" t="str">
        <f t="shared" si="1428"/>
        <v>Round of 16</v>
      </c>
      <c r="LJ106" s="240"/>
      <c r="LK106" s="240"/>
      <c r="LL106" s="241"/>
      <c r="LM106" s="270"/>
      <c r="LN106" s="271"/>
      <c r="LO106" s="242"/>
      <c r="LP106" s="254"/>
      <c r="LQ106" s="241"/>
      <c r="LR106" s="241"/>
      <c r="LS106" s="241"/>
      <c r="LT106" s="255"/>
      <c r="LV106" s="238" t="str">
        <f t="shared" si="1429"/>
        <v>Round of 16</v>
      </c>
      <c r="LW106" s="240"/>
      <c r="LX106" s="240"/>
      <c r="LY106" s="241"/>
      <c r="LZ106" s="270"/>
      <c r="MA106" s="271"/>
      <c r="MB106" s="242"/>
      <c r="MC106" s="254"/>
      <c r="MD106" s="241"/>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IF(I107="","",VLOOKUP(I107,Language!$D$5:$E$100,2,0))</f>
        <v/>
      </c>
      <c r="K107" s="266"/>
      <c r="L107" s="230" t="str">
        <f>IF(K107="","",VLOOKUP(K107,Language!$D$5:$E$100,2,0))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IF(V107="","",VLOOKUP(V107,Language!$D$5:$E$100,2,0))</f>
        <v/>
      </c>
      <c r="X107" s="266"/>
      <c r="Y107" s="230" t="str">
        <f>IF(X107="","",VLOOKUP(X107,Language!$D$5:$E$100,2,0))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IF(AI107="","",VLOOKUP(AI107,Language!$D$5:$E$100,2,0))</f>
        <v/>
      </c>
      <c r="AK107" s="266"/>
      <c r="AL107" s="230" t="str">
        <f>IF(AK107="","",VLOOKUP(AK107,Language!$D$5:$E$100,2,0))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IF(AV107="","",VLOOKUP(AV107,Language!$D$5:$E$100,2,0))</f>
        <v/>
      </c>
      <c r="AX107" s="266"/>
      <c r="AY107" s="230" t="str">
        <f>IF(AX107="","",VLOOKUP(AX107,Language!$D$5:$E$100,2,0))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IF(BI107="","",VLOOKUP(BI107,Language!$D$5:$E$100,2,0))</f>
        <v/>
      </c>
      <c r="BK107" s="266"/>
      <c r="BL107" s="230" t="str">
        <f>IF(BK107="","",VLOOKUP(BK107,Language!$D$5:$E$100,2,0))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IF(BV107="","",VLOOKUP(BV107,Language!$D$5:$E$100,2,0))</f>
        <v/>
      </c>
      <c r="BX107" s="266"/>
      <c r="BY107" s="230" t="str">
        <f>IF(BX107="","",VLOOKUP(BX107,Language!$D$5:$E$100,2,0))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IF(CI107="","",VLOOKUP(CI107,Language!$D$5:$E$100,2,0))</f>
        <v/>
      </c>
      <c r="CK107" s="266"/>
      <c r="CL107" s="230" t="str">
        <f>IF(CK107="","",VLOOKUP(CK107,Language!$D$5:$E$100,2,0))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IF(CV107="","",VLOOKUP(CV107,Language!$D$5:$E$100,2,0))</f>
        <v/>
      </c>
      <c r="CX107" s="266"/>
      <c r="CY107" s="230" t="str">
        <f>IF(CX107="","",VLOOKUP(CX107,Language!$D$5:$E$100,2,0))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IF(DI107="","",VLOOKUP(DI107,Language!$D$5:$E$100,2,0))</f>
        <v/>
      </c>
      <c r="DK107" s="266"/>
      <c r="DL107" s="230" t="str">
        <f>IF(DK107="","",VLOOKUP(DK107,Language!$D$5:$E$100,2,0))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IF(DV107="","",VLOOKUP(DV107,Language!$D$5:$E$100,2,0))</f>
        <v/>
      </c>
      <c r="DX107" s="266"/>
      <c r="DY107" s="230" t="str">
        <f>IF(DX107="","",VLOOKUP(DX107,Language!$D$5:$E$100,2,0))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IF(EI107="","",VLOOKUP(EI107,Language!$D$5:$E$100,2,0))</f>
        <v/>
      </c>
      <c r="EK107" s="266"/>
      <c r="EL107" s="230" t="str">
        <f>IF(EK107="","",VLOOKUP(EK107,Language!$D$5:$E$100,2,0))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IF(EV107="","",VLOOKUP(EV107,Language!$D$5:$E$100,2,0))</f>
        <v/>
      </c>
      <c r="EX107" s="266"/>
      <c r="EY107" s="230" t="str">
        <f>IF(EX107="","",VLOOKUP(EX107,Language!$D$5:$E$100,2,0))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IF(FI107="","",VLOOKUP(FI107,Language!$D$5:$E$100,2,0))</f>
        <v/>
      </c>
      <c r="FK107" s="266"/>
      <c r="FL107" s="230" t="str">
        <f>IF(FK107="","",VLOOKUP(FK107,Language!$D$5:$E$100,2,0))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IF(FV107="","",VLOOKUP(FV107,Language!$D$5:$E$100,2,0))</f>
        <v/>
      </c>
      <c r="FX107" s="266"/>
      <c r="FY107" s="230" t="str">
        <f>IF(FX107="","",VLOOKUP(FX107,Language!$D$5:$E$100,2,0))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IF(GI107="","",VLOOKUP(GI107,Language!$D$5:$E$100,2,0))</f>
        <v/>
      </c>
      <c r="GK107" s="266"/>
      <c r="GL107" s="230" t="str">
        <f>IF(GK107="","",VLOOKUP(GK107,Language!$D$5:$E$100,2,0))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IF(GV107="","",VLOOKUP(GV107,Language!$D$5:$E$100,2,0))</f>
        <v/>
      </c>
      <c r="GX107" s="266"/>
      <c r="GY107" s="230" t="str">
        <f>IF(GX107="","",VLOOKUP(GX107,Language!$D$5:$E$100,2,0))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IF(HI107="","",VLOOKUP(HI107,Language!$D$5:$E$100,2,0))</f>
        <v/>
      </c>
      <c r="HK107" s="266"/>
      <c r="HL107" s="230" t="str">
        <f>IF(HK107="","",VLOOKUP(HK107,Language!$D$5:$E$100,2,0))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IF(HV107="","",VLOOKUP(HV107,Language!$D$5:$E$100,2,0))</f>
        <v/>
      </c>
      <c r="HX107" s="266"/>
      <c r="HY107" s="230" t="str">
        <f>IF(HX107="","",VLOOKUP(HX107,Language!$D$5:$E$100,2,0))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IF(II107="","",VLOOKUP(II107,Language!$D$5:$E$100,2,0))</f>
        <v/>
      </c>
      <c r="IK107" s="266"/>
      <c r="IL107" s="230" t="str">
        <f>IF(IK107="","",VLOOKUP(IK107,Language!$D$5:$E$100,2,0))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IF(IV107="","",VLOOKUP(IV107,Language!$D$5:$E$100,2,0))</f>
        <v/>
      </c>
      <c r="IX107" s="266"/>
      <c r="IY107" s="230" t="str">
        <f>IF(IX107="","",VLOOKUP(IX107,Language!$D$5:$E$100,2,0))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IF(JI107="","",VLOOKUP(JI107,Language!$D$5:$E$100,2,0))</f>
        <v/>
      </c>
      <c r="JK107" s="266"/>
      <c r="JL107" s="230" t="str">
        <f>IF(JK107="","",VLOOKUP(JK107,Language!$D$5:$E$100,2,0))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IF(JV107="","",VLOOKUP(JV107,Language!$D$5:$E$100,2,0))</f>
        <v/>
      </c>
      <c r="JX107" s="266"/>
      <c r="JY107" s="230" t="str">
        <f>IF(JX107="","",VLOOKUP(JX107,Language!$D$5:$E$100,2,0))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IF(KI107="","",VLOOKUP(KI107,Language!$D$5:$E$100,2,0))</f>
        <v/>
      </c>
      <c r="KK107" s="266"/>
      <c r="KL107" s="230" t="str">
        <f>IF(KK107="","",VLOOKUP(KK107,Language!$D$5:$E$100,2,0))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IF(KV107="","",VLOOKUP(KV107,Language!$D$5:$E$100,2,0))</f>
        <v/>
      </c>
      <c r="KX107" s="266"/>
      <c r="KY107" s="230" t="str">
        <f>IF(KX107="","",VLOOKUP(KX107,Language!$D$5:$E$100,2,0))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IF(LI107="","",VLOOKUP(LI107,Language!$D$5:$E$100,2,0))</f>
        <v/>
      </c>
      <c r="LK107" s="266"/>
      <c r="LL107" s="230" t="str">
        <f>IF(LK107="","",VLOOKUP(LK107,Language!$D$5:$E$100,2,0))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IF(LV107="","",VLOOKUP(LV107,Language!$D$5:$E$100,2,0))</f>
        <v/>
      </c>
      <c r="LX107" s="266"/>
      <c r="LY107" s="230" t="str">
        <f>IF(LX107="","",VLOOKUP(LX107,Language!$D$5:$E$100,2,0))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IF(I108="","",VLOOKUP(I108,Language!$D$5:$E$100,2,0))</f>
        <v/>
      </c>
      <c r="K108" s="266"/>
      <c r="L108" s="230" t="str">
        <f>IF(K108="","",VLOOKUP(K108,Language!$D$5:$E$100,2,0))</f>
        <v/>
      </c>
      <c r="M108" s="302"/>
      <c r="N108" s="303"/>
      <c r="O108" s="286"/>
      <c r="P108" s="286"/>
      <c r="Q108" s="287">
        <f t="shared" si="1508"/>
        <v>0</v>
      </c>
      <c r="R108" s="287">
        <f t="shared" si="1509"/>
        <v>0</v>
      </c>
      <c r="S108" s="287"/>
      <c r="T108" s="252" t="str">
        <f t="shared" si="1510"/>
        <v/>
      </c>
      <c r="V108" s="265"/>
      <c r="W108" s="230" t="str">
        <f>IF(V108="","",VLOOKUP(V108,Language!$D$5:$E$100,2,0))</f>
        <v/>
      </c>
      <c r="X108" s="266"/>
      <c r="Y108" s="230" t="str">
        <f>IF(X108="","",VLOOKUP(X108,Language!$D$5:$E$100,2,0))</f>
        <v/>
      </c>
      <c r="Z108" s="302"/>
      <c r="AA108" s="303"/>
      <c r="AB108" s="286"/>
      <c r="AC108" s="286"/>
      <c r="AD108" s="287">
        <f t="shared" si="1511"/>
        <v>0</v>
      </c>
      <c r="AE108" s="287">
        <f t="shared" si="1512"/>
        <v>0</v>
      </c>
      <c r="AF108" s="287"/>
      <c r="AG108" s="252" t="str">
        <f t="shared" si="1513"/>
        <v/>
      </c>
      <c r="AI108" s="265"/>
      <c r="AJ108" s="230" t="str">
        <f>IF(AI108="","",VLOOKUP(AI108,Language!$D$5:$E$100,2,0))</f>
        <v/>
      </c>
      <c r="AK108" s="266"/>
      <c r="AL108" s="230" t="str">
        <f>IF(AK108="","",VLOOKUP(AK108,Language!$D$5:$E$100,2,0))</f>
        <v/>
      </c>
      <c r="AM108" s="302"/>
      <c r="AN108" s="303"/>
      <c r="AO108" s="286"/>
      <c r="AP108" s="286"/>
      <c r="AQ108" s="287">
        <f t="shared" si="1514"/>
        <v>0</v>
      </c>
      <c r="AR108" s="287">
        <f t="shared" si="1515"/>
        <v>0</v>
      </c>
      <c r="AS108" s="287"/>
      <c r="AT108" s="252" t="str">
        <f t="shared" si="1516"/>
        <v/>
      </c>
      <c r="AV108" s="265"/>
      <c r="AW108" s="230" t="str">
        <f>IF(AV108="","",VLOOKUP(AV108,Language!$D$5:$E$100,2,0))</f>
        <v/>
      </c>
      <c r="AX108" s="266"/>
      <c r="AY108" s="230" t="str">
        <f>IF(AX108="","",VLOOKUP(AX108,Language!$D$5:$E$100,2,0))</f>
        <v/>
      </c>
      <c r="AZ108" s="302"/>
      <c r="BA108" s="303"/>
      <c r="BB108" s="286"/>
      <c r="BC108" s="286"/>
      <c r="BD108" s="287">
        <f t="shared" si="1517"/>
        <v>0</v>
      </c>
      <c r="BE108" s="287">
        <f t="shared" si="1518"/>
        <v>0</v>
      </c>
      <c r="BF108" s="287"/>
      <c r="BG108" s="252" t="str">
        <f t="shared" si="1519"/>
        <v/>
      </c>
      <c r="BI108" s="265"/>
      <c r="BJ108" s="230" t="str">
        <f>IF(BI108="","",VLOOKUP(BI108,Language!$D$5:$E$100,2,0))</f>
        <v/>
      </c>
      <c r="BK108" s="266"/>
      <c r="BL108" s="230" t="str">
        <f>IF(BK108="","",VLOOKUP(BK108,Language!$D$5:$E$100,2,0))</f>
        <v/>
      </c>
      <c r="BM108" s="302"/>
      <c r="BN108" s="303"/>
      <c r="BO108" s="286"/>
      <c r="BP108" s="286"/>
      <c r="BQ108" s="287">
        <f t="shared" si="1520"/>
        <v>0</v>
      </c>
      <c r="BR108" s="287">
        <f t="shared" si="1521"/>
        <v>0</v>
      </c>
      <c r="BS108" s="287"/>
      <c r="BT108" s="252" t="str">
        <f t="shared" si="1522"/>
        <v/>
      </c>
      <c r="BV108" s="265"/>
      <c r="BW108" s="230" t="str">
        <f>IF(BV108="","",VLOOKUP(BV108,Language!$D$5:$E$100,2,0))</f>
        <v/>
      </c>
      <c r="BX108" s="266"/>
      <c r="BY108" s="230" t="str">
        <f>IF(BX108="","",VLOOKUP(BX108,Language!$D$5:$E$100,2,0))</f>
        <v/>
      </c>
      <c r="BZ108" s="302"/>
      <c r="CA108" s="303"/>
      <c r="CB108" s="286"/>
      <c r="CC108" s="286"/>
      <c r="CD108" s="287">
        <f t="shared" si="1523"/>
        <v>0</v>
      </c>
      <c r="CE108" s="287">
        <f t="shared" si="1524"/>
        <v>0</v>
      </c>
      <c r="CF108" s="287"/>
      <c r="CG108" s="252" t="str">
        <f t="shared" si="1525"/>
        <v/>
      </c>
      <c r="CI108" s="265"/>
      <c r="CJ108" s="230" t="str">
        <f>IF(CI108="","",VLOOKUP(CI108,Language!$D$5:$E$100,2,0))</f>
        <v/>
      </c>
      <c r="CK108" s="266"/>
      <c r="CL108" s="230" t="str">
        <f>IF(CK108="","",VLOOKUP(CK108,Language!$D$5:$E$100,2,0))</f>
        <v/>
      </c>
      <c r="CM108" s="302"/>
      <c r="CN108" s="303"/>
      <c r="CO108" s="286"/>
      <c r="CP108" s="286"/>
      <c r="CQ108" s="287">
        <f t="shared" si="1526"/>
        <v>0</v>
      </c>
      <c r="CR108" s="287">
        <f t="shared" si="1527"/>
        <v>0</v>
      </c>
      <c r="CS108" s="287"/>
      <c r="CT108" s="252" t="str">
        <f t="shared" si="1528"/>
        <v/>
      </c>
      <c r="CV108" s="265"/>
      <c r="CW108" s="230" t="str">
        <f>IF(CV108="","",VLOOKUP(CV108,Language!$D$5:$E$100,2,0))</f>
        <v/>
      </c>
      <c r="CX108" s="266"/>
      <c r="CY108" s="230" t="str">
        <f>IF(CX108="","",VLOOKUP(CX108,Language!$D$5:$E$100,2,0))</f>
        <v/>
      </c>
      <c r="CZ108" s="302"/>
      <c r="DA108" s="303"/>
      <c r="DB108" s="286"/>
      <c r="DC108" s="286"/>
      <c r="DD108" s="287">
        <f t="shared" si="1529"/>
        <v>0</v>
      </c>
      <c r="DE108" s="287">
        <f t="shared" si="1530"/>
        <v>0</v>
      </c>
      <c r="DF108" s="287"/>
      <c r="DG108" s="252" t="str">
        <f t="shared" si="1531"/>
        <v/>
      </c>
      <c r="DI108" s="265"/>
      <c r="DJ108" s="230" t="str">
        <f>IF(DI108="","",VLOOKUP(DI108,Language!$D$5:$E$100,2,0))</f>
        <v/>
      </c>
      <c r="DK108" s="266"/>
      <c r="DL108" s="230" t="str">
        <f>IF(DK108="","",VLOOKUP(DK108,Language!$D$5:$E$100,2,0))</f>
        <v/>
      </c>
      <c r="DM108" s="302"/>
      <c r="DN108" s="303"/>
      <c r="DO108" s="286"/>
      <c r="DP108" s="286"/>
      <c r="DQ108" s="287">
        <f t="shared" si="1532"/>
        <v>0</v>
      </c>
      <c r="DR108" s="287">
        <f t="shared" si="1533"/>
        <v>0</v>
      </c>
      <c r="DS108" s="287"/>
      <c r="DT108" s="252" t="str">
        <f t="shared" si="1534"/>
        <v/>
      </c>
      <c r="DV108" s="265"/>
      <c r="DW108" s="230" t="str">
        <f>IF(DV108="","",VLOOKUP(DV108,Language!$D$5:$E$100,2,0))</f>
        <v/>
      </c>
      <c r="DX108" s="266"/>
      <c r="DY108" s="230" t="str">
        <f>IF(DX108="","",VLOOKUP(DX108,Language!$D$5:$E$100,2,0))</f>
        <v/>
      </c>
      <c r="DZ108" s="302"/>
      <c r="EA108" s="303"/>
      <c r="EB108" s="286"/>
      <c r="EC108" s="286"/>
      <c r="ED108" s="287">
        <f t="shared" si="1535"/>
        <v>0</v>
      </c>
      <c r="EE108" s="287">
        <f t="shared" si="1536"/>
        <v>0</v>
      </c>
      <c r="EF108" s="287"/>
      <c r="EG108" s="252" t="str">
        <f t="shared" si="1537"/>
        <v/>
      </c>
      <c r="EI108" s="265"/>
      <c r="EJ108" s="230" t="str">
        <f>IF(EI108="","",VLOOKUP(EI108,Language!$D$5:$E$100,2,0))</f>
        <v/>
      </c>
      <c r="EK108" s="266"/>
      <c r="EL108" s="230" t="str">
        <f>IF(EK108="","",VLOOKUP(EK108,Language!$D$5:$E$100,2,0))</f>
        <v/>
      </c>
      <c r="EM108" s="302"/>
      <c r="EN108" s="303"/>
      <c r="EO108" s="286"/>
      <c r="EP108" s="286"/>
      <c r="EQ108" s="287">
        <f t="shared" si="1538"/>
        <v>0</v>
      </c>
      <c r="ER108" s="287">
        <f t="shared" si="1539"/>
        <v>0</v>
      </c>
      <c r="ES108" s="287"/>
      <c r="ET108" s="252" t="str">
        <f t="shared" si="1540"/>
        <v/>
      </c>
      <c r="EV108" s="265"/>
      <c r="EW108" s="230" t="str">
        <f>IF(EV108="","",VLOOKUP(EV108,Language!$D$5:$E$100,2,0))</f>
        <v/>
      </c>
      <c r="EX108" s="266"/>
      <c r="EY108" s="230" t="str">
        <f>IF(EX108="","",VLOOKUP(EX108,Language!$D$5:$E$100,2,0))</f>
        <v/>
      </c>
      <c r="EZ108" s="302"/>
      <c r="FA108" s="303"/>
      <c r="FB108" s="286"/>
      <c r="FC108" s="286"/>
      <c r="FD108" s="287">
        <f t="shared" si="1541"/>
        <v>0</v>
      </c>
      <c r="FE108" s="287">
        <f t="shared" si="1542"/>
        <v>0</v>
      </c>
      <c r="FF108" s="287"/>
      <c r="FG108" s="252" t="str">
        <f t="shared" si="1543"/>
        <v/>
      </c>
      <c r="FI108" s="265"/>
      <c r="FJ108" s="230" t="str">
        <f>IF(FI108="","",VLOOKUP(FI108,Language!$D$5:$E$100,2,0))</f>
        <v/>
      </c>
      <c r="FK108" s="266"/>
      <c r="FL108" s="230" t="str">
        <f>IF(FK108="","",VLOOKUP(FK108,Language!$D$5:$E$100,2,0))</f>
        <v/>
      </c>
      <c r="FM108" s="302"/>
      <c r="FN108" s="303"/>
      <c r="FO108" s="286"/>
      <c r="FP108" s="286"/>
      <c r="FQ108" s="287">
        <f t="shared" si="1544"/>
        <v>0</v>
      </c>
      <c r="FR108" s="287">
        <f t="shared" si="1545"/>
        <v>0</v>
      </c>
      <c r="FS108" s="287"/>
      <c r="FT108" s="252" t="str">
        <f t="shared" si="1546"/>
        <v/>
      </c>
      <c r="FV108" s="265"/>
      <c r="FW108" s="230" t="str">
        <f>IF(FV108="","",VLOOKUP(FV108,Language!$D$5:$E$100,2,0))</f>
        <v/>
      </c>
      <c r="FX108" s="266"/>
      <c r="FY108" s="230" t="str">
        <f>IF(FX108="","",VLOOKUP(FX108,Language!$D$5:$E$100,2,0))</f>
        <v/>
      </c>
      <c r="FZ108" s="302"/>
      <c r="GA108" s="303"/>
      <c r="GB108" s="286"/>
      <c r="GC108" s="286"/>
      <c r="GD108" s="287">
        <f t="shared" si="1547"/>
        <v>0</v>
      </c>
      <c r="GE108" s="287">
        <f t="shared" si="1548"/>
        <v>0</v>
      </c>
      <c r="GF108" s="287"/>
      <c r="GG108" s="252" t="str">
        <f t="shared" si="1549"/>
        <v/>
      </c>
      <c r="GI108" s="265"/>
      <c r="GJ108" s="230" t="str">
        <f>IF(GI108="","",VLOOKUP(GI108,Language!$D$5:$E$100,2,0))</f>
        <v/>
      </c>
      <c r="GK108" s="266"/>
      <c r="GL108" s="230" t="str">
        <f>IF(GK108="","",VLOOKUP(GK108,Language!$D$5:$E$100,2,0))</f>
        <v/>
      </c>
      <c r="GM108" s="302"/>
      <c r="GN108" s="303"/>
      <c r="GO108" s="286"/>
      <c r="GP108" s="286"/>
      <c r="GQ108" s="287">
        <f t="shared" si="1550"/>
        <v>0</v>
      </c>
      <c r="GR108" s="287">
        <f t="shared" si="1551"/>
        <v>0</v>
      </c>
      <c r="GS108" s="287"/>
      <c r="GT108" s="252" t="str">
        <f t="shared" si="1552"/>
        <v/>
      </c>
      <c r="GV108" s="265"/>
      <c r="GW108" s="230" t="str">
        <f>IF(GV108="","",VLOOKUP(GV108,Language!$D$5:$E$100,2,0))</f>
        <v/>
      </c>
      <c r="GX108" s="266"/>
      <c r="GY108" s="230" t="str">
        <f>IF(GX108="","",VLOOKUP(GX108,Language!$D$5:$E$100,2,0))</f>
        <v/>
      </c>
      <c r="GZ108" s="302"/>
      <c r="HA108" s="303"/>
      <c r="HB108" s="286"/>
      <c r="HC108" s="286"/>
      <c r="HD108" s="287">
        <f t="shared" si="1553"/>
        <v>0</v>
      </c>
      <c r="HE108" s="287">
        <f t="shared" si="1554"/>
        <v>0</v>
      </c>
      <c r="HF108" s="287"/>
      <c r="HG108" s="252" t="str">
        <f t="shared" si="1555"/>
        <v/>
      </c>
      <c r="HI108" s="265"/>
      <c r="HJ108" s="230" t="str">
        <f>IF(HI108="","",VLOOKUP(HI108,Language!$D$5:$E$100,2,0))</f>
        <v/>
      </c>
      <c r="HK108" s="266"/>
      <c r="HL108" s="230" t="str">
        <f>IF(HK108="","",VLOOKUP(HK108,Language!$D$5:$E$100,2,0))</f>
        <v/>
      </c>
      <c r="HM108" s="302"/>
      <c r="HN108" s="303"/>
      <c r="HO108" s="286"/>
      <c r="HP108" s="286"/>
      <c r="HQ108" s="287">
        <f t="shared" si="1556"/>
        <v>0</v>
      </c>
      <c r="HR108" s="287">
        <f t="shared" si="1557"/>
        <v>0</v>
      </c>
      <c r="HS108" s="287"/>
      <c r="HT108" s="252" t="str">
        <f t="shared" si="1558"/>
        <v/>
      </c>
      <c r="HV108" s="265"/>
      <c r="HW108" s="230" t="str">
        <f>IF(HV108="","",VLOOKUP(HV108,Language!$D$5:$E$100,2,0))</f>
        <v/>
      </c>
      <c r="HX108" s="266"/>
      <c r="HY108" s="230" t="str">
        <f>IF(HX108="","",VLOOKUP(HX108,Language!$D$5:$E$100,2,0))</f>
        <v/>
      </c>
      <c r="HZ108" s="302"/>
      <c r="IA108" s="303"/>
      <c r="IB108" s="286"/>
      <c r="IC108" s="286"/>
      <c r="ID108" s="287">
        <f t="shared" si="1559"/>
        <v>0</v>
      </c>
      <c r="IE108" s="287">
        <f t="shared" si="1560"/>
        <v>0</v>
      </c>
      <c r="IF108" s="287"/>
      <c r="IG108" s="252" t="str">
        <f t="shared" si="1561"/>
        <v/>
      </c>
      <c r="II108" s="265"/>
      <c r="IJ108" s="230" t="str">
        <f>IF(II108="","",VLOOKUP(II108,Language!$D$5:$E$100,2,0))</f>
        <v/>
      </c>
      <c r="IK108" s="266"/>
      <c r="IL108" s="230" t="str">
        <f>IF(IK108="","",VLOOKUP(IK108,Language!$D$5:$E$100,2,0))</f>
        <v/>
      </c>
      <c r="IM108" s="302"/>
      <c r="IN108" s="303"/>
      <c r="IO108" s="286"/>
      <c r="IP108" s="286"/>
      <c r="IQ108" s="287">
        <f t="shared" si="1562"/>
        <v>0</v>
      </c>
      <c r="IR108" s="287">
        <f t="shared" si="1563"/>
        <v>0</v>
      </c>
      <c r="IS108" s="287"/>
      <c r="IT108" s="252" t="str">
        <f t="shared" si="1564"/>
        <v/>
      </c>
      <c r="IV108" s="265"/>
      <c r="IW108" s="230" t="str">
        <f>IF(IV108="","",VLOOKUP(IV108,Language!$D$5:$E$100,2,0))</f>
        <v/>
      </c>
      <c r="IX108" s="266"/>
      <c r="IY108" s="230" t="str">
        <f>IF(IX108="","",VLOOKUP(IX108,Language!$D$5:$E$100,2,0))</f>
        <v/>
      </c>
      <c r="IZ108" s="302"/>
      <c r="JA108" s="303"/>
      <c r="JB108" s="286"/>
      <c r="JC108" s="286"/>
      <c r="JD108" s="287">
        <f t="shared" si="1565"/>
        <v>0</v>
      </c>
      <c r="JE108" s="287">
        <f t="shared" si="1566"/>
        <v>0</v>
      </c>
      <c r="JF108" s="287"/>
      <c r="JG108" s="252" t="str">
        <f t="shared" si="1567"/>
        <v/>
      </c>
      <c r="JI108" s="265"/>
      <c r="JJ108" s="230" t="str">
        <f>IF(JI108="","",VLOOKUP(JI108,Language!$D$5:$E$100,2,0))</f>
        <v/>
      </c>
      <c r="JK108" s="266"/>
      <c r="JL108" s="230" t="str">
        <f>IF(JK108="","",VLOOKUP(JK108,Language!$D$5:$E$100,2,0))</f>
        <v/>
      </c>
      <c r="JM108" s="302"/>
      <c r="JN108" s="303"/>
      <c r="JO108" s="286"/>
      <c r="JP108" s="286"/>
      <c r="JQ108" s="287">
        <f t="shared" si="1568"/>
        <v>0</v>
      </c>
      <c r="JR108" s="287">
        <f t="shared" si="1569"/>
        <v>0</v>
      </c>
      <c r="JS108" s="287"/>
      <c r="JT108" s="252" t="str">
        <f t="shared" si="1570"/>
        <v/>
      </c>
      <c r="JV108" s="265"/>
      <c r="JW108" s="230" t="str">
        <f>IF(JV108="","",VLOOKUP(JV108,Language!$D$5:$E$100,2,0))</f>
        <v/>
      </c>
      <c r="JX108" s="266"/>
      <c r="JY108" s="230" t="str">
        <f>IF(JX108="","",VLOOKUP(JX108,Language!$D$5:$E$100,2,0))</f>
        <v/>
      </c>
      <c r="JZ108" s="302"/>
      <c r="KA108" s="303"/>
      <c r="KB108" s="286"/>
      <c r="KC108" s="286"/>
      <c r="KD108" s="287">
        <f t="shared" si="1571"/>
        <v>0</v>
      </c>
      <c r="KE108" s="287">
        <f t="shared" si="1572"/>
        <v>0</v>
      </c>
      <c r="KF108" s="287"/>
      <c r="KG108" s="252" t="str">
        <f t="shared" si="1573"/>
        <v/>
      </c>
      <c r="KI108" s="265"/>
      <c r="KJ108" s="230" t="str">
        <f>IF(KI108="","",VLOOKUP(KI108,Language!$D$5:$E$100,2,0))</f>
        <v/>
      </c>
      <c r="KK108" s="266"/>
      <c r="KL108" s="230" t="str">
        <f>IF(KK108="","",VLOOKUP(KK108,Language!$D$5:$E$100,2,0))</f>
        <v/>
      </c>
      <c r="KM108" s="302"/>
      <c r="KN108" s="303"/>
      <c r="KO108" s="286"/>
      <c r="KP108" s="286"/>
      <c r="KQ108" s="287">
        <f t="shared" si="1574"/>
        <v>0</v>
      </c>
      <c r="KR108" s="287">
        <f t="shared" si="1575"/>
        <v>0</v>
      </c>
      <c r="KS108" s="287"/>
      <c r="KT108" s="252" t="str">
        <f t="shared" si="1576"/>
        <v/>
      </c>
      <c r="KV108" s="265"/>
      <c r="KW108" s="230" t="str">
        <f>IF(KV108="","",VLOOKUP(KV108,Language!$D$5:$E$100,2,0))</f>
        <v/>
      </c>
      <c r="KX108" s="266"/>
      <c r="KY108" s="230" t="str">
        <f>IF(KX108="","",VLOOKUP(KX108,Language!$D$5:$E$100,2,0))</f>
        <v/>
      </c>
      <c r="KZ108" s="302"/>
      <c r="LA108" s="303"/>
      <c r="LB108" s="286"/>
      <c r="LC108" s="286"/>
      <c r="LD108" s="287">
        <f t="shared" si="1577"/>
        <v>0</v>
      </c>
      <c r="LE108" s="287">
        <f t="shared" si="1578"/>
        <v>0</v>
      </c>
      <c r="LF108" s="287"/>
      <c r="LG108" s="252" t="str">
        <f t="shared" si="1579"/>
        <v/>
      </c>
      <c r="LI108" s="265"/>
      <c r="LJ108" s="230" t="str">
        <f>IF(LI108="","",VLOOKUP(LI108,Language!$D$5:$E$100,2,0))</f>
        <v/>
      </c>
      <c r="LK108" s="266"/>
      <c r="LL108" s="230" t="str">
        <f>IF(LK108="","",VLOOKUP(LK108,Language!$D$5:$E$100,2,0))</f>
        <v/>
      </c>
      <c r="LM108" s="302"/>
      <c r="LN108" s="303"/>
      <c r="LO108" s="286"/>
      <c r="LP108" s="286"/>
      <c r="LQ108" s="287">
        <f t="shared" si="1580"/>
        <v>0</v>
      </c>
      <c r="LR108" s="287">
        <f t="shared" si="1581"/>
        <v>0</v>
      </c>
      <c r="LS108" s="287"/>
      <c r="LT108" s="252" t="str">
        <f t="shared" si="1582"/>
        <v/>
      </c>
      <c r="LV108" s="265"/>
      <c r="LW108" s="230" t="str">
        <f>IF(LV108="","",VLOOKUP(LV108,Language!$D$5:$E$100,2,0))</f>
        <v/>
      </c>
      <c r="LX108" s="266"/>
      <c r="LY108" s="230" t="str">
        <f>IF(LX108="","",VLOOKUP(LX108,Language!$D$5:$E$100,2,0))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IF(I109="","",VLOOKUP(I109,Language!$D$5:$E$100,2,0))</f>
        <v/>
      </c>
      <c r="K109" s="266"/>
      <c r="L109" s="230" t="str">
        <f>IF(K109="","",VLOOKUP(K109,Language!$D$5:$E$100,2,0))</f>
        <v/>
      </c>
      <c r="M109" s="302"/>
      <c r="N109" s="303"/>
      <c r="O109" s="286"/>
      <c r="P109" s="286"/>
      <c r="Q109" s="287">
        <f t="shared" si="1508"/>
        <v>0</v>
      </c>
      <c r="R109" s="287">
        <f t="shared" si="1509"/>
        <v>0</v>
      </c>
      <c r="S109" s="287"/>
      <c r="T109" s="252" t="str">
        <f t="shared" si="1510"/>
        <v/>
      </c>
      <c r="V109" s="265"/>
      <c r="W109" s="230" t="str">
        <f>IF(V109="","",VLOOKUP(V109,Language!$D$5:$E$100,2,0))</f>
        <v/>
      </c>
      <c r="X109" s="266"/>
      <c r="Y109" s="230" t="str">
        <f>IF(X109="","",VLOOKUP(X109,Language!$D$5:$E$100,2,0))</f>
        <v/>
      </c>
      <c r="Z109" s="302"/>
      <c r="AA109" s="303"/>
      <c r="AB109" s="286"/>
      <c r="AC109" s="286"/>
      <c r="AD109" s="287">
        <f t="shared" si="1511"/>
        <v>0</v>
      </c>
      <c r="AE109" s="287">
        <f t="shared" si="1512"/>
        <v>0</v>
      </c>
      <c r="AF109" s="287"/>
      <c r="AG109" s="252" t="str">
        <f t="shared" si="1513"/>
        <v/>
      </c>
      <c r="AI109" s="265"/>
      <c r="AJ109" s="230" t="str">
        <f>IF(AI109="","",VLOOKUP(AI109,Language!$D$5:$E$100,2,0))</f>
        <v/>
      </c>
      <c r="AK109" s="266"/>
      <c r="AL109" s="230" t="str">
        <f>IF(AK109="","",VLOOKUP(AK109,Language!$D$5:$E$100,2,0))</f>
        <v/>
      </c>
      <c r="AM109" s="302"/>
      <c r="AN109" s="303"/>
      <c r="AO109" s="286"/>
      <c r="AP109" s="286"/>
      <c r="AQ109" s="287">
        <f t="shared" si="1514"/>
        <v>0</v>
      </c>
      <c r="AR109" s="287">
        <f t="shared" si="1515"/>
        <v>0</v>
      </c>
      <c r="AS109" s="287"/>
      <c r="AT109" s="252" t="str">
        <f t="shared" si="1516"/>
        <v/>
      </c>
      <c r="AV109" s="265"/>
      <c r="AW109" s="230" t="str">
        <f>IF(AV109="","",VLOOKUP(AV109,Language!$D$5:$E$100,2,0))</f>
        <v/>
      </c>
      <c r="AX109" s="266"/>
      <c r="AY109" s="230" t="str">
        <f>IF(AX109="","",VLOOKUP(AX109,Language!$D$5:$E$100,2,0))</f>
        <v/>
      </c>
      <c r="AZ109" s="302"/>
      <c r="BA109" s="303"/>
      <c r="BB109" s="286"/>
      <c r="BC109" s="286"/>
      <c r="BD109" s="287">
        <f t="shared" si="1517"/>
        <v>0</v>
      </c>
      <c r="BE109" s="287">
        <f t="shared" si="1518"/>
        <v>0</v>
      </c>
      <c r="BF109" s="287"/>
      <c r="BG109" s="252" t="str">
        <f t="shared" si="1519"/>
        <v/>
      </c>
      <c r="BI109" s="265"/>
      <c r="BJ109" s="230" t="str">
        <f>IF(BI109="","",VLOOKUP(BI109,Language!$D$5:$E$100,2,0))</f>
        <v/>
      </c>
      <c r="BK109" s="266"/>
      <c r="BL109" s="230" t="str">
        <f>IF(BK109="","",VLOOKUP(BK109,Language!$D$5:$E$100,2,0))</f>
        <v/>
      </c>
      <c r="BM109" s="302"/>
      <c r="BN109" s="303"/>
      <c r="BO109" s="286"/>
      <c r="BP109" s="286"/>
      <c r="BQ109" s="287">
        <f t="shared" si="1520"/>
        <v>0</v>
      </c>
      <c r="BR109" s="287">
        <f t="shared" si="1521"/>
        <v>0</v>
      </c>
      <c r="BS109" s="287"/>
      <c r="BT109" s="252" t="str">
        <f t="shared" si="1522"/>
        <v/>
      </c>
      <c r="BV109" s="265"/>
      <c r="BW109" s="230" t="str">
        <f>IF(BV109="","",VLOOKUP(BV109,Language!$D$5:$E$100,2,0))</f>
        <v/>
      </c>
      <c r="BX109" s="266"/>
      <c r="BY109" s="230" t="str">
        <f>IF(BX109="","",VLOOKUP(BX109,Language!$D$5:$E$100,2,0))</f>
        <v/>
      </c>
      <c r="BZ109" s="302"/>
      <c r="CA109" s="303"/>
      <c r="CB109" s="286"/>
      <c r="CC109" s="286"/>
      <c r="CD109" s="287">
        <f t="shared" si="1523"/>
        <v>0</v>
      </c>
      <c r="CE109" s="287">
        <f t="shared" si="1524"/>
        <v>0</v>
      </c>
      <c r="CF109" s="287"/>
      <c r="CG109" s="252" t="str">
        <f t="shared" si="1525"/>
        <v/>
      </c>
      <c r="CI109" s="265"/>
      <c r="CJ109" s="230" t="str">
        <f>IF(CI109="","",VLOOKUP(CI109,Language!$D$5:$E$100,2,0))</f>
        <v/>
      </c>
      <c r="CK109" s="266"/>
      <c r="CL109" s="230" t="str">
        <f>IF(CK109="","",VLOOKUP(CK109,Language!$D$5:$E$100,2,0))</f>
        <v/>
      </c>
      <c r="CM109" s="302"/>
      <c r="CN109" s="303"/>
      <c r="CO109" s="286"/>
      <c r="CP109" s="286"/>
      <c r="CQ109" s="287">
        <f t="shared" si="1526"/>
        <v>0</v>
      </c>
      <c r="CR109" s="287">
        <f t="shared" si="1527"/>
        <v>0</v>
      </c>
      <c r="CS109" s="287"/>
      <c r="CT109" s="252" t="str">
        <f t="shared" si="1528"/>
        <v/>
      </c>
      <c r="CV109" s="265"/>
      <c r="CW109" s="230" t="str">
        <f>IF(CV109="","",VLOOKUP(CV109,Language!$D$5:$E$100,2,0))</f>
        <v/>
      </c>
      <c r="CX109" s="266"/>
      <c r="CY109" s="230" t="str">
        <f>IF(CX109="","",VLOOKUP(CX109,Language!$D$5:$E$100,2,0))</f>
        <v/>
      </c>
      <c r="CZ109" s="302"/>
      <c r="DA109" s="303"/>
      <c r="DB109" s="286"/>
      <c r="DC109" s="286"/>
      <c r="DD109" s="287">
        <f t="shared" si="1529"/>
        <v>0</v>
      </c>
      <c r="DE109" s="287">
        <f t="shared" si="1530"/>
        <v>0</v>
      </c>
      <c r="DF109" s="287"/>
      <c r="DG109" s="252" t="str">
        <f t="shared" si="1531"/>
        <v/>
      </c>
      <c r="DI109" s="265"/>
      <c r="DJ109" s="230" t="str">
        <f>IF(DI109="","",VLOOKUP(DI109,Language!$D$5:$E$100,2,0))</f>
        <v/>
      </c>
      <c r="DK109" s="266"/>
      <c r="DL109" s="230" t="str">
        <f>IF(DK109="","",VLOOKUP(DK109,Language!$D$5:$E$100,2,0))</f>
        <v/>
      </c>
      <c r="DM109" s="302"/>
      <c r="DN109" s="303"/>
      <c r="DO109" s="286"/>
      <c r="DP109" s="286"/>
      <c r="DQ109" s="287">
        <f t="shared" si="1532"/>
        <v>0</v>
      </c>
      <c r="DR109" s="287">
        <f t="shared" si="1533"/>
        <v>0</v>
      </c>
      <c r="DS109" s="287"/>
      <c r="DT109" s="252" t="str">
        <f t="shared" si="1534"/>
        <v/>
      </c>
      <c r="DV109" s="265"/>
      <c r="DW109" s="230" t="str">
        <f>IF(DV109="","",VLOOKUP(DV109,Language!$D$5:$E$100,2,0))</f>
        <v/>
      </c>
      <c r="DX109" s="266"/>
      <c r="DY109" s="230" t="str">
        <f>IF(DX109="","",VLOOKUP(DX109,Language!$D$5:$E$100,2,0))</f>
        <v/>
      </c>
      <c r="DZ109" s="302"/>
      <c r="EA109" s="303"/>
      <c r="EB109" s="286"/>
      <c r="EC109" s="286"/>
      <c r="ED109" s="287">
        <f t="shared" si="1535"/>
        <v>0</v>
      </c>
      <c r="EE109" s="287">
        <f t="shared" si="1536"/>
        <v>0</v>
      </c>
      <c r="EF109" s="287"/>
      <c r="EG109" s="252" t="str">
        <f t="shared" si="1537"/>
        <v/>
      </c>
      <c r="EI109" s="265"/>
      <c r="EJ109" s="230" t="str">
        <f>IF(EI109="","",VLOOKUP(EI109,Language!$D$5:$E$100,2,0))</f>
        <v/>
      </c>
      <c r="EK109" s="266"/>
      <c r="EL109" s="230" t="str">
        <f>IF(EK109="","",VLOOKUP(EK109,Language!$D$5:$E$100,2,0))</f>
        <v/>
      </c>
      <c r="EM109" s="302"/>
      <c r="EN109" s="303"/>
      <c r="EO109" s="286"/>
      <c r="EP109" s="286"/>
      <c r="EQ109" s="287">
        <f t="shared" si="1538"/>
        <v>0</v>
      </c>
      <c r="ER109" s="287">
        <f t="shared" si="1539"/>
        <v>0</v>
      </c>
      <c r="ES109" s="287"/>
      <c r="ET109" s="252" t="str">
        <f t="shared" si="1540"/>
        <v/>
      </c>
      <c r="EV109" s="265"/>
      <c r="EW109" s="230" t="str">
        <f>IF(EV109="","",VLOOKUP(EV109,Language!$D$5:$E$100,2,0))</f>
        <v/>
      </c>
      <c r="EX109" s="266"/>
      <c r="EY109" s="230" t="str">
        <f>IF(EX109="","",VLOOKUP(EX109,Language!$D$5:$E$100,2,0))</f>
        <v/>
      </c>
      <c r="EZ109" s="302"/>
      <c r="FA109" s="303"/>
      <c r="FB109" s="286"/>
      <c r="FC109" s="286"/>
      <c r="FD109" s="287">
        <f t="shared" si="1541"/>
        <v>0</v>
      </c>
      <c r="FE109" s="287">
        <f t="shared" si="1542"/>
        <v>0</v>
      </c>
      <c r="FF109" s="287"/>
      <c r="FG109" s="252" t="str">
        <f t="shared" si="1543"/>
        <v/>
      </c>
      <c r="FI109" s="265"/>
      <c r="FJ109" s="230" t="str">
        <f>IF(FI109="","",VLOOKUP(FI109,Language!$D$5:$E$100,2,0))</f>
        <v/>
      </c>
      <c r="FK109" s="266"/>
      <c r="FL109" s="230" t="str">
        <f>IF(FK109="","",VLOOKUP(FK109,Language!$D$5:$E$100,2,0))</f>
        <v/>
      </c>
      <c r="FM109" s="302"/>
      <c r="FN109" s="303"/>
      <c r="FO109" s="286"/>
      <c r="FP109" s="286"/>
      <c r="FQ109" s="287">
        <f t="shared" si="1544"/>
        <v>0</v>
      </c>
      <c r="FR109" s="287">
        <f t="shared" si="1545"/>
        <v>0</v>
      </c>
      <c r="FS109" s="287"/>
      <c r="FT109" s="252" t="str">
        <f t="shared" si="1546"/>
        <v/>
      </c>
      <c r="FV109" s="265"/>
      <c r="FW109" s="230" t="str">
        <f>IF(FV109="","",VLOOKUP(FV109,Language!$D$5:$E$100,2,0))</f>
        <v/>
      </c>
      <c r="FX109" s="266"/>
      <c r="FY109" s="230" t="str">
        <f>IF(FX109="","",VLOOKUP(FX109,Language!$D$5:$E$100,2,0))</f>
        <v/>
      </c>
      <c r="FZ109" s="302"/>
      <c r="GA109" s="303"/>
      <c r="GB109" s="286"/>
      <c r="GC109" s="286"/>
      <c r="GD109" s="287">
        <f t="shared" si="1547"/>
        <v>0</v>
      </c>
      <c r="GE109" s="287">
        <f t="shared" si="1548"/>
        <v>0</v>
      </c>
      <c r="GF109" s="287"/>
      <c r="GG109" s="252" t="str">
        <f t="shared" si="1549"/>
        <v/>
      </c>
      <c r="GI109" s="265"/>
      <c r="GJ109" s="230" t="str">
        <f>IF(GI109="","",VLOOKUP(GI109,Language!$D$5:$E$100,2,0))</f>
        <v/>
      </c>
      <c r="GK109" s="266"/>
      <c r="GL109" s="230" t="str">
        <f>IF(GK109="","",VLOOKUP(GK109,Language!$D$5:$E$100,2,0))</f>
        <v/>
      </c>
      <c r="GM109" s="302"/>
      <c r="GN109" s="303"/>
      <c r="GO109" s="286"/>
      <c r="GP109" s="286"/>
      <c r="GQ109" s="287">
        <f t="shared" si="1550"/>
        <v>0</v>
      </c>
      <c r="GR109" s="287">
        <f t="shared" si="1551"/>
        <v>0</v>
      </c>
      <c r="GS109" s="287"/>
      <c r="GT109" s="252" t="str">
        <f t="shared" si="1552"/>
        <v/>
      </c>
      <c r="GV109" s="265"/>
      <c r="GW109" s="230" t="str">
        <f>IF(GV109="","",VLOOKUP(GV109,Language!$D$5:$E$100,2,0))</f>
        <v/>
      </c>
      <c r="GX109" s="266"/>
      <c r="GY109" s="230" t="str">
        <f>IF(GX109="","",VLOOKUP(GX109,Language!$D$5:$E$100,2,0))</f>
        <v/>
      </c>
      <c r="GZ109" s="302"/>
      <c r="HA109" s="303"/>
      <c r="HB109" s="286"/>
      <c r="HC109" s="286"/>
      <c r="HD109" s="287">
        <f t="shared" si="1553"/>
        <v>0</v>
      </c>
      <c r="HE109" s="287">
        <f t="shared" si="1554"/>
        <v>0</v>
      </c>
      <c r="HF109" s="287"/>
      <c r="HG109" s="252" t="str">
        <f t="shared" si="1555"/>
        <v/>
      </c>
      <c r="HI109" s="265"/>
      <c r="HJ109" s="230" t="str">
        <f>IF(HI109="","",VLOOKUP(HI109,Language!$D$5:$E$100,2,0))</f>
        <v/>
      </c>
      <c r="HK109" s="266"/>
      <c r="HL109" s="230" t="str">
        <f>IF(HK109="","",VLOOKUP(HK109,Language!$D$5:$E$100,2,0))</f>
        <v/>
      </c>
      <c r="HM109" s="302"/>
      <c r="HN109" s="303"/>
      <c r="HO109" s="286"/>
      <c r="HP109" s="286"/>
      <c r="HQ109" s="287">
        <f t="shared" si="1556"/>
        <v>0</v>
      </c>
      <c r="HR109" s="287">
        <f t="shared" si="1557"/>
        <v>0</v>
      </c>
      <c r="HS109" s="287"/>
      <c r="HT109" s="252" t="str">
        <f t="shared" si="1558"/>
        <v/>
      </c>
      <c r="HV109" s="265"/>
      <c r="HW109" s="230" t="str">
        <f>IF(HV109="","",VLOOKUP(HV109,Language!$D$5:$E$100,2,0))</f>
        <v/>
      </c>
      <c r="HX109" s="266"/>
      <c r="HY109" s="230" t="str">
        <f>IF(HX109="","",VLOOKUP(HX109,Language!$D$5:$E$100,2,0))</f>
        <v/>
      </c>
      <c r="HZ109" s="302"/>
      <c r="IA109" s="303"/>
      <c r="IB109" s="286"/>
      <c r="IC109" s="286"/>
      <c r="ID109" s="287">
        <f t="shared" si="1559"/>
        <v>0</v>
      </c>
      <c r="IE109" s="287">
        <f t="shared" si="1560"/>
        <v>0</v>
      </c>
      <c r="IF109" s="287"/>
      <c r="IG109" s="252" t="str">
        <f t="shared" si="1561"/>
        <v/>
      </c>
      <c r="II109" s="265"/>
      <c r="IJ109" s="230" t="str">
        <f>IF(II109="","",VLOOKUP(II109,Language!$D$5:$E$100,2,0))</f>
        <v/>
      </c>
      <c r="IK109" s="266"/>
      <c r="IL109" s="230" t="str">
        <f>IF(IK109="","",VLOOKUP(IK109,Language!$D$5:$E$100,2,0))</f>
        <v/>
      </c>
      <c r="IM109" s="302"/>
      <c r="IN109" s="303"/>
      <c r="IO109" s="286"/>
      <c r="IP109" s="286"/>
      <c r="IQ109" s="287">
        <f t="shared" si="1562"/>
        <v>0</v>
      </c>
      <c r="IR109" s="287">
        <f t="shared" si="1563"/>
        <v>0</v>
      </c>
      <c r="IS109" s="287"/>
      <c r="IT109" s="252" t="str">
        <f t="shared" si="1564"/>
        <v/>
      </c>
      <c r="IV109" s="265"/>
      <c r="IW109" s="230" t="str">
        <f>IF(IV109="","",VLOOKUP(IV109,Language!$D$5:$E$100,2,0))</f>
        <v/>
      </c>
      <c r="IX109" s="266"/>
      <c r="IY109" s="230" t="str">
        <f>IF(IX109="","",VLOOKUP(IX109,Language!$D$5:$E$100,2,0))</f>
        <v/>
      </c>
      <c r="IZ109" s="302"/>
      <c r="JA109" s="303"/>
      <c r="JB109" s="286"/>
      <c r="JC109" s="286"/>
      <c r="JD109" s="287">
        <f t="shared" si="1565"/>
        <v>0</v>
      </c>
      <c r="JE109" s="287">
        <f t="shared" si="1566"/>
        <v>0</v>
      </c>
      <c r="JF109" s="287"/>
      <c r="JG109" s="252" t="str">
        <f t="shared" si="1567"/>
        <v/>
      </c>
      <c r="JI109" s="265"/>
      <c r="JJ109" s="230" t="str">
        <f>IF(JI109="","",VLOOKUP(JI109,Language!$D$5:$E$100,2,0))</f>
        <v/>
      </c>
      <c r="JK109" s="266"/>
      <c r="JL109" s="230" t="str">
        <f>IF(JK109="","",VLOOKUP(JK109,Language!$D$5:$E$100,2,0))</f>
        <v/>
      </c>
      <c r="JM109" s="302"/>
      <c r="JN109" s="303"/>
      <c r="JO109" s="286"/>
      <c r="JP109" s="286"/>
      <c r="JQ109" s="287">
        <f t="shared" si="1568"/>
        <v>0</v>
      </c>
      <c r="JR109" s="287">
        <f t="shared" si="1569"/>
        <v>0</v>
      </c>
      <c r="JS109" s="287"/>
      <c r="JT109" s="252" t="str">
        <f t="shared" si="1570"/>
        <v/>
      </c>
      <c r="JV109" s="265"/>
      <c r="JW109" s="230" t="str">
        <f>IF(JV109="","",VLOOKUP(JV109,Language!$D$5:$E$100,2,0))</f>
        <v/>
      </c>
      <c r="JX109" s="266"/>
      <c r="JY109" s="230" t="str">
        <f>IF(JX109="","",VLOOKUP(JX109,Language!$D$5:$E$100,2,0))</f>
        <v/>
      </c>
      <c r="JZ109" s="302"/>
      <c r="KA109" s="303"/>
      <c r="KB109" s="286"/>
      <c r="KC109" s="286"/>
      <c r="KD109" s="287">
        <f t="shared" si="1571"/>
        <v>0</v>
      </c>
      <c r="KE109" s="287">
        <f t="shared" si="1572"/>
        <v>0</v>
      </c>
      <c r="KF109" s="287"/>
      <c r="KG109" s="252" t="str">
        <f t="shared" si="1573"/>
        <v/>
      </c>
      <c r="KI109" s="265"/>
      <c r="KJ109" s="230" t="str">
        <f>IF(KI109="","",VLOOKUP(KI109,Language!$D$5:$E$100,2,0))</f>
        <v/>
      </c>
      <c r="KK109" s="266"/>
      <c r="KL109" s="230" t="str">
        <f>IF(KK109="","",VLOOKUP(KK109,Language!$D$5:$E$100,2,0))</f>
        <v/>
      </c>
      <c r="KM109" s="302"/>
      <c r="KN109" s="303"/>
      <c r="KO109" s="286"/>
      <c r="KP109" s="286"/>
      <c r="KQ109" s="287">
        <f t="shared" si="1574"/>
        <v>0</v>
      </c>
      <c r="KR109" s="287">
        <f t="shared" si="1575"/>
        <v>0</v>
      </c>
      <c r="KS109" s="287"/>
      <c r="KT109" s="252" t="str">
        <f t="shared" si="1576"/>
        <v/>
      </c>
      <c r="KV109" s="265"/>
      <c r="KW109" s="230" t="str">
        <f>IF(KV109="","",VLOOKUP(KV109,Language!$D$5:$E$100,2,0))</f>
        <v/>
      </c>
      <c r="KX109" s="266"/>
      <c r="KY109" s="230" t="str">
        <f>IF(KX109="","",VLOOKUP(KX109,Language!$D$5:$E$100,2,0))</f>
        <v/>
      </c>
      <c r="KZ109" s="302"/>
      <c r="LA109" s="303"/>
      <c r="LB109" s="286"/>
      <c r="LC109" s="286"/>
      <c r="LD109" s="287">
        <f t="shared" si="1577"/>
        <v>0</v>
      </c>
      <c r="LE109" s="287">
        <f t="shared" si="1578"/>
        <v>0</v>
      </c>
      <c r="LF109" s="287"/>
      <c r="LG109" s="252" t="str">
        <f t="shared" si="1579"/>
        <v/>
      </c>
      <c r="LI109" s="265"/>
      <c r="LJ109" s="230" t="str">
        <f>IF(LI109="","",VLOOKUP(LI109,Language!$D$5:$E$100,2,0))</f>
        <v/>
      </c>
      <c r="LK109" s="266"/>
      <c r="LL109" s="230" t="str">
        <f>IF(LK109="","",VLOOKUP(LK109,Language!$D$5:$E$100,2,0))</f>
        <v/>
      </c>
      <c r="LM109" s="302"/>
      <c r="LN109" s="303"/>
      <c r="LO109" s="286"/>
      <c r="LP109" s="286"/>
      <c r="LQ109" s="287">
        <f t="shared" si="1580"/>
        <v>0</v>
      </c>
      <c r="LR109" s="287">
        <f t="shared" si="1581"/>
        <v>0</v>
      </c>
      <c r="LS109" s="287"/>
      <c r="LT109" s="252" t="str">
        <f t="shared" si="1582"/>
        <v/>
      </c>
      <c r="LV109" s="265"/>
      <c r="LW109" s="230" t="str">
        <f>IF(LV109="","",VLOOKUP(LV109,Language!$D$5:$E$100,2,0))</f>
        <v/>
      </c>
      <c r="LX109" s="266"/>
      <c r="LY109" s="230" t="str">
        <f>IF(LX109="","",VLOOKUP(LX109,Language!$D$5:$E$100,2,0))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IF(I110="","",VLOOKUP(I110,Language!$D$5:$E$100,2,0))</f>
        <v/>
      </c>
      <c r="K110" s="266"/>
      <c r="L110" s="230" t="str">
        <f>IF(K110="","",VLOOKUP(K110,Language!$D$5:$E$100,2,0))</f>
        <v/>
      </c>
      <c r="M110" s="302"/>
      <c r="N110" s="303"/>
      <c r="O110" s="286"/>
      <c r="P110" s="286"/>
      <c r="Q110" s="287">
        <f t="shared" si="1508"/>
        <v>0</v>
      </c>
      <c r="R110" s="287">
        <f t="shared" si="1509"/>
        <v>0</v>
      </c>
      <c r="S110" s="287"/>
      <c r="T110" s="252" t="str">
        <f t="shared" si="1510"/>
        <v/>
      </c>
      <c r="V110" s="265"/>
      <c r="W110" s="230" t="str">
        <f>IF(V110="","",VLOOKUP(V110,Language!$D$5:$E$100,2,0))</f>
        <v/>
      </c>
      <c r="X110" s="266"/>
      <c r="Y110" s="230" t="str">
        <f>IF(X110="","",VLOOKUP(X110,Language!$D$5:$E$100,2,0))</f>
        <v/>
      </c>
      <c r="Z110" s="302"/>
      <c r="AA110" s="303"/>
      <c r="AB110" s="286"/>
      <c r="AC110" s="286"/>
      <c r="AD110" s="287">
        <f t="shared" si="1511"/>
        <v>0</v>
      </c>
      <c r="AE110" s="287">
        <f t="shared" si="1512"/>
        <v>0</v>
      </c>
      <c r="AF110" s="287"/>
      <c r="AG110" s="252" t="str">
        <f t="shared" si="1513"/>
        <v/>
      </c>
      <c r="AI110" s="265"/>
      <c r="AJ110" s="230" t="str">
        <f>IF(AI110="","",VLOOKUP(AI110,Language!$D$5:$E$100,2,0))</f>
        <v/>
      </c>
      <c r="AK110" s="266"/>
      <c r="AL110" s="230" t="str">
        <f>IF(AK110="","",VLOOKUP(AK110,Language!$D$5:$E$100,2,0))</f>
        <v/>
      </c>
      <c r="AM110" s="302"/>
      <c r="AN110" s="303"/>
      <c r="AO110" s="286"/>
      <c r="AP110" s="286"/>
      <c r="AQ110" s="287">
        <f t="shared" si="1514"/>
        <v>0</v>
      </c>
      <c r="AR110" s="287">
        <f t="shared" si="1515"/>
        <v>0</v>
      </c>
      <c r="AS110" s="287"/>
      <c r="AT110" s="252" t="str">
        <f t="shared" si="1516"/>
        <v/>
      </c>
      <c r="AV110" s="265"/>
      <c r="AW110" s="230" t="str">
        <f>IF(AV110="","",VLOOKUP(AV110,Language!$D$5:$E$100,2,0))</f>
        <v/>
      </c>
      <c r="AX110" s="266"/>
      <c r="AY110" s="230" t="str">
        <f>IF(AX110="","",VLOOKUP(AX110,Language!$D$5:$E$100,2,0))</f>
        <v/>
      </c>
      <c r="AZ110" s="302"/>
      <c r="BA110" s="303"/>
      <c r="BB110" s="286"/>
      <c r="BC110" s="286"/>
      <c r="BD110" s="287">
        <f t="shared" si="1517"/>
        <v>0</v>
      </c>
      <c r="BE110" s="287">
        <f t="shared" si="1518"/>
        <v>0</v>
      </c>
      <c r="BF110" s="287"/>
      <c r="BG110" s="252" t="str">
        <f t="shared" si="1519"/>
        <v/>
      </c>
      <c r="BI110" s="265"/>
      <c r="BJ110" s="230" t="str">
        <f>IF(BI110="","",VLOOKUP(BI110,Language!$D$5:$E$100,2,0))</f>
        <v/>
      </c>
      <c r="BK110" s="266"/>
      <c r="BL110" s="230" t="str">
        <f>IF(BK110="","",VLOOKUP(BK110,Language!$D$5:$E$100,2,0))</f>
        <v/>
      </c>
      <c r="BM110" s="302"/>
      <c r="BN110" s="303"/>
      <c r="BO110" s="286"/>
      <c r="BP110" s="286"/>
      <c r="BQ110" s="287">
        <f t="shared" si="1520"/>
        <v>0</v>
      </c>
      <c r="BR110" s="287">
        <f t="shared" si="1521"/>
        <v>0</v>
      </c>
      <c r="BS110" s="287"/>
      <c r="BT110" s="252" t="str">
        <f t="shared" si="1522"/>
        <v/>
      </c>
      <c r="BV110" s="265"/>
      <c r="BW110" s="230" t="str">
        <f>IF(BV110="","",VLOOKUP(BV110,Language!$D$5:$E$100,2,0))</f>
        <v/>
      </c>
      <c r="BX110" s="266"/>
      <c r="BY110" s="230" t="str">
        <f>IF(BX110="","",VLOOKUP(BX110,Language!$D$5:$E$100,2,0))</f>
        <v/>
      </c>
      <c r="BZ110" s="302"/>
      <c r="CA110" s="303"/>
      <c r="CB110" s="286"/>
      <c r="CC110" s="286"/>
      <c r="CD110" s="287">
        <f t="shared" si="1523"/>
        <v>0</v>
      </c>
      <c r="CE110" s="287">
        <f t="shared" si="1524"/>
        <v>0</v>
      </c>
      <c r="CF110" s="287"/>
      <c r="CG110" s="252" t="str">
        <f t="shared" si="1525"/>
        <v/>
      </c>
      <c r="CI110" s="265"/>
      <c r="CJ110" s="230" t="str">
        <f>IF(CI110="","",VLOOKUP(CI110,Language!$D$5:$E$100,2,0))</f>
        <v/>
      </c>
      <c r="CK110" s="266"/>
      <c r="CL110" s="230" t="str">
        <f>IF(CK110="","",VLOOKUP(CK110,Language!$D$5:$E$100,2,0))</f>
        <v/>
      </c>
      <c r="CM110" s="302"/>
      <c r="CN110" s="303"/>
      <c r="CO110" s="286"/>
      <c r="CP110" s="286"/>
      <c r="CQ110" s="287">
        <f t="shared" si="1526"/>
        <v>0</v>
      </c>
      <c r="CR110" s="287">
        <f t="shared" si="1527"/>
        <v>0</v>
      </c>
      <c r="CS110" s="287"/>
      <c r="CT110" s="252" t="str">
        <f t="shared" si="1528"/>
        <v/>
      </c>
      <c r="CV110" s="265"/>
      <c r="CW110" s="230" t="str">
        <f>IF(CV110="","",VLOOKUP(CV110,Language!$D$5:$E$100,2,0))</f>
        <v/>
      </c>
      <c r="CX110" s="266"/>
      <c r="CY110" s="230" t="str">
        <f>IF(CX110="","",VLOOKUP(CX110,Language!$D$5:$E$100,2,0))</f>
        <v/>
      </c>
      <c r="CZ110" s="302"/>
      <c r="DA110" s="303"/>
      <c r="DB110" s="286"/>
      <c r="DC110" s="286"/>
      <c r="DD110" s="287">
        <f t="shared" si="1529"/>
        <v>0</v>
      </c>
      <c r="DE110" s="287">
        <f t="shared" si="1530"/>
        <v>0</v>
      </c>
      <c r="DF110" s="287"/>
      <c r="DG110" s="252" t="str">
        <f t="shared" si="1531"/>
        <v/>
      </c>
      <c r="DI110" s="265"/>
      <c r="DJ110" s="230" t="str">
        <f>IF(DI110="","",VLOOKUP(DI110,Language!$D$5:$E$100,2,0))</f>
        <v/>
      </c>
      <c r="DK110" s="266"/>
      <c r="DL110" s="230" t="str">
        <f>IF(DK110="","",VLOOKUP(DK110,Language!$D$5:$E$100,2,0))</f>
        <v/>
      </c>
      <c r="DM110" s="302"/>
      <c r="DN110" s="303"/>
      <c r="DO110" s="286"/>
      <c r="DP110" s="286"/>
      <c r="DQ110" s="287">
        <f t="shared" si="1532"/>
        <v>0</v>
      </c>
      <c r="DR110" s="287">
        <f t="shared" si="1533"/>
        <v>0</v>
      </c>
      <c r="DS110" s="287"/>
      <c r="DT110" s="252" t="str">
        <f t="shared" si="1534"/>
        <v/>
      </c>
      <c r="DV110" s="265"/>
      <c r="DW110" s="230" t="str">
        <f>IF(DV110="","",VLOOKUP(DV110,Language!$D$5:$E$100,2,0))</f>
        <v/>
      </c>
      <c r="DX110" s="266"/>
      <c r="DY110" s="230" t="str">
        <f>IF(DX110="","",VLOOKUP(DX110,Language!$D$5:$E$100,2,0))</f>
        <v/>
      </c>
      <c r="DZ110" s="302"/>
      <c r="EA110" s="303"/>
      <c r="EB110" s="286"/>
      <c r="EC110" s="286"/>
      <c r="ED110" s="287">
        <f t="shared" si="1535"/>
        <v>0</v>
      </c>
      <c r="EE110" s="287">
        <f t="shared" si="1536"/>
        <v>0</v>
      </c>
      <c r="EF110" s="287"/>
      <c r="EG110" s="252" t="str">
        <f t="shared" si="1537"/>
        <v/>
      </c>
      <c r="EI110" s="265"/>
      <c r="EJ110" s="230" t="str">
        <f>IF(EI110="","",VLOOKUP(EI110,Language!$D$5:$E$100,2,0))</f>
        <v/>
      </c>
      <c r="EK110" s="266"/>
      <c r="EL110" s="230" t="str">
        <f>IF(EK110="","",VLOOKUP(EK110,Language!$D$5:$E$100,2,0))</f>
        <v/>
      </c>
      <c r="EM110" s="302"/>
      <c r="EN110" s="303"/>
      <c r="EO110" s="286"/>
      <c r="EP110" s="286"/>
      <c r="EQ110" s="287">
        <f t="shared" si="1538"/>
        <v>0</v>
      </c>
      <c r="ER110" s="287">
        <f t="shared" si="1539"/>
        <v>0</v>
      </c>
      <c r="ES110" s="287"/>
      <c r="ET110" s="252" t="str">
        <f t="shared" si="1540"/>
        <v/>
      </c>
      <c r="EV110" s="265"/>
      <c r="EW110" s="230" t="str">
        <f>IF(EV110="","",VLOOKUP(EV110,Language!$D$5:$E$100,2,0))</f>
        <v/>
      </c>
      <c r="EX110" s="266"/>
      <c r="EY110" s="230" t="str">
        <f>IF(EX110="","",VLOOKUP(EX110,Language!$D$5:$E$100,2,0))</f>
        <v/>
      </c>
      <c r="EZ110" s="302"/>
      <c r="FA110" s="303"/>
      <c r="FB110" s="286"/>
      <c r="FC110" s="286"/>
      <c r="FD110" s="287">
        <f t="shared" si="1541"/>
        <v>0</v>
      </c>
      <c r="FE110" s="287">
        <f t="shared" si="1542"/>
        <v>0</v>
      </c>
      <c r="FF110" s="287"/>
      <c r="FG110" s="252" t="str">
        <f t="shared" si="1543"/>
        <v/>
      </c>
      <c r="FI110" s="265"/>
      <c r="FJ110" s="230" t="str">
        <f>IF(FI110="","",VLOOKUP(FI110,Language!$D$5:$E$100,2,0))</f>
        <v/>
      </c>
      <c r="FK110" s="266"/>
      <c r="FL110" s="230" t="str">
        <f>IF(FK110="","",VLOOKUP(FK110,Language!$D$5:$E$100,2,0))</f>
        <v/>
      </c>
      <c r="FM110" s="302"/>
      <c r="FN110" s="303"/>
      <c r="FO110" s="286"/>
      <c r="FP110" s="286"/>
      <c r="FQ110" s="287">
        <f t="shared" si="1544"/>
        <v>0</v>
      </c>
      <c r="FR110" s="287">
        <f t="shared" si="1545"/>
        <v>0</v>
      </c>
      <c r="FS110" s="287"/>
      <c r="FT110" s="252" t="str">
        <f t="shared" si="1546"/>
        <v/>
      </c>
      <c r="FV110" s="265"/>
      <c r="FW110" s="230" t="str">
        <f>IF(FV110="","",VLOOKUP(FV110,Language!$D$5:$E$100,2,0))</f>
        <v/>
      </c>
      <c r="FX110" s="266"/>
      <c r="FY110" s="230" t="str">
        <f>IF(FX110="","",VLOOKUP(FX110,Language!$D$5:$E$100,2,0))</f>
        <v/>
      </c>
      <c r="FZ110" s="302"/>
      <c r="GA110" s="303"/>
      <c r="GB110" s="286"/>
      <c r="GC110" s="286"/>
      <c r="GD110" s="287">
        <f t="shared" si="1547"/>
        <v>0</v>
      </c>
      <c r="GE110" s="287">
        <f t="shared" si="1548"/>
        <v>0</v>
      </c>
      <c r="GF110" s="287"/>
      <c r="GG110" s="252" t="str">
        <f t="shared" si="1549"/>
        <v/>
      </c>
      <c r="GI110" s="265"/>
      <c r="GJ110" s="230" t="str">
        <f>IF(GI110="","",VLOOKUP(GI110,Language!$D$5:$E$100,2,0))</f>
        <v/>
      </c>
      <c r="GK110" s="266"/>
      <c r="GL110" s="230" t="str">
        <f>IF(GK110="","",VLOOKUP(GK110,Language!$D$5:$E$100,2,0))</f>
        <v/>
      </c>
      <c r="GM110" s="302"/>
      <c r="GN110" s="303"/>
      <c r="GO110" s="286"/>
      <c r="GP110" s="286"/>
      <c r="GQ110" s="287">
        <f t="shared" si="1550"/>
        <v>0</v>
      </c>
      <c r="GR110" s="287">
        <f t="shared" si="1551"/>
        <v>0</v>
      </c>
      <c r="GS110" s="287"/>
      <c r="GT110" s="252" t="str">
        <f t="shared" si="1552"/>
        <v/>
      </c>
      <c r="GV110" s="265"/>
      <c r="GW110" s="230" t="str">
        <f>IF(GV110="","",VLOOKUP(GV110,Language!$D$5:$E$100,2,0))</f>
        <v/>
      </c>
      <c r="GX110" s="266"/>
      <c r="GY110" s="230" t="str">
        <f>IF(GX110="","",VLOOKUP(GX110,Language!$D$5:$E$100,2,0))</f>
        <v/>
      </c>
      <c r="GZ110" s="302"/>
      <c r="HA110" s="303"/>
      <c r="HB110" s="286"/>
      <c r="HC110" s="286"/>
      <c r="HD110" s="287">
        <f t="shared" si="1553"/>
        <v>0</v>
      </c>
      <c r="HE110" s="287">
        <f t="shared" si="1554"/>
        <v>0</v>
      </c>
      <c r="HF110" s="287"/>
      <c r="HG110" s="252" t="str">
        <f t="shared" si="1555"/>
        <v/>
      </c>
      <c r="HI110" s="265"/>
      <c r="HJ110" s="230" t="str">
        <f>IF(HI110="","",VLOOKUP(HI110,Language!$D$5:$E$100,2,0))</f>
        <v/>
      </c>
      <c r="HK110" s="266"/>
      <c r="HL110" s="230" t="str">
        <f>IF(HK110="","",VLOOKUP(HK110,Language!$D$5:$E$100,2,0))</f>
        <v/>
      </c>
      <c r="HM110" s="302"/>
      <c r="HN110" s="303"/>
      <c r="HO110" s="286"/>
      <c r="HP110" s="286"/>
      <c r="HQ110" s="287">
        <f t="shared" si="1556"/>
        <v>0</v>
      </c>
      <c r="HR110" s="287">
        <f t="shared" si="1557"/>
        <v>0</v>
      </c>
      <c r="HS110" s="287"/>
      <c r="HT110" s="252" t="str">
        <f t="shared" si="1558"/>
        <v/>
      </c>
      <c r="HV110" s="265"/>
      <c r="HW110" s="230" t="str">
        <f>IF(HV110="","",VLOOKUP(HV110,Language!$D$5:$E$100,2,0))</f>
        <v/>
      </c>
      <c r="HX110" s="266"/>
      <c r="HY110" s="230" t="str">
        <f>IF(HX110="","",VLOOKUP(HX110,Language!$D$5:$E$100,2,0))</f>
        <v/>
      </c>
      <c r="HZ110" s="302"/>
      <c r="IA110" s="303"/>
      <c r="IB110" s="286"/>
      <c r="IC110" s="286"/>
      <c r="ID110" s="287">
        <f t="shared" si="1559"/>
        <v>0</v>
      </c>
      <c r="IE110" s="287">
        <f t="shared" si="1560"/>
        <v>0</v>
      </c>
      <c r="IF110" s="287"/>
      <c r="IG110" s="252" t="str">
        <f t="shared" si="1561"/>
        <v/>
      </c>
      <c r="II110" s="265"/>
      <c r="IJ110" s="230" t="str">
        <f>IF(II110="","",VLOOKUP(II110,Language!$D$5:$E$100,2,0))</f>
        <v/>
      </c>
      <c r="IK110" s="266"/>
      <c r="IL110" s="230" t="str">
        <f>IF(IK110="","",VLOOKUP(IK110,Language!$D$5:$E$100,2,0))</f>
        <v/>
      </c>
      <c r="IM110" s="302"/>
      <c r="IN110" s="303"/>
      <c r="IO110" s="286"/>
      <c r="IP110" s="286"/>
      <c r="IQ110" s="287">
        <f t="shared" si="1562"/>
        <v>0</v>
      </c>
      <c r="IR110" s="287">
        <f t="shared" si="1563"/>
        <v>0</v>
      </c>
      <c r="IS110" s="287"/>
      <c r="IT110" s="252" t="str">
        <f t="shared" si="1564"/>
        <v/>
      </c>
      <c r="IV110" s="265"/>
      <c r="IW110" s="230" t="str">
        <f>IF(IV110="","",VLOOKUP(IV110,Language!$D$5:$E$100,2,0))</f>
        <v/>
      </c>
      <c r="IX110" s="266"/>
      <c r="IY110" s="230" t="str">
        <f>IF(IX110="","",VLOOKUP(IX110,Language!$D$5:$E$100,2,0))</f>
        <v/>
      </c>
      <c r="IZ110" s="302"/>
      <c r="JA110" s="303"/>
      <c r="JB110" s="286"/>
      <c r="JC110" s="286"/>
      <c r="JD110" s="287">
        <f t="shared" si="1565"/>
        <v>0</v>
      </c>
      <c r="JE110" s="287">
        <f t="shared" si="1566"/>
        <v>0</v>
      </c>
      <c r="JF110" s="287"/>
      <c r="JG110" s="252" t="str">
        <f t="shared" si="1567"/>
        <v/>
      </c>
      <c r="JI110" s="265"/>
      <c r="JJ110" s="230" t="str">
        <f>IF(JI110="","",VLOOKUP(JI110,Language!$D$5:$E$100,2,0))</f>
        <v/>
      </c>
      <c r="JK110" s="266"/>
      <c r="JL110" s="230" t="str">
        <f>IF(JK110="","",VLOOKUP(JK110,Language!$D$5:$E$100,2,0))</f>
        <v/>
      </c>
      <c r="JM110" s="302"/>
      <c r="JN110" s="303"/>
      <c r="JO110" s="286"/>
      <c r="JP110" s="286"/>
      <c r="JQ110" s="287">
        <f t="shared" si="1568"/>
        <v>0</v>
      </c>
      <c r="JR110" s="287">
        <f t="shared" si="1569"/>
        <v>0</v>
      </c>
      <c r="JS110" s="287"/>
      <c r="JT110" s="252" t="str">
        <f t="shared" si="1570"/>
        <v/>
      </c>
      <c r="JV110" s="265"/>
      <c r="JW110" s="230" t="str">
        <f>IF(JV110="","",VLOOKUP(JV110,Language!$D$5:$E$100,2,0))</f>
        <v/>
      </c>
      <c r="JX110" s="266"/>
      <c r="JY110" s="230" t="str">
        <f>IF(JX110="","",VLOOKUP(JX110,Language!$D$5:$E$100,2,0))</f>
        <v/>
      </c>
      <c r="JZ110" s="302"/>
      <c r="KA110" s="303"/>
      <c r="KB110" s="286"/>
      <c r="KC110" s="286"/>
      <c r="KD110" s="287">
        <f t="shared" si="1571"/>
        <v>0</v>
      </c>
      <c r="KE110" s="287">
        <f t="shared" si="1572"/>
        <v>0</v>
      </c>
      <c r="KF110" s="287"/>
      <c r="KG110" s="252" t="str">
        <f t="shared" si="1573"/>
        <v/>
      </c>
      <c r="KI110" s="265"/>
      <c r="KJ110" s="230" t="str">
        <f>IF(KI110="","",VLOOKUP(KI110,Language!$D$5:$E$100,2,0))</f>
        <v/>
      </c>
      <c r="KK110" s="266"/>
      <c r="KL110" s="230" t="str">
        <f>IF(KK110="","",VLOOKUP(KK110,Language!$D$5:$E$100,2,0))</f>
        <v/>
      </c>
      <c r="KM110" s="302"/>
      <c r="KN110" s="303"/>
      <c r="KO110" s="286"/>
      <c r="KP110" s="286"/>
      <c r="KQ110" s="287">
        <f t="shared" si="1574"/>
        <v>0</v>
      </c>
      <c r="KR110" s="287">
        <f t="shared" si="1575"/>
        <v>0</v>
      </c>
      <c r="KS110" s="287"/>
      <c r="KT110" s="252" t="str">
        <f t="shared" si="1576"/>
        <v/>
      </c>
      <c r="KV110" s="265"/>
      <c r="KW110" s="230" t="str">
        <f>IF(KV110="","",VLOOKUP(KV110,Language!$D$5:$E$100,2,0))</f>
        <v/>
      </c>
      <c r="KX110" s="266"/>
      <c r="KY110" s="230" t="str">
        <f>IF(KX110="","",VLOOKUP(KX110,Language!$D$5:$E$100,2,0))</f>
        <v/>
      </c>
      <c r="KZ110" s="302"/>
      <c r="LA110" s="303"/>
      <c r="LB110" s="286"/>
      <c r="LC110" s="286"/>
      <c r="LD110" s="287">
        <f t="shared" si="1577"/>
        <v>0</v>
      </c>
      <c r="LE110" s="287">
        <f t="shared" si="1578"/>
        <v>0</v>
      </c>
      <c r="LF110" s="287"/>
      <c r="LG110" s="252" t="str">
        <f t="shared" si="1579"/>
        <v/>
      </c>
      <c r="LI110" s="265"/>
      <c r="LJ110" s="230" t="str">
        <f>IF(LI110="","",VLOOKUP(LI110,Language!$D$5:$E$100,2,0))</f>
        <v/>
      </c>
      <c r="LK110" s="266"/>
      <c r="LL110" s="230" t="str">
        <f>IF(LK110="","",VLOOKUP(LK110,Language!$D$5:$E$100,2,0))</f>
        <v/>
      </c>
      <c r="LM110" s="302"/>
      <c r="LN110" s="303"/>
      <c r="LO110" s="286"/>
      <c r="LP110" s="286"/>
      <c r="LQ110" s="287">
        <f t="shared" si="1580"/>
        <v>0</v>
      </c>
      <c r="LR110" s="287">
        <f t="shared" si="1581"/>
        <v>0</v>
      </c>
      <c r="LS110" s="287"/>
      <c r="LT110" s="252" t="str">
        <f t="shared" si="1582"/>
        <v/>
      </c>
      <c r="LV110" s="265"/>
      <c r="LW110" s="230" t="str">
        <f>IF(LV110="","",VLOOKUP(LV110,Language!$D$5:$E$100,2,0))</f>
        <v/>
      </c>
      <c r="LX110" s="266"/>
      <c r="LY110" s="230" t="str">
        <f>IF(LX110="","",VLOOKUP(LX110,Language!$D$5:$E$100,2,0))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IF(I111="","",VLOOKUP(I111,Language!$D$5:$E$100,2,0))</f>
        <v/>
      </c>
      <c r="K111" s="266"/>
      <c r="L111" s="230" t="str">
        <f>IF(K111="","",VLOOKUP(K111,Language!$D$5:$E$100,2,0))</f>
        <v/>
      </c>
      <c r="M111" s="302"/>
      <c r="N111" s="303"/>
      <c r="O111" s="286"/>
      <c r="P111" s="286"/>
      <c r="Q111" s="287">
        <f t="shared" si="1508"/>
        <v>0</v>
      </c>
      <c r="R111" s="287">
        <f t="shared" si="1509"/>
        <v>0</v>
      </c>
      <c r="S111" s="287"/>
      <c r="T111" s="252" t="str">
        <f t="shared" si="1510"/>
        <v/>
      </c>
      <c r="V111" s="265"/>
      <c r="W111" s="230" t="str">
        <f>IF(V111="","",VLOOKUP(V111,Language!$D$5:$E$100,2,0))</f>
        <v/>
      </c>
      <c r="X111" s="266"/>
      <c r="Y111" s="230" t="str">
        <f>IF(X111="","",VLOOKUP(X111,Language!$D$5:$E$100,2,0))</f>
        <v/>
      </c>
      <c r="Z111" s="302"/>
      <c r="AA111" s="303"/>
      <c r="AB111" s="286"/>
      <c r="AC111" s="286"/>
      <c r="AD111" s="287">
        <f t="shared" si="1511"/>
        <v>0</v>
      </c>
      <c r="AE111" s="287">
        <f t="shared" si="1512"/>
        <v>0</v>
      </c>
      <c r="AF111" s="287"/>
      <c r="AG111" s="252" t="str">
        <f t="shared" si="1513"/>
        <v/>
      </c>
      <c r="AI111" s="265"/>
      <c r="AJ111" s="230" t="str">
        <f>IF(AI111="","",VLOOKUP(AI111,Language!$D$5:$E$100,2,0))</f>
        <v/>
      </c>
      <c r="AK111" s="266"/>
      <c r="AL111" s="230" t="str">
        <f>IF(AK111="","",VLOOKUP(AK111,Language!$D$5:$E$100,2,0))</f>
        <v/>
      </c>
      <c r="AM111" s="302"/>
      <c r="AN111" s="303"/>
      <c r="AO111" s="286"/>
      <c r="AP111" s="286"/>
      <c r="AQ111" s="287">
        <f t="shared" si="1514"/>
        <v>0</v>
      </c>
      <c r="AR111" s="287">
        <f t="shared" si="1515"/>
        <v>0</v>
      </c>
      <c r="AS111" s="287"/>
      <c r="AT111" s="252" t="str">
        <f t="shared" si="1516"/>
        <v/>
      </c>
      <c r="AV111" s="265"/>
      <c r="AW111" s="230" t="str">
        <f>IF(AV111="","",VLOOKUP(AV111,Language!$D$5:$E$100,2,0))</f>
        <v/>
      </c>
      <c r="AX111" s="266"/>
      <c r="AY111" s="230" t="str">
        <f>IF(AX111="","",VLOOKUP(AX111,Language!$D$5:$E$100,2,0))</f>
        <v/>
      </c>
      <c r="AZ111" s="302"/>
      <c r="BA111" s="303"/>
      <c r="BB111" s="286"/>
      <c r="BC111" s="286"/>
      <c r="BD111" s="287">
        <f t="shared" si="1517"/>
        <v>0</v>
      </c>
      <c r="BE111" s="287">
        <f t="shared" si="1518"/>
        <v>0</v>
      </c>
      <c r="BF111" s="287"/>
      <c r="BG111" s="252" t="str">
        <f t="shared" si="1519"/>
        <v/>
      </c>
      <c r="BI111" s="265"/>
      <c r="BJ111" s="230" t="str">
        <f>IF(BI111="","",VLOOKUP(BI111,Language!$D$5:$E$100,2,0))</f>
        <v/>
      </c>
      <c r="BK111" s="266"/>
      <c r="BL111" s="230" t="str">
        <f>IF(BK111="","",VLOOKUP(BK111,Language!$D$5:$E$100,2,0))</f>
        <v/>
      </c>
      <c r="BM111" s="302"/>
      <c r="BN111" s="303"/>
      <c r="BO111" s="286"/>
      <c r="BP111" s="286"/>
      <c r="BQ111" s="287">
        <f t="shared" si="1520"/>
        <v>0</v>
      </c>
      <c r="BR111" s="287">
        <f t="shared" si="1521"/>
        <v>0</v>
      </c>
      <c r="BS111" s="287"/>
      <c r="BT111" s="252" t="str">
        <f t="shared" si="1522"/>
        <v/>
      </c>
      <c r="BV111" s="265"/>
      <c r="BW111" s="230" t="str">
        <f>IF(BV111="","",VLOOKUP(BV111,Language!$D$5:$E$100,2,0))</f>
        <v/>
      </c>
      <c r="BX111" s="266"/>
      <c r="BY111" s="230" t="str">
        <f>IF(BX111="","",VLOOKUP(BX111,Language!$D$5:$E$100,2,0))</f>
        <v/>
      </c>
      <c r="BZ111" s="302"/>
      <c r="CA111" s="303"/>
      <c r="CB111" s="286"/>
      <c r="CC111" s="286"/>
      <c r="CD111" s="287">
        <f t="shared" si="1523"/>
        <v>0</v>
      </c>
      <c r="CE111" s="287">
        <f t="shared" si="1524"/>
        <v>0</v>
      </c>
      <c r="CF111" s="287"/>
      <c r="CG111" s="252" t="str">
        <f t="shared" si="1525"/>
        <v/>
      </c>
      <c r="CI111" s="265"/>
      <c r="CJ111" s="230" t="str">
        <f>IF(CI111="","",VLOOKUP(CI111,Language!$D$5:$E$100,2,0))</f>
        <v/>
      </c>
      <c r="CK111" s="266"/>
      <c r="CL111" s="230" t="str">
        <f>IF(CK111="","",VLOOKUP(CK111,Language!$D$5:$E$100,2,0))</f>
        <v/>
      </c>
      <c r="CM111" s="302"/>
      <c r="CN111" s="303"/>
      <c r="CO111" s="286"/>
      <c r="CP111" s="286"/>
      <c r="CQ111" s="287">
        <f t="shared" si="1526"/>
        <v>0</v>
      </c>
      <c r="CR111" s="287">
        <f t="shared" si="1527"/>
        <v>0</v>
      </c>
      <c r="CS111" s="287"/>
      <c r="CT111" s="252" t="str">
        <f t="shared" si="1528"/>
        <v/>
      </c>
      <c r="CV111" s="265"/>
      <c r="CW111" s="230" t="str">
        <f>IF(CV111="","",VLOOKUP(CV111,Language!$D$5:$E$100,2,0))</f>
        <v/>
      </c>
      <c r="CX111" s="266"/>
      <c r="CY111" s="230" t="str">
        <f>IF(CX111="","",VLOOKUP(CX111,Language!$D$5:$E$100,2,0))</f>
        <v/>
      </c>
      <c r="CZ111" s="302"/>
      <c r="DA111" s="303"/>
      <c r="DB111" s="286"/>
      <c r="DC111" s="286"/>
      <c r="DD111" s="287">
        <f t="shared" si="1529"/>
        <v>0</v>
      </c>
      <c r="DE111" s="287">
        <f t="shared" si="1530"/>
        <v>0</v>
      </c>
      <c r="DF111" s="287"/>
      <c r="DG111" s="252" t="str">
        <f t="shared" si="1531"/>
        <v/>
      </c>
      <c r="DI111" s="265"/>
      <c r="DJ111" s="230" t="str">
        <f>IF(DI111="","",VLOOKUP(DI111,Language!$D$5:$E$100,2,0))</f>
        <v/>
      </c>
      <c r="DK111" s="266"/>
      <c r="DL111" s="230" t="str">
        <f>IF(DK111="","",VLOOKUP(DK111,Language!$D$5:$E$100,2,0))</f>
        <v/>
      </c>
      <c r="DM111" s="302"/>
      <c r="DN111" s="303"/>
      <c r="DO111" s="286"/>
      <c r="DP111" s="286"/>
      <c r="DQ111" s="287">
        <f t="shared" si="1532"/>
        <v>0</v>
      </c>
      <c r="DR111" s="287">
        <f t="shared" si="1533"/>
        <v>0</v>
      </c>
      <c r="DS111" s="287"/>
      <c r="DT111" s="252" t="str">
        <f t="shared" si="1534"/>
        <v/>
      </c>
      <c r="DV111" s="265"/>
      <c r="DW111" s="230" t="str">
        <f>IF(DV111="","",VLOOKUP(DV111,Language!$D$5:$E$100,2,0))</f>
        <v/>
      </c>
      <c r="DX111" s="266"/>
      <c r="DY111" s="230" t="str">
        <f>IF(DX111="","",VLOOKUP(DX111,Language!$D$5:$E$100,2,0))</f>
        <v/>
      </c>
      <c r="DZ111" s="302"/>
      <c r="EA111" s="303"/>
      <c r="EB111" s="286"/>
      <c r="EC111" s="286"/>
      <c r="ED111" s="287">
        <f t="shared" si="1535"/>
        <v>0</v>
      </c>
      <c r="EE111" s="287">
        <f t="shared" si="1536"/>
        <v>0</v>
      </c>
      <c r="EF111" s="287"/>
      <c r="EG111" s="252" t="str">
        <f t="shared" si="1537"/>
        <v/>
      </c>
      <c r="EI111" s="265"/>
      <c r="EJ111" s="230" t="str">
        <f>IF(EI111="","",VLOOKUP(EI111,Language!$D$5:$E$100,2,0))</f>
        <v/>
      </c>
      <c r="EK111" s="266"/>
      <c r="EL111" s="230" t="str">
        <f>IF(EK111="","",VLOOKUP(EK111,Language!$D$5:$E$100,2,0))</f>
        <v/>
      </c>
      <c r="EM111" s="302"/>
      <c r="EN111" s="303"/>
      <c r="EO111" s="286"/>
      <c r="EP111" s="286"/>
      <c r="EQ111" s="287">
        <f t="shared" si="1538"/>
        <v>0</v>
      </c>
      <c r="ER111" s="287">
        <f t="shared" si="1539"/>
        <v>0</v>
      </c>
      <c r="ES111" s="287"/>
      <c r="ET111" s="252" t="str">
        <f t="shared" si="1540"/>
        <v/>
      </c>
      <c r="EV111" s="265"/>
      <c r="EW111" s="230" t="str">
        <f>IF(EV111="","",VLOOKUP(EV111,Language!$D$5:$E$100,2,0))</f>
        <v/>
      </c>
      <c r="EX111" s="266"/>
      <c r="EY111" s="230" t="str">
        <f>IF(EX111="","",VLOOKUP(EX111,Language!$D$5:$E$100,2,0))</f>
        <v/>
      </c>
      <c r="EZ111" s="302"/>
      <c r="FA111" s="303"/>
      <c r="FB111" s="286"/>
      <c r="FC111" s="286"/>
      <c r="FD111" s="287">
        <f t="shared" si="1541"/>
        <v>0</v>
      </c>
      <c r="FE111" s="287">
        <f t="shared" si="1542"/>
        <v>0</v>
      </c>
      <c r="FF111" s="287"/>
      <c r="FG111" s="252" t="str">
        <f t="shared" si="1543"/>
        <v/>
      </c>
      <c r="FI111" s="265"/>
      <c r="FJ111" s="230" t="str">
        <f>IF(FI111="","",VLOOKUP(FI111,Language!$D$5:$E$100,2,0))</f>
        <v/>
      </c>
      <c r="FK111" s="266"/>
      <c r="FL111" s="230" t="str">
        <f>IF(FK111="","",VLOOKUP(FK111,Language!$D$5:$E$100,2,0))</f>
        <v/>
      </c>
      <c r="FM111" s="302"/>
      <c r="FN111" s="303"/>
      <c r="FO111" s="286"/>
      <c r="FP111" s="286"/>
      <c r="FQ111" s="287">
        <f t="shared" si="1544"/>
        <v>0</v>
      </c>
      <c r="FR111" s="287">
        <f t="shared" si="1545"/>
        <v>0</v>
      </c>
      <c r="FS111" s="287"/>
      <c r="FT111" s="252" t="str">
        <f t="shared" si="1546"/>
        <v/>
      </c>
      <c r="FV111" s="265"/>
      <c r="FW111" s="230" t="str">
        <f>IF(FV111="","",VLOOKUP(FV111,Language!$D$5:$E$100,2,0))</f>
        <v/>
      </c>
      <c r="FX111" s="266"/>
      <c r="FY111" s="230" t="str">
        <f>IF(FX111="","",VLOOKUP(FX111,Language!$D$5:$E$100,2,0))</f>
        <v/>
      </c>
      <c r="FZ111" s="302"/>
      <c r="GA111" s="303"/>
      <c r="GB111" s="286"/>
      <c r="GC111" s="286"/>
      <c r="GD111" s="287">
        <f t="shared" si="1547"/>
        <v>0</v>
      </c>
      <c r="GE111" s="287">
        <f t="shared" si="1548"/>
        <v>0</v>
      </c>
      <c r="GF111" s="287"/>
      <c r="GG111" s="252" t="str">
        <f t="shared" si="1549"/>
        <v/>
      </c>
      <c r="GI111" s="265"/>
      <c r="GJ111" s="230" t="str">
        <f>IF(GI111="","",VLOOKUP(GI111,Language!$D$5:$E$100,2,0))</f>
        <v/>
      </c>
      <c r="GK111" s="266"/>
      <c r="GL111" s="230" t="str">
        <f>IF(GK111="","",VLOOKUP(GK111,Language!$D$5:$E$100,2,0))</f>
        <v/>
      </c>
      <c r="GM111" s="302"/>
      <c r="GN111" s="303"/>
      <c r="GO111" s="286"/>
      <c r="GP111" s="286"/>
      <c r="GQ111" s="287">
        <f t="shared" si="1550"/>
        <v>0</v>
      </c>
      <c r="GR111" s="287">
        <f t="shared" si="1551"/>
        <v>0</v>
      </c>
      <c r="GS111" s="287"/>
      <c r="GT111" s="252" t="str">
        <f t="shared" si="1552"/>
        <v/>
      </c>
      <c r="GV111" s="265"/>
      <c r="GW111" s="230" t="str">
        <f>IF(GV111="","",VLOOKUP(GV111,Language!$D$5:$E$100,2,0))</f>
        <v/>
      </c>
      <c r="GX111" s="266"/>
      <c r="GY111" s="230" t="str">
        <f>IF(GX111="","",VLOOKUP(GX111,Language!$D$5:$E$100,2,0))</f>
        <v/>
      </c>
      <c r="GZ111" s="302"/>
      <c r="HA111" s="303"/>
      <c r="HB111" s="286"/>
      <c r="HC111" s="286"/>
      <c r="HD111" s="287">
        <f t="shared" si="1553"/>
        <v>0</v>
      </c>
      <c r="HE111" s="287">
        <f t="shared" si="1554"/>
        <v>0</v>
      </c>
      <c r="HF111" s="287"/>
      <c r="HG111" s="252" t="str">
        <f t="shared" si="1555"/>
        <v/>
      </c>
      <c r="HI111" s="265"/>
      <c r="HJ111" s="230" t="str">
        <f>IF(HI111="","",VLOOKUP(HI111,Language!$D$5:$E$100,2,0))</f>
        <v/>
      </c>
      <c r="HK111" s="266"/>
      <c r="HL111" s="230" t="str">
        <f>IF(HK111="","",VLOOKUP(HK111,Language!$D$5:$E$100,2,0))</f>
        <v/>
      </c>
      <c r="HM111" s="302"/>
      <c r="HN111" s="303"/>
      <c r="HO111" s="286"/>
      <c r="HP111" s="286"/>
      <c r="HQ111" s="287">
        <f t="shared" si="1556"/>
        <v>0</v>
      </c>
      <c r="HR111" s="287">
        <f t="shared" si="1557"/>
        <v>0</v>
      </c>
      <c r="HS111" s="287"/>
      <c r="HT111" s="252" t="str">
        <f t="shared" si="1558"/>
        <v/>
      </c>
      <c r="HV111" s="265"/>
      <c r="HW111" s="230" t="str">
        <f>IF(HV111="","",VLOOKUP(HV111,Language!$D$5:$E$100,2,0))</f>
        <v/>
      </c>
      <c r="HX111" s="266"/>
      <c r="HY111" s="230" t="str">
        <f>IF(HX111="","",VLOOKUP(HX111,Language!$D$5:$E$100,2,0))</f>
        <v/>
      </c>
      <c r="HZ111" s="302"/>
      <c r="IA111" s="303"/>
      <c r="IB111" s="286"/>
      <c r="IC111" s="286"/>
      <c r="ID111" s="287">
        <f t="shared" si="1559"/>
        <v>0</v>
      </c>
      <c r="IE111" s="287">
        <f t="shared" si="1560"/>
        <v>0</v>
      </c>
      <c r="IF111" s="287"/>
      <c r="IG111" s="252" t="str">
        <f t="shared" si="1561"/>
        <v/>
      </c>
      <c r="II111" s="265"/>
      <c r="IJ111" s="230" t="str">
        <f>IF(II111="","",VLOOKUP(II111,Language!$D$5:$E$100,2,0))</f>
        <v/>
      </c>
      <c r="IK111" s="266"/>
      <c r="IL111" s="230" t="str">
        <f>IF(IK111="","",VLOOKUP(IK111,Language!$D$5:$E$100,2,0))</f>
        <v/>
      </c>
      <c r="IM111" s="302"/>
      <c r="IN111" s="303"/>
      <c r="IO111" s="286"/>
      <c r="IP111" s="286"/>
      <c r="IQ111" s="287">
        <f t="shared" si="1562"/>
        <v>0</v>
      </c>
      <c r="IR111" s="287">
        <f t="shared" si="1563"/>
        <v>0</v>
      </c>
      <c r="IS111" s="287"/>
      <c r="IT111" s="252" t="str">
        <f t="shared" si="1564"/>
        <v/>
      </c>
      <c r="IV111" s="265"/>
      <c r="IW111" s="230" t="str">
        <f>IF(IV111="","",VLOOKUP(IV111,Language!$D$5:$E$100,2,0))</f>
        <v/>
      </c>
      <c r="IX111" s="266"/>
      <c r="IY111" s="230" t="str">
        <f>IF(IX111="","",VLOOKUP(IX111,Language!$D$5:$E$100,2,0))</f>
        <v/>
      </c>
      <c r="IZ111" s="302"/>
      <c r="JA111" s="303"/>
      <c r="JB111" s="286"/>
      <c r="JC111" s="286"/>
      <c r="JD111" s="287">
        <f t="shared" si="1565"/>
        <v>0</v>
      </c>
      <c r="JE111" s="287">
        <f t="shared" si="1566"/>
        <v>0</v>
      </c>
      <c r="JF111" s="287"/>
      <c r="JG111" s="252" t="str">
        <f t="shared" si="1567"/>
        <v/>
      </c>
      <c r="JI111" s="265"/>
      <c r="JJ111" s="230" t="str">
        <f>IF(JI111="","",VLOOKUP(JI111,Language!$D$5:$E$100,2,0))</f>
        <v/>
      </c>
      <c r="JK111" s="266"/>
      <c r="JL111" s="230" t="str">
        <f>IF(JK111="","",VLOOKUP(JK111,Language!$D$5:$E$100,2,0))</f>
        <v/>
      </c>
      <c r="JM111" s="302"/>
      <c r="JN111" s="303"/>
      <c r="JO111" s="286"/>
      <c r="JP111" s="286"/>
      <c r="JQ111" s="287">
        <f t="shared" si="1568"/>
        <v>0</v>
      </c>
      <c r="JR111" s="287">
        <f t="shared" si="1569"/>
        <v>0</v>
      </c>
      <c r="JS111" s="287"/>
      <c r="JT111" s="252" t="str">
        <f t="shared" si="1570"/>
        <v/>
      </c>
      <c r="JV111" s="265"/>
      <c r="JW111" s="230" t="str">
        <f>IF(JV111="","",VLOOKUP(JV111,Language!$D$5:$E$100,2,0))</f>
        <v/>
      </c>
      <c r="JX111" s="266"/>
      <c r="JY111" s="230" t="str">
        <f>IF(JX111="","",VLOOKUP(JX111,Language!$D$5:$E$100,2,0))</f>
        <v/>
      </c>
      <c r="JZ111" s="302"/>
      <c r="KA111" s="303"/>
      <c r="KB111" s="286"/>
      <c r="KC111" s="286"/>
      <c r="KD111" s="287">
        <f t="shared" si="1571"/>
        <v>0</v>
      </c>
      <c r="KE111" s="287">
        <f t="shared" si="1572"/>
        <v>0</v>
      </c>
      <c r="KF111" s="287"/>
      <c r="KG111" s="252" t="str">
        <f t="shared" si="1573"/>
        <v/>
      </c>
      <c r="KI111" s="265"/>
      <c r="KJ111" s="230" t="str">
        <f>IF(KI111="","",VLOOKUP(KI111,Language!$D$5:$E$100,2,0))</f>
        <v/>
      </c>
      <c r="KK111" s="266"/>
      <c r="KL111" s="230" t="str">
        <f>IF(KK111="","",VLOOKUP(KK111,Language!$D$5:$E$100,2,0))</f>
        <v/>
      </c>
      <c r="KM111" s="302"/>
      <c r="KN111" s="303"/>
      <c r="KO111" s="286"/>
      <c r="KP111" s="286"/>
      <c r="KQ111" s="287">
        <f t="shared" si="1574"/>
        <v>0</v>
      </c>
      <c r="KR111" s="287">
        <f t="shared" si="1575"/>
        <v>0</v>
      </c>
      <c r="KS111" s="287"/>
      <c r="KT111" s="252" t="str">
        <f t="shared" si="1576"/>
        <v/>
      </c>
      <c r="KV111" s="265"/>
      <c r="KW111" s="230" t="str">
        <f>IF(KV111="","",VLOOKUP(KV111,Language!$D$5:$E$100,2,0))</f>
        <v/>
      </c>
      <c r="KX111" s="266"/>
      <c r="KY111" s="230" t="str">
        <f>IF(KX111="","",VLOOKUP(KX111,Language!$D$5:$E$100,2,0))</f>
        <v/>
      </c>
      <c r="KZ111" s="302"/>
      <c r="LA111" s="303"/>
      <c r="LB111" s="286"/>
      <c r="LC111" s="286"/>
      <c r="LD111" s="287">
        <f t="shared" si="1577"/>
        <v>0</v>
      </c>
      <c r="LE111" s="287">
        <f t="shared" si="1578"/>
        <v>0</v>
      </c>
      <c r="LF111" s="287"/>
      <c r="LG111" s="252" t="str">
        <f t="shared" si="1579"/>
        <v/>
      </c>
      <c r="LI111" s="265"/>
      <c r="LJ111" s="230" t="str">
        <f>IF(LI111="","",VLOOKUP(LI111,Language!$D$5:$E$100,2,0))</f>
        <v/>
      </c>
      <c r="LK111" s="266"/>
      <c r="LL111" s="230" t="str">
        <f>IF(LK111="","",VLOOKUP(LK111,Language!$D$5:$E$100,2,0))</f>
        <v/>
      </c>
      <c r="LM111" s="302"/>
      <c r="LN111" s="303"/>
      <c r="LO111" s="286"/>
      <c r="LP111" s="286"/>
      <c r="LQ111" s="287">
        <f t="shared" si="1580"/>
        <v>0</v>
      </c>
      <c r="LR111" s="287">
        <f t="shared" si="1581"/>
        <v>0</v>
      </c>
      <c r="LS111" s="287"/>
      <c r="LT111" s="252" t="str">
        <f t="shared" si="1582"/>
        <v/>
      </c>
      <c r="LV111" s="265"/>
      <c r="LW111" s="230" t="str">
        <f>IF(LV111="","",VLOOKUP(LV111,Language!$D$5:$E$100,2,0))</f>
        <v/>
      </c>
      <c r="LX111" s="266"/>
      <c r="LY111" s="230" t="str">
        <f>IF(LX111="","",VLOOKUP(LX111,Language!$D$5:$E$100,2,0))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IF(I112="","",VLOOKUP(I112,Language!$D$5:$E$100,2,0))</f>
        <v/>
      </c>
      <c r="K112" s="266"/>
      <c r="L112" s="230" t="str">
        <f>IF(K112="","",VLOOKUP(K112,Language!$D$5:$E$100,2,0))</f>
        <v/>
      </c>
      <c r="M112" s="302"/>
      <c r="N112" s="303"/>
      <c r="O112" s="286"/>
      <c r="P112" s="286"/>
      <c r="Q112" s="287">
        <f t="shared" si="1508"/>
        <v>0</v>
      </c>
      <c r="R112" s="287">
        <f t="shared" si="1509"/>
        <v>0</v>
      </c>
      <c r="S112" s="287"/>
      <c r="T112" s="252" t="str">
        <f t="shared" si="1510"/>
        <v/>
      </c>
      <c r="V112" s="265"/>
      <c r="W112" s="230" t="str">
        <f>IF(V112="","",VLOOKUP(V112,Language!$D$5:$E$100,2,0))</f>
        <v/>
      </c>
      <c r="X112" s="266"/>
      <c r="Y112" s="230" t="str">
        <f>IF(X112="","",VLOOKUP(X112,Language!$D$5:$E$100,2,0))</f>
        <v/>
      </c>
      <c r="Z112" s="302"/>
      <c r="AA112" s="303"/>
      <c r="AB112" s="286"/>
      <c r="AC112" s="286"/>
      <c r="AD112" s="287">
        <f t="shared" si="1511"/>
        <v>0</v>
      </c>
      <c r="AE112" s="287">
        <f t="shared" si="1512"/>
        <v>0</v>
      </c>
      <c r="AF112" s="287"/>
      <c r="AG112" s="252" t="str">
        <f t="shared" si="1513"/>
        <v/>
      </c>
      <c r="AI112" s="265"/>
      <c r="AJ112" s="230" t="str">
        <f>IF(AI112="","",VLOOKUP(AI112,Language!$D$5:$E$100,2,0))</f>
        <v/>
      </c>
      <c r="AK112" s="266"/>
      <c r="AL112" s="230" t="str">
        <f>IF(AK112="","",VLOOKUP(AK112,Language!$D$5:$E$100,2,0))</f>
        <v/>
      </c>
      <c r="AM112" s="302"/>
      <c r="AN112" s="303"/>
      <c r="AO112" s="286"/>
      <c r="AP112" s="286"/>
      <c r="AQ112" s="287">
        <f t="shared" si="1514"/>
        <v>0</v>
      </c>
      <c r="AR112" s="287">
        <f t="shared" si="1515"/>
        <v>0</v>
      </c>
      <c r="AS112" s="287"/>
      <c r="AT112" s="252" t="str">
        <f t="shared" si="1516"/>
        <v/>
      </c>
      <c r="AV112" s="265"/>
      <c r="AW112" s="230" t="str">
        <f>IF(AV112="","",VLOOKUP(AV112,Language!$D$5:$E$100,2,0))</f>
        <v/>
      </c>
      <c r="AX112" s="266"/>
      <c r="AY112" s="230" t="str">
        <f>IF(AX112="","",VLOOKUP(AX112,Language!$D$5:$E$100,2,0))</f>
        <v/>
      </c>
      <c r="AZ112" s="302"/>
      <c r="BA112" s="303"/>
      <c r="BB112" s="286"/>
      <c r="BC112" s="286"/>
      <c r="BD112" s="287">
        <f t="shared" si="1517"/>
        <v>0</v>
      </c>
      <c r="BE112" s="287">
        <f t="shared" si="1518"/>
        <v>0</v>
      </c>
      <c r="BF112" s="287"/>
      <c r="BG112" s="252" t="str">
        <f t="shared" si="1519"/>
        <v/>
      </c>
      <c r="BI112" s="265"/>
      <c r="BJ112" s="230" t="str">
        <f>IF(BI112="","",VLOOKUP(BI112,Language!$D$5:$E$100,2,0))</f>
        <v/>
      </c>
      <c r="BK112" s="266"/>
      <c r="BL112" s="230" t="str">
        <f>IF(BK112="","",VLOOKUP(BK112,Language!$D$5:$E$100,2,0))</f>
        <v/>
      </c>
      <c r="BM112" s="302"/>
      <c r="BN112" s="303"/>
      <c r="BO112" s="286"/>
      <c r="BP112" s="286"/>
      <c r="BQ112" s="287">
        <f t="shared" si="1520"/>
        <v>0</v>
      </c>
      <c r="BR112" s="287">
        <f t="shared" si="1521"/>
        <v>0</v>
      </c>
      <c r="BS112" s="287"/>
      <c r="BT112" s="252" t="str">
        <f t="shared" si="1522"/>
        <v/>
      </c>
      <c r="BV112" s="265"/>
      <c r="BW112" s="230" t="str">
        <f>IF(BV112="","",VLOOKUP(BV112,Language!$D$5:$E$100,2,0))</f>
        <v/>
      </c>
      <c r="BX112" s="266"/>
      <c r="BY112" s="230" t="str">
        <f>IF(BX112="","",VLOOKUP(BX112,Language!$D$5:$E$100,2,0))</f>
        <v/>
      </c>
      <c r="BZ112" s="302"/>
      <c r="CA112" s="303"/>
      <c r="CB112" s="286"/>
      <c r="CC112" s="286"/>
      <c r="CD112" s="287">
        <f t="shared" si="1523"/>
        <v>0</v>
      </c>
      <c r="CE112" s="287">
        <f t="shared" si="1524"/>
        <v>0</v>
      </c>
      <c r="CF112" s="287"/>
      <c r="CG112" s="252" t="str">
        <f t="shared" si="1525"/>
        <v/>
      </c>
      <c r="CI112" s="265"/>
      <c r="CJ112" s="230" t="str">
        <f>IF(CI112="","",VLOOKUP(CI112,Language!$D$5:$E$100,2,0))</f>
        <v/>
      </c>
      <c r="CK112" s="266"/>
      <c r="CL112" s="230" t="str">
        <f>IF(CK112="","",VLOOKUP(CK112,Language!$D$5:$E$100,2,0))</f>
        <v/>
      </c>
      <c r="CM112" s="302"/>
      <c r="CN112" s="303"/>
      <c r="CO112" s="286"/>
      <c r="CP112" s="286"/>
      <c r="CQ112" s="287">
        <f t="shared" si="1526"/>
        <v>0</v>
      </c>
      <c r="CR112" s="287">
        <f t="shared" si="1527"/>
        <v>0</v>
      </c>
      <c r="CS112" s="287"/>
      <c r="CT112" s="252" t="str">
        <f t="shared" si="1528"/>
        <v/>
      </c>
      <c r="CV112" s="265"/>
      <c r="CW112" s="230" t="str">
        <f>IF(CV112="","",VLOOKUP(CV112,Language!$D$5:$E$100,2,0))</f>
        <v/>
      </c>
      <c r="CX112" s="266"/>
      <c r="CY112" s="230" t="str">
        <f>IF(CX112="","",VLOOKUP(CX112,Language!$D$5:$E$100,2,0))</f>
        <v/>
      </c>
      <c r="CZ112" s="302"/>
      <c r="DA112" s="303"/>
      <c r="DB112" s="286"/>
      <c r="DC112" s="286"/>
      <c r="DD112" s="287">
        <f t="shared" si="1529"/>
        <v>0</v>
      </c>
      <c r="DE112" s="287">
        <f t="shared" si="1530"/>
        <v>0</v>
      </c>
      <c r="DF112" s="287"/>
      <c r="DG112" s="252" t="str">
        <f t="shared" si="1531"/>
        <v/>
      </c>
      <c r="DI112" s="265"/>
      <c r="DJ112" s="230" t="str">
        <f>IF(DI112="","",VLOOKUP(DI112,Language!$D$5:$E$100,2,0))</f>
        <v/>
      </c>
      <c r="DK112" s="266"/>
      <c r="DL112" s="230" t="str">
        <f>IF(DK112="","",VLOOKUP(DK112,Language!$D$5:$E$100,2,0))</f>
        <v/>
      </c>
      <c r="DM112" s="302"/>
      <c r="DN112" s="303"/>
      <c r="DO112" s="286"/>
      <c r="DP112" s="286"/>
      <c r="DQ112" s="287">
        <f t="shared" si="1532"/>
        <v>0</v>
      </c>
      <c r="DR112" s="287">
        <f t="shared" si="1533"/>
        <v>0</v>
      </c>
      <c r="DS112" s="287"/>
      <c r="DT112" s="252" t="str">
        <f t="shared" si="1534"/>
        <v/>
      </c>
      <c r="DV112" s="265"/>
      <c r="DW112" s="230" t="str">
        <f>IF(DV112="","",VLOOKUP(DV112,Language!$D$5:$E$100,2,0))</f>
        <v/>
      </c>
      <c r="DX112" s="266"/>
      <c r="DY112" s="230" t="str">
        <f>IF(DX112="","",VLOOKUP(DX112,Language!$D$5:$E$100,2,0))</f>
        <v/>
      </c>
      <c r="DZ112" s="302"/>
      <c r="EA112" s="303"/>
      <c r="EB112" s="286"/>
      <c r="EC112" s="286"/>
      <c r="ED112" s="287">
        <f t="shared" si="1535"/>
        <v>0</v>
      </c>
      <c r="EE112" s="287">
        <f t="shared" si="1536"/>
        <v>0</v>
      </c>
      <c r="EF112" s="287"/>
      <c r="EG112" s="252" t="str">
        <f t="shared" si="1537"/>
        <v/>
      </c>
      <c r="EI112" s="265"/>
      <c r="EJ112" s="230" t="str">
        <f>IF(EI112="","",VLOOKUP(EI112,Language!$D$5:$E$100,2,0))</f>
        <v/>
      </c>
      <c r="EK112" s="266"/>
      <c r="EL112" s="230" t="str">
        <f>IF(EK112="","",VLOOKUP(EK112,Language!$D$5:$E$100,2,0))</f>
        <v/>
      </c>
      <c r="EM112" s="302"/>
      <c r="EN112" s="303"/>
      <c r="EO112" s="286"/>
      <c r="EP112" s="286"/>
      <c r="EQ112" s="287">
        <f t="shared" si="1538"/>
        <v>0</v>
      </c>
      <c r="ER112" s="287">
        <f t="shared" si="1539"/>
        <v>0</v>
      </c>
      <c r="ES112" s="287"/>
      <c r="ET112" s="252" t="str">
        <f t="shared" si="1540"/>
        <v/>
      </c>
      <c r="EV112" s="265"/>
      <c r="EW112" s="230" t="str">
        <f>IF(EV112="","",VLOOKUP(EV112,Language!$D$5:$E$100,2,0))</f>
        <v/>
      </c>
      <c r="EX112" s="266"/>
      <c r="EY112" s="230" t="str">
        <f>IF(EX112="","",VLOOKUP(EX112,Language!$D$5:$E$100,2,0))</f>
        <v/>
      </c>
      <c r="EZ112" s="302"/>
      <c r="FA112" s="303"/>
      <c r="FB112" s="286"/>
      <c r="FC112" s="286"/>
      <c r="FD112" s="287">
        <f t="shared" si="1541"/>
        <v>0</v>
      </c>
      <c r="FE112" s="287">
        <f t="shared" si="1542"/>
        <v>0</v>
      </c>
      <c r="FF112" s="287"/>
      <c r="FG112" s="252" t="str">
        <f t="shared" si="1543"/>
        <v/>
      </c>
      <c r="FI112" s="265"/>
      <c r="FJ112" s="230" t="str">
        <f>IF(FI112="","",VLOOKUP(FI112,Language!$D$5:$E$100,2,0))</f>
        <v/>
      </c>
      <c r="FK112" s="266"/>
      <c r="FL112" s="230" t="str">
        <f>IF(FK112="","",VLOOKUP(FK112,Language!$D$5:$E$100,2,0))</f>
        <v/>
      </c>
      <c r="FM112" s="302"/>
      <c r="FN112" s="303"/>
      <c r="FO112" s="286"/>
      <c r="FP112" s="286"/>
      <c r="FQ112" s="287">
        <f t="shared" si="1544"/>
        <v>0</v>
      </c>
      <c r="FR112" s="287">
        <f t="shared" si="1545"/>
        <v>0</v>
      </c>
      <c r="FS112" s="287"/>
      <c r="FT112" s="252" t="str">
        <f t="shared" si="1546"/>
        <v/>
      </c>
      <c r="FV112" s="265"/>
      <c r="FW112" s="230" t="str">
        <f>IF(FV112="","",VLOOKUP(FV112,Language!$D$5:$E$100,2,0))</f>
        <v/>
      </c>
      <c r="FX112" s="266"/>
      <c r="FY112" s="230" t="str">
        <f>IF(FX112="","",VLOOKUP(FX112,Language!$D$5:$E$100,2,0))</f>
        <v/>
      </c>
      <c r="FZ112" s="302"/>
      <c r="GA112" s="303"/>
      <c r="GB112" s="286"/>
      <c r="GC112" s="286"/>
      <c r="GD112" s="287">
        <f t="shared" si="1547"/>
        <v>0</v>
      </c>
      <c r="GE112" s="287">
        <f t="shared" si="1548"/>
        <v>0</v>
      </c>
      <c r="GF112" s="287"/>
      <c r="GG112" s="252" t="str">
        <f t="shared" si="1549"/>
        <v/>
      </c>
      <c r="GI112" s="265"/>
      <c r="GJ112" s="230" t="str">
        <f>IF(GI112="","",VLOOKUP(GI112,Language!$D$5:$E$100,2,0))</f>
        <v/>
      </c>
      <c r="GK112" s="266"/>
      <c r="GL112" s="230" t="str">
        <f>IF(GK112="","",VLOOKUP(GK112,Language!$D$5:$E$100,2,0))</f>
        <v/>
      </c>
      <c r="GM112" s="302"/>
      <c r="GN112" s="303"/>
      <c r="GO112" s="286"/>
      <c r="GP112" s="286"/>
      <c r="GQ112" s="287">
        <f t="shared" si="1550"/>
        <v>0</v>
      </c>
      <c r="GR112" s="287">
        <f t="shared" si="1551"/>
        <v>0</v>
      </c>
      <c r="GS112" s="287"/>
      <c r="GT112" s="252" t="str">
        <f t="shared" si="1552"/>
        <v/>
      </c>
      <c r="GV112" s="265"/>
      <c r="GW112" s="230" t="str">
        <f>IF(GV112="","",VLOOKUP(GV112,Language!$D$5:$E$100,2,0))</f>
        <v/>
      </c>
      <c r="GX112" s="266"/>
      <c r="GY112" s="230" t="str">
        <f>IF(GX112="","",VLOOKUP(GX112,Language!$D$5:$E$100,2,0))</f>
        <v/>
      </c>
      <c r="GZ112" s="302"/>
      <c r="HA112" s="303"/>
      <c r="HB112" s="286"/>
      <c r="HC112" s="286"/>
      <c r="HD112" s="287">
        <f t="shared" si="1553"/>
        <v>0</v>
      </c>
      <c r="HE112" s="287">
        <f t="shared" si="1554"/>
        <v>0</v>
      </c>
      <c r="HF112" s="287"/>
      <c r="HG112" s="252" t="str">
        <f t="shared" si="1555"/>
        <v/>
      </c>
      <c r="HI112" s="265"/>
      <c r="HJ112" s="230" t="str">
        <f>IF(HI112="","",VLOOKUP(HI112,Language!$D$5:$E$100,2,0))</f>
        <v/>
      </c>
      <c r="HK112" s="266"/>
      <c r="HL112" s="230" t="str">
        <f>IF(HK112="","",VLOOKUP(HK112,Language!$D$5:$E$100,2,0))</f>
        <v/>
      </c>
      <c r="HM112" s="302"/>
      <c r="HN112" s="303"/>
      <c r="HO112" s="286"/>
      <c r="HP112" s="286"/>
      <c r="HQ112" s="287">
        <f t="shared" si="1556"/>
        <v>0</v>
      </c>
      <c r="HR112" s="287">
        <f t="shared" si="1557"/>
        <v>0</v>
      </c>
      <c r="HS112" s="287"/>
      <c r="HT112" s="252" t="str">
        <f t="shared" si="1558"/>
        <v/>
      </c>
      <c r="HV112" s="265"/>
      <c r="HW112" s="230" t="str">
        <f>IF(HV112="","",VLOOKUP(HV112,Language!$D$5:$E$100,2,0))</f>
        <v/>
      </c>
      <c r="HX112" s="266"/>
      <c r="HY112" s="230" t="str">
        <f>IF(HX112="","",VLOOKUP(HX112,Language!$D$5:$E$100,2,0))</f>
        <v/>
      </c>
      <c r="HZ112" s="302"/>
      <c r="IA112" s="303"/>
      <c r="IB112" s="286"/>
      <c r="IC112" s="286"/>
      <c r="ID112" s="287">
        <f t="shared" si="1559"/>
        <v>0</v>
      </c>
      <c r="IE112" s="287">
        <f t="shared" si="1560"/>
        <v>0</v>
      </c>
      <c r="IF112" s="287"/>
      <c r="IG112" s="252" t="str">
        <f t="shared" si="1561"/>
        <v/>
      </c>
      <c r="II112" s="265"/>
      <c r="IJ112" s="230" t="str">
        <f>IF(II112="","",VLOOKUP(II112,Language!$D$5:$E$100,2,0))</f>
        <v/>
      </c>
      <c r="IK112" s="266"/>
      <c r="IL112" s="230" t="str">
        <f>IF(IK112="","",VLOOKUP(IK112,Language!$D$5:$E$100,2,0))</f>
        <v/>
      </c>
      <c r="IM112" s="302"/>
      <c r="IN112" s="303"/>
      <c r="IO112" s="286"/>
      <c r="IP112" s="286"/>
      <c r="IQ112" s="287">
        <f t="shared" si="1562"/>
        <v>0</v>
      </c>
      <c r="IR112" s="287">
        <f t="shared" si="1563"/>
        <v>0</v>
      </c>
      <c r="IS112" s="287"/>
      <c r="IT112" s="252" t="str">
        <f t="shared" si="1564"/>
        <v/>
      </c>
      <c r="IV112" s="265"/>
      <c r="IW112" s="230" t="str">
        <f>IF(IV112="","",VLOOKUP(IV112,Language!$D$5:$E$100,2,0))</f>
        <v/>
      </c>
      <c r="IX112" s="266"/>
      <c r="IY112" s="230" t="str">
        <f>IF(IX112="","",VLOOKUP(IX112,Language!$D$5:$E$100,2,0))</f>
        <v/>
      </c>
      <c r="IZ112" s="302"/>
      <c r="JA112" s="303"/>
      <c r="JB112" s="286"/>
      <c r="JC112" s="286"/>
      <c r="JD112" s="287">
        <f t="shared" si="1565"/>
        <v>0</v>
      </c>
      <c r="JE112" s="287">
        <f t="shared" si="1566"/>
        <v>0</v>
      </c>
      <c r="JF112" s="287"/>
      <c r="JG112" s="252" t="str">
        <f t="shared" si="1567"/>
        <v/>
      </c>
      <c r="JI112" s="265"/>
      <c r="JJ112" s="230" t="str">
        <f>IF(JI112="","",VLOOKUP(JI112,Language!$D$5:$E$100,2,0))</f>
        <v/>
      </c>
      <c r="JK112" s="266"/>
      <c r="JL112" s="230" t="str">
        <f>IF(JK112="","",VLOOKUP(JK112,Language!$D$5:$E$100,2,0))</f>
        <v/>
      </c>
      <c r="JM112" s="302"/>
      <c r="JN112" s="303"/>
      <c r="JO112" s="286"/>
      <c r="JP112" s="286"/>
      <c r="JQ112" s="287">
        <f t="shared" si="1568"/>
        <v>0</v>
      </c>
      <c r="JR112" s="287">
        <f t="shared" si="1569"/>
        <v>0</v>
      </c>
      <c r="JS112" s="287"/>
      <c r="JT112" s="252" t="str">
        <f t="shared" si="1570"/>
        <v/>
      </c>
      <c r="JV112" s="265"/>
      <c r="JW112" s="230" t="str">
        <f>IF(JV112="","",VLOOKUP(JV112,Language!$D$5:$E$100,2,0))</f>
        <v/>
      </c>
      <c r="JX112" s="266"/>
      <c r="JY112" s="230" t="str">
        <f>IF(JX112="","",VLOOKUP(JX112,Language!$D$5:$E$100,2,0))</f>
        <v/>
      </c>
      <c r="JZ112" s="302"/>
      <c r="KA112" s="303"/>
      <c r="KB112" s="286"/>
      <c r="KC112" s="286"/>
      <c r="KD112" s="287">
        <f t="shared" si="1571"/>
        <v>0</v>
      </c>
      <c r="KE112" s="287">
        <f t="shared" si="1572"/>
        <v>0</v>
      </c>
      <c r="KF112" s="287"/>
      <c r="KG112" s="252" t="str">
        <f t="shared" si="1573"/>
        <v/>
      </c>
      <c r="KI112" s="265"/>
      <c r="KJ112" s="230" t="str">
        <f>IF(KI112="","",VLOOKUP(KI112,Language!$D$5:$E$100,2,0))</f>
        <v/>
      </c>
      <c r="KK112" s="266"/>
      <c r="KL112" s="230" t="str">
        <f>IF(KK112="","",VLOOKUP(KK112,Language!$D$5:$E$100,2,0))</f>
        <v/>
      </c>
      <c r="KM112" s="302"/>
      <c r="KN112" s="303"/>
      <c r="KO112" s="286"/>
      <c r="KP112" s="286"/>
      <c r="KQ112" s="287">
        <f t="shared" si="1574"/>
        <v>0</v>
      </c>
      <c r="KR112" s="287">
        <f t="shared" si="1575"/>
        <v>0</v>
      </c>
      <c r="KS112" s="287"/>
      <c r="KT112" s="252" t="str">
        <f t="shared" si="1576"/>
        <v/>
      </c>
      <c r="KV112" s="265"/>
      <c r="KW112" s="230" t="str">
        <f>IF(KV112="","",VLOOKUP(KV112,Language!$D$5:$E$100,2,0))</f>
        <v/>
      </c>
      <c r="KX112" s="266"/>
      <c r="KY112" s="230" t="str">
        <f>IF(KX112="","",VLOOKUP(KX112,Language!$D$5:$E$100,2,0))</f>
        <v/>
      </c>
      <c r="KZ112" s="302"/>
      <c r="LA112" s="303"/>
      <c r="LB112" s="286"/>
      <c r="LC112" s="286"/>
      <c r="LD112" s="287">
        <f t="shared" si="1577"/>
        <v>0</v>
      </c>
      <c r="LE112" s="287">
        <f t="shared" si="1578"/>
        <v>0</v>
      </c>
      <c r="LF112" s="287"/>
      <c r="LG112" s="252" t="str">
        <f t="shared" si="1579"/>
        <v/>
      </c>
      <c r="LI112" s="265"/>
      <c r="LJ112" s="230" t="str">
        <f>IF(LI112="","",VLOOKUP(LI112,Language!$D$5:$E$100,2,0))</f>
        <v/>
      </c>
      <c r="LK112" s="266"/>
      <c r="LL112" s="230" t="str">
        <f>IF(LK112="","",VLOOKUP(LK112,Language!$D$5:$E$100,2,0))</f>
        <v/>
      </c>
      <c r="LM112" s="302"/>
      <c r="LN112" s="303"/>
      <c r="LO112" s="286"/>
      <c r="LP112" s="286"/>
      <c r="LQ112" s="287">
        <f t="shared" si="1580"/>
        <v>0</v>
      </c>
      <c r="LR112" s="287">
        <f t="shared" si="1581"/>
        <v>0</v>
      </c>
      <c r="LS112" s="287"/>
      <c r="LT112" s="252" t="str">
        <f t="shared" si="1582"/>
        <v/>
      </c>
      <c r="LV112" s="265"/>
      <c r="LW112" s="230" t="str">
        <f>IF(LV112="","",VLOOKUP(LV112,Language!$D$5:$E$100,2,0))</f>
        <v/>
      </c>
      <c r="LX112" s="266"/>
      <c r="LY112" s="230" t="str">
        <f>IF(LX112="","",VLOOKUP(LX112,Language!$D$5:$E$100,2,0))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IF(I113="","",VLOOKUP(I113,Language!$D$5:$E$100,2,0))</f>
        <v/>
      </c>
      <c r="K113" s="266"/>
      <c r="L113" s="230" t="str">
        <f>IF(K113="","",VLOOKUP(K113,Language!$D$5:$E$100,2,0))</f>
        <v/>
      </c>
      <c r="M113" s="302"/>
      <c r="N113" s="303"/>
      <c r="O113" s="286"/>
      <c r="P113" s="286"/>
      <c r="Q113" s="287">
        <f t="shared" si="1508"/>
        <v>0</v>
      </c>
      <c r="R113" s="287">
        <f t="shared" si="1509"/>
        <v>0</v>
      </c>
      <c r="S113" s="287"/>
      <c r="T113" s="252" t="str">
        <f t="shared" si="1510"/>
        <v/>
      </c>
      <c r="V113" s="265"/>
      <c r="W113" s="230" t="str">
        <f>IF(V113="","",VLOOKUP(V113,Language!$D$5:$E$100,2,0))</f>
        <v/>
      </c>
      <c r="X113" s="266"/>
      <c r="Y113" s="230" t="str">
        <f>IF(X113="","",VLOOKUP(X113,Language!$D$5:$E$100,2,0))</f>
        <v/>
      </c>
      <c r="Z113" s="302"/>
      <c r="AA113" s="303"/>
      <c r="AB113" s="286"/>
      <c r="AC113" s="286"/>
      <c r="AD113" s="287">
        <f t="shared" si="1511"/>
        <v>0</v>
      </c>
      <c r="AE113" s="287">
        <f t="shared" si="1512"/>
        <v>0</v>
      </c>
      <c r="AF113" s="287"/>
      <c r="AG113" s="252" t="str">
        <f t="shared" si="1513"/>
        <v/>
      </c>
      <c r="AI113" s="265"/>
      <c r="AJ113" s="230" t="str">
        <f>IF(AI113="","",VLOOKUP(AI113,Language!$D$5:$E$100,2,0))</f>
        <v/>
      </c>
      <c r="AK113" s="266"/>
      <c r="AL113" s="230" t="str">
        <f>IF(AK113="","",VLOOKUP(AK113,Language!$D$5:$E$100,2,0))</f>
        <v/>
      </c>
      <c r="AM113" s="302"/>
      <c r="AN113" s="303"/>
      <c r="AO113" s="286"/>
      <c r="AP113" s="286"/>
      <c r="AQ113" s="287">
        <f t="shared" si="1514"/>
        <v>0</v>
      </c>
      <c r="AR113" s="287">
        <f t="shared" si="1515"/>
        <v>0</v>
      </c>
      <c r="AS113" s="287"/>
      <c r="AT113" s="252" t="str">
        <f t="shared" si="1516"/>
        <v/>
      </c>
      <c r="AV113" s="265"/>
      <c r="AW113" s="230" t="str">
        <f>IF(AV113="","",VLOOKUP(AV113,Language!$D$5:$E$100,2,0))</f>
        <v/>
      </c>
      <c r="AX113" s="266"/>
      <c r="AY113" s="230" t="str">
        <f>IF(AX113="","",VLOOKUP(AX113,Language!$D$5:$E$100,2,0))</f>
        <v/>
      </c>
      <c r="AZ113" s="302"/>
      <c r="BA113" s="303"/>
      <c r="BB113" s="286"/>
      <c r="BC113" s="286"/>
      <c r="BD113" s="287">
        <f t="shared" si="1517"/>
        <v>0</v>
      </c>
      <c r="BE113" s="287">
        <f t="shared" si="1518"/>
        <v>0</v>
      </c>
      <c r="BF113" s="287"/>
      <c r="BG113" s="252" t="str">
        <f t="shared" si="1519"/>
        <v/>
      </c>
      <c r="BI113" s="265"/>
      <c r="BJ113" s="230" t="str">
        <f>IF(BI113="","",VLOOKUP(BI113,Language!$D$5:$E$100,2,0))</f>
        <v/>
      </c>
      <c r="BK113" s="266"/>
      <c r="BL113" s="230" t="str">
        <f>IF(BK113="","",VLOOKUP(BK113,Language!$D$5:$E$100,2,0))</f>
        <v/>
      </c>
      <c r="BM113" s="302"/>
      <c r="BN113" s="303"/>
      <c r="BO113" s="286"/>
      <c r="BP113" s="286"/>
      <c r="BQ113" s="287">
        <f t="shared" si="1520"/>
        <v>0</v>
      </c>
      <c r="BR113" s="287">
        <f t="shared" si="1521"/>
        <v>0</v>
      </c>
      <c r="BS113" s="287"/>
      <c r="BT113" s="252" t="str">
        <f t="shared" si="1522"/>
        <v/>
      </c>
      <c r="BV113" s="265"/>
      <c r="BW113" s="230" t="str">
        <f>IF(BV113="","",VLOOKUP(BV113,Language!$D$5:$E$100,2,0))</f>
        <v/>
      </c>
      <c r="BX113" s="266"/>
      <c r="BY113" s="230" t="str">
        <f>IF(BX113="","",VLOOKUP(BX113,Language!$D$5:$E$100,2,0))</f>
        <v/>
      </c>
      <c r="BZ113" s="302"/>
      <c r="CA113" s="303"/>
      <c r="CB113" s="286"/>
      <c r="CC113" s="286"/>
      <c r="CD113" s="287">
        <f t="shared" si="1523"/>
        <v>0</v>
      </c>
      <c r="CE113" s="287">
        <f t="shared" si="1524"/>
        <v>0</v>
      </c>
      <c r="CF113" s="287"/>
      <c r="CG113" s="252" t="str">
        <f t="shared" si="1525"/>
        <v/>
      </c>
      <c r="CI113" s="265"/>
      <c r="CJ113" s="230" t="str">
        <f>IF(CI113="","",VLOOKUP(CI113,Language!$D$5:$E$100,2,0))</f>
        <v/>
      </c>
      <c r="CK113" s="266"/>
      <c r="CL113" s="230" t="str">
        <f>IF(CK113="","",VLOOKUP(CK113,Language!$D$5:$E$100,2,0))</f>
        <v/>
      </c>
      <c r="CM113" s="302"/>
      <c r="CN113" s="303"/>
      <c r="CO113" s="286"/>
      <c r="CP113" s="286"/>
      <c r="CQ113" s="287">
        <f t="shared" si="1526"/>
        <v>0</v>
      </c>
      <c r="CR113" s="287">
        <f t="shared" si="1527"/>
        <v>0</v>
      </c>
      <c r="CS113" s="287"/>
      <c r="CT113" s="252" t="str">
        <f t="shared" si="1528"/>
        <v/>
      </c>
      <c r="CV113" s="265"/>
      <c r="CW113" s="230" t="str">
        <f>IF(CV113="","",VLOOKUP(CV113,Language!$D$5:$E$100,2,0))</f>
        <v/>
      </c>
      <c r="CX113" s="266"/>
      <c r="CY113" s="230" t="str">
        <f>IF(CX113="","",VLOOKUP(CX113,Language!$D$5:$E$100,2,0))</f>
        <v/>
      </c>
      <c r="CZ113" s="302"/>
      <c r="DA113" s="303"/>
      <c r="DB113" s="286"/>
      <c r="DC113" s="286"/>
      <c r="DD113" s="287">
        <f t="shared" si="1529"/>
        <v>0</v>
      </c>
      <c r="DE113" s="287">
        <f t="shared" si="1530"/>
        <v>0</v>
      </c>
      <c r="DF113" s="287"/>
      <c r="DG113" s="252" t="str">
        <f t="shared" si="1531"/>
        <v/>
      </c>
      <c r="DI113" s="265"/>
      <c r="DJ113" s="230" t="str">
        <f>IF(DI113="","",VLOOKUP(DI113,Language!$D$5:$E$100,2,0))</f>
        <v/>
      </c>
      <c r="DK113" s="266"/>
      <c r="DL113" s="230" t="str">
        <f>IF(DK113="","",VLOOKUP(DK113,Language!$D$5:$E$100,2,0))</f>
        <v/>
      </c>
      <c r="DM113" s="302"/>
      <c r="DN113" s="303"/>
      <c r="DO113" s="286"/>
      <c r="DP113" s="286"/>
      <c r="DQ113" s="287">
        <f t="shared" si="1532"/>
        <v>0</v>
      </c>
      <c r="DR113" s="287">
        <f t="shared" si="1533"/>
        <v>0</v>
      </c>
      <c r="DS113" s="287"/>
      <c r="DT113" s="252" t="str">
        <f t="shared" si="1534"/>
        <v/>
      </c>
      <c r="DV113" s="265"/>
      <c r="DW113" s="230" t="str">
        <f>IF(DV113="","",VLOOKUP(DV113,Language!$D$5:$E$100,2,0))</f>
        <v/>
      </c>
      <c r="DX113" s="266"/>
      <c r="DY113" s="230" t="str">
        <f>IF(DX113="","",VLOOKUP(DX113,Language!$D$5:$E$100,2,0))</f>
        <v/>
      </c>
      <c r="DZ113" s="302"/>
      <c r="EA113" s="303"/>
      <c r="EB113" s="286"/>
      <c r="EC113" s="286"/>
      <c r="ED113" s="287">
        <f t="shared" si="1535"/>
        <v>0</v>
      </c>
      <c r="EE113" s="287">
        <f t="shared" si="1536"/>
        <v>0</v>
      </c>
      <c r="EF113" s="287"/>
      <c r="EG113" s="252" t="str">
        <f t="shared" si="1537"/>
        <v/>
      </c>
      <c r="EI113" s="265"/>
      <c r="EJ113" s="230" t="str">
        <f>IF(EI113="","",VLOOKUP(EI113,Language!$D$5:$E$100,2,0))</f>
        <v/>
      </c>
      <c r="EK113" s="266"/>
      <c r="EL113" s="230" t="str">
        <f>IF(EK113="","",VLOOKUP(EK113,Language!$D$5:$E$100,2,0))</f>
        <v/>
      </c>
      <c r="EM113" s="302"/>
      <c r="EN113" s="303"/>
      <c r="EO113" s="286"/>
      <c r="EP113" s="286"/>
      <c r="EQ113" s="287">
        <f t="shared" si="1538"/>
        <v>0</v>
      </c>
      <c r="ER113" s="287">
        <f t="shared" si="1539"/>
        <v>0</v>
      </c>
      <c r="ES113" s="287"/>
      <c r="ET113" s="252" t="str">
        <f t="shared" si="1540"/>
        <v/>
      </c>
      <c r="EV113" s="265"/>
      <c r="EW113" s="230" t="str">
        <f>IF(EV113="","",VLOOKUP(EV113,Language!$D$5:$E$100,2,0))</f>
        <v/>
      </c>
      <c r="EX113" s="266"/>
      <c r="EY113" s="230" t="str">
        <f>IF(EX113="","",VLOOKUP(EX113,Language!$D$5:$E$100,2,0))</f>
        <v/>
      </c>
      <c r="EZ113" s="302"/>
      <c r="FA113" s="303"/>
      <c r="FB113" s="286"/>
      <c r="FC113" s="286"/>
      <c r="FD113" s="287">
        <f t="shared" si="1541"/>
        <v>0</v>
      </c>
      <c r="FE113" s="287">
        <f t="shared" si="1542"/>
        <v>0</v>
      </c>
      <c r="FF113" s="287"/>
      <c r="FG113" s="252" t="str">
        <f t="shared" si="1543"/>
        <v/>
      </c>
      <c r="FI113" s="265"/>
      <c r="FJ113" s="230" t="str">
        <f>IF(FI113="","",VLOOKUP(FI113,Language!$D$5:$E$100,2,0))</f>
        <v/>
      </c>
      <c r="FK113" s="266"/>
      <c r="FL113" s="230" t="str">
        <f>IF(FK113="","",VLOOKUP(FK113,Language!$D$5:$E$100,2,0))</f>
        <v/>
      </c>
      <c r="FM113" s="302"/>
      <c r="FN113" s="303"/>
      <c r="FO113" s="286"/>
      <c r="FP113" s="286"/>
      <c r="FQ113" s="287">
        <f t="shared" si="1544"/>
        <v>0</v>
      </c>
      <c r="FR113" s="287">
        <f t="shared" si="1545"/>
        <v>0</v>
      </c>
      <c r="FS113" s="287"/>
      <c r="FT113" s="252" t="str">
        <f t="shared" si="1546"/>
        <v/>
      </c>
      <c r="FV113" s="265"/>
      <c r="FW113" s="230" t="str">
        <f>IF(FV113="","",VLOOKUP(FV113,Language!$D$5:$E$100,2,0))</f>
        <v/>
      </c>
      <c r="FX113" s="266"/>
      <c r="FY113" s="230" t="str">
        <f>IF(FX113="","",VLOOKUP(FX113,Language!$D$5:$E$100,2,0))</f>
        <v/>
      </c>
      <c r="FZ113" s="302"/>
      <c r="GA113" s="303"/>
      <c r="GB113" s="286"/>
      <c r="GC113" s="286"/>
      <c r="GD113" s="287">
        <f t="shared" si="1547"/>
        <v>0</v>
      </c>
      <c r="GE113" s="287">
        <f t="shared" si="1548"/>
        <v>0</v>
      </c>
      <c r="GF113" s="287"/>
      <c r="GG113" s="252" t="str">
        <f t="shared" si="1549"/>
        <v/>
      </c>
      <c r="GI113" s="265"/>
      <c r="GJ113" s="230" t="str">
        <f>IF(GI113="","",VLOOKUP(GI113,Language!$D$5:$E$100,2,0))</f>
        <v/>
      </c>
      <c r="GK113" s="266"/>
      <c r="GL113" s="230" t="str">
        <f>IF(GK113="","",VLOOKUP(GK113,Language!$D$5:$E$100,2,0))</f>
        <v/>
      </c>
      <c r="GM113" s="302"/>
      <c r="GN113" s="303"/>
      <c r="GO113" s="286"/>
      <c r="GP113" s="286"/>
      <c r="GQ113" s="287">
        <f t="shared" si="1550"/>
        <v>0</v>
      </c>
      <c r="GR113" s="287">
        <f t="shared" si="1551"/>
        <v>0</v>
      </c>
      <c r="GS113" s="287"/>
      <c r="GT113" s="252" t="str">
        <f t="shared" si="1552"/>
        <v/>
      </c>
      <c r="GV113" s="265"/>
      <c r="GW113" s="230" t="str">
        <f>IF(GV113="","",VLOOKUP(GV113,Language!$D$5:$E$100,2,0))</f>
        <v/>
      </c>
      <c r="GX113" s="266"/>
      <c r="GY113" s="230" t="str">
        <f>IF(GX113="","",VLOOKUP(GX113,Language!$D$5:$E$100,2,0))</f>
        <v/>
      </c>
      <c r="GZ113" s="302"/>
      <c r="HA113" s="303"/>
      <c r="HB113" s="286"/>
      <c r="HC113" s="286"/>
      <c r="HD113" s="287">
        <f t="shared" si="1553"/>
        <v>0</v>
      </c>
      <c r="HE113" s="287">
        <f t="shared" si="1554"/>
        <v>0</v>
      </c>
      <c r="HF113" s="287"/>
      <c r="HG113" s="252" t="str">
        <f t="shared" si="1555"/>
        <v/>
      </c>
      <c r="HI113" s="265"/>
      <c r="HJ113" s="230" t="str">
        <f>IF(HI113="","",VLOOKUP(HI113,Language!$D$5:$E$100,2,0))</f>
        <v/>
      </c>
      <c r="HK113" s="266"/>
      <c r="HL113" s="230" t="str">
        <f>IF(HK113="","",VLOOKUP(HK113,Language!$D$5:$E$100,2,0))</f>
        <v/>
      </c>
      <c r="HM113" s="302"/>
      <c r="HN113" s="303"/>
      <c r="HO113" s="286"/>
      <c r="HP113" s="286"/>
      <c r="HQ113" s="287">
        <f t="shared" si="1556"/>
        <v>0</v>
      </c>
      <c r="HR113" s="287">
        <f t="shared" si="1557"/>
        <v>0</v>
      </c>
      <c r="HS113" s="287"/>
      <c r="HT113" s="252" t="str">
        <f t="shared" si="1558"/>
        <v/>
      </c>
      <c r="HV113" s="265"/>
      <c r="HW113" s="230" t="str">
        <f>IF(HV113="","",VLOOKUP(HV113,Language!$D$5:$E$100,2,0))</f>
        <v/>
      </c>
      <c r="HX113" s="266"/>
      <c r="HY113" s="230" t="str">
        <f>IF(HX113="","",VLOOKUP(HX113,Language!$D$5:$E$100,2,0))</f>
        <v/>
      </c>
      <c r="HZ113" s="302"/>
      <c r="IA113" s="303"/>
      <c r="IB113" s="286"/>
      <c r="IC113" s="286"/>
      <c r="ID113" s="287">
        <f t="shared" si="1559"/>
        <v>0</v>
      </c>
      <c r="IE113" s="287">
        <f t="shared" si="1560"/>
        <v>0</v>
      </c>
      <c r="IF113" s="287"/>
      <c r="IG113" s="252" t="str">
        <f t="shared" si="1561"/>
        <v/>
      </c>
      <c r="II113" s="265"/>
      <c r="IJ113" s="230" t="str">
        <f>IF(II113="","",VLOOKUP(II113,Language!$D$5:$E$100,2,0))</f>
        <v/>
      </c>
      <c r="IK113" s="266"/>
      <c r="IL113" s="230" t="str">
        <f>IF(IK113="","",VLOOKUP(IK113,Language!$D$5:$E$100,2,0))</f>
        <v/>
      </c>
      <c r="IM113" s="302"/>
      <c r="IN113" s="303"/>
      <c r="IO113" s="286"/>
      <c r="IP113" s="286"/>
      <c r="IQ113" s="287">
        <f t="shared" si="1562"/>
        <v>0</v>
      </c>
      <c r="IR113" s="287">
        <f t="shared" si="1563"/>
        <v>0</v>
      </c>
      <c r="IS113" s="287"/>
      <c r="IT113" s="252" t="str">
        <f t="shared" si="1564"/>
        <v/>
      </c>
      <c r="IV113" s="265"/>
      <c r="IW113" s="230" t="str">
        <f>IF(IV113="","",VLOOKUP(IV113,Language!$D$5:$E$100,2,0))</f>
        <v/>
      </c>
      <c r="IX113" s="266"/>
      <c r="IY113" s="230" t="str">
        <f>IF(IX113="","",VLOOKUP(IX113,Language!$D$5:$E$100,2,0))</f>
        <v/>
      </c>
      <c r="IZ113" s="302"/>
      <c r="JA113" s="303"/>
      <c r="JB113" s="286"/>
      <c r="JC113" s="286"/>
      <c r="JD113" s="287">
        <f t="shared" si="1565"/>
        <v>0</v>
      </c>
      <c r="JE113" s="287">
        <f t="shared" si="1566"/>
        <v>0</v>
      </c>
      <c r="JF113" s="287"/>
      <c r="JG113" s="252" t="str">
        <f t="shared" si="1567"/>
        <v/>
      </c>
      <c r="JI113" s="265"/>
      <c r="JJ113" s="230" t="str">
        <f>IF(JI113="","",VLOOKUP(JI113,Language!$D$5:$E$100,2,0))</f>
        <v/>
      </c>
      <c r="JK113" s="266"/>
      <c r="JL113" s="230" t="str">
        <f>IF(JK113="","",VLOOKUP(JK113,Language!$D$5:$E$100,2,0))</f>
        <v/>
      </c>
      <c r="JM113" s="302"/>
      <c r="JN113" s="303"/>
      <c r="JO113" s="286"/>
      <c r="JP113" s="286"/>
      <c r="JQ113" s="287">
        <f t="shared" si="1568"/>
        <v>0</v>
      </c>
      <c r="JR113" s="287">
        <f t="shared" si="1569"/>
        <v>0</v>
      </c>
      <c r="JS113" s="287"/>
      <c r="JT113" s="252" t="str">
        <f t="shared" si="1570"/>
        <v/>
      </c>
      <c r="JV113" s="265"/>
      <c r="JW113" s="230" t="str">
        <f>IF(JV113="","",VLOOKUP(JV113,Language!$D$5:$E$100,2,0))</f>
        <v/>
      </c>
      <c r="JX113" s="266"/>
      <c r="JY113" s="230" t="str">
        <f>IF(JX113="","",VLOOKUP(JX113,Language!$D$5:$E$100,2,0))</f>
        <v/>
      </c>
      <c r="JZ113" s="302"/>
      <c r="KA113" s="303"/>
      <c r="KB113" s="286"/>
      <c r="KC113" s="286"/>
      <c r="KD113" s="287">
        <f t="shared" si="1571"/>
        <v>0</v>
      </c>
      <c r="KE113" s="287">
        <f t="shared" si="1572"/>
        <v>0</v>
      </c>
      <c r="KF113" s="287"/>
      <c r="KG113" s="252" t="str">
        <f t="shared" si="1573"/>
        <v/>
      </c>
      <c r="KI113" s="265"/>
      <c r="KJ113" s="230" t="str">
        <f>IF(KI113="","",VLOOKUP(KI113,Language!$D$5:$E$100,2,0))</f>
        <v/>
      </c>
      <c r="KK113" s="266"/>
      <c r="KL113" s="230" t="str">
        <f>IF(KK113="","",VLOOKUP(KK113,Language!$D$5:$E$100,2,0))</f>
        <v/>
      </c>
      <c r="KM113" s="302"/>
      <c r="KN113" s="303"/>
      <c r="KO113" s="286"/>
      <c r="KP113" s="286"/>
      <c r="KQ113" s="287">
        <f t="shared" si="1574"/>
        <v>0</v>
      </c>
      <c r="KR113" s="287">
        <f t="shared" si="1575"/>
        <v>0</v>
      </c>
      <c r="KS113" s="287"/>
      <c r="KT113" s="252" t="str">
        <f t="shared" si="1576"/>
        <v/>
      </c>
      <c r="KV113" s="265"/>
      <c r="KW113" s="230" t="str">
        <f>IF(KV113="","",VLOOKUP(KV113,Language!$D$5:$E$100,2,0))</f>
        <v/>
      </c>
      <c r="KX113" s="266"/>
      <c r="KY113" s="230" t="str">
        <f>IF(KX113="","",VLOOKUP(KX113,Language!$D$5:$E$100,2,0))</f>
        <v/>
      </c>
      <c r="KZ113" s="302"/>
      <c r="LA113" s="303"/>
      <c r="LB113" s="286"/>
      <c r="LC113" s="286"/>
      <c r="LD113" s="287">
        <f t="shared" si="1577"/>
        <v>0</v>
      </c>
      <c r="LE113" s="287">
        <f t="shared" si="1578"/>
        <v>0</v>
      </c>
      <c r="LF113" s="287"/>
      <c r="LG113" s="252" t="str">
        <f t="shared" si="1579"/>
        <v/>
      </c>
      <c r="LI113" s="265"/>
      <c r="LJ113" s="230" t="str">
        <f>IF(LI113="","",VLOOKUP(LI113,Language!$D$5:$E$100,2,0))</f>
        <v/>
      </c>
      <c r="LK113" s="266"/>
      <c r="LL113" s="230" t="str">
        <f>IF(LK113="","",VLOOKUP(LK113,Language!$D$5:$E$100,2,0))</f>
        <v/>
      </c>
      <c r="LM113" s="302"/>
      <c r="LN113" s="303"/>
      <c r="LO113" s="286"/>
      <c r="LP113" s="286"/>
      <c r="LQ113" s="287">
        <f t="shared" si="1580"/>
        <v>0</v>
      </c>
      <c r="LR113" s="287">
        <f t="shared" si="1581"/>
        <v>0</v>
      </c>
      <c r="LS113" s="287"/>
      <c r="LT113" s="252" t="str">
        <f t="shared" si="1582"/>
        <v/>
      </c>
      <c r="LV113" s="265"/>
      <c r="LW113" s="230" t="str">
        <f>IF(LV113="","",VLOOKUP(LV113,Language!$D$5:$E$100,2,0))</f>
        <v/>
      </c>
      <c r="LX113" s="266"/>
      <c r="LY113" s="230" t="str">
        <f>IF(LX113="","",VLOOKUP(LX113,Language!$D$5:$E$100,2,0))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IF(I114="","",VLOOKUP(I114,Language!$D$5:$E$100,2,0))</f>
        <v/>
      </c>
      <c r="K114" s="266"/>
      <c r="L114" s="230" t="str">
        <f>IF(K114="","",VLOOKUP(K114,Language!$D$5:$E$100,2,0))</f>
        <v/>
      </c>
      <c r="M114" s="304"/>
      <c r="N114" s="305"/>
      <c r="O114" s="288"/>
      <c r="P114" s="288"/>
      <c r="Q114" s="289">
        <f t="shared" si="1508"/>
        <v>0</v>
      </c>
      <c r="R114" s="289">
        <f t="shared" si="1509"/>
        <v>0</v>
      </c>
      <c r="S114" s="289"/>
      <c r="T114" s="252" t="str">
        <f t="shared" si="1510"/>
        <v/>
      </c>
      <c r="V114" s="265"/>
      <c r="W114" s="230" t="str">
        <f>IF(V114="","",VLOOKUP(V114,Language!$D$5:$E$100,2,0))</f>
        <v/>
      </c>
      <c r="X114" s="266"/>
      <c r="Y114" s="230" t="str">
        <f>IF(X114="","",VLOOKUP(X114,Language!$D$5:$E$100,2,0))</f>
        <v/>
      </c>
      <c r="Z114" s="304"/>
      <c r="AA114" s="305"/>
      <c r="AB114" s="288"/>
      <c r="AC114" s="288"/>
      <c r="AD114" s="289">
        <f t="shared" si="1511"/>
        <v>0</v>
      </c>
      <c r="AE114" s="289">
        <f t="shared" si="1512"/>
        <v>0</v>
      </c>
      <c r="AF114" s="289"/>
      <c r="AG114" s="252" t="str">
        <f t="shared" si="1513"/>
        <v/>
      </c>
      <c r="AI114" s="265"/>
      <c r="AJ114" s="230" t="str">
        <f>IF(AI114="","",VLOOKUP(AI114,Language!$D$5:$E$100,2,0))</f>
        <v/>
      </c>
      <c r="AK114" s="266"/>
      <c r="AL114" s="230" t="str">
        <f>IF(AK114="","",VLOOKUP(AK114,Language!$D$5:$E$100,2,0))</f>
        <v/>
      </c>
      <c r="AM114" s="304"/>
      <c r="AN114" s="305"/>
      <c r="AO114" s="288"/>
      <c r="AP114" s="288"/>
      <c r="AQ114" s="289">
        <f t="shared" si="1514"/>
        <v>0</v>
      </c>
      <c r="AR114" s="289">
        <f t="shared" si="1515"/>
        <v>0</v>
      </c>
      <c r="AS114" s="289"/>
      <c r="AT114" s="252" t="str">
        <f t="shared" si="1516"/>
        <v/>
      </c>
      <c r="AV114" s="265"/>
      <c r="AW114" s="230" t="str">
        <f>IF(AV114="","",VLOOKUP(AV114,Language!$D$5:$E$100,2,0))</f>
        <v/>
      </c>
      <c r="AX114" s="266"/>
      <c r="AY114" s="230" t="str">
        <f>IF(AX114="","",VLOOKUP(AX114,Language!$D$5:$E$100,2,0))</f>
        <v/>
      </c>
      <c r="AZ114" s="304"/>
      <c r="BA114" s="305"/>
      <c r="BB114" s="288"/>
      <c r="BC114" s="288"/>
      <c r="BD114" s="289">
        <f t="shared" si="1517"/>
        <v>0</v>
      </c>
      <c r="BE114" s="289">
        <f t="shared" si="1518"/>
        <v>0</v>
      </c>
      <c r="BF114" s="289"/>
      <c r="BG114" s="252" t="str">
        <f t="shared" si="1519"/>
        <v/>
      </c>
      <c r="BI114" s="265"/>
      <c r="BJ114" s="230" t="str">
        <f>IF(BI114="","",VLOOKUP(BI114,Language!$D$5:$E$100,2,0))</f>
        <v/>
      </c>
      <c r="BK114" s="266"/>
      <c r="BL114" s="230" t="str">
        <f>IF(BK114="","",VLOOKUP(BK114,Language!$D$5:$E$100,2,0))</f>
        <v/>
      </c>
      <c r="BM114" s="304"/>
      <c r="BN114" s="305"/>
      <c r="BO114" s="288"/>
      <c r="BP114" s="288"/>
      <c r="BQ114" s="289">
        <f t="shared" si="1520"/>
        <v>0</v>
      </c>
      <c r="BR114" s="289">
        <f t="shared" si="1521"/>
        <v>0</v>
      </c>
      <c r="BS114" s="289"/>
      <c r="BT114" s="252" t="str">
        <f t="shared" si="1522"/>
        <v/>
      </c>
      <c r="BV114" s="265"/>
      <c r="BW114" s="230" t="str">
        <f>IF(BV114="","",VLOOKUP(BV114,Language!$D$5:$E$100,2,0))</f>
        <v/>
      </c>
      <c r="BX114" s="266"/>
      <c r="BY114" s="230" t="str">
        <f>IF(BX114="","",VLOOKUP(BX114,Language!$D$5:$E$100,2,0))</f>
        <v/>
      </c>
      <c r="BZ114" s="304"/>
      <c r="CA114" s="305"/>
      <c r="CB114" s="288"/>
      <c r="CC114" s="288"/>
      <c r="CD114" s="289">
        <f t="shared" si="1523"/>
        <v>0</v>
      </c>
      <c r="CE114" s="289">
        <f t="shared" si="1524"/>
        <v>0</v>
      </c>
      <c r="CF114" s="289"/>
      <c r="CG114" s="252" t="str">
        <f t="shared" si="1525"/>
        <v/>
      </c>
      <c r="CI114" s="265"/>
      <c r="CJ114" s="230" t="str">
        <f>IF(CI114="","",VLOOKUP(CI114,Language!$D$5:$E$100,2,0))</f>
        <v/>
      </c>
      <c r="CK114" s="266"/>
      <c r="CL114" s="230" t="str">
        <f>IF(CK114="","",VLOOKUP(CK114,Language!$D$5:$E$100,2,0))</f>
        <v/>
      </c>
      <c r="CM114" s="304"/>
      <c r="CN114" s="305"/>
      <c r="CO114" s="288"/>
      <c r="CP114" s="288"/>
      <c r="CQ114" s="289">
        <f t="shared" si="1526"/>
        <v>0</v>
      </c>
      <c r="CR114" s="289">
        <f t="shared" si="1527"/>
        <v>0</v>
      </c>
      <c r="CS114" s="289"/>
      <c r="CT114" s="252" t="str">
        <f t="shared" si="1528"/>
        <v/>
      </c>
      <c r="CV114" s="265"/>
      <c r="CW114" s="230" t="str">
        <f>IF(CV114="","",VLOOKUP(CV114,Language!$D$5:$E$100,2,0))</f>
        <v/>
      </c>
      <c r="CX114" s="266"/>
      <c r="CY114" s="230" t="str">
        <f>IF(CX114="","",VLOOKUP(CX114,Language!$D$5:$E$100,2,0))</f>
        <v/>
      </c>
      <c r="CZ114" s="304"/>
      <c r="DA114" s="305"/>
      <c r="DB114" s="288"/>
      <c r="DC114" s="288"/>
      <c r="DD114" s="289">
        <f t="shared" si="1529"/>
        <v>0</v>
      </c>
      <c r="DE114" s="289">
        <f t="shared" si="1530"/>
        <v>0</v>
      </c>
      <c r="DF114" s="289"/>
      <c r="DG114" s="252" t="str">
        <f t="shared" si="1531"/>
        <v/>
      </c>
      <c r="DI114" s="265"/>
      <c r="DJ114" s="230" t="str">
        <f>IF(DI114="","",VLOOKUP(DI114,Language!$D$5:$E$100,2,0))</f>
        <v/>
      </c>
      <c r="DK114" s="266"/>
      <c r="DL114" s="230" t="str">
        <f>IF(DK114="","",VLOOKUP(DK114,Language!$D$5:$E$100,2,0))</f>
        <v/>
      </c>
      <c r="DM114" s="304"/>
      <c r="DN114" s="305"/>
      <c r="DO114" s="288"/>
      <c r="DP114" s="288"/>
      <c r="DQ114" s="289">
        <f t="shared" si="1532"/>
        <v>0</v>
      </c>
      <c r="DR114" s="289">
        <f t="shared" si="1533"/>
        <v>0</v>
      </c>
      <c r="DS114" s="289"/>
      <c r="DT114" s="252" t="str">
        <f t="shared" si="1534"/>
        <v/>
      </c>
      <c r="DV114" s="265"/>
      <c r="DW114" s="230" t="str">
        <f>IF(DV114="","",VLOOKUP(DV114,Language!$D$5:$E$100,2,0))</f>
        <v/>
      </c>
      <c r="DX114" s="266"/>
      <c r="DY114" s="230" t="str">
        <f>IF(DX114="","",VLOOKUP(DX114,Language!$D$5:$E$100,2,0))</f>
        <v/>
      </c>
      <c r="DZ114" s="304"/>
      <c r="EA114" s="305"/>
      <c r="EB114" s="288"/>
      <c r="EC114" s="288"/>
      <c r="ED114" s="289">
        <f t="shared" si="1535"/>
        <v>0</v>
      </c>
      <c r="EE114" s="289">
        <f t="shared" si="1536"/>
        <v>0</v>
      </c>
      <c r="EF114" s="289"/>
      <c r="EG114" s="252" t="str">
        <f t="shared" si="1537"/>
        <v/>
      </c>
      <c r="EI114" s="265"/>
      <c r="EJ114" s="230" t="str">
        <f>IF(EI114="","",VLOOKUP(EI114,Language!$D$5:$E$100,2,0))</f>
        <v/>
      </c>
      <c r="EK114" s="266"/>
      <c r="EL114" s="230" t="str">
        <f>IF(EK114="","",VLOOKUP(EK114,Language!$D$5:$E$100,2,0))</f>
        <v/>
      </c>
      <c r="EM114" s="304"/>
      <c r="EN114" s="305"/>
      <c r="EO114" s="288"/>
      <c r="EP114" s="288"/>
      <c r="EQ114" s="289">
        <f t="shared" si="1538"/>
        <v>0</v>
      </c>
      <c r="ER114" s="289">
        <f t="shared" si="1539"/>
        <v>0</v>
      </c>
      <c r="ES114" s="289"/>
      <c r="ET114" s="252" t="str">
        <f t="shared" si="1540"/>
        <v/>
      </c>
      <c r="EV114" s="265"/>
      <c r="EW114" s="230" t="str">
        <f>IF(EV114="","",VLOOKUP(EV114,Language!$D$5:$E$100,2,0))</f>
        <v/>
      </c>
      <c r="EX114" s="266"/>
      <c r="EY114" s="230" t="str">
        <f>IF(EX114="","",VLOOKUP(EX114,Language!$D$5:$E$100,2,0))</f>
        <v/>
      </c>
      <c r="EZ114" s="304"/>
      <c r="FA114" s="305"/>
      <c r="FB114" s="288"/>
      <c r="FC114" s="288"/>
      <c r="FD114" s="289">
        <f t="shared" si="1541"/>
        <v>0</v>
      </c>
      <c r="FE114" s="289">
        <f t="shared" si="1542"/>
        <v>0</v>
      </c>
      <c r="FF114" s="289"/>
      <c r="FG114" s="252" t="str">
        <f t="shared" si="1543"/>
        <v/>
      </c>
      <c r="FI114" s="265"/>
      <c r="FJ114" s="230" t="str">
        <f>IF(FI114="","",VLOOKUP(FI114,Language!$D$5:$E$100,2,0))</f>
        <v/>
      </c>
      <c r="FK114" s="266"/>
      <c r="FL114" s="230" t="str">
        <f>IF(FK114="","",VLOOKUP(FK114,Language!$D$5:$E$100,2,0))</f>
        <v/>
      </c>
      <c r="FM114" s="304"/>
      <c r="FN114" s="305"/>
      <c r="FO114" s="288"/>
      <c r="FP114" s="288"/>
      <c r="FQ114" s="289">
        <f t="shared" si="1544"/>
        <v>0</v>
      </c>
      <c r="FR114" s="289">
        <f t="shared" si="1545"/>
        <v>0</v>
      </c>
      <c r="FS114" s="289"/>
      <c r="FT114" s="252" t="str">
        <f t="shared" si="1546"/>
        <v/>
      </c>
      <c r="FV114" s="265"/>
      <c r="FW114" s="230" t="str">
        <f>IF(FV114="","",VLOOKUP(FV114,Language!$D$5:$E$100,2,0))</f>
        <v/>
      </c>
      <c r="FX114" s="266"/>
      <c r="FY114" s="230" t="str">
        <f>IF(FX114="","",VLOOKUP(FX114,Language!$D$5:$E$100,2,0))</f>
        <v/>
      </c>
      <c r="FZ114" s="304"/>
      <c r="GA114" s="305"/>
      <c r="GB114" s="288"/>
      <c r="GC114" s="288"/>
      <c r="GD114" s="289">
        <f t="shared" si="1547"/>
        <v>0</v>
      </c>
      <c r="GE114" s="289">
        <f t="shared" si="1548"/>
        <v>0</v>
      </c>
      <c r="GF114" s="289"/>
      <c r="GG114" s="252" t="str">
        <f t="shared" si="1549"/>
        <v/>
      </c>
      <c r="GI114" s="265"/>
      <c r="GJ114" s="230" t="str">
        <f>IF(GI114="","",VLOOKUP(GI114,Language!$D$5:$E$100,2,0))</f>
        <v/>
      </c>
      <c r="GK114" s="266"/>
      <c r="GL114" s="230" t="str">
        <f>IF(GK114="","",VLOOKUP(GK114,Language!$D$5:$E$100,2,0))</f>
        <v/>
      </c>
      <c r="GM114" s="304"/>
      <c r="GN114" s="305"/>
      <c r="GO114" s="288"/>
      <c r="GP114" s="288"/>
      <c r="GQ114" s="289">
        <f t="shared" si="1550"/>
        <v>0</v>
      </c>
      <c r="GR114" s="289">
        <f t="shared" si="1551"/>
        <v>0</v>
      </c>
      <c r="GS114" s="289"/>
      <c r="GT114" s="252" t="str">
        <f t="shared" si="1552"/>
        <v/>
      </c>
      <c r="GV114" s="265"/>
      <c r="GW114" s="230" t="str">
        <f>IF(GV114="","",VLOOKUP(GV114,Language!$D$5:$E$100,2,0))</f>
        <v/>
      </c>
      <c r="GX114" s="266"/>
      <c r="GY114" s="230" t="str">
        <f>IF(GX114="","",VLOOKUP(GX114,Language!$D$5:$E$100,2,0))</f>
        <v/>
      </c>
      <c r="GZ114" s="304"/>
      <c r="HA114" s="305"/>
      <c r="HB114" s="288"/>
      <c r="HC114" s="288"/>
      <c r="HD114" s="289">
        <f t="shared" si="1553"/>
        <v>0</v>
      </c>
      <c r="HE114" s="289">
        <f t="shared" si="1554"/>
        <v>0</v>
      </c>
      <c r="HF114" s="289"/>
      <c r="HG114" s="252" t="str">
        <f t="shared" si="1555"/>
        <v/>
      </c>
      <c r="HI114" s="265"/>
      <c r="HJ114" s="230" t="str">
        <f>IF(HI114="","",VLOOKUP(HI114,Language!$D$5:$E$100,2,0))</f>
        <v/>
      </c>
      <c r="HK114" s="266"/>
      <c r="HL114" s="230" t="str">
        <f>IF(HK114="","",VLOOKUP(HK114,Language!$D$5:$E$100,2,0))</f>
        <v/>
      </c>
      <c r="HM114" s="304"/>
      <c r="HN114" s="305"/>
      <c r="HO114" s="288"/>
      <c r="HP114" s="288"/>
      <c r="HQ114" s="289">
        <f t="shared" si="1556"/>
        <v>0</v>
      </c>
      <c r="HR114" s="289">
        <f t="shared" si="1557"/>
        <v>0</v>
      </c>
      <c r="HS114" s="289"/>
      <c r="HT114" s="252" t="str">
        <f t="shared" si="1558"/>
        <v/>
      </c>
      <c r="HV114" s="265"/>
      <c r="HW114" s="230" t="str">
        <f>IF(HV114="","",VLOOKUP(HV114,Language!$D$5:$E$100,2,0))</f>
        <v/>
      </c>
      <c r="HX114" s="266"/>
      <c r="HY114" s="230" t="str">
        <f>IF(HX114="","",VLOOKUP(HX114,Language!$D$5:$E$100,2,0))</f>
        <v/>
      </c>
      <c r="HZ114" s="304"/>
      <c r="IA114" s="305"/>
      <c r="IB114" s="288"/>
      <c r="IC114" s="288"/>
      <c r="ID114" s="289">
        <f t="shared" si="1559"/>
        <v>0</v>
      </c>
      <c r="IE114" s="289">
        <f t="shared" si="1560"/>
        <v>0</v>
      </c>
      <c r="IF114" s="289"/>
      <c r="IG114" s="252" t="str">
        <f t="shared" si="1561"/>
        <v/>
      </c>
      <c r="II114" s="265"/>
      <c r="IJ114" s="230" t="str">
        <f>IF(II114="","",VLOOKUP(II114,Language!$D$5:$E$100,2,0))</f>
        <v/>
      </c>
      <c r="IK114" s="266"/>
      <c r="IL114" s="230" t="str">
        <f>IF(IK114="","",VLOOKUP(IK114,Language!$D$5:$E$100,2,0))</f>
        <v/>
      </c>
      <c r="IM114" s="304"/>
      <c r="IN114" s="305"/>
      <c r="IO114" s="288"/>
      <c r="IP114" s="288"/>
      <c r="IQ114" s="289">
        <f t="shared" si="1562"/>
        <v>0</v>
      </c>
      <c r="IR114" s="289">
        <f t="shared" si="1563"/>
        <v>0</v>
      </c>
      <c r="IS114" s="289"/>
      <c r="IT114" s="252" t="str">
        <f t="shared" si="1564"/>
        <v/>
      </c>
      <c r="IV114" s="265"/>
      <c r="IW114" s="230" t="str">
        <f>IF(IV114="","",VLOOKUP(IV114,Language!$D$5:$E$100,2,0))</f>
        <v/>
      </c>
      <c r="IX114" s="266"/>
      <c r="IY114" s="230" t="str">
        <f>IF(IX114="","",VLOOKUP(IX114,Language!$D$5:$E$100,2,0))</f>
        <v/>
      </c>
      <c r="IZ114" s="304"/>
      <c r="JA114" s="305"/>
      <c r="JB114" s="288"/>
      <c r="JC114" s="288"/>
      <c r="JD114" s="289">
        <f t="shared" si="1565"/>
        <v>0</v>
      </c>
      <c r="JE114" s="289">
        <f t="shared" si="1566"/>
        <v>0</v>
      </c>
      <c r="JF114" s="289"/>
      <c r="JG114" s="252" t="str">
        <f t="shared" si="1567"/>
        <v/>
      </c>
      <c r="JI114" s="265"/>
      <c r="JJ114" s="230" t="str">
        <f>IF(JI114="","",VLOOKUP(JI114,Language!$D$5:$E$100,2,0))</f>
        <v/>
      </c>
      <c r="JK114" s="266"/>
      <c r="JL114" s="230" t="str">
        <f>IF(JK114="","",VLOOKUP(JK114,Language!$D$5:$E$100,2,0))</f>
        <v/>
      </c>
      <c r="JM114" s="304"/>
      <c r="JN114" s="305"/>
      <c r="JO114" s="288"/>
      <c r="JP114" s="288"/>
      <c r="JQ114" s="289">
        <f t="shared" si="1568"/>
        <v>0</v>
      </c>
      <c r="JR114" s="289">
        <f t="shared" si="1569"/>
        <v>0</v>
      </c>
      <c r="JS114" s="289"/>
      <c r="JT114" s="252" t="str">
        <f t="shared" si="1570"/>
        <v/>
      </c>
      <c r="JV114" s="265"/>
      <c r="JW114" s="230" t="str">
        <f>IF(JV114="","",VLOOKUP(JV114,Language!$D$5:$E$100,2,0))</f>
        <v/>
      </c>
      <c r="JX114" s="266"/>
      <c r="JY114" s="230" t="str">
        <f>IF(JX114="","",VLOOKUP(JX114,Language!$D$5:$E$100,2,0))</f>
        <v/>
      </c>
      <c r="JZ114" s="304"/>
      <c r="KA114" s="305"/>
      <c r="KB114" s="288"/>
      <c r="KC114" s="288"/>
      <c r="KD114" s="289">
        <f t="shared" si="1571"/>
        <v>0</v>
      </c>
      <c r="KE114" s="289">
        <f t="shared" si="1572"/>
        <v>0</v>
      </c>
      <c r="KF114" s="289"/>
      <c r="KG114" s="252" t="str">
        <f t="shared" si="1573"/>
        <v/>
      </c>
      <c r="KI114" s="265"/>
      <c r="KJ114" s="230" t="str">
        <f>IF(KI114="","",VLOOKUP(KI114,Language!$D$5:$E$100,2,0))</f>
        <v/>
      </c>
      <c r="KK114" s="266"/>
      <c r="KL114" s="230" t="str">
        <f>IF(KK114="","",VLOOKUP(KK114,Language!$D$5:$E$100,2,0))</f>
        <v/>
      </c>
      <c r="KM114" s="304"/>
      <c r="KN114" s="305"/>
      <c r="KO114" s="288"/>
      <c r="KP114" s="288"/>
      <c r="KQ114" s="289">
        <f t="shared" si="1574"/>
        <v>0</v>
      </c>
      <c r="KR114" s="289">
        <f t="shared" si="1575"/>
        <v>0</v>
      </c>
      <c r="KS114" s="289"/>
      <c r="KT114" s="252" t="str">
        <f t="shared" si="1576"/>
        <v/>
      </c>
      <c r="KV114" s="265"/>
      <c r="KW114" s="230" t="str">
        <f>IF(KV114="","",VLOOKUP(KV114,Language!$D$5:$E$100,2,0))</f>
        <v/>
      </c>
      <c r="KX114" s="266"/>
      <c r="KY114" s="230" t="str">
        <f>IF(KX114="","",VLOOKUP(KX114,Language!$D$5:$E$100,2,0))</f>
        <v/>
      </c>
      <c r="KZ114" s="304"/>
      <c r="LA114" s="305"/>
      <c r="LB114" s="288"/>
      <c r="LC114" s="288"/>
      <c r="LD114" s="289">
        <f t="shared" si="1577"/>
        <v>0</v>
      </c>
      <c r="LE114" s="289">
        <f t="shared" si="1578"/>
        <v>0</v>
      </c>
      <c r="LF114" s="289"/>
      <c r="LG114" s="252" t="str">
        <f t="shared" si="1579"/>
        <v/>
      </c>
      <c r="LI114" s="265"/>
      <c r="LJ114" s="230" t="str">
        <f>IF(LI114="","",VLOOKUP(LI114,Language!$D$5:$E$100,2,0))</f>
        <v/>
      </c>
      <c r="LK114" s="266"/>
      <c r="LL114" s="230" t="str">
        <f>IF(LK114="","",VLOOKUP(LK114,Language!$D$5:$E$100,2,0))</f>
        <v/>
      </c>
      <c r="LM114" s="304"/>
      <c r="LN114" s="305"/>
      <c r="LO114" s="288"/>
      <c r="LP114" s="288"/>
      <c r="LQ114" s="289">
        <f t="shared" si="1580"/>
        <v>0</v>
      </c>
      <c r="LR114" s="289">
        <f t="shared" si="1581"/>
        <v>0</v>
      </c>
      <c r="LS114" s="289"/>
      <c r="LT114" s="252" t="str">
        <f t="shared" si="1582"/>
        <v/>
      </c>
      <c r="LV114" s="265"/>
      <c r="LW114" s="230" t="str">
        <f>IF(LV114="","",VLOOKUP(LV114,Language!$D$5:$E$100,2,0))</f>
        <v/>
      </c>
      <c r="LX114" s="266"/>
      <c r="LY114" s="230" t="str">
        <f>IF(LX114="","",VLOOKUP(LX114,Language!$D$5:$E$100,2,0))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54"/>
      <c r="Q115" s="241"/>
      <c r="R115" s="241"/>
      <c r="S115" s="241"/>
      <c r="T115" s="255"/>
      <c r="V115" s="238" t="str">
        <f>$B115</f>
        <v>Quarter final</v>
      </c>
      <c r="W115" s="240"/>
      <c r="X115" s="240"/>
      <c r="Y115" s="241"/>
      <c r="Z115" s="270"/>
      <c r="AA115" s="271"/>
      <c r="AB115" s="242"/>
      <c r="AC115" s="254"/>
      <c r="AD115" s="241"/>
      <c r="AE115" s="241"/>
      <c r="AF115" s="241"/>
      <c r="AG115" s="255"/>
      <c r="AI115" s="238" t="str">
        <f>$B115</f>
        <v>Quarter final</v>
      </c>
      <c r="AJ115" s="240"/>
      <c r="AK115" s="240"/>
      <c r="AL115" s="241"/>
      <c r="AM115" s="270"/>
      <c r="AN115" s="271"/>
      <c r="AO115" s="242"/>
      <c r="AP115" s="254"/>
      <c r="AQ115" s="241"/>
      <c r="AR115" s="241"/>
      <c r="AS115" s="241"/>
      <c r="AT115" s="255"/>
      <c r="AV115" s="238" t="str">
        <f>$B115</f>
        <v>Quarter final</v>
      </c>
      <c r="AW115" s="240"/>
      <c r="AX115" s="240"/>
      <c r="AY115" s="241"/>
      <c r="AZ115" s="270"/>
      <c r="BA115" s="271"/>
      <c r="BB115" s="242"/>
      <c r="BC115" s="254"/>
      <c r="BD115" s="241"/>
      <c r="BE115" s="241"/>
      <c r="BF115" s="241"/>
      <c r="BG115" s="255"/>
      <c r="BI115" s="238" t="str">
        <f>$B115</f>
        <v>Quarter final</v>
      </c>
      <c r="BJ115" s="240"/>
      <c r="BK115" s="240"/>
      <c r="BL115" s="241"/>
      <c r="BM115" s="270"/>
      <c r="BN115" s="271"/>
      <c r="BO115" s="242"/>
      <c r="BP115" s="254"/>
      <c r="BQ115" s="241"/>
      <c r="BR115" s="241"/>
      <c r="BS115" s="241"/>
      <c r="BT115" s="255"/>
      <c r="BV115" s="238" t="str">
        <f>$B115</f>
        <v>Quarter final</v>
      </c>
      <c r="BW115" s="240"/>
      <c r="BX115" s="240"/>
      <c r="BY115" s="241"/>
      <c r="BZ115" s="270"/>
      <c r="CA115" s="271"/>
      <c r="CB115" s="242"/>
      <c r="CC115" s="254"/>
      <c r="CD115" s="241"/>
      <c r="CE115" s="241"/>
      <c r="CF115" s="241"/>
      <c r="CG115" s="255"/>
      <c r="CI115" s="238" t="str">
        <f>$B115</f>
        <v>Quarter final</v>
      </c>
      <c r="CJ115" s="240"/>
      <c r="CK115" s="240"/>
      <c r="CL115" s="241"/>
      <c r="CM115" s="270"/>
      <c r="CN115" s="271"/>
      <c r="CO115" s="242"/>
      <c r="CP115" s="254"/>
      <c r="CQ115" s="241"/>
      <c r="CR115" s="241"/>
      <c r="CS115" s="241"/>
      <c r="CT115" s="255"/>
      <c r="CV115" s="238" t="str">
        <f>$B115</f>
        <v>Quarter final</v>
      </c>
      <c r="CW115" s="240"/>
      <c r="CX115" s="240"/>
      <c r="CY115" s="241"/>
      <c r="CZ115" s="270"/>
      <c r="DA115" s="271"/>
      <c r="DB115" s="242"/>
      <c r="DC115" s="254"/>
      <c r="DD115" s="241"/>
      <c r="DE115" s="241"/>
      <c r="DF115" s="241"/>
      <c r="DG115" s="255"/>
      <c r="DI115" s="238" t="str">
        <f>$B115</f>
        <v>Quarter final</v>
      </c>
      <c r="DJ115" s="240"/>
      <c r="DK115" s="240"/>
      <c r="DL115" s="241"/>
      <c r="DM115" s="270"/>
      <c r="DN115" s="271"/>
      <c r="DO115" s="242"/>
      <c r="DP115" s="254"/>
      <c r="DQ115" s="241"/>
      <c r="DR115" s="241"/>
      <c r="DS115" s="241"/>
      <c r="DT115" s="255"/>
      <c r="DV115" s="238" t="str">
        <f>$B115</f>
        <v>Quarter final</v>
      </c>
      <c r="DW115" s="240"/>
      <c r="DX115" s="240"/>
      <c r="DY115" s="241"/>
      <c r="DZ115" s="270"/>
      <c r="EA115" s="271"/>
      <c r="EB115" s="242"/>
      <c r="EC115" s="254"/>
      <c r="ED115" s="241"/>
      <c r="EE115" s="241"/>
      <c r="EF115" s="241"/>
      <c r="EG115" s="255"/>
      <c r="EI115" s="238" t="str">
        <f>$B115</f>
        <v>Quarter final</v>
      </c>
      <c r="EJ115" s="240"/>
      <c r="EK115" s="240"/>
      <c r="EL115" s="241"/>
      <c r="EM115" s="270"/>
      <c r="EN115" s="271"/>
      <c r="EO115" s="242"/>
      <c r="EP115" s="254"/>
      <c r="EQ115" s="241"/>
      <c r="ER115" s="241"/>
      <c r="ES115" s="241"/>
      <c r="ET115" s="255"/>
      <c r="EV115" s="238" t="str">
        <f>$B115</f>
        <v>Quarter final</v>
      </c>
      <c r="EW115" s="240"/>
      <c r="EX115" s="240"/>
      <c r="EY115" s="241"/>
      <c r="EZ115" s="270"/>
      <c r="FA115" s="271"/>
      <c r="FB115" s="242"/>
      <c r="FC115" s="254"/>
      <c r="FD115" s="241"/>
      <c r="FE115" s="241"/>
      <c r="FF115" s="241"/>
      <c r="FG115" s="255"/>
      <c r="FI115" s="238" t="str">
        <f>$B115</f>
        <v>Quarter final</v>
      </c>
      <c r="FJ115" s="240"/>
      <c r="FK115" s="240"/>
      <c r="FL115" s="241"/>
      <c r="FM115" s="270"/>
      <c r="FN115" s="271"/>
      <c r="FO115" s="242"/>
      <c r="FP115" s="254"/>
      <c r="FQ115" s="241"/>
      <c r="FR115" s="241"/>
      <c r="FS115" s="241"/>
      <c r="FT115" s="255"/>
      <c r="FV115" s="238" t="str">
        <f>$B115</f>
        <v>Quarter final</v>
      </c>
      <c r="FW115" s="240"/>
      <c r="FX115" s="240"/>
      <c r="FY115" s="241"/>
      <c r="FZ115" s="270"/>
      <c r="GA115" s="271"/>
      <c r="GB115" s="242"/>
      <c r="GC115" s="254"/>
      <c r="GD115" s="241"/>
      <c r="GE115" s="241"/>
      <c r="GF115" s="241"/>
      <c r="GG115" s="255"/>
      <c r="GI115" s="238" t="str">
        <f>$B115</f>
        <v>Quarter final</v>
      </c>
      <c r="GJ115" s="240"/>
      <c r="GK115" s="240"/>
      <c r="GL115" s="241"/>
      <c r="GM115" s="270"/>
      <c r="GN115" s="271"/>
      <c r="GO115" s="242"/>
      <c r="GP115" s="254"/>
      <c r="GQ115" s="241"/>
      <c r="GR115" s="241"/>
      <c r="GS115" s="241"/>
      <c r="GT115" s="255"/>
      <c r="GV115" s="238" t="str">
        <f>$B115</f>
        <v>Quarter final</v>
      </c>
      <c r="GW115" s="240"/>
      <c r="GX115" s="240"/>
      <c r="GY115" s="241"/>
      <c r="GZ115" s="270"/>
      <c r="HA115" s="271"/>
      <c r="HB115" s="242"/>
      <c r="HC115" s="254"/>
      <c r="HD115" s="241"/>
      <c r="HE115" s="241"/>
      <c r="HF115" s="241"/>
      <c r="HG115" s="255"/>
      <c r="HI115" s="238" t="str">
        <f>$B115</f>
        <v>Quarter final</v>
      </c>
      <c r="HJ115" s="240"/>
      <c r="HK115" s="240"/>
      <c r="HL115" s="241"/>
      <c r="HM115" s="270"/>
      <c r="HN115" s="271"/>
      <c r="HO115" s="242"/>
      <c r="HP115" s="254"/>
      <c r="HQ115" s="241"/>
      <c r="HR115" s="241"/>
      <c r="HS115" s="241"/>
      <c r="HT115" s="255"/>
      <c r="HV115" s="238" t="str">
        <f>$B115</f>
        <v>Quarter final</v>
      </c>
      <c r="HW115" s="240"/>
      <c r="HX115" s="240"/>
      <c r="HY115" s="241"/>
      <c r="HZ115" s="270"/>
      <c r="IA115" s="271"/>
      <c r="IB115" s="242"/>
      <c r="IC115" s="254"/>
      <c r="ID115" s="241"/>
      <c r="IE115" s="241"/>
      <c r="IF115" s="241"/>
      <c r="IG115" s="255"/>
      <c r="II115" s="238" t="str">
        <f>$B115</f>
        <v>Quarter final</v>
      </c>
      <c r="IJ115" s="240"/>
      <c r="IK115" s="240"/>
      <c r="IL115" s="241"/>
      <c r="IM115" s="270"/>
      <c r="IN115" s="271"/>
      <c r="IO115" s="242"/>
      <c r="IP115" s="254"/>
      <c r="IQ115" s="241"/>
      <c r="IR115" s="241"/>
      <c r="IS115" s="241"/>
      <c r="IT115" s="255"/>
      <c r="IV115" s="238" t="str">
        <f>$B115</f>
        <v>Quarter final</v>
      </c>
      <c r="IW115" s="240"/>
      <c r="IX115" s="240"/>
      <c r="IY115" s="241"/>
      <c r="IZ115" s="270"/>
      <c r="JA115" s="271"/>
      <c r="JB115" s="242"/>
      <c r="JC115" s="254"/>
      <c r="JD115" s="241"/>
      <c r="JE115" s="241"/>
      <c r="JF115" s="241"/>
      <c r="JG115" s="255"/>
      <c r="JI115" s="238" t="str">
        <f>$B115</f>
        <v>Quarter final</v>
      </c>
      <c r="JJ115" s="240"/>
      <c r="JK115" s="240"/>
      <c r="JL115" s="241"/>
      <c r="JM115" s="270"/>
      <c r="JN115" s="271"/>
      <c r="JO115" s="242"/>
      <c r="JP115" s="254"/>
      <c r="JQ115" s="241"/>
      <c r="JR115" s="241"/>
      <c r="JS115" s="241"/>
      <c r="JT115" s="255"/>
      <c r="JV115" s="238" t="str">
        <f>$B115</f>
        <v>Quarter final</v>
      </c>
      <c r="JW115" s="240"/>
      <c r="JX115" s="240"/>
      <c r="JY115" s="241"/>
      <c r="JZ115" s="270"/>
      <c r="KA115" s="271"/>
      <c r="KB115" s="242"/>
      <c r="KC115" s="254"/>
      <c r="KD115" s="241"/>
      <c r="KE115" s="241"/>
      <c r="KF115" s="241"/>
      <c r="KG115" s="255"/>
      <c r="KI115" s="238" t="str">
        <f>$B115</f>
        <v>Quarter final</v>
      </c>
      <c r="KJ115" s="240"/>
      <c r="KK115" s="240"/>
      <c r="KL115" s="241"/>
      <c r="KM115" s="270"/>
      <c r="KN115" s="271"/>
      <c r="KO115" s="242"/>
      <c r="KP115" s="254"/>
      <c r="KQ115" s="241"/>
      <c r="KR115" s="241"/>
      <c r="KS115" s="241"/>
      <c r="KT115" s="255"/>
      <c r="KV115" s="238" t="str">
        <f>$B115</f>
        <v>Quarter final</v>
      </c>
      <c r="KW115" s="240"/>
      <c r="KX115" s="240"/>
      <c r="KY115" s="241"/>
      <c r="KZ115" s="270"/>
      <c r="LA115" s="271"/>
      <c r="LB115" s="242"/>
      <c r="LC115" s="254"/>
      <c r="LD115" s="241"/>
      <c r="LE115" s="241"/>
      <c r="LF115" s="241"/>
      <c r="LG115" s="255"/>
      <c r="LI115" s="238" t="str">
        <f>$B115</f>
        <v>Quarter final</v>
      </c>
      <c r="LJ115" s="240"/>
      <c r="LK115" s="240"/>
      <c r="LL115" s="241"/>
      <c r="LM115" s="270"/>
      <c r="LN115" s="271"/>
      <c r="LO115" s="242"/>
      <c r="LP115" s="254"/>
      <c r="LQ115" s="241"/>
      <c r="LR115" s="241"/>
      <c r="LS115" s="241"/>
      <c r="LT115" s="255"/>
      <c r="LV115" s="238" t="str">
        <f>$B115</f>
        <v>Quarter final</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IF(I116="","",VLOOKUP(I116,Language!$D$5:$E$100,2,0))</f>
        <v/>
      </c>
      <c r="K116" s="266"/>
      <c r="L116" s="230" t="str">
        <f>IF(K116="","",VLOOKUP(K116,Language!$D$5:$E$100,2,0))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IF(V116="","",VLOOKUP(V116,Language!$D$5:$E$100,2,0))</f>
        <v/>
      </c>
      <c r="X116" s="266"/>
      <c r="Y116" s="230" t="str">
        <f>IF(X116="","",VLOOKUP(X116,Language!$D$5:$E$100,2,0))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IF(AI116="","",VLOOKUP(AI116,Language!$D$5:$E$100,2,0))</f>
        <v/>
      </c>
      <c r="AK116" s="266"/>
      <c r="AL116" s="230" t="str">
        <f>IF(AK116="","",VLOOKUP(AK116,Language!$D$5:$E$100,2,0))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IF(AV116="","",VLOOKUP(AV116,Language!$D$5:$E$100,2,0))</f>
        <v/>
      </c>
      <c r="AX116" s="266"/>
      <c r="AY116" s="230" t="str">
        <f>IF(AX116="","",VLOOKUP(AX116,Language!$D$5:$E$100,2,0))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IF(BI116="","",VLOOKUP(BI116,Language!$D$5:$E$100,2,0))</f>
        <v/>
      </c>
      <c r="BK116" s="266"/>
      <c r="BL116" s="230" t="str">
        <f>IF(BK116="","",VLOOKUP(BK116,Language!$D$5:$E$100,2,0))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IF(BV116="","",VLOOKUP(BV116,Language!$D$5:$E$100,2,0))</f>
        <v/>
      </c>
      <c r="BX116" s="266"/>
      <c r="BY116" s="230" t="str">
        <f>IF(BX116="","",VLOOKUP(BX116,Language!$D$5:$E$100,2,0))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IF(CI116="","",VLOOKUP(CI116,Language!$D$5:$E$100,2,0))</f>
        <v/>
      </c>
      <c r="CK116" s="266"/>
      <c r="CL116" s="230" t="str">
        <f>IF(CK116="","",VLOOKUP(CK116,Language!$D$5:$E$100,2,0))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IF(CV116="","",VLOOKUP(CV116,Language!$D$5:$E$100,2,0))</f>
        <v/>
      </c>
      <c r="CX116" s="266"/>
      <c r="CY116" s="230" t="str">
        <f>IF(CX116="","",VLOOKUP(CX116,Language!$D$5:$E$100,2,0))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IF(DI116="","",VLOOKUP(DI116,Language!$D$5:$E$100,2,0))</f>
        <v/>
      </c>
      <c r="DK116" s="266"/>
      <c r="DL116" s="230" t="str">
        <f>IF(DK116="","",VLOOKUP(DK116,Language!$D$5:$E$100,2,0))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IF(DV116="","",VLOOKUP(DV116,Language!$D$5:$E$100,2,0))</f>
        <v/>
      </c>
      <c r="DX116" s="266"/>
      <c r="DY116" s="230" t="str">
        <f>IF(DX116="","",VLOOKUP(DX116,Language!$D$5:$E$100,2,0))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IF(EI116="","",VLOOKUP(EI116,Language!$D$5:$E$100,2,0))</f>
        <v/>
      </c>
      <c r="EK116" s="266"/>
      <c r="EL116" s="230" t="str">
        <f>IF(EK116="","",VLOOKUP(EK116,Language!$D$5:$E$100,2,0))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IF(EV116="","",VLOOKUP(EV116,Language!$D$5:$E$100,2,0))</f>
        <v/>
      </c>
      <c r="EX116" s="266"/>
      <c r="EY116" s="230" t="str">
        <f>IF(EX116="","",VLOOKUP(EX116,Language!$D$5:$E$100,2,0))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IF(FI116="","",VLOOKUP(FI116,Language!$D$5:$E$100,2,0))</f>
        <v/>
      </c>
      <c r="FK116" s="266"/>
      <c r="FL116" s="230" t="str">
        <f>IF(FK116="","",VLOOKUP(FK116,Language!$D$5:$E$100,2,0))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IF(FV116="","",VLOOKUP(FV116,Language!$D$5:$E$100,2,0))</f>
        <v/>
      </c>
      <c r="FX116" s="266"/>
      <c r="FY116" s="230" t="str">
        <f>IF(FX116="","",VLOOKUP(FX116,Language!$D$5:$E$100,2,0))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IF(GI116="","",VLOOKUP(GI116,Language!$D$5:$E$100,2,0))</f>
        <v/>
      </c>
      <c r="GK116" s="266"/>
      <c r="GL116" s="230" t="str">
        <f>IF(GK116="","",VLOOKUP(GK116,Language!$D$5:$E$100,2,0))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IF(GV116="","",VLOOKUP(GV116,Language!$D$5:$E$100,2,0))</f>
        <v/>
      </c>
      <c r="GX116" s="266"/>
      <c r="GY116" s="230" t="str">
        <f>IF(GX116="","",VLOOKUP(GX116,Language!$D$5:$E$100,2,0))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IF(HI116="","",VLOOKUP(HI116,Language!$D$5:$E$100,2,0))</f>
        <v/>
      </c>
      <c r="HK116" s="266"/>
      <c r="HL116" s="230" t="str">
        <f>IF(HK116="","",VLOOKUP(HK116,Language!$D$5:$E$100,2,0))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IF(HV116="","",VLOOKUP(HV116,Language!$D$5:$E$100,2,0))</f>
        <v/>
      </c>
      <c r="HX116" s="266"/>
      <c r="HY116" s="230" t="str">
        <f>IF(HX116="","",VLOOKUP(HX116,Language!$D$5:$E$100,2,0))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IF(II116="","",VLOOKUP(II116,Language!$D$5:$E$100,2,0))</f>
        <v/>
      </c>
      <c r="IK116" s="266"/>
      <c r="IL116" s="230" t="str">
        <f>IF(IK116="","",VLOOKUP(IK116,Language!$D$5:$E$100,2,0))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IF(IV116="","",VLOOKUP(IV116,Language!$D$5:$E$100,2,0))</f>
        <v/>
      </c>
      <c r="IX116" s="266"/>
      <c r="IY116" s="230" t="str">
        <f>IF(IX116="","",VLOOKUP(IX116,Language!$D$5:$E$100,2,0))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IF(JI116="","",VLOOKUP(JI116,Language!$D$5:$E$100,2,0))</f>
        <v/>
      </c>
      <c r="JK116" s="266"/>
      <c r="JL116" s="230" t="str">
        <f>IF(JK116="","",VLOOKUP(JK116,Language!$D$5:$E$100,2,0))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IF(JV116="","",VLOOKUP(JV116,Language!$D$5:$E$100,2,0))</f>
        <v/>
      </c>
      <c r="JX116" s="266"/>
      <c r="JY116" s="230" t="str">
        <f>IF(JX116="","",VLOOKUP(JX116,Language!$D$5:$E$100,2,0))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IF(KI116="","",VLOOKUP(KI116,Language!$D$5:$E$100,2,0))</f>
        <v/>
      </c>
      <c r="KK116" s="266"/>
      <c r="KL116" s="230" t="str">
        <f>IF(KK116="","",VLOOKUP(KK116,Language!$D$5:$E$100,2,0))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IF(KV116="","",VLOOKUP(KV116,Language!$D$5:$E$100,2,0))</f>
        <v/>
      </c>
      <c r="KX116" s="266"/>
      <c r="KY116" s="230" t="str">
        <f>IF(KX116="","",VLOOKUP(KX116,Language!$D$5:$E$100,2,0))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IF(LI116="","",VLOOKUP(LI116,Language!$D$5:$E$100,2,0))</f>
        <v/>
      </c>
      <c r="LK116" s="266"/>
      <c r="LL116" s="230" t="str">
        <f>IF(LK116="","",VLOOKUP(LK116,Language!$D$5:$E$100,2,0))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IF(LV116="","",VLOOKUP(LV116,Language!$D$5:$E$100,2,0))</f>
        <v/>
      </c>
      <c r="LX116" s="266"/>
      <c r="LY116" s="230" t="str">
        <f>IF(LX116="","",VLOOKUP(LX116,Language!$D$5:$E$100,2,0))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IF(I117="","",VLOOKUP(I117,Language!$D$5:$E$100,2,0))</f>
        <v/>
      </c>
      <c r="K117" s="266"/>
      <c r="L117" s="230" t="str">
        <f>IF(K117="","",VLOOKUP(K117,Language!$D$5:$E$100,2,0))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IF(V117="","",VLOOKUP(V117,Language!$D$5:$E$100,2,0))</f>
        <v/>
      </c>
      <c r="X117" s="266"/>
      <c r="Y117" s="230" t="str">
        <f>IF(X117="","",VLOOKUP(X117,Language!$D$5:$E$100,2,0))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IF(AI117="","",VLOOKUP(AI117,Language!$D$5:$E$100,2,0))</f>
        <v/>
      </c>
      <c r="AK117" s="266"/>
      <c r="AL117" s="230" t="str">
        <f>IF(AK117="","",VLOOKUP(AK117,Language!$D$5:$E$100,2,0))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IF(AV117="","",VLOOKUP(AV117,Language!$D$5:$E$100,2,0))</f>
        <v/>
      </c>
      <c r="AX117" s="266"/>
      <c r="AY117" s="230" t="str">
        <f>IF(AX117="","",VLOOKUP(AX117,Language!$D$5:$E$100,2,0))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IF(BI117="","",VLOOKUP(BI117,Language!$D$5:$E$100,2,0))</f>
        <v/>
      </c>
      <c r="BK117" s="266"/>
      <c r="BL117" s="230" t="str">
        <f>IF(BK117="","",VLOOKUP(BK117,Language!$D$5:$E$100,2,0))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IF(BV117="","",VLOOKUP(BV117,Language!$D$5:$E$100,2,0))</f>
        <v/>
      </c>
      <c r="BX117" s="266"/>
      <c r="BY117" s="230" t="str">
        <f>IF(BX117="","",VLOOKUP(BX117,Language!$D$5:$E$100,2,0))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IF(CI117="","",VLOOKUP(CI117,Language!$D$5:$E$100,2,0))</f>
        <v/>
      </c>
      <c r="CK117" s="266"/>
      <c r="CL117" s="230" t="str">
        <f>IF(CK117="","",VLOOKUP(CK117,Language!$D$5:$E$100,2,0))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IF(CV117="","",VLOOKUP(CV117,Language!$D$5:$E$100,2,0))</f>
        <v/>
      </c>
      <c r="CX117" s="266"/>
      <c r="CY117" s="230" t="str">
        <f>IF(CX117="","",VLOOKUP(CX117,Language!$D$5:$E$100,2,0))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IF(DI117="","",VLOOKUP(DI117,Language!$D$5:$E$100,2,0))</f>
        <v/>
      </c>
      <c r="DK117" s="266"/>
      <c r="DL117" s="230" t="str">
        <f>IF(DK117="","",VLOOKUP(DK117,Language!$D$5:$E$100,2,0))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IF(DV117="","",VLOOKUP(DV117,Language!$D$5:$E$100,2,0))</f>
        <v/>
      </c>
      <c r="DX117" s="266"/>
      <c r="DY117" s="230" t="str">
        <f>IF(DX117="","",VLOOKUP(DX117,Language!$D$5:$E$100,2,0))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IF(EI117="","",VLOOKUP(EI117,Language!$D$5:$E$100,2,0))</f>
        <v/>
      </c>
      <c r="EK117" s="266"/>
      <c r="EL117" s="230" t="str">
        <f>IF(EK117="","",VLOOKUP(EK117,Language!$D$5:$E$100,2,0))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IF(EV117="","",VLOOKUP(EV117,Language!$D$5:$E$100,2,0))</f>
        <v/>
      </c>
      <c r="EX117" s="266"/>
      <c r="EY117" s="230" t="str">
        <f>IF(EX117="","",VLOOKUP(EX117,Language!$D$5:$E$100,2,0))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IF(FI117="","",VLOOKUP(FI117,Language!$D$5:$E$100,2,0))</f>
        <v/>
      </c>
      <c r="FK117" s="266"/>
      <c r="FL117" s="230" t="str">
        <f>IF(FK117="","",VLOOKUP(FK117,Language!$D$5:$E$100,2,0))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IF(FV117="","",VLOOKUP(FV117,Language!$D$5:$E$100,2,0))</f>
        <v/>
      </c>
      <c r="FX117" s="266"/>
      <c r="FY117" s="230" t="str">
        <f>IF(FX117="","",VLOOKUP(FX117,Language!$D$5:$E$100,2,0))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IF(GI117="","",VLOOKUP(GI117,Language!$D$5:$E$100,2,0))</f>
        <v/>
      </c>
      <c r="GK117" s="266"/>
      <c r="GL117" s="230" t="str">
        <f>IF(GK117="","",VLOOKUP(GK117,Language!$D$5:$E$100,2,0))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IF(GV117="","",VLOOKUP(GV117,Language!$D$5:$E$100,2,0))</f>
        <v/>
      </c>
      <c r="GX117" s="266"/>
      <c r="GY117" s="230" t="str">
        <f>IF(GX117="","",VLOOKUP(GX117,Language!$D$5:$E$100,2,0))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IF(HI117="","",VLOOKUP(HI117,Language!$D$5:$E$100,2,0))</f>
        <v/>
      </c>
      <c r="HK117" s="266"/>
      <c r="HL117" s="230" t="str">
        <f>IF(HK117="","",VLOOKUP(HK117,Language!$D$5:$E$100,2,0))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IF(HV117="","",VLOOKUP(HV117,Language!$D$5:$E$100,2,0))</f>
        <v/>
      </c>
      <c r="HX117" s="266"/>
      <c r="HY117" s="230" t="str">
        <f>IF(HX117="","",VLOOKUP(HX117,Language!$D$5:$E$100,2,0))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IF(II117="","",VLOOKUP(II117,Language!$D$5:$E$100,2,0))</f>
        <v/>
      </c>
      <c r="IK117" s="266"/>
      <c r="IL117" s="230" t="str">
        <f>IF(IK117="","",VLOOKUP(IK117,Language!$D$5:$E$100,2,0))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IF(IV117="","",VLOOKUP(IV117,Language!$D$5:$E$100,2,0))</f>
        <v/>
      </c>
      <c r="IX117" s="266"/>
      <c r="IY117" s="230" t="str">
        <f>IF(IX117="","",VLOOKUP(IX117,Language!$D$5:$E$100,2,0))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IF(JI117="","",VLOOKUP(JI117,Language!$D$5:$E$100,2,0))</f>
        <v/>
      </c>
      <c r="JK117" s="266"/>
      <c r="JL117" s="230" t="str">
        <f>IF(JK117="","",VLOOKUP(JK117,Language!$D$5:$E$100,2,0))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IF(JV117="","",VLOOKUP(JV117,Language!$D$5:$E$100,2,0))</f>
        <v/>
      </c>
      <c r="JX117" s="266"/>
      <c r="JY117" s="230" t="str">
        <f>IF(JX117="","",VLOOKUP(JX117,Language!$D$5:$E$100,2,0))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IF(KI117="","",VLOOKUP(KI117,Language!$D$5:$E$100,2,0))</f>
        <v/>
      </c>
      <c r="KK117" s="266"/>
      <c r="KL117" s="230" t="str">
        <f>IF(KK117="","",VLOOKUP(KK117,Language!$D$5:$E$100,2,0))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IF(KV117="","",VLOOKUP(KV117,Language!$D$5:$E$100,2,0))</f>
        <v/>
      </c>
      <c r="KX117" s="266"/>
      <c r="KY117" s="230" t="str">
        <f>IF(KX117="","",VLOOKUP(KX117,Language!$D$5:$E$100,2,0))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IF(LI117="","",VLOOKUP(LI117,Language!$D$5:$E$100,2,0))</f>
        <v/>
      </c>
      <c r="LK117" s="266"/>
      <c r="LL117" s="230" t="str">
        <f>IF(LK117="","",VLOOKUP(LK117,Language!$D$5:$E$100,2,0))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IF(LV117="","",VLOOKUP(LV117,Language!$D$5:$E$100,2,0))</f>
        <v/>
      </c>
      <c r="LX117" s="266"/>
      <c r="LY117" s="230" t="str">
        <f>IF(LX117="","",VLOOKUP(LX117,Language!$D$5:$E$100,2,0))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IF(I118="","",VLOOKUP(I118,Language!$D$5:$E$100,2,0))</f>
        <v/>
      </c>
      <c r="K118" s="266"/>
      <c r="L118" s="230" t="str">
        <f>IF(K118="","",VLOOKUP(K118,Language!$D$5:$E$100,2,0))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IF(V118="","",VLOOKUP(V118,Language!$D$5:$E$100,2,0))</f>
        <v/>
      </c>
      <c r="X118" s="266"/>
      <c r="Y118" s="230" t="str">
        <f>IF(X118="","",VLOOKUP(X118,Language!$D$5:$E$100,2,0))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IF(AI118="","",VLOOKUP(AI118,Language!$D$5:$E$100,2,0))</f>
        <v/>
      </c>
      <c r="AK118" s="266"/>
      <c r="AL118" s="230" t="str">
        <f>IF(AK118="","",VLOOKUP(AK118,Language!$D$5:$E$100,2,0))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IF(AV118="","",VLOOKUP(AV118,Language!$D$5:$E$100,2,0))</f>
        <v/>
      </c>
      <c r="AX118" s="266"/>
      <c r="AY118" s="230" t="str">
        <f>IF(AX118="","",VLOOKUP(AX118,Language!$D$5:$E$100,2,0))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IF(BI118="","",VLOOKUP(BI118,Language!$D$5:$E$100,2,0))</f>
        <v/>
      </c>
      <c r="BK118" s="266"/>
      <c r="BL118" s="230" t="str">
        <f>IF(BK118="","",VLOOKUP(BK118,Language!$D$5:$E$100,2,0))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IF(BV118="","",VLOOKUP(BV118,Language!$D$5:$E$100,2,0))</f>
        <v/>
      </c>
      <c r="BX118" s="266"/>
      <c r="BY118" s="230" t="str">
        <f>IF(BX118="","",VLOOKUP(BX118,Language!$D$5:$E$100,2,0))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IF(CI118="","",VLOOKUP(CI118,Language!$D$5:$E$100,2,0))</f>
        <v/>
      </c>
      <c r="CK118" s="266"/>
      <c r="CL118" s="230" t="str">
        <f>IF(CK118="","",VLOOKUP(CK118,Language!$D$5:$E$100,2,0))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IF(CV118="","",VLOOKUP(CV118,Language!$D$5:$E$100,2,0))</f>
        <v/>
      </c>
      <c r="CX118" s="266"/>
      <c r="CY118" s="230" t="str">
        <f>IF(CX118="","",VLOOKUP(CX118,Language!$D$5:$E$100,2,0))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IF(DI118="","",VLOOKUP(DI118,Language!$D$5:$E$100,2,0))</f>
        <v/>
      </c>
      <c r="DK118" s="266"/>
      <c r="DL118" s="230" t="str">
        <f>IF(DK118="","",VLOOKUP(DK118,Language!$D$5:$E$100,2,0))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IF(DV118="","",VLOOKUP(DV118,Language!$D$5:$E$100,2,0))</f>
        <v/>
      </c>
      <c r="DX118" s="266"/>
      <c r="DY118" s="230" t="str">
        <f>IF(DX118="","",VLOOKUP(DX118,Language!$D$5:$E$100,2,0))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IF(EI118="","",VLOOKUP(EI118,Language!$D$5:$E$100,2,0))</f>
        <v/>
      </c>
      <c r="EK118" s="266"/>
      <c r="EL118" s="230" t="str">
        <f>IF(EK118="","",VLOOKUP(EK118,Language!$D$5:$E$100,2,0))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IF(EV118="","",VLOOKUP(EV118,Language!$D$5:$E$100,2,0))</f>
        <v/>
      </c>
      <c r="EX118" s="266"/>
      <c r="EY118" s="230" t="str">
        <f>IF(EX118="","",VLOOKUP(EX118,Language!$D$5:$E$100,2,0))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IF(FI118="","",VLOOKUP(FI118,Language!$D$5:$E$100,2,0))</f>
        <v/>
      </c>
      <c r="FK118" s="266"/>
      <c r="FL118" s="230" t="str">
        <f>IF(FK118="","",VLOOKUP(FK118,Language!$D$5:$E$100,2,0))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IF(FV118="","",VLOOKUP(FV118,Language!$D$5:$E$100,2,0))</f>
        <v/>
      </c>
      <c r="FX118" s="266"/>
      <c r="FY118" s="230" t="str">
        <f>IF(FX118="","",VLOOKUP(FX118,Language!$D$5:$E$100,2,0))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IF(GI118="","",VLOOKUP(GI118,Language!$D$5:$E$100,2,0))</f>
        <v/>
      </c>
      <c r="GK118" s="266"/>
      <c r="GL118" s="230" t="str">
        <f>IF(GK118="","",VLOOKUP(GK118,Language!$D$5:$E$100,2,0))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IF(GV118="","",VLOOKUP(GV118,Language!$D$5:$E$100,2,0))</f>
        <v/>
      </c>
      <c r="GX118" s="266"/>
      <c r="GY118" s="230" t="str">
        <f>IF(GX118="","",VLOOKUP(GX118,Language!$D$5:$E$100,2,0))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IF(HI118="","",VLOOKUP(HI118,Language!$D$5:$E$100,2,0))</f>
        <v/>
      </c>
      <c r="HK118" s="266"/>
      <c r="HL118" s="230" t="str">
        <f>IF(HK118="","",VLOOKUP(HK118,Language!$D$5:$E$100,2,0))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IF(HV118="","",VLOOKUP(HV118,Language!$D$5:$E$100,2,0))</f>
        <v/>
      </c>
      <c r="HX118" s="266"/>
      <c r="HY118" s="230" t="str">
        <f>IF(HX118="","",VLOOKUP(HX118,Language!$D$5:$E$100,2,0))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IF(II118="","",VLOOKUP(II118,Language!$D$5:$E$100,2,0))</f>
        <v/>
      </c>
      <c r="IK118" s="266"/>
      <c r="IL118" s="230" t="str">
        <f>IF(IK118="","",VLOOKUP(IK118,Language!$D$5:$E$100,2,0))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IF(IV118="","",VLOOKUP(IV118,Language!$D$5:$E$100,2,0))</f>
        <v/>
      </c>
      <c r="IX118" s="266"/>
      <c r="IY118" s="230" t="str">
        <f>IF(IX118="","",VLOOKUP(IX118,Language!$D$5:$E$100,2,0))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IF(JI118="","",VLOOKUP(JI118,Language!$D$5:$E$100,2,0))</f>
        <v/>
      </c>
      <c r="JK118" s="266"/>
      <c r="JL118" s="230" t="str">
        <f>IF(JK118="","",VLOOKUP(JK118,Language!$D$5:$E$100,2,0))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IF(JV118="","",VLOOKUP(JV118,Language!$D$5:$E$100,2,0))</f>
        <v/>
      </c>
      <c r="JX118" s="266"/>
      <c r="JY118" s="230" t="str">
        <f>IF(JX118="","",VLOOKUP(JX118,Language!$D$5:$E$100,2,0))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IF(KI118="","",VLOOKUP(KI118,Language!$D$5:$E$100,2,0))</f>
        <v/>
      </c>
      <c r="KK118" s="266"/>
      <c r="KL118" s="230" t="str">
        <f>IF(KK118="","",VLOOKUP(KK118,Language!$D$5:$E$100,2,0))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IF(KV118="","",VLOOKUP(KV118,Language!$D$5:$E$100,2,0))</f>
        <v/>
      </c>
      <c r="KX118" s="266"/>
      <c r="KY118" s="230" t="str">
        <f>IF(KX118="","",VLOOKUP(KX118,Language!$D$5:$E$100,2,0))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IF(LI118="","",VLOOKUP(LI118,Language!$D$5:$E$100,2,0))</f>
        <v/>
      </c>
      <c r="LK118" s="266"/>
      <c r="LL118" s="230" t="str">
        <f>IF(LK118="","",VLOOKUP(LK118,Language!$D$5:$E$100,2,0))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IF(LV118="","",VLOOKUP(LV118,Language!$D$5:$E$100,2,0))</f>
        <v/>
      </c>
      <c r="LX118" s="266"/>
      <c r="LY118" s="230" t="str">
        <f>IF(LX118="","",VLOOKUP(LX118,Language!$D$5:$E$100,2,0))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IF(I119="","",VLOOKUP(I119,Language!$D$5:$E$100,2,0))</f>
        <v/>
      </c>
      <c r="K119" s="266"/>
      <c r="L119" s="230" t="str">
        <f>IF(K119="","",VLOOKUP(K119,Language!$D$5:$E$100,2,0))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IF(V119="","",VLOOKUP(V119,Language!$D$5:$E$100,2,0))</f>
        <v/>
      </c>
      <c r="X119" s="266"/>
      <c r="Y119" s="230" t="str">
        <f>IF(X119="","",VLOOKUP(X119,Language!$D$5:$E$100,2,0))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IF(AI119="","",VLOOKUP(AI119,Language!$D$5:$E$100,2,0))</f>
        <v/>
      </c>
      <c r="AK119" s="266"/>
      <c r="AL119" s="230" t="str">
        <f>IF(AK119="","",VLOOKUP(AK119,Language!$D$5:$E$100,2,0))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IF(AV119="","",VLOOKUP(AV119,Language!$D$5:$E$100,2,0))</f>
        <v/>
      </c>
      <c r="AX119" s="266"/>
      <c r="AY119" s="230" t="str">
        <f>IF(AX119="","",VLOOKUP(AX119,Language!$D$5:$E$100,2,0))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IF(BI119="","",VLOOKUP(BI119,Language!$D$5:$E$100,2,0))</f>
        <v/>
      </c>
      <c r="BK119" s="266"/>
      <c r="BL119" s="230" t="str">
        <f>IF(BK119="","",VLOOKUP(BK119,Language!$D$5:$E$100,2,0))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IF(BV119="","",VLOOKUP(BV119,Language!$D$5:$E$100,2,0))</f>
        <v/>
      </c>
      <c r="BX119" s="266"/>
      <c r="BY119" s="230" t="str">
        <f>IF(BX119="","",VLOOKUP(BX119,Language!$D$5:$E$100,2,0))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IF(CI119="","",VLOOKUP(CI119,Language!$D$5:$E$100,2,0))</f>
        <v/>
      </c>
      <c r="CK119" s="266"/>
      <c r="CL119" s="230" t="str">
        <f>IF(CK119="","",VLOOKUP(CK119,Language!$D$5:$E$100,2,0))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IF(CV119="","",VLOOKUP(CV119,Language!$D$5:$E$100,2,0))</f>
        <v/>
      </c>
      <c r="CX119" s="266"/>
      <c r="CY119" s="230" t="str">
        <f>IF(CX119="","",VLOOKUP(CX119,Language!$D$5:$E$100,2,0))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IF(DI119="","",VLOOKUP(DI119,Language!$D$5:$E$100,2,0))</f>
        <v/>
      </c>
      <c r="DK119" s="266"/>
      <c r="DL119" s="230" t="str">
        <f>IF(DK119="","",VLOOKUP(DK119,Language!$D$5:$E$100,2,0))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IF(DV119="","",VLOOKUP(DV119,Language!$D$5:$E$100,2,0))</f>
        <v/>
      </c>
      <c r="DX119" s="266"/>
      <c r="DY119" s="230" t="str">
        <f>IF(DX119="","",VLOOKUP(DX119,Language!$D$5:$E$100,2,0))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IF(EI119="","",VLOOKUP(EI119,Language!$D$5:$E$100,2,0))</f>
        <v/>
      </c>
      <c r="EK119" s="266"/>
      <c r="EL119" s="230" t="str">
        <f>IF(EK119="","",VLOOKUP(EK119,Language!$D$5:$E$100,2,0))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IF(EV119="","",VLOOKUP(EV119,Language!$D$5:$E$100,2,0))</f>
        <v/>
      </c>
      <c r="EX119" s="266"/>
      <c r="EY119" s="230" t="str">
        <f>IF(EX119="","",VLOOKUP(EX119,Language!$D$5:$E$100,2,0))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IF(FI119="","",VLOOKUP(FI119,Language!$D$5:$E$100,2,0))</f>
        <v/>
      </c>
      <c r="FK119" s="266"/>
      <c r="FL119" s="230" t="str">
        <f>IF(FK119="","",VLOOKUP(FK119,Language!$D$5:$E$100,2,0))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IF(FV119="","",VLOOKUP(FV119,Language!$D$5:$E$100,2,0))</f>
        <v/>
      </c>
      <c r="FX119" s="266"/>
      <c r="FY119" s="230" t="str">
        <f>IF(FX119="","",VLOOKUP(FX119,Language!$D$5:$E$100,2,0))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IF(GI119="","",VLOOKUP(GI119,Language!$D$5:$E$100,2,0))</f>
        <v/>
      </c>
      <c r="GK119" s="266"/>
      <c r="GL119" s="230" t="str">
        <f>IF(GK119="","",VLOOKUP(GK119,Language!$D$5:$E$100,2,0))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IF(GV119="","",VLOOKUP(GV119,Language!$D$5:$E$100,2,0))</f>
        <v/>
      </c>
      <c r="GX119" s="266"/>
      <c r="GY119" s="230" t="str">
        <f>IF(GX119="","",VLOOKUP(GX119,Language!$D$5:$E$100,2,0))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IF(HI119="","",VLOOKUP(HI119,Language!$D$5:$E$100,2,0))</f>
        <v/>
      </c>
      <c r="HK119" s="266"/>
      <c r="HL119" s="230" t="str">
        <f>IF(HK119="","",VLOOKUP(HK119,Language!$D$5:$E$100,2,0))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IF(HV119="","",VLOOKUP(HV119,Language!$D$5:$E$100,2,0))</f>
        <v/>
      </c>
      <c r="HX119" s="266"/>
      <c r="HY119" s="230" t="str">
        <f>IF(HX119="","",VLOOKUP(HX119,Language!$D$5:$E$100,2,0))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IF(II119="","",VLOOKUP(II119,Language!$D$5:$E$100,2,0))</f>
        <v/>
      </c>
      <c r="IK119" s="266"/>
      <c r="IL119" s="230" t="str">
        <f>IF(IK119="","",VLOOKUP(IK119,Language!$D$5:$E$100,2,0))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IF(IV119="","",VLOOKUP(IV119,Language!$D$5:$E$100,2,0))</f>
        <v/>
      </c>
      <c r="IX119" s="266"/>
      <c r="IY119" s="230" t="str">
        <f>IF(IX119="","",VLOOKUP(IX119,Language!$D$5:$E$100,2,0))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IF(JI119="","",VLOOKUP(JI119,Language!$D$5:$E$100,2,0))</f>
        <v/>
      </c>
      <c r="JK119" s="266"/>
      <c r="JL119" s="230" t="str">
        <f>IF(JK119="","",VLOOKUP(JK119,Language!$D$5:$E$100,2,0))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IF(JV119="","",VLOOKUP(JV119,Language!$D$5:$E$100,2,0))</f>
        <v/>
      </c>
      <c r="JX119" s="266"/>
      <c r="JY119" s="230" t="str">
        <f>IF(JX119="","",VLOOKUP(JX119,Language!$D$5:$E$100,2,0))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IF(KI119="","",VLOOKUP(KI119,Language!$D$5:$E$100,2,0))</f>
        <v/>
      </c>
      <c r="KK119" s="266"/>
      <c r="KL119" s="230" t="str">
        <f>IF(KK119="","",VLOOKUP(KK119,Language!$D$5:$E$100,2,0))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IF(KV119="","",VLOOKUP(KV119,Language!$D$5:$E$100,2,0))</f>
        <v/>
      </c>
      <c r="KX119" s="266"/>
      <c r="KY119" s="230" t="str">
        <f>IF(KX119="","",VLOOKUP(KX119,Language!$D$5:$E$100,2,0))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IF(LI119="","",VLOOKUP(LI119,Language!$D$5:$E$100,2,0))</f>
        <v/>
      </c>
      <c r="LK119" s="266"/>
      <c r="LL119" s="230" t="str">
        <f>IF(LK119="","",VLOOKUP(LK119,Language!$D$5:$E$100,2,0))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IF(LV119="","",VLOOKUP(LV119,Language!$D$5:$E$100,2,0))</f>
        <v/>
      </c>
      <c r="LX119" s="266"/>
      <c r="LY119" s="230" t="str">
        <f>IF(LX119="","",VLOOKUP(LX119,Language!$D$5:$E$100,2,0))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54"/>
      <c r="Q120" s="241"/>
      <c r="R120" s="241"/>
      <c r="S120" s="241"/>
      <c r="T120" s="255"/>
      <c r="V120" s="238" t="str">
        <f>$B120</f>
        <v>Semi-Final</v>
      </c>
      <c r="W120" s="240"/>
      <c r="X120" s="240"/>
      <c r="Y120" s="241"/>
      <c r="Z120" s="270"/>
      <c r="AA120" s="271"/>
      <c r="AB120" s="242"/>
      <c r="AC120" s="254"/>
      <c r="AD120" s="241"/>
      <c r="AE120" s="241"/>
      <c r="AF120" s="241"/>
      <c r="AG120" s="255"/>
      <c r="AI120" s="238" t="str">
        <f>$B120</f>
        <v>Semi-Final</v>
      </c>
      <c r="AJ120" s="240"/>
      <c r="AK120" s="240"/>
      <c r="AL120" s="241"/>
      <c r="AM120" s="270"/>
      <c r="AN120" s="271"/>
      <c r="AO120" s="242"/>
      <c r="AP120" s="254"/>
      <c r="AQ120" s="241"/>
      <c r="AR120" s="241"/>
      <c r="AS120" s="241"/>
      <c r="AT120" s="255"/>
      <c r="AV120" s="238" t="str">
        <f>$B120</f>
        <v>Semi-Final</v>
      </c>
      <c r="AW120" s="240"/>
      <c r="AX120" s="240"/>
      <c r="AY120" s="241"/>
      <c r="AZ120" s="270"/>
      <c r="BA120" s="271"/>
      <c r="BB120" s="242"/>
      <c r="BC120" s="254"/>
      <c r="BD120" s="241"/>
      <c r="BE120" s="241"/>
      <c r="BF120" s="241"/>
      <c r="BG120" s="255"/>
      <c r="BI120" s="238" t="str">
        <f>$B120</f>
        <v>Semi-Final</v>
      </c>
      <c r="BJ120" s="240"/>
      <c r="BK120" s="240"/>
      <c r="BL120" s="241"/>
      <c r="BM120" s="270"/>
      <c r="BN120" s="271"/>
      <c r="BO120" s="242"/>
      <c r="BP120" s="254"/>
      <c r="BQ120" s="241"/>
      <c r="BR120" s="241"/>
      <c r="BS120" s="241"/>
      <c r="BT120" s="255"/>
      <c r="BV120" s="238" t="str">
        <f>$B120</f>
        <v>Semi-Final</v>
      </c>
      <c r="BW120" s="240"/>
      <c r="BX120" s="240"/>
      <c r="BY120" s="241"/>
      <c r="BZ120" s="270"/>
      <c r="CA120" s="271"/>
      <c r="CB120" s="242"/>
      <c r="CC120" s="254"/>
      <c r="CD120" s="241"/>
      <c r="CE120" s="241"/>
      <c r="CF120" s="241"/>
      <c r="CG120" s="255"/>
      <c r="CI120" s="238" t="str">
        <f>$B120</f>
        <v>Semi-Final</v>
      </c>
      <c r="CJ120" s="240"/>
      <c r="CK120" s="240"/>
      <c r="CL120" s="241"/>
      <c r="CM120" s="270"/>
      <c r="CN120" s="271"/>
      <c r="CO120" s="242"/>
      <c r="CP120" s="254"/>
      <c r="CQ120" s="241"/>
      <c r="CR120" s="241"/>
      <c r="CS120" s="241"/>
      <c r="CT120" s="255"/>
      <c r="CV120" s="238" t="str">
        <f>$B120</f>
        <v>Semi-Final</v>
      </c>
      <c r="CW120" s="240"/>
      <c r="CX120" s="240"/>
      <c r="CY120" s="241"/>
      <c r="CZ120" s="270"/>
      <c r="DA120" s="271"/>
      <c r="DB120" s="242"/>
      <c r="DC120" s="254"/>
      <c r="DD120" s="241"/>
      <c r="DE120" s="241"/>
      <c r="DF120" s="241"/>
      <c r="DG120" s="255"/>
      <c r="DI120" s="238" t="str">
        <f>$B120</f>
        <v>Semi-Final</v>
      </c>
      <c r="DJ120" s="240"/>
      <c r="DK120" s="240"/>
      <c r="DL120" s="241"/>
      <c r="DM120" s="270"/>
      <c r="DN120" s="271"/>
      <c r="DO120" s="242"/>
      <c r="DP120" s="254"/>
      <c r="DQ120" s="241"/>
      <c r="DR120" s="241"/>
      <c r="DS120" s="241"/>
      <c r="DT120" s="255"/>
      <c r="DV120" s="238" t="str">
        <f>$B120</f>
        <v>Semi-Final</v>
      </c>
      <c r="DW120" s="240"/>
      <c r="DX120" s="240"/>
      <c r="DY120" s="241"/>
      <c r="DZ120" s="270"/>
      <c r="EA120" s="271"/>
      <c r="EB120" s="242"/>
      <c r="EC120" s="254"/>
      <c r="ED120" s="241"/>
      <c r="EE120" s="241"/>
      <c r="EF120" s="241"/>
      <c r="EG120" s="255"/>
      <c r="EI120" s="238" t="str">
        <f>$B120</f>
        <v>Semi-Final</v>
      </c>
      <c r="EJ120" s="240"/>
      <c r="EK120" s="240"/>
      <c r="EL120" s="241"/>
      <c r="EM120" s="270"/>
      <c r="EN120" s="271"/>
      <c r="EO120" s="242"/>
      <c r="EP120" s="254"/>
      <c r="EQ120" s="241"/>
      <c r="ER120" s="241"/>
      <c r="ES120" s="241"/>
      <c r="ET120" s="255"/>
      <c r="EV120" s="238" t="str">
        <f>$B120</f>
        <v>Semi-Final</v>
      </c>
      <c r="EW120" s="240"/>
      <c r="EX120" s="240"/>
      <c r="EY120" s="241"/>
      <c r="EZ120" s="270"/>
      <c r="FA120" s="271"/>
      <c r="FB120" s="242"/>
      <c r="FC120" s="254"/>
      <c r="FD120" s="241"/>
      <c r="FE120" s="241"/>
      <c r="FF120" s="241"/>
      <c r="FG120" s="255"/>
      <c r="FI120" s="238" t="str">
        <f>$B120</f>
        <v>Semi-Final</v>
      </c>
      <c r="FJ120" s="240"/>
      <c r="FK120" s="240"/>
      <c r="FL120" s="241"/>
      <c r="FM120" s="270"/>
      <c r="FN120" s="271"/>
      <c r="FO120" s="242"/>
      <c r="FP120" s="254"/>
      <c r="FQ120" s="241"/>
      <c r="FR120" s="241"/>
      <c r="FS120" s="241"/>
      <c r="FT120" s="255"/>
      <c r="FV120" s="238" t="str">
        <f>$B120</f>
        <v>Semi-Final</v>
      </c>
      <c r="FW120" s="240"/>
      <c r="FX120" s="240"/>
      <c r="FY120" s="241"/>
      <c r="FZ120" s="270"/>
      <c r="GA120" s="271"/>
      <c r="GB120" s="242"/>
      <c r="GC120" s="254"/>
      <c r="GD120" s="241"/>
      <c r="GE120" s="241"/>
      <c r="GF120" s="241"/>
      <c r="GG120" s="255"/>
      <c r="GI120" s="238" t="str">
        <f>$B120</f>
        <v>Semi-Final</v>
      </c>
      <c r="GJ120" s="240"/>
      <c r="GK120" s="240"/>
      <c r="GL120" s="241"/>
      <c r="GM120" s="270"/>
      <c r="GN120" s="271"/>
      <c r="GO120" s="242"/>
      <c r="GP120" s="254"/>
      <c r="GQ120" s="241"/>
      <c r="GR120" s="241"/>
      <c r="GS120" s="241"/>
      <c r="GT120" s="255"/>
      <c r="GV120" s="238" t="str">
        <f>$B120</f>
        <v>Semi-Final</v>
      </c>
      <c r="GW120" s="240"/>
      <c r="GX120" s="240"/>
      <c r="GY120" s="241"/>
      <c r="GZ120" s="270"/>
      <c r="HA120" s="271"/>
      <c r="HB120" s="242"/>
      <c r="HC120" s="254"/>
      <c r="HD120" s="241"/>
      <c r="HE120" s="241"/>
      <c r="HF120" s="241"/>
      <c r="HG120" s="255"/>
      <c r="HI120" s="238" t="str">
        <f>$B120</f>
        <v>Semi-Final</v>
      </c>
      <c r="HJ120" s="240"/>
      <c r="HK120" s="240"/>
      <c r="HL120" s="241"/>
      <c r="HM120" s="270"/>
      <c r="HN120" s="271"/>
      <c r="HO120" s="242"/>
      <c r="HP120" s="254"/>
      <c r="HQ120" s="241"/>
      <c r="HR120" s="241"/>
      <c r="HS120" s="241"/>
      <c r="HT120" s="255"/>
      <c r="HV120" s="238" t="str">
        <f>$B120</f>
        <v>Semi-Final</v>
      </c>
      <c r="HW120" s="240"/>
      <c r="HX120" s="240"/>
      <c r="HY120" s="241"/>
      <c r="HZ120" s="270"/>
      <c r="IA120" s="271"/>
      <c r="IB120" s="242"/>
      <c r="IC120" s="254"/>
      <c r="ID120" s="241"/>
      <c r="IE120" s="241"/>
      <c r="IF120" s="241"/>
      <c r="IG120" s="255"/>
      <c r="II120" s="238" t="str">
        <f>$B120</f>
        <v>Semi-Final</v>
      </c>
      <c r="IJ120" s="240"/>
      <c r="IK120" s="240"/>
      <c r="IL120" s="241"/>
      <c r="IM120" s="270"/>
      <c r="IN120" s="271"/>
      <c r="IO120" s="242"/>
      <c r="IP120" s="254"/>
      <c r="IQ120" s="241"/>
      <c r="IR120" s="241"/>
      <c r="IS120" s="241"/>
      <c r="IT120" s="255"/>
      <c r="IV120" s="238" t="str">
        <f>$B120</f>
        <v>Semi-Final</v>
      </c>
      <c r="IW120" s="240"/>
      <c r="IX120" s="240"/>
      <c r="IY120" s="241"/>
      <c r="IZ120" s="270"/>
      <c r="JA120" s="271"/>
      <c r="JB120" s="242"/>
      <c r="JC120" s="254"/>
      <c r="JD120" s="241"/>
      <c r="JE120" s="241"/>
      <c r="JF120" s="241"/>
      <c r="JG120" s="255"/>
      <c r="JI120" s="238" t="str">
        <f>$B120</f>
        <v>Semi-Final</v>
      </c>
      <c r="JJ120" s="240"/>
      <c r="JK120" s="240"/>
      <c r="JL120" s="241"/>
      <c r="JM120" s="270"/>
      <c r="JN120" s="271"/>
      <c r="JO120" s="242"/>
      <c r="JP120" s="254"/>
      <c r="JQ120" s="241"/>
      <c r="JR120" s="241"/>
      <c r="JS120" s="241"/>
      <c r="JT120" s="255"/>
      <c r="JV120" s="238" t="str">
        <f>$B120</f>
        <v>Semi-Final</v>
      </c>
      <c r="JW120" s="240"/>
      <c r="JX120" s="240"/>
      <c r="JY120" s="241"/>
      <c r="JZ120" s="270"/>
      <c r="KA120" s="271"/>
      <c r="KB120" s="242"/>
      <c r="KC120" s="254"/>
      <c r="KD120" s="241"/>
      <c r="KE120" s="241"/>
      <c r="KF120" s="241"/>
      <c r="KG120" s="255"/>
      <c r="KI120" s="238" t="str">
        <f>$B120</f>
        <v>Semi-Final</v>
      </c>
      <c r="KJ120" s="240"/>
      <c r="KK120" s="240"/>
      <c r="KL120" s="241"/>
      <c r="KM120" s="270"/>
      <c r="KN120" s="271"/>
      <c r="KO120" s="242"/>
      <c r="KP120" s="254"/>
      <c r="KQ120" s="241"/>
      <c r="KR120" s="241"/>
      <c r="KS120" s="241"/>
      <c r="KT120" s="255"/>
      <c r="KV120" s="238" t="str">
        <f>$B120</f>
        <v>Semi-Final</v>
      </c>
      <c r="KW120" s="240"/>
      <c r="KX120" s="240"/>
      <c r="KY120" s="241"/>
      <c r="KZ120" s="270"/>
      <c r="LA120" s="271"/>
      <c r="LB120" s="242"/>
      <c r="LC120" s="254"/>
      <c r="LD120" s="241"/>
      <c r="LE120" s="241"/>
      <c r="LF120" s="241"/>
      <c r="LG120" s="255"/>
      <c r="LI120" s="238" t="str">
        <f>$B120</f>
        <v>Semi-Final</v>
      </c>
      <c r="LJ120" s="240"/>
      <c r="LK120" s="240"/>
      <c r="LL120" s="241"/>
      <c r="LM120" s="270"/>
      <c r="LN120" s="271"/>
      <c r="LO120" s="242"/>
      <c r="LP120" s="254"/>
      <c r="LQ120" s="241"/>
      <c r="LR120" s="241"/>
      <c r="LS120" s="241"/>
      <c r="LT120" s="255"/>
      <c r="LV120" s="238" t="str">
        <f>$B120</f>
        <v>Semi-Final</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IF(I121="","",VLOOKUP(I121,Language!$D$5:$E$100,2,0))</f>
        <v/>
      </c>
      <c r="K121" s="266"/>
      <c r="L121" s="230" t="str">
        <f>IF(K121="","",VLOOKUP(K121,Language!$D$5:$E$100,2,0))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IF(V121="","",VLOOKUP(V121,Language!$D$5:$E$100,2,0))</f>
        <v/>
      </c>
      <c r="X121" s="266"/>
      <c r="Y121" s="230" t="str">
        <f>IF(X121="","",VLOOKUP(X121,Language!$D$5:$E$100,2,0))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IF(AI121="","",VLOOKUP(AI121,Language!$D$5:$E$100,2,0))</f>
        <v/>
      </c>
      <c r="AK121" s="266"/>
      <c r="AL121" s="230" t="str">
        <f>IF(AK121="","",VLOOKUP(AK121,Language!$D$5:$E$100,2,0))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IF(AV121="","",VLOOKUP(AV121,Language!$D$5:$E$100,2,0))</f>
        <v/>
      </c>
      <c r="AX121" s="266"/>
      <c r="AY121" s="230" t="str">
        <f>IF(AX121="","",VLOOKUP(AX121,Language!$D$5:$E$100,2,0))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IF(BI121="","",VLOOKUP(BI121,Language!$D$5:$E$100,2,0))</f>
        <v/>
      </c>
      <c r="BK121" s="266"/>
      <c r="BL121" s="230" t="str">
        <f>IF(BK121="","",VLOOKUP(BK121,Language!$D$5:$E$100,2,0))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IF(BV121="","",VLOOKUP(BV121,Language!$D$5:$E$100,2,0))</f>
        <v/>
      </c>
      <c r="BX121" s="266"/>
      <c r="BY121" s="230" t="str">
        <f>IF(BX121="","",VLOOKUP(BX121,Language!$D$5:$E$100,2,0))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IF(CI121="","",VLOOKUP(CI121,Language!$D$5:$E$100,2,0))</f>
        <v/>
      </c>
      <c r="CK121" s="266"/>
      <c r="CL121" s="230" t="str">
        <f>IF(CK121="","",VLOOKUP(CK121,Language!$D$5:$E$100,2,0))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IF(CV121="","",VLOOKUP(CV121,Language!$D$5:$E$100,2,0))</f>
        <v/>
      </c>
      <c r="CX121" s="266"/>
      <c r="CY121" s="230" t="str">
        <f>IF(CX121="","",VLOOKUP(CX121,Language!$D$5:$E$100,2,0))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IF(DI121="","",VLOOKUP(DI121,Language!$D$5:$E$100,2,0))</f>
        <v/>
      </c>
      <c r="DK121" s="266"/>
      <c r="DL121" s="230" t="str">
        <f>IF(DK121="","",VLOOKUP(DK121,Language!$D$5:$E$100,2,0))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IF(DV121="","",VLOOKUP(DV121,Language!$D$5:$E$100,2,0))</f>
        <v/>
      </c>
      <c r="DX121" s="266"/>
      <c r="DY121" s="230" t="str">
        <f>IF(DX121="","",VLOOKUP(DX121,Language!$D$5:$E$100,2,0))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IF(EI121="","",VLOOKUP(EI121,Language!$D$5:$E$100,2,0))</f>
        <v/>
      </c>
      <c r="EK121" s="266"/>
      <c r="EL121" s="230" t="str">
        <f>IF(EK121="","",VLOOKUP(EK121,Language!$D$5:$E$100,2,0))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IF(EV121="","",VLOOKUP(EV121,Language!$D$5:$E$100,2,0))</f>
        <v/>
      </c>
      <c r="EX121" s="266"/>
      <c r="EY121" s="230" t="str">
        <f>IF(EX121="","",VLOOKUP(EX121,Language!$D$5:$E$100,2,0))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IF(FI121="","",VLOOKUP(FI121,Language!$D$5:$E$100,2,0))</f>
        <v/>
      </c>
      <c r="FK121" s="266"/>
      <c r="FL121" s="230" t="str">
        <f>IF(FK121="","",VLOOKUP(FK121,Language!$D$5:$E$100,2,0))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IF(FV121="","",VLOOKUP(FV121,Language!$D$5:$E$100,2,0))</f>
        <v/>
      </c>
      <c r="FX121" s="266"/>
      <c r="FY121" s="230" t="str">
        <f>IF(FX121="","",VLOOKUP(FX121,Language!$D$5:$E$100,2,0))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IF(GI121="","",VLOOKUP(GI121,Language!$D$5:$E$100,2,0))</f>
        <v/>
      </c>
      <c r="GK121" s="266"/>
      <c r="GL121" s="230" t="str">
        <f>IF(GK121="","",VLOOKUP(GK121,Language!$D$5:$E$100,2,0))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IF(GV121="","",VLOOKUP(GV121,Language!$D$5:$E$100,2,0))</f>
        <v/>
      </c>
      <c r="GX121" s="266"/>
      <c r="GY121" s="230" t="str">
        <f>IF(GX121="","",VLOOKUP(GX121,Language!$D$5:$E$100,2,0))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IF(HI121="","",VLOOKUP(HI121,Language!$D$5:$E$100,2,0))</f>
        <v/>
      </c>
      <c r="HK121" s="266"/>
      <c r="HL121" s="230" t="str">
        <f>IF(HK121="","",VLOOKUP(HK121,Language!$D$5:$E$100,2,0))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IF(HV121="","",VLOOKUP(HV121,Language!$D$5:$E$100,2,0))</f>
        <v/>
      </c>
      <c r="HX121" s="266"/>
      <c r="HY121" s="230" t="str">
        <f>IF(HX121="","",VLOOKUP(HX121,Language!$D$5:$E$100,2,0))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IF(II121="","",VLOOKUP(II121,Language!$D$5:$E$100,2,0))</f>
        <v/>
      </c>
      <c r="IK121" s="266"/>
      <c r="IL121" s="230" t="str">
        <f>IF(IK121="","",VLOOKUP(IK121,Language!$D$5:$E$100,2,0))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IF(IV121="","",VLOOKUP(IV121,Language!$D$5:$E$100,2,0))</f>
        <v/>
      </c>
      <c r="IX121" s="266"/>
      <c r="IY121" s="230" t="str">
        <f>IF(IX121="","",VLOOKUP(IX121,Language!$D$5:$E$100,2,0))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IF(JI121="","",VLOOKUP(JI121,Language!$D$5:$E$100,2,0))</f>
        <v/>
      </c>
      <c r="JK121" s="266"/>
      <c r="JL121" s="230" t="str">
        <f>IF(JK121="","",VLOOKUP(JK121,Language!$D$5:$E$100,2,0))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IF(JV121="","",VLOOKUP(JV121,Language!$D$5:$E$100,2,0))</f>
        <v/>
      </c>
      <c r="JX121" s="266"/>
      <c r="JY121" s="230" t="str">
        <f>IF(JX121="","",VLOOKUP(JX121,Language!$D$5:$E$100,2,0))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IF(KI121="","",VLOOKUP(KI121,Language!$D$5:$E$100,2,0))</f>
        <v/>
      </c>
      <c r="KK121" s="266"/>
      <c r="KL121" s="230" t="str">
        <f>IF(KK121="","",VLOOKUP(KK121,Language!$D$5:$E$100,2,0))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IF(KV121="","",VLOOKUP(KV121,Language!$D$5:$E$100,2,0))</f>
        <v/>
      </c>
      <c r="KX121" s="266"/>
      <c r="KY121" s="230" t="str">
        <f>IF(KX121="","",VLOOKUP(KX121,Language!$D$5:$E$100,2,0))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IF(LI121="","",VLOOKUP(LI121,Language!$D$5:$E$100,2,0))</f>
        <v/>
      </c>
      <c r="LK121" s="266"/>
      <c r="LL121" s="230" t="str">
        <f>IF(LK121="","",VLOOKUP(LK121,Language!$D$5:$E$100,2,0))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IF(LV121="","",VLOOKUP(LV121,Language!$D$5:$E$100,2,0))</f>
        <v/>
      </c>
      <c r="LX121" s="266"/>
      <c r="LY121" s="230" t="str">
        <f>IF(LX121="","",VLOOKUP(LX121,Language!$D$5:$E$100,2,0))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IF(I122="","",VLOOKUP(I122,Language!$D$5:$E$100,2,0))</f>
        <v/>
      </c>
      <c r="K122" s="266"/>
      <c r="L122" s="230" t="str">
        <f>IF(K122="","",VLOOKUP(K122,Language!$D$5:$E$100,2,0))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IF(V122="","",VLOOKUP(V122,Language!$D$5:$E$100,2,0))</f>
        <v/>
      </c>
      <c r="X122" s="266"/>
      <c r="Y122" s="230" t="str">
        <f>IF(X122="","",VLOOKUP(X122,Language!$D$5:$E$100,2,0))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IF(AI122="","",VLOOKUP(AI122,Language!$D$5:$E$100,2,0))</f>
        <v/>
      </c>
      <c r="AK122" s="266"/>
      <c r="AL122" s="230" t="str">
        <f>IF(AK122="","",VLOOKUP(AK122,Language!$D$5:$E$100,2,0))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IF(AV122="","",VLOOKUP(AV122,Language!$D$5:$E$100,2,0))</f>
        <v/>
      </c>
      <c r="AX122" s="266"/>
      <c r="AY122" s="230" t="str">
        <f>IF(AX122="","",VLOOKUP(AX122,Language!$D$5:$E$100,2,0))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IF(BI122="","",VLOOKUP(BI122,Language!$D$5:$E$100,2,0))</f>
        <v/>
      </c>
      <c r="BK122" s="266"/>
      <c r="BL122" s="230" t="str">
        <f>IF(BK122="","",VLOOKUP(BK122,Language!$D$5:$E$100,2,0))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IF(BV122="","",VLOOKUP(BV122,Language!$D$5:$E$100,2,0))</f>
        <v/>
      </c>
      <c r="BX122" s="266"/>
      <c r="BY122" s="230" t="str">
        <f>IF(BX122="","",VLOOKUP(BX122,Language!$D$5:$E$100,2,0))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IF(CI122="","",VLOOKUP(CI122,Language!$D$5:$E$100,2,0))</f>
        <v/>
      </c>
      <c r="CK122" s="266"/>
      <c r="CL122" s="230" t="str">
        <f>IF(CK122="","",VLOOKUP(CK122,Language!$D$5:$E$100,2,0))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IF(CV122="","",VLOOKUP(CV122,Language!$D$5:$E$100,2,0))</f>
        <v/>
      </c>
      <c r="CX122" s="266"/>
      <c r="CY122" s="230" t="str">
        <f>IF(CX122="","",VLOOKUP(CX122,Language!$D$5:$E$100,2,0))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IF(DI122="","",VLOOKUP(DI122,Language!$D$5:$E$100,2,0))</f>
        <v/>
      </c>
      <c r="DK122" s="266"/>
      <c r="DL122" s="230" t="str">
        <f>IF(DK122="","",VLOOKUP(DK122,Language!$D$5:$E$100,2,0))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IF(DV122="","",VLOOKUP(DV122,Language!$D$5:$E$100,2,0))</f>
        <v/>
      </c>
      <c r="DX122" s="266"/>
      <c r="DY122" s="230" t="str">
        <f>IF(DX122="","",VLOOKUP(DX122,Language!$D$5:$E$100,2,0))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IF(EI122="","",VLOOKUP(EI122,Language!$D$5:$E$100,2,0))</f>
        <v/>
      </c>
      <c r="EK122" s="266"/>
      <c r="EL122" s="230" t="str">
        <f>IF(EK122="","",VLOOKUP(EK122,Language!$D$5:$E$100,2,0))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IF(EV122="","",VLOOKUP(EV122,Language!$D$5:$E$100,2,0))</f>
        <v/>
      </c>
      <c r="EX122" s="266"/>
      <c r="EY122" s="230" t="str">
        <f>IF(EX122="","",VLOOKUP(EX122,Language!$D$5:$E$100,2,0))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IF(FI122="","",VLOOKUP(FI122,Language!$D$5:$E$100,2,0))</f>
        <v/>
      </c>
      <c r="FK122" s="266"/>
      <c r="FL122" s="230" t="str">
        <f>IF(FK122="","",VLOOKUP(FK122,Language!$D$5:$E$100,2,0))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IF(FV122="","",VLOOKUP(FV122,Language!$D$5:$E$100,2,0))</f>
        <v/>
      </c>
      <c r="FX122" s="266"/>
      <c r="FY122" s="230" t="str">
        <f>IF(FX122="","",VLOOKUP(FX122,Language!$D$5:$E$100,2,0))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IF(GI122="","",VLOOKUP(GI122,Language!$D$5:$E$100,2,0))</f>
        <v/>
      </c>
      <c r="GK122" s="266"/>
      <c r="GL122" s="230" t="str">
        <f>IF(GK122="","",VLOOKUP(GK122,Language!$D$5:$E$100,2,0))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IF(GV122="","",VLOOKUP(GV122,Language!$D$5:$E$100,2,0))</f>
        <v/>
      </c>
      <c r="GX122" s="266"/>
      <c r="GY122" s="230" t="str">
        <f>IF(GX122="","",VLOOKUP(GX122,Language!$D$5:$E$100,2,0))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IF(HI122="","",VLOOKUP(HI122,Language!$D$5:$E$100,2,0))</f>
        <v/>
      </c>
      <c r="HK122" s="266"/>
      <c r="HL122" s="230" t="str">
        <f>IF(HK122="","",VLOOKUP(HK122,Language!$D$5:$E$100,2,0))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IF(HV122="","",VLOOKUP(HV122,Language!$D$5:$E$100,2,0))</f>
        <v/>
      </c>
      <c r="HX122" s="266"/>
      <c r="HY122" s="230" t="str">
        <f>IF(HX122="","",VLOOKUP(HX122,Language!$D$5:$E$100,2,0))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IF(II122="","",VLOOKUP(II122,Language!$D$5:$E$100,2,0))</f>
        <v/>
      </c>
      <c r="IK122" s="266"/>
      <c r="IL122" s="230" t="str">
        <f>IF(IK122="","",VLOOKUP(IK122,Language!$D$5:$E$100,2,0))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IF(IV122="","",VLOOKUP(IV122,Language!$D$5:$E$100,2,0))</f>
        <v/>
      </c>
      <c r="IX122" s="266"/>
      <c r="IY122" s="230" t="str">
        <f>IF(IX122="","",VLOOKUP(IX122,Language!$D$5:$E$100,2,0))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IF(JI122="","",VLOOKUP(JI122,Language!$D$5:$E$100,2,0))</f>
        <v/>
      </c>
      <c r="JK122" s="266"/>
      <c r="JL122" s="230" t="str">
        <f>IF(JK122="","",VLOOKUP(JK122,Language!$D$5:$E$100,2,0))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IF(JV122="","",VLOOKUP(JV122,Language!$D$5:$E$100,2,0))</f>
        <v/>
      </c>
      <c r="JX122" s="266"/>
      <c r="JY122" s="230" t="str">
        <f>IF(JX122="","",VLOOKUP(JX122,Language!$D$5:$E$100,2,0))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IF(KI122="","",VLOOKUP(KI122,Language!$D$5:$E$100,2,0))</f>
        <v/>
      </c>
      <c r="KK122" s="266"/>
      <c r="KL122" s="230" t="str">
        <f>IF(KK122="","",VLOOKUP(KK122,Language!$D$5:$E$100,2,0))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IF(KV122="","",VLOOKUP(KV122,Language!$D$5:$E$100,2,0))</f>
        <v/>
      </c>
      <c r="KX122" s="266"/>
      <c r="KY122" s="230" t="str">
        <f>IF(KX122="","",VLOOKUP(KX122,Language!$D$5:$E$100,2,0))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IF(LI122="","",VLOOKUP(LI122,Language!$D$5:$E$100,2,0))</f>
        <v/>
      </c>
      <c r="LK122" s="266"/>
      <c r="LL122" s="230" t="str">
        <f>IF(LK122="","",VLOOKUP(LK122,Language!$D$5:$E$100,2,0))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IF(LV122="","",VLOOKUP(LV122,Language!$D$5:$E$100,2,0))</f>
        <v/>
      </c>
      <c r="LX122" s="266"/>
      <c r="LY122" s="230" t="str">
        <f>IF(LX122="","",VLOOKUP(LX122,Language!$D$5:$E$100,2,0))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Language!$E$224</f>
        <v>Third place</v>
      </c>
      <c r="C123" s="239"/>
      <c r="D123" s="244"/>
      <c r="E123" s="241"/>
      <c r="F123" s="245"/>
      <c r="G123" s="246"/>
      <c r="H123" s="227"/>
      <c r="I123" s="238" t="str">
        <f>$B125</f>
        <v>Final</v>
      </c>
      <c r="J123" s="240"/>
      <c r="K123" s="240"/>
      <c r="L123" s="241"/>
      <c r="M123" s="270"/>
      <c r="N123" s="271"/>
      <c r="O123" s="242"/>
      <c r="P123" s="254"/>
      <c r="Q123" s="241"/>
      <c r="R123" s="241"/>
      <c r="S123" s="241"/>
      <c r="T123" s="255"/>
      <c r="V123" s="238" t="str">
        <f>$B125</f>
        <v>Final</v>
      </c>
      <c r="W123" s="240"/>
      <c r="X123" s="240"/>
      <c r="Y123" s="241"/>
      <c r="Z123" s="270"/>
      <c r="AA123" s="271"/>
      <c r="AB123" s="242"/>
      <c r="AC123" s="254"/>
      <c r="AD123" s="241"/>
      <c r="AE123" s="241"/>
      <c r="AF123" s="241"/>
      <c r="AG123" s="255"/>
      <c r="AI123" s="238" t="str">
        <f>$B125</f>
        <v>Final</v>
      </c>
      <c r="AJ123" s="240"/>
      <c r="AK123" s="240"/>
      <c r="AL123" s="241"/>
      <c r="AM123" s="270"/>
      <c r="AN123" s="271"/>
      <c r="AO123" s="242"/>
      <c r="AP123" s="254"/>
      <c r="AQ123" s="241"/>
      <c r="AR123" s="241"/>
      <c r="AS123" s="241"/>
      <c r="AT123" s="255"/>
      <c r="AV123" s="238" t="str">
        <f>$B125</f>
        <v>Final</v>
      </c>
      <c r="AW123" s="240"/>
      <c r="AX123" s="240"/>
      <c r="AY123" s="241"/>
      <c r="AZ123" s="270"/>
      <c r="BA123" s="271"/>
      <c r="BB123" s="242"/>
      <c r="BC123" s="254"/>
      <c r="BD123" s="241"/>
      <c r="BE123" s="241"/>
      <c r="BF123" s="241"/>
      <c r="BG123" s="255"/>
      <c r="BI123" s="238" t="str">
        <f>$B125</f>
        <v>Final</v>
      </c>
      <c r="BJ123" s="240"/>
      <c r="BK123" s="240"/>
      <c r="BL123" s="241"/>
      <c r="BM123" s="270"/>
      <c r="BN123" s="271"/>
      <c r="BO123" s="242"/>
      <c r="BP123" s="254"/>
      <c r="BQ123" s="241"/>
      <c r="BR123" s="241"/>
      <c r="BS123" s="241"/>
      <c r="BT123" s="255"/>
      <c r="BV123" s="238" t="str">
        <f>$B125</f>
        <v>Final</v>
      </c>
      <c r="BW123" s="240"/>
      <c r="BX123" s="240"/>
      <c r="BY123" s="241"/>
      <c r="BZ123" s="270"/>
      <c r="CA123" s="271"/>
      <c r="CB123" s="242"/>
      <c r="CC123" s="254"/>
      <c r="CD123" s="241"/>
      <c r="CE123" s="241"/>
      <c r="CF123" s="241"/>
      <c r="CG123" s="255"/>
      <c r="CI123" s="238" t="str">
        <f>$B125</f>
        <v>Final</v>
      </c>
      <c r="CJ123" s="240"/>
      <c r="CK123" s="240"/>
      <c r="CL123" s="241"/>
      <c r="CM123" s="270"/>
      <c r="CN123" s="271"/>
      <c r="CO123" s="242"/>
      <c r="CP123" s="254"/>
      <c r="CQ123" s="241"/>
      <c r="CR123" s="241"/>
      <c r="CS123" s="241"/>
      <c r="CT123" s="255"/>
      <c r="CV123" s="238" t="str">
        <f>$B125</f>
        <v>Final</v>
      </c>
      <c r="CW123" s="240"/>
      <c r="CX123" s="240"/>
      <c r="CY123" s="241"/>
      <c r="CZ123" s="270"/>
      <c r="DA123" s="271"/>
      <c r="DB123" s="242"/>
      <c r="DC123" s="254"/>
      <c r="DD123" s="241"/>
      <c r="DE123" s="241"/>
      <c r="DF123" s="241"/>
      <c r="DG123" s="255"/>
      <c r="DI123" s="238" t="str">
        <f>$B125</f>
        <v>Final</v>
      </c>
      <c r="DJ123" s="240"/>
      <c r="DK123" s="240"/>
      <c r="DL123" s="241"/>
      <c r="DM123" s="270"/>
      <c r="DN123" s="271"/>
      <c r="DO123" s="242"/>
      <c r="DP123" s="254"/>
      <c r="DQ123" s="241"/>
      <c r="DR123" s="241"/>
      <c r="DS123" s="241"/>
      <c r="DT123" s="255"/>
      <c r="DV123" s="238" t="str">
        <f>$B125</f>
        <v>Final</v>
      </c>
      <c r="DW123" s="240"/>
      <c r="DX123" s="240"/>
      <c r="DY123" s="241"/>
      <c r="DZ123" s="270"/>
      <c r="EA123" s="271"/>
      <c r="EB123" s="242"/>
      <c r="EC123" s="254"/>
      <c r="ED123" s="241"/>
      <c r="EE123" s="241"/>
      <c r="EF123" s="241"/>
      <c r="EG123" s="255"/>
      <c r="EI123" s="238" t="str">
        <f>$B125</f>
        <v>Final</v>
      </c>
      <c r="EJ123" s="240"/>
      <c r="EK123" s="240"/>
      <c r="EL123" s="241"/>
      <c r="EM123" s="270"/>
      <c r="EN123" s="271"/>
      <c r="EO123" s="242"/>
      <c r="EP123" s="254"/>
      <c r="EQ123" s="241"/>
      <c r="ER123" s="241"/>
      <c r="ES123" s="241"/>
      <c r="ET123" s="255"/>
      <c r="EV123" s="238" t="str">
        <f>$B125</f>
        <v>Final</v>
      </c>
      <c r="EW123" s="240"/>
      <c r="EX123" s="240"/>
      <c r="EY123" s="241"/>
      <c r="EZ123" s="270"/>
      <c r="FA123" s="271"/>
      <c r="FB123" s="242"/>
      <c r="FC123" s="254"/>
      <c r="FD123" s="241"/>
      <c r="FE123" s="241"/>
      <c r="FF123" s="241"/>
      <c r="FG123" s="255"/>
      <c r="FI123" s="238" t="str">
        <f>$B125</f>
        <v>Final</v>
      </c>
      <c r="FJ123" s="240"/>
      <c r="FK123" s="240"/>
      <c r="FL123" s="241"/>
      <c r="FM123" s="270"/>
      <c r="FN123" s="271"/>
      <c r="FO123" s="242"/>
      <c r="FP123" s="254"/>
      <c r="FQ123" s="241"/>
      <c r="FR123" s="241"/>
      <c r="FS123" s="241"/>
      <c r="FT123" s="255"/>
      <c r="FV123" s="238" t="str">
        <f>$B125</f>
        <v>Final</v>
      </c>
      <c r="FW123" s="240"/>
      <c r="FX123" s="240"/>
      <c r="FY123" s="241"/>
      <c r="FZ123" s="270"/>
      <c r="GA123" s="271"/>
      <c r="GB123" s="242"/>
      <c r="GC123" s="254"/>
      <c r="GD123" s="241"/>
      <c r="GE123" s="241"/>
      <c r="GF123" s="241"/>
      <c r="GG123" s="255"/>
      <c r="GI123" s="238" t="str">
        <f>$B125</f>
        <v>Final</v>
      </c>
      <c r="GJ123" s="240"/>
      <c r="GK123" s="240"/>
      <c r="GL123" s="241"/>
      <c r="GM123" s="270"/>
      <c r="GN123" s="271"/>
      <c r="GO123" s="242"/>
      <c r="GP123" s="254"/>
      <c r="GQ123" s="241"/>
      <c r="GR123" s="241"/>
      <c r="GS123" s="241"/>
      <c r="GT123" s="255"/>
      <c r="GV123" s="238" t="str">
        <f>$B125</f>
        <v>Final</v>
      </c>
      <c r="GW123" s="240"/>
      <c r="GX123" s="240"/>
      <c r="GY123" s="241"/>
      <c r="GZ123" s="270"/>
      <c r="HA123" s="271"/>
      <c r="HB123" s="242"/>
      <c r="HC123" s="254"/>
      <c r="HD123" s="241"/>
      <c r="HE123" s="241"/>
      <c r="HF123" s="241"/>
      <c r="HG123" s="255"/>
      <c r="HI123" s="238" t="str">
        <f>$B125</f>
        <v>Final</v>
      </c>
      <c r="HJ123" s="240"/>
      <c r="HK123" s="240"/>
      <c r="HL123" s="241"/>
      <c r="HM123" s="270"/>
      <c r="HN123" s="271"/>
      <c r="HO123" s="242"/>
      <c r="HP123" s="254"/>
      <c r="HQ123" s="241"/>
      <c r="HR123" s="241"/>
      <c r="HS123" s="241"/>
      <c r="HT123" s="255"/>
      <c r="HV123" s="238" t="str">
        <f>$B125</f>
        <v>Final</v>
      </c>
      <c r="HW123" s="240"/>
      <c r="HX123" s="240"/>
      <c r="HY123" s="241"/>
      <c r="HZ123" s="270"/>
      <c r="IA123" s="271"/>
      <c r="IB123" s="242"/>
      <c r="IC123" s="254"/>
      <c r="ID123" s="241"/>
      <c r="IE123" s="241"/>
      <c r="IF123" s="241"/>
      <c r="IG123" s="255"/>
      <c r="II123" s="238" t="str">
        <f>$B125</f>
        <v>Final</v>
      </c>
      <c r="IJ123" s="240"/>
      <c r="IK123" s="240"/>
      <c r="IL123" s="241"/>
      <c r="IM123" s="270"/>
      <c r="IN123" s="271"/>
      <c r="IO123" s="242"/>
      <c r="IP123" s="254"/>
      <c r="IQ123" s="241"/>
      <c r="IR123" s="241"/>
      <c r="IS123" s="241"/>
      <c r="IT123" s="255"/>
      <c r="IV123" s="238" t="str">
        <f>$B125</f>
        <v>Final</v>
      </c>
      <c r="IW123" s="240"/>
      <c r="IX123" s="240"/>
      <c r="IY123" s="241"/>
      <c r="IZ123" s="270"/>
      <c r="JA123" s="271"/>
      <c r="JB123" s="242"/>
      <c r="JC123" s="254"/>
      <c r="JD123" s="241"/>
      <c r="JE123" s="241"/>
      <c r="JF123" s="241"/>
      <c r="JG123" s="255"/>
      <c r="JI123" s="238" t="str">
        <f>$B125</f>
        <v>Final</v>
      </c>
      <c r="JJ123" s="240"/>
      <c r="JK123" s="240"/>
      <c r="JL123" s="241"/>
      <c r="JM123" s="270"/>
      <c r="JN123" s="271"/>
      <c r="JO123" s="242"/>
      <c r="JP123" s="254"/>
      <c r="JQ123" s="241"/>
      <c r="JR123" s="241"/>
      <c r="JS123" s="241"/>
      <c r="JT123" s="255"/>
      <c r="JV123" s="238" t="str">
        <f>$B125</f>
        <v>Final</v>
      </c>
      <c r="JW123" s="240"/>
      <c r="JX123" s="240"/>
      <c r="JY123" s="241"/>
      <c r="JZ123" s="270"/>
      <c r="KA123" s="271"/>
      <c r="KB123" s="242"/>
      <c r="KC123" s="254"/>
      <c r="KD123" s="241"/>
      <c r="KE123" s="241"/>
      <c r="KF123" s="241"/>
      <c r="KG123" s="255"/>
      <c r="KI123" s="238" t="str">
        <f>$B125</f>
        <v>Final</v>
      </c>
      <c r="KJ123" s="240"/>
      <c r="KK123" s="240"/>
      <c r="KL123" s="241"/>
      <c r="KM123" s="270"/>
      <c r="KN123" s="271"/>
      <c r="KO123" s="242"/>
      <c r="KP123" s="254"/>
      <c r="KQ123" s="241"/>
      <c r="KR123" s="241"/>
      <c r="KS123" s="241"/>
      <c r="KT123" s="255"/>
      <c r="KV123" s="238" t="str">
        <f>$B125</f>
        <v>Final</v>
      </c>
      <c r="KW123" s="240"/>
      <c r="KX123" s="240"/>
      <c r="KY123" s="241"/>
      <c r="KZ123" s="270"/>
      <c r="LA123" s="271"/>
      <c r="LB123" s="242"/>
      <c r="LC123" s="254"/>
      <c r="LD123" s="241"/>
      <c r="LE123" s="241"/>
      <c r="LF123" s="241"/>
      <c r="LG123" s="255"/>
      <c r="LI123" s="238" t="str">
        <f>$B125</f>
        <v>Final</v>
      </c>
      <c r="LJ123" s="240"/>
      <c r="LK123" s="240"/>
      <c r="LL123" s="241"/>
      <c r="LM123" s="270"/>
      <c r="LN123" s="271"/>
      <c r="LO123" s="242"/>
      <c r="LP123" s="254"/>
      <c r="LQ123" s="241"/>
      <c r="LR123" s="241"/>
      <c r="LS123" s="241"/>
      <c r="LT123" s="255"/>
      <c r="LV123" s="238" t="str">
        <f>$B125</f>
        <v>Final</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IF(V124="","",VLOOKUP(V124,Language!$D$5:$E$100,2,0))</f>
        <v/>
      </c>
      <c r="X124" s="267"/>
      <c r="Y124" s="230" t="str">
        <f>IF(X124="","",VLOOKUP(X124,Language!$D$5:$E$100,2,0))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IF(AI124="","",VLOOKUP(AI124,Language!$D$5:$E$100,2,0))</f>
        <v/>
      </c>
      <c r="AK124" s="267"/>
      <c r="AL124" s="230" t="str">
        <f>IF(AK124="","",VLOOKUP(AK124,Language!$D$5:$E$100,2,0))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IF(AV124="","",VLOOKUP(AV124,Language!$D$5:$E$100,2,0))</f>
        <v/>
      </c>
      <c r="AX124" s="267"/>
      <c r="AY124" s="230" t="str">
        <f>IF(AX124="","",VLOOKUP(AX124,Language!$D$5:$E$100,2,0))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IF(BI124="","",VLOOKUP(BI124,Language!$D$5:$E$100,2,0))</f>
        <v/>
      </c>
      <c r="BK124" s="267"/>
      <c r="BL124" s="230" t="str">
        <f>IF(BK124="","",VLOOKUP(BK124,Language!$D$5:$E$100,2,0))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IF(BV124="","",VLOOKUP(BV124,Language!$D$5:$E$100,2,0))</f>
        <v/>
      </c>
      <c r="BX124" s="267"/>
      <c r="BY124" s="230" t="str">
        <f>IF(BX124="","",VLOOKUP(BX124,Language!$D$5:$E$100,2,0))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IF(CI124="","",VLOOKUP(CI124,Language!$D$5:$E$100,2,0))</f>
        <v/>
      </c>
      <c r="CK124" s="267"/>
      <c r="CL124" s="230" t="str">
        <f>IF(CK124="","",VLOOKUP(CK124,Language!$D$5:$E$100,2,0))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IF(CV124="","",VLOOKUP(CV124,Language!$D$5:$E$100,2,0))</f>
        <v/>
      </c>
      <c r="CX124" s="267"/>
      <c r="CY124" s="230" t="str">
        <f>IF(CX124="","",VLOOKUP(CX124,Language!$D$5:$E$100,2,0))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IF(DI124="","",VLOOKUP(DI124,Language!$D$5:$E$100,2,0))</f>
        <v/>
      </c>
      <c r="DK124" s="267"/>
      <c r="DL124" s="230" t="str">
        <f>IF(DK124="","",VLOOKUP(DK124,Language!$D$5:$E$100,2,0))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IF(DV124="","",VLOOKUP(DV124,Language!$D$5:$E$100,2,0))</f>
        <v/>
      </c>
      <c r="DX124" s="267"/>
      <c r="DY124" s="230" t="str">
        <f>IF(DX124="","",VLOOKUP(DX124,Language!$D$5:$E$100,2,0))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IF(EI124="","",VLOOKUP(EI124,Language!$D$5:$E$100,2,0))</f>
        <v/>
      </c>
      <c r="EK124" s="267"/>
      <c r="EL124" s="230" t="str">
        <f>IF(EK124="","",VLOOKUP(EK124,Language!$D$5:$E$100,2,0))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IF(EV124="","",VLOOKUP(EV124,Language!$D$5:$E$100,2,0))</f>
        <v/>
      </c>
      <c r="EX124" s="267"/>
      <c r="EY124" s="230" t="str">
        <f>IF(EX124="","",VLOOKUP(EX124,Language!$D$5:$E$100,2,0))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IF(FI124="","",VLOOKUP(FI124,Language!$D$5:$E$100,2,0))</f>
        <v/>
      </c>
      <c r="FK124" s="267"/>
      <c r="FL124" s="230" t="str">
        <f>IF(FK124="","",VLOOKUP(FK124,Language!$D$5:$E$100,2,0))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IF(FV124="","",VLOOKUP(FV124,Language!$D$5:$E$100,2,0))</f>
        <v/>
      </c>
      <c r="FX124" s="267"/>
      <c r="FY124" s="230" t="str">
        <f>IF(FX124="","",VLOOKUP(FX124,Language!$D$5:$E$100,2,0))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IF(GI124="","",VLOOKUP(GI124,Language!$D$5:$E$100,2,0))</f>
        <v/>
      </c>
      <c r="GK124" s="267"/>
      <c r="GL124" s="230" t="str">
        <f>IF(GK124="","",VLOOKUP(GK124,Language!$D$5:$E$100,2,0))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IF(GV124="","",VLOOKUP(GV124,Language!$D$5:$E$100,2,0))</f>
        <v/>
      </c>
      <c r="GX124" s="267"/>
      <c r="GY124" s="230" t="str">
        <f>IF(GX124="","",VLOOKUP(GX124,Language!$D$5:$E$100,2,0))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IF(HI124="","",VLOOKUP(HI124,Language!$D$5:$E$100,2,0))</f>
        <v/>
      </c>
      <c r="HK124" s="267"/>
      <c r="HL124" s="230" t="str">
        <f>IF(HK124="","",VLOOKUP(HK124,Language!$D$5:$E$100,2,0))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IF(HV124="","",VLOOKUP(HV124,Language!$D$5:$E$100,2,0))</f>
        <v/>
      </c>
      <c r="HX124" s="267"/>
      <c r="HY124" s="230" t="str">
        <f>IF(HX124="","",VLOOKUP(HX124,Language!$D$5:$E$100,2,0))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IF(II124="","",VLOOKUP(II124,Language!$D$5:$E$100,2,0))</f>
        <v/>
      </c>
      <c r="IK124" s="267"/>
      <c r="IL124" s="230" t="str">
        <f>IF(IK124="","",VLOOKUP(IK124,Language!$D$5:$E$100,2,0))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IF(IV124="","",VLOOKUP(IV124,Language!$D$5:$E$100,2,0))</f>
        <v/>
      </c>
      <c r="IX124" s="267"/>
      <c r="IY124" s="230" t="str">
        <f>IF(IX124="","",VLOOKUP(IX124,Language!$D$5:$E$100,2,0))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IF(JI124="","",VLOOKUP(JI124,Language!$D$5:$E$100,2,0))</f>
        <v/>
      </c>
      <c r="JK124" s="267"/>
      <c r="JL124" s="230" t="str">
        <f>IF(JK124="","",VLOOKUP(JK124,Language!$D$5:$E$100,2,0))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IF(JV124="","",VLOOKUP(JV124,Language!$D$5:$E$100,2,0))</f>
        <v/>
      </c>
      <c r="JX124" s="267"/>
      <c r="JY124" s="230" t="str">
        <f>IF(JX124="","",VLOOKUP(JX124,Language!$D$5:$E$100,2,0))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IF(KI124="","",VLOOKUP(KI124,Language!$D$5:$E$100,2,0))</f>
        <v/>
      </c>
      <c r="KK124" s="267"/>
      <c r="KL124" s="230" t="str">
        <f>IF(KK124="","",VLOOKUP(KK124,Language!$D$5:$E$100,2,0))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IF(KV124="","",VLOOKUP(KV124,Language!$D$5:$E$100,2,0))</f>
        <v/>
      </c>
      <c r="KX124" s="267"/>
      <c r="KY124" s="230" t="str">
        <f>IF(KX124="","",VLOOKUP(KX124,Language!$D$5:$E$100,2,0))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IF(LI124="","",VLOOKUP(LI124,Language!$D$5:$E$100,2,0))</f>
        <v/>
      </c>
      <c r="LK124" s="267"/>
      <c r="LL124" s="230" t="str">
        <f>IF(LK124="","",VLOOKUP(LK124,Language!$D$5:$E$100,2,0))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IF(LV124="","",VLOOKUP(LV124,Language!$D$5:$E$100,2,0))</f>
        <v/>
      </c>
      <c r="LX124" s="267"/>
      <c r="LY124" s="230" t="str">
        <f>IF(LX124="","",VLOOKUP(LX124,Language!$D$5:$E$100,2,0))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Language!$E$225</f>
        <v>Final</v>
      </c>
      <c r="C125" s="239"/>
      <c r="D125" s="244"/>
      <c r="E125" s="241"/>
      <c r="F125" s="245"/>
      <c r="G125" s="246"/>
      <c r="I125" s="238" t="str">
        <f>$B123</f>
        <v>Third place</v>
      </c>
      <c r="J125" s="240"/>
      <c r="K125" s="240"/>
      <c r="L125" s="241"/>
      <c r="M125" s="270"/>
      <c r="N125" s="271"/>
      <c r="O125" s="242"/>
      <c r="P125" s="254"/>
      <c r="Q125" s="241"/>
      <c r="R125" s="241"/>
      <c r="S125" s="241"/>
      <c r="T125" s="255"/>
      <c r="V125" s="238" t="str">
        <f>$B123</f>
        <v>Third place</v>
      </c>
      <c r="W125" s="240"/>
      <c r="X125" s="240"/>
      <c r="Y125" s="241"/>
      <c r="Z125" s="270"/>
      <c r="AA125" s="271"/>
      <c r="AB125" s="242"/>
      <c r="AC125" s="254"/>
      <c r="AD125" s="241"/>
      <c r="AE125" s="241"/>
      <c r="AF125" s="241"/>
      <c r="AG125" s="255"/>
      <c r="AI125" s="238" t="str">
        <f>$B123</f>
        <v>Third place</v>
      </c>
      <c r="AJ125" s="240"/>
      <c r="AK125" s="240"/>
      <c r="AL125" s="241"/>
      <c r="AM125" s="270"/>
      <c r="AN125" s="271"/>
      <c r="AO125" s="242"/>
      <c r="AP125" s="254"/>
      <c r="AQ125" s="241"/>
      <c r="AR125" s="241"/>
      <c r="AS125" s="241"/>
      <c r="AT125" s="255"/>
      <c r="AV125" s="238" t="str">
        <f>$B123</f>
        <v>Third place</v>
      </c>
      <c r="AW125" s="240"/>
      <c r="AX125" s="240"/>
      <c r="AY125" s="241"/>
      <c r="AZ125" s="270"/>
      <c r="BA125" s="271"/>
      <c r="BB125" s="242"/>
      <c r="BC125" s="254"/>
      <c r="BD125" s="241"/>
      <c r="BE125" s="241"/>
      <c r="BF125" s="241"/>
      <c r="BG125" s="255"/>
      <c r="BI125" s="238" t="str">
        <f>$B123</f>
        <v>Third place</v>
      </c>
      <c r="BJ125" s="240"/>
      <c r="BK125" s="240"/>
      <c r="BL125" s="241"/>
      <c r="BM125" s="270"/>
      <c r="BN125" s="271"/>
      <c r="BO125" s="242"/>
      <c r="BP125" s="254"/>
      <c r="BQ125" s="241"/>
      <c r="BR125" s="241"/>
      <c r="BS125" s="241"/>
      <c r="BT125" s="255"/>
      <c r="BV125" s="238" t="str">
        <f>$B123</f>
        <v>Third place</v>
      </c>
      <c r="BW125" s="240"/>
      <c r="BX125" s="240"/>
      <c r="BY125" s="241"/>
      <c r="BZ125" s="270"/>
      <c r="CA125" s="271"/>
      <c r="CB125" s="242"/>
      <c r="CC125" s="254"/>
      <c r="CD125" s="241"/>
      <c r="CE125" s="241"/>
      <c r="CF125" s="241"/>
      <c r="CG125" s="255"/>
      <c r="CI125" s="238" t="str">
        <f>$B123</f>
        <v>Third place</v>
      </c>
      <c r="CJ125" s="240"/>
      <c r="CK125" s="240"/>
      <c r="CL125" s="241"/>
      <c r="CM125" s="270"/>
      <c r="CN125" s="271"/>
      <c r="CO125" s="242"/>
      <c r="CP125" s="254"/>
      <c r="CQ125" s="241"/>
      <c r="CR125" s="241"/>
      <c r="CS125" s="241"/>
      <c r="CT125" s="255"/>
      <c r="CV125" s="238" t="str">
        <f>$B123</f>
        <v>Third place</v>
      </c>
      <c r="CW125" s="240"/>
      <c r="CX125" s="240"/>
      <c r="CY125" s="241"/>
      <c r="CZ125" s="270"/>
      <c r="DA125" s="271"/>
      <c r="DB125" s="242"/>
      <c r="DC125" s="254"/>
      <c r="DD125" s="241"/>
      <c r="DE125" s="241"/>
      <c r="DF125" s="241"/>
      <c r="DG125" s="255"/>
      <c r="DI125" s="238" t="str">
        <f>$B123</f>
        <v>Third place</v>
      </c>
      <c r="DJ125" s="240"/>
      <c r="DK125" s="240"/>
      <c r="DL125" s="241"/>
      <c r="DM125" s="270"/>
      <c r="DN125" s="271"/>
      <c r="DO125" s="242"/>
      <c r="DP125" s="254"/>
      <c r="DQ125" s="241"/>
      <c r="DR125" s="241"/>
      <c r="DS125" s="241"/>
      <c r="DT125" s="255"/>
      <c r="DV125" s="238" t="str">
        <f>$B123</f>
        <v>Third place</v>
      </c>
      <c r="DW125" s="240"/>
      <c r="DX125" s="240"/>
      <c r="DY125" s="241"/>
      <c r="DZ125" s="270"/>
      <c r="EA125" s="271"/>
      <c r="EB125" s="242"/>
      <c r="EC125" s="254"/>
      <c r="ED125" s="241"/>
      <c r="EE125" s="241"/>
      <c r="EF125" s="241"/>
      <c r="EG125" s="255"/>
      <c r="EI125" s="238" t="str">
        <f>$B123</f>
        <v>Third place</v>
      </c>
      <c r="EJ125" s="240"/>
      <c r="EK125" s="240"/>
      <c r="EL125" s="241"/>
      <c r="EM125" s="270"/>
      <c r="EN125" s="271"/>
      <c r="EO125" s="242"/>
      <c r="EP125" s="254"/>
      <c r="EQ125" s="241"/>
      <c r="ER125" s="241"/>
      <c r="ES125" s="241"/>
      <c r="ET125" s="255"/>
      <c r="EV125" s="238" t="str">
        <f>$B123</f>
        <v>Third place</v>
      </c>
      <c r="EW125" s="240"/>
      <c r="EX125" s="240"/>
      <c r="EY125" s="241"/>
      <c r="EZ125" s="270"/>
      <c r="FA125" s="271"/>
      <c r="FB125" s="242"/>
      <c r="FC125" s="254"/>
      <c r="FD125" s="241"/>
      <c r="FE125" s="241"/>
      <c r="FF125" s="241"/>
      <c r="FG125" s="255"/>
      <c r="FI125" s="238" t="str">
        <f>$B123</f>
        <v>Third place</v>
      </c>
      <c r="FJ125" s="240"/>
      <c r="FK125" s="240"/>
      <c r="FL125" s="241"/>
      <c r="FM125" s="270"/>
      <c r="FN125" s="271"/>
      <c r="FO125" s="242"/>
      <c r="FP125" s="254"/>
      <c r="FQ125" s="241"/>
      <c r="FR125" s="241"/>
      <c r="FS125" s="241"/>
      <c r="FT125" s="255"/>
      <c r="FV125" s="238" t="str">
        <f>$B123</f>
        <v>Third place</v>
      </c>
      <c r="FW125" s="240"/>
      <c r="FX125" s="240"/>
      <c r="FY125" s="241"/>
      <c r="FZ125" s="270"/>
      <c r="GA125" s="271"/>
      <c r="GB125" s="242"/>
      <c r="GC125" s="254"/>
      <c r="GD125" s="241"/>
      <c r="GE125" s="241"/>
      <c r="GF125" s="241"/>
      <c r="GG125" s="255"/>
      <c r="GI125" s="238" t="str">
        <f>$B123</f>
        <v>Third place</v>
      </c>
      <c r="GJ125" s="240"/>
      <c r="GK125" s="240"/>
      <c r="GL125" s="241"/>
      <c r="GM125" s="270"/>
      <c r="GN125" s="271"/>
      <c r="GO125" s="242"/>
      <c r="GP125" s="254"/>
      <c r="GQ125" s="241"/>
      <c r="GR125" s="241"/>
      <c r="GS125" s="241"/>
      <c r="GT125" s="255"/>
      <c r="GV125" s="238" t="str">
        <f>$B123</f>
        <v>Third place</v>
      </c>
      <c r="GW125" s="240"/>
      <c r="GX125" s="240"/>
      <c r="GY125" s="241"/>
      <c r="GZ125" s="270"/>
      <c r="HA125" s="271"/>
      <c r="HB125" s="242"/>
      <c r="HC125" s="254"/>
      <c r="HD125" s="241"/>
      <c r="HE125" s="241"/>
      <c r="HF125" s="241"/>
      <c r="HG125" s="255"/>
      <c r="HI125" s="238" t="str">
        <f>$B123</f>
        <v>Third place</v>
      </c>
      <c r="HJ125" s="240"/>
      <c r="HK125" s="240"/>
      <c r="HL125" s="241"/>
      <c r="HM125" s="270"/>
      <c r="HN125" s="271"/>
      <c r="HO125" s="242"/>
      <c r="HP125" s="254"/>
      <c r="HQ125" s="241"/>
      <c r="HR125" s="241"/>
      <c r="HS125" s="241"/>
      <c r="HT125" s="255"/>
      <c r="HV125" s="238" t="str">
        <f>$B123</f>
        <v>Third place</v>
      </c>
      <c r="HW125" s="240"/>
      <c r="HX125" s="240"/>
      <c r="HY125" s="241"/>
      <c r="HZ125" s="270"/>
      <c r="IA125" s="271"/>
      <c r="IB125" s="242"/>
      <c r="IC125" s="254"/>
      <c r="ID125" s="241"/>
      <c r="IE125" s="241"/>
      <c r="IF125" s="241"/>
      <c r="IG125" s="255"/>
      <c r="II125" s="238" t="str">
        <f>$B123</f>
        <v>Third place</v>
      </c>
      <c r="IJ125" s="240"/>
      <c r="IK125" s="240"/>
      <c r="IL125" s="241"/>
      <c r="IM125" s="270"/>
      <c r="IN125" s="271"/>
      <c r="IO125" s="242"/>
      <c r="IP125" s="254"/>
      <c r="IQ125" s="241"/>
      <c r="IR125" s="241"/>
      <c r="IS125" s="241"/>
      <c r="IT125" s="255"/>
      <c r="IV125" s="238" t="str">
        <f>$B123</f>
        <v>Third place</v>
      </c>
      <c r="IW125" s="240"/>
      <c r="IX125" s="240"/>
      <c r="IY125" s="241"/>
      <c r="IZ125" s="270"/>
      <c r="JA125" s="271"/>
      <c r="JB125" s="242"/>
      <c r="JC125" s="254"/>
      <c r="JD125" s="241"/>
      <c r="JE125" s="241"/>
      <c r="JF125" s="241"/>
      <c r="JG125" s="255"/>
      <c r="JI125" s="238" t="str">
        <f>$B123</f>
        <v>Third place</v>
      </c>
      <c r="JJ125" s="240"/>
      <c r="JK125" s="240"/>
      <c r="JL125" s="241"/>
      <c r="JM125" s="270"/>
      <c r="JN125" s="271"/>
      <c r="JO125" s="242"/>
      <c r="JP125" s="254"/>
      <c r="JQ125" s="241"/>
      <c r="JR125" s="241"/>
      <c r="JS125" s="241"/>
      <c r="JT125" s="255"/>
      <c r="JV125" s="238" t="str">
        <f>$B123</f>
        <v>Third place</v>
      </c>
      <c r="JW125" s="240"/>
      <c r="JX125" s="240"/>
      <c r="JY125" s="241"/>
      <c r="JZ125" s="270"/>
      <c r="KA125" s="271"/>
      <c r="KB125" s="242"/>
      <c r="KC125" s="254"/>
      <c r="KD125" s="241"/>
      <c r="KE125" s="241"/>
      <c r="KF125" s="241"/>
      <c r="KG125" s="255"/>
      <c r="KI125" s="238" t="str">
        <f>$B123</f>
        <v>Third place</v>
      </c>
      <c r="KJ125" s="240"/>
      <c r="KK125" s="240"/>
      <c r="KL125" s="241"/>
      <c r="KM125" s="270"/>
      <c r="KN125" s="271"/>
      <c r="KO125" s="242"/>
      <c r="KP125" s="254"/>
      <c r="KQ125" s="241"/>
      <c r="KR125" s="241"/>
      <c r="KS125" s="241"/>
      <c r="KT125" s="255"/>
      <c r="KV125" s="238" t="str">
        <f>$B123</f>
        <v>Third place</v>
      </c>
      <c r="KW125" s="240"/>
      <c r="KX125" s="240"/>
      <c r="KY125" s="241"/>
      <c r="KZ125" s="270"/>
      <c r="LA125" s="271"/>
      <c r="LB125" s="242"/>
      <c r="LC125" s="254"/>
      <c r="LD125" s="241"/>
      <c r="LE125" s="241"/>
      <c r="LF125" s="241"/>
      <c r="LG125" s="255"/>
      <c r="LI125" s="238" t="str">
        <f>$B123</f>
        <v>Third place</v>
      </c>
      <c r="LJ125" s="240"/>
      <c r="LK125" s="240"/>
      <c r="LL125" s="241"/>
      <c r="LM125" s="270"/>
      <c r="LN125" s="271"/>
      <c r="LO125" s="242"/>
      <c r="LP125" s="254"/>
      <c r="LQ125" s="241"/>
      <c r="LR125" s="241"/>
      <c r="LS125" s="241"/>
      <c r="LT125" s="255"/>
      <c r="LV125" s="238" t="str">
        <f>$B123</f>
        <v>Third place</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IF(I126="","",VLOOKUP(I126,Language!$D$5:$E$100,2,0))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IF(V126="","",VLOOKUP(V126,Language!$D$5:$E$100,2,0))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IF(AI126="","",VLOOKUP(AI126,Language!$D$5:$E$100,2,0))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IF(AV126="","",VLOOKUP(AV126,Language!$D$5:$E$100,2,0))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IF(BI126="","",VLOOKUP(BI126,Language!$D$5:$E$100,2,0))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IF(BV126="","",VLOOKUP(BV126,Language!$D$5:$E$100,2,0))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IF(CI126="","",VLOOKUP(CI126,Language!$D$5:$E$100,2,0))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IF(CV126="","",VLOOKUP(CV126,Language!$D$5:$E$100,2,0))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IF(DI126="","",VLOOKUP(DI126,Language!$D$5:$E$100,2,0))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IF(DV126="","",VLOOKUP(DV126,Language!$D$5:$E$100,2,0))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IF(EI126="","",VLOOKUP(EI126,Language!$D$5:$E$100,2,0))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IF(EV126="","",VLOOKUP(EV126,Language!$D$5:$E$100,2,0))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IF(FI126="","",VLOOKUP(FI126,Language!$D$5:$E$100,2,0))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IF(FV126="","",VLOOKUP(FV126,Language!$D$5:$E$100,2,0))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IF(GI126="","",VLOOKUP(GI126,Language!$D$5:$E$100,2,0))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IF(GV126="","",VLOOKUP(GV126,Language!$D$5:$E$100,2,0))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IF(HI126="","",VLOOKUP(HI126,Language!$D$5:$E$100,2,0))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IF(HV126="","",VLOOKUP(HV126,Language!$D$5:$E$100,2,0))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IF(II126="","",VLOOKUP(II126,Language!$D$5:$E$100,2,0))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IF(IV126="","",VLOOKUP(IV126,Language!$D$5:$E$100,2,0))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IF(JI126="","",VLOOKUP(JI126,Language!$D$5:$E$100,2,0))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IF(JV126="","",VLOOKUP(JV126,Language!$D$5:$E$100,2,0))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IF(KI126="","",VLOOKUP(KI126,Language!$D$5:$E$100,2,0))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IF(KV126="","",VLOOKUP(KV126,Language!$D$5:$E$100,2,0))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IF(LI126="","",VLOOKUP(LI126,Language!$D$5:$E$100,2,0))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IF(LV126="","",VLOOKUP(LV126,Language!$D$5:$E$100,2,0))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Language!$E$226</f>
        <v>World Champion</v>
      </c>
      <c r="C127" s="167"/>
      <c r="D127" s="348"/>
      <c r="E127" s="390"/>
      <c r="F127" s="391"/>
      <c r="G127" s="391"/>
      <c r="I127" s="238" t="str">
        <f>$B127</f>
        <v>World Champion</v>
      </c>
      <c r="J127" s="240"/>
      <c r="K127" s="240"/>
      <c r="L127" s="241"/>
      <c r="M127" s="270"/>
      <c r="N127" s="271"/>
      <c r="O127" s="242"/>
      <c r="P127" s="254"/>
      <c r="Q127" s="241"/>
      <c r="R127" s="241"/>
      <c r="S127" s="241"/>
      <c r="T127" s="255"/>
      <c r="V127" s="238" t="str">
        <f>$B127</f>
        <v>World Champion</v>
      </c>
      <c r="W127" s="240"/>
      <c r="X127" s="240"/>
      <c r="Y127" s="241"/>
      <c r="Z127" s="270"/>
      <c r="AA127" s="271"/>
      <c r="AB127" s="242"/>
      <c r="AC127" s="254"/>
      <c r="AD127" s="241"/>
      <c r="AE127" s="241"/>
      <c r="AF127" s="241"/>
      <c r="AG127" s="255"/>
      <c r="AI127" s="238" t="str">
        <f>$B127</f>
        <v>World Champion</v>
      </c>
      <c r="AJ127" s="240"/>
      <c r="AK127" s="240"/>
      <c r="AL127" s="241"/>
      <c r="AM127" s="270"/>
      <c r="AN127" s="271"/>
      <c r="AO127" s="242"/>
      <c r="AP127" s="254"/>
      <c r="AQ127" s="241"/>
      <c r="AR127" s="241"/>
      <c r="AS127" s="241"/>
      <c r="AT127" s="255"/>
      <c r="AV127" s="238" t="str">
        <f>$B127</f>
        <v>World Champion</v>
      </c>
      <c r="AW127" s="240"/>
      <c r="AX127" s="240"/>
      <c r="AY127" s="241"/>
      <c r="AZ127" s="270"/>
      <c r="BA127" s="271"/>
      <c r="BB127" s="242"/>
      <c r="BC127" s="254"/>
      <c r="BD127" s="241"/>
      <c r="BE127" s="241"/>
      <c r="BF127" s="241"/>
      <c r="BG127" s="255"/>
      <c r="BI127" s="238" t="str">
        <f>$B127</f>
        <v>World Champion</v>
      </c>
      <c r="BJ127" s="240"/>
      <c r="BK127" s="240"/>
      <c r="BL127" s="241"/>
      <c r="BM127" s="270"/>
      <c r="BN127" s="271"/>
      <c r="BO127" s="242"/>
      <c r="BP127" s="254"/>
      <c r="BQ127" s="241"/>
      <c r="BR127" s="241"/>
      <c r="BS127" s="241"/>
      <c r="BT127" s="255"/>
      <c r="BV127" s="238" t="str">
        <f>$B127</f>
        <v>World Champion</v>
      </c>
      <c r="BW127" s="240"/>
      <c r="BX127" s="240"/>
      <c r="BY127" s="241"/>
      <c r="BZ127" s="270"/>
      <c r="CA127" s="271"/>
      <c r="CB127" s="242"/>
      <c r="CC127" s="254"/>
      <c r="CD127" s="241"/>
      <c r="CE127" s="241"/>
      <c r="CF127" s="241"/>
      <c r="CG127" s="255"/>
      <c r="CI127" s="238" t="str">
        <f>$B127</f>
        <v>World Champion</v>
      </c>
      <c r="CJ127" s="240"/>
      <c r="CK127" s="240"/>
      <c r="CL127" s="241"/>
      <c r="CM127" s="270"/>
      <c r="CN127" s="271"/>
      <c r="CO127" s="242"/>
      <c r="CP127" s="254"/>
      <c r="CQ127" s="241"/>
      <c r="CR127" s="241"/>
      <c r="CS127" s="241"/>
      <c r="CT127" s="255"/>
      <c r="CV127" s="238" t="str">
        <f>$B127</f>
        <v>World Champion</v>
      </c>
      <c r="CW127" s="240"/>
      <c r="CX127" s="240"/>
      <c r="CY127" s="241"/>
      <c r="CZ127" s="270"/>
      <c r="DA127" s="271"/>
      <c r="DB127" s="242"/>
      <c r="DC127" s="254"/>
      <c r="DD127" s="241"/>
      <c r="DE127" s="241"/>
      <c r="DF127" s="241"/>
      <c r="DG127" s="255"/>
      <c r="DI127" s="238" t="str">
        <f>$B127</f>
        <v>World Champion</v>
      </c>
      <c r="DJ127" s="240"/>
      <c r="DK127" s="240"/>
      <c r="DL127" s="241"/>
      <c r="DM127" s="270"/>
      <c r="DN127" s="271"/>
      <c r="DO127" s="242"/>
      <c r="DP127" s="254"/>
      <c r="DQ127" s="241"/>
      <c r="DR127" s="241"/>
      <c r="DS127" s="241"/>
      <c r="DT127" s="255"/>
      <c r="DV127" s="238" t="str">
        <f>$B127</f>
        <v>World Champion</v>
      </c>
      <c r="DW127" s="240"/>
      <c r="DX127" s="240"/>
      <c r="DY127" s="241"/>
      <c r="DZ127" s="270"/>
      <c r="EA127" s="271"/>
      <c r="EB127" s="242"/>
      <c r="EC127" s="254"/>
      <c r="ED127" s="241"/>
      <c r="EE127" s="241"/>
      <c r="EF127" s="241"/>
      <c r="EG127" s="255"/>
      <c r="EI127" s="238" t="str">
        <f>$B127</f>
        <v>World Champion</v>
      </c>
      <c r="EJ127" s="240"/>
      <c r="EK127" s="240"/>
      <c r="EL127" s="241"/>
      <c r="EM127" s="270"/>
      <c r="EN127" s="271"/>
      <c r="EO127" s="242"/>
      <c r="EP127" s="254"/>
      <c r="EQ127" s="241"/>
      <c r="ER127" s="241"/>
      <c r="ES127" s="241"/>
      <c r="ET127" s="255"/>
      <c r="EV127" s="238" t="str">
        <f>$B127</f>
        <v>World Champion</v>
      </c>
      <c r="EW127" s="240"/>
      <c r="EX127" s="240"/>
      <c r="EY127" s="241"/>
      <c r="EZ127" s="270"/>
      <c r="FA127" s="271"/>
      <c r="FB127" s="242"/>
      <c r="FC127" s="254"/>
      <c r="FD127" s="241"/>
      <c r="FE127" s="241"/>
      <c r="FF127" s="241"/>
      <c r="FG127" s="255"/>
      <c r="FI127" s="238" t="str">
        <f>$B127</f>
        <v>World Champion</v>
      </c>
      <c r="FJ127" s="240"/>
      <c r="FK127" s="240"/>
      <c r="FL127" s="241"/>
      <c r="FM127" s="270"/>
      <c r="FN127" s="271"/>
      <c r="FO127" s="242"/>
      <c r="FP127" s="254"/>
      <c r="FQ127" s="241"/>
      <c r="FR127" s="241"/>
      <c r="FS127" s="241"/>
      <c r="FT127" s="255"/>
      <c r="FV127" s="238" t="str">
        <f>$B127</f>
        <v>World Champion</v>
      </c>
      <c r="FW127" s="240"/>
      <c r="FX127" s="240"/>
      <c r="FY127" s="241"/>
      <c r="FZ127" s="270"/>
      <c r="GA127" s="271"/>
      <c r="GB127" s="242"/>
      <c r="GC127" s="254"/>
      <c r="GD127" s="241"/>
      <c r="GE127" s="241"/>
      <c r="GF127" s="241"/>
      <c r="GG127" s="255"/>
      <c r="GI127" s="238" t="str">
        <f>$B127</f>
        <v>World Champion</v>
      </c>
      <c r="GJ127" s="240"/>
      <c r="GK127" s="240"/>
      <c r="GL127" s="241"/>
      <c r="GM127" s="270"/>
      <c r="GN127" s="271"/>
      <c r="GO127" s="242"/>
      <c r="GP127" s="254"/>
      <c r="GQ127" s="241"/>
      <c r="GR127" s="241"/>
      <c r="GS127" s="241"/>
      <c r="GT127" s="255"/>
      <c r="GV127" s="238" t="str">
        <f>$B127</f>
        <v>World Champion</v>
      </c>
      <c r="GW127" s="240"/>
      <c r="GX127" s="240"/>
      <c r="GY127" s="241"/>
      <c r="GZ127" s="270"/>
      <c r="HA127" s="271"/>
      <c r="HB127" s="242"/>
      <c r="HC127" s="254"/>
      <c r="HD127" s="241"/>
      <c r="HE127" s="241"/>
      <c r="HF127" s="241"/>
      <c r="HG127" s="255"/>
      <c r="HI127" s="238" t="str">
        <f>$B127</f>
        <v>World Champion</v>
      </c>
      <c r="HJ127" s="240"/>
      <c r="HK127" s="240"/>
      <c r="HL127" s="241"/>
      <c r="HM127" s="270"/>
      <c r="HN127" s="271"/>
      <c r="HO127" s="242"/>
      <c r="HP127" s="254"/>
      <c r="HQ127" s="241"/>
      <c r="HR127" s="241"/>
      <c r="HS127" s="241"/>
      <c r="HT127" s="255"/>
      <c r="HV127" s="238" t="str">
        <f>$B127</f>
        <v>World Champion</v>
      </c>
      <c r="HW127" s="240"/>
      <c r="HX127" s="240"/>
      <c r="HY127" s="241"/>
      <c r="HZ127" s="270"/>
      <c r="IA127" s="271"/>
      <c r="IB127" s="242"/>
      <c r="IC127" s="254"/>
      <c r="ID127" s="241"/>
      <c r="IE127" s="241"/>
      <c r="IF127" s="241"/>
      <c r="IG127" s="255"/>
      <c r="II127" s="238" t="str">
        <f>$B127</f>
        <v>World Champion</v>
      </c>
      <c r="IJ127" s="240"/>
      <c r="IK127" s="240"/>
      <c r="IL127" s="241"/>
      <c r="IM127" s="270"/>
      <c r="IN127" s="271"/>
      <c r="IO127" s="242"/>
      <c r="IP127" s="254"/>
      <c r="IQ127" s="241"/>
      <c r="IR127" s="241"/>
      <c r="IS127" s="241"/>
      <c r="IT127" s="255"/>
      <c r="IV127" s="238" t="str">
        <f>$B127</f>
        <v>World Champion</v>
      </c>
      <c r="IW127" s="240"/>
      <c r="IX127" s="240"/>
      <c r="IY127" s="241"/>
      <c r="IZ127" s="270"/>
      <c r="JA127" s="271"/>
      <c r="JB127" s="242"/>
      <c r="JC127" s="254"/>
      <c r="JD127" s="241"/>
      <c r="JE127" s="241"/>
      <c r="JF127" s="241"/>
      <c r="JG127" s="255"/>
      <c r="JI127" s="238" t="str">
        <f>$B127</f>
        <v>World Champion</v>
      </c>
      <c r="JJ127" s="240"/>
      <c r="JK127" s="240"/>
      <c r="JL127" s="241"/>
      <c r="JM127" s="270"/>
      <c r="JN127" s="271"/>
      <c r="JO127" s="242"/>
      <c r="JP127" s="254"/>
      <c r="JQ127" s="241"/>
      <c r="JR127" s="241"/>
      <c r="JS127" s="241"/>
      <c r="JT127" s="255"/>
      <c r="JV127" s="238" t="str">
        <f>$B127</f>
        <v>World Champion</v>
      </c>
      <c r="JW127" s="240"/>
      <c r="JX127" s="240"/>
      <c r="JY127" s="241"/>
      <c r="JZ127" s="270"/>
      <c r="KA127" s="271"/>
      <c r="KB127" s="242"/>
      <c r="KC127" s="254"/>
      <c r="KD127" s="241"/>
      <c r="KE127" s="241"/>
      <c r="KF127" s="241"/>
      <c r="KG127" s="255"/>
      <c r="KI127" s="238" t="str">
        <f>$B127</f>
        <v>World Champion</v>
      </c>
      <c r="KJ127" s="240"/>
      <c r="KK127" s="240"/>
      <c r="KL127" s="241"/>
      <c r="KM127" s="270"/>
      <c r="KN127" s="271"/>
      <c r="KO127" s="242"/>
      <c r="KP127" s="254"/>
      <c r="KQ127" s="241"/>
      <c r="KR127" s="241"/>
      <c r="KS127" s="241"/>
      <c r="KT127" s="255"/>
      <c r="KV127" s="238" t="str">
        <f>$B127</f>
        <v>World Champion</v>
      </c>
      <c r="KW127" s="240"/>
      <c r="KX127" s="240"/>
      <c r="KY127" s="241"/>
      <c r="KZ127" s="270"/>
      <c r="LA127" s="271"/>
      <c r="LB127" s="242"/>
      <c r="LC127" s="254"/>
      <c r="LD127" s="241"/>
      <c r="LE127" s="241"/>
      <c r="LF127" s="241"/>
      <c r="LG127" s="255"/>
      <c r="LI127" s="238" t="str">
        <f>$B127</f>
        <v>World Champion</v>
      </c>
      <c r="LJ127" s="240"/>
      <c r="LK127" s="240"/>
      <c r="LL127" s="241"/>
      <c r="LM127" s="270"/>
      <c r="LN127" s="271"/>
      <c r="LO127" s="242"/>
      <c r="LP127" s="254"/>
      <c r="LQ127" s="241"/>
      <c r="LR127" s="241"/>
      <c r="LS127" s="241"/>
      <c r="LT127" s="255"/>
      <c r="LV127" s="238" t="str">
        <f>$B127</f>
        <v>World Champion</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IF(I128="","",VLOOKUP(I128,Language!$D$5:$E$100,2,0))</f>
        <v/>
      </c>
      <c r="K128" s="394"/>
      <c r="L128" s="395"/>
      <c r="M128" s="396"/>
      <c r="N128" s="397"/>
      <c r="O128" s="398" t="str">
        <f>IF(($F126&lt;&gt;"")*($G126&lt;&gt;"")*(I128&lt;&gt;""),($F126&gt;$G126)*($B126=I128)+($F126&lt;$G126)*($D126=I128),"")</f>
        <v/>
      </c>
      <c r="P128" s="392"/>
      <c r="Q128" s="289"/>
      <c r="R128" s="287"/>
      <c r="S128" s="289"/>
      <c r="T128" s="399"/>
      <c r="V128" s="268"/>
      <c r="W128" s="253" t="str">
        <f>IF(V128="","",VLOOKUP(V128,Language!$D$5:$E$100,2,0))</f>
        <v/>
      </c>
      <c r="X128" s="394"/>
      <c r="Y128" s="395"/>
      <c r="Z128" s="396"/>
      <c r="AA128" s="397"/>
      <c r="AB128" s="398" t="str">
        <f>IF(($F126&lt;&gt;"")*($G126&lt;&gt;"")*(V128&lt;&gt;""),($F126&gt;$G126)*($B126=V128)+($F126&lt;$G126)*($D126=V128),"")</f>
        <v/>
      </c>
      <c r="AC128" s="392"/>
      <c r="AD128" s="289"/>
      <c r="AE128" s="287"/>
      <c r="AF128" s="289"/>
      <c r="AG128" s="399"/>
      <c r="AI128" s="268"/>
      <c r="AJ128" s="253" t="str">
        <f>IF(AI128="","",VLOOKUP(AI128,Language!$D$5:$E$100,2,0))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IF(AV128="","",VLOOKUP(AV128,Language!$D$5:$E$100,2,0))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IF(BI128="","",VLOOKUP(BI128,Language!$D$5:$E$100,2,0))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IF(BV128="","",VLOOKUP(BV128,Language!$D$5:$E$100,2,0))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IF(CI128="","",VLOOKUP(CI128,Language!$D$5:$E$100,2,0))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IF(CV128="","",VLOOKUP(CV128,Language!$D$5:$E$100,2,0))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IF(DI128="","",VLOOKUP(DI128,Language!$D$5:$E$100,2,0))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IF(DV128="","",VLOOKUP(DV128,Language!$D$5:$E$100,2,0))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IF(EI128="","",VLOOKUP(EI128,Language!$D$5:$E$100,2,0))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IF(EV128="","",VLOOKUP(EV128,Language!$D$5:$E$100,2,0))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IF(FI128="","",VLOOKUP(FI128,Language!$D$5:$E$100,2,0))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IF(FV128="","",VLOOKUP(FV128,Language!$D$5:$E$100,2,0))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IF(GI128="","",VLOOKUP(GI128,Language!$D$5:$E$100,2,0))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IF(GV128="","",VLOOKUP(GV128,Language!$D$5:$E$100,2,0))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IF(HI128="","",VLOOKUP(HI128,Language!$D$5:$E$100,2,0))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IF(HV128="","",VLOOKUP(HV128,Language!$D$5:$E$100,2,0))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IF(II128="","",VLOOKUP(II128,Language!$D$5:$E$100,2,0))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IF(IV128="","",VLOOKUP(IV128,Language!$D$5:$E$100,2,0))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IF(JI128="","",VLOOKUP(JI128,Language!$D$5:$E$100,2,0))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IF(JV128="","",VLOOKUP(JV128,Language!$D$5:$E$100,2,0))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IF(KI128="","",VLOOKUP(KI128,Language!$D$5:$E$100,2,0))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IF(KV128="","",VLOOKUP(KV128,Language!$D$5:$E$100,2,0))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IF(LI128="","",VLOOKUP(LI128,Language!$D$5:$E$100,2,0))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IF(LV128="","",VLOOKUP(LV128,Language!$D$5:$E$100,2,0))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Language!$E$225</f>
        <v>Final</v>
      </c>
      <c r="P129" s="250" t="str">
        <f>Language!$E$216</f>
        <v>W/D/L</v>
      </c>
      <c r="Q129" s="250" t="str">
        <f>Language!$E$217</f>
        <v>GD</v>
      </c>
      <c r="R129" s="250" t="str">
        <f>Language!$E$218</f>
        <v>exact</v>
      </c>
      <c r="S129" s="250" t="str">
        <f>Language!$E$230</f>
        <v>many g.</v>
      </c>
      <c r="T129" s="251" t="str">
        <f>Language!$E$219</f>
        <v>teams</v>
      </c>
      <c r="Y129" s="298"/>
      <c r="Z129" s="299"/>
      <c r="AA129" s="299"/>
      <c r="AB129" s="250" t="str">
        <f>Language!$E$225</f>
        <v>Final</v>
      </c>
      <c r="AC129" s="250" t="str">
        <f>Language!$E$216</f>
        <v>W/D/L</v>
      </c>
      <c r="AD129" s="250" t="str">
        <f>Language!$E$217</f>
        <v>GD</v>
      </c>
      <c r="AE129" s="250" t="str">
        <f>Language!$E$218</f>
        <v>exact</v>
      </c>
      <c r="AF129" s="250" t="str">
        <f>Language!$E$230</f>
        <v>many g.</v>
      </c>
      <c r="AG129" s="251" t="str">
        <f>Language!$E$219</f>
        <v>teams</v>
      </c>
      <c r="AL129" s="298"/>
      <c r="AM129" s="299"/>
      <c r="AN129" s="299"/>
      <c r="AO129" s="250" t="str">
        <f>Language!$E$225</f>
        <v>Final</v>
      </c>
      <c r="AP129" s="250" t="str">
        <f>Language!$E$216</f>
        <v>W/D/L</v>
      </c>
      <c r="AQ129" s="250" t="str">
        <f>Language!$E$217</f>
        <v>GD</v>
      </c>
      <c r="AR129" s="250" t="str">
        <f>Language!$E$218</f>
        <v>exact</v>
      </c>
      <c r="AS129" s="250" t="str">
        <f>Language!$E$230</f>
        <v>many g.</v>
      </c>
      <c r="AT129" s="251" t="str">
        <f>Language!$E$219</f>
        <v>teams</v>
      </c>
      <c r="AY129" s="298"/>
      <c r="AZ129" s="299"/>
      <c r="BA129" s="299"/>
      <c r="BB129" s="250" t="str">
        <f>Language!$E$225</f>
        <v>Final</v>
      </c>
      <c r="BC129" s="250" t="str">
        <f>Language!$E$216</f>
        <v>W/D/L</v>
      </c>
      <c r="BD129" s="250" t="str">
        <f>Language!$E$217</f>
        <v>GD</v>
      </c>
      <c r="BE129" s="250" t="str">
        <f>Language!$E$218</f>
        <v>exact</v>
      </c>
      <c r="BF129" s="250" t="str">
        <f>Language!$E$230</f>
        <v>many g.</v>
      </c>
      <c r="BG129" s="251" t="str">
        <f>Language!$E$219</f>
        <v>teams</v>
      </c>
      <c r="BL129" s="298"/>
      <c r="BM129" s="299"/>
      <c r="BN129" s="299"/>
      <c r="BO129" s="250" t="str">
        <f>Language!$E$225</f>
        <v>Final</v>
      </c>
      <c r="BP129" s="250" t="str">
        <f>Language!$E$216</f>
        <v>W/D/L</v>
      </c>
      <c r="BQ129" s="250" t="str">
        <f>Language!$E$217</f>
        <v>GD</v>
      </c>
      <c r="BR129" s="250" t="str">
        <f>Language!$E$218</f>
        <v>exact</v>
      </c>
      <c r="BS129" s="250" t="str">
        <f>Language!$E$230</f>
        <v>many g.</v>
      </c>
      <c r="BT129" s="251" t="str">
        <f>Language!$E$219</f>
        <v>teams</v>
      </c>
      <c r="BY129" s="298"/>
      <c r="BZ129" s="299"/>
      <c r="CA129" s="299"/>
      <c r="CB129" s="250" t="str">
        <f>Language!$E$225</f>
        <v>Final</v>
      </c>
      <c r="CC129" s="250" t="str">
        <f>Language!$E$216</f>
        <v>W/D/L</v>
      </c>
      <c r="CD129" s="250" t="str">
        <f>Language!$E$217</f>
        <v>GD</v>
      </c>
      <c r="CE129" s="250" t="str">
        <f>Language!$E$218</f>
        <v>exact</v>
      </c>
      <c r="CF129" s="250" t="str">
        <f>Language!$E$230</f>
        <v>many g.</v>
      </c>
      <c r="CG129" s="251" t="str">
        <f>Language!$E$219</f>
        <v>teams</v>
      </c>
      <c r="CL129" s="298"/>
      <c r="CM129" s="299"/>
      <c r="CN129" s="299"/>
      <c r="CO129" s="250" t="str">
        <f>Language!$E$225</f>
        <v>Final</v>
      </c>
      <c r="CP129" s="250" t="str">
        <f>Language!$E$216</f>
        <v>W/D/L</v>
      </c>
      <c r="CQ129" s="250" t="str">
        <f>Language!$E$217</f>
        <v>GD</v>
      </c>
      <c r="CR129" s="250" t="str">
        <f>Language!$E$218</f>
        <v>exact</v>
      </c>
      <c r="CS129" s="250" t="str">
        <f>Language!$E$230</f>
        <v>many g.</v>
      </c>
      <c r="CT129" s="251" t="str">
        <f>Language!$E$219</f>
        <v>teams</v>
      </c>
      <c r="CY129" s="298"/>
      <c r="CZ129" s="299"/>
      <c r="DA129" s="299"/>
      <c r="DB129" s="250" t="str">
        <f>Language!$E$225</f>
        <v>Final</v>
      </c>
      <c r="DC129" s="250" t="str">
        <f>Language!$E$216</f>
        <v>W/D/L</v>
      </c>
      <c r="DD129" s="250" t="str">
        <f>Language!$E$217</f>
        <v>GD</v>
      </c>
      <c r="DE129" s="250" t="str">
        <f>Language!$E$218</f>
        <v>exact</v>
      </c>
      <c r="DF129" s="250" t="str">
        <f>Language!$E$230</f>
        <v>many g.</v>
      </c>
      <c r="DG129" s="251" t="str">
        <f>Language!$E$219</f>
        <v>teams</v>
      </c>
      <c r="DL129" s="298"/>
      <c r="DM129" s="299"/>
      <c r="DN129" s="299"/>
      <c r="DO129" s="250" t="str">
        <f>Language!$E$225</f>
        <v>Final</v>
      </c>
      <c r="DP129" s="250" t="str">
        <f>Language!$E$216</f>
        <v>W/D/L</v>
      </c>
      <c r="DQ129" s="250" t="str">
        <f>Language!$E$217</f>
        <v>GD</v>
      </c>
      <c r="DR129" s="250" t="str">
        <f>Language!$E$218</f>
        <v>exact</v>
      </c>
      <c r="DS129" s="250" t="str">
        <f>Language!$E$230</f>
        <v>many g.</v>
      </c>
      <c r="DT129" s="251" t="str">
        <f>Language!$E$219</f>
        <v>teams</v>
      </c>
      <c r="DY129" s="298"/>
      <c r="DZ129" s="299"/>
      <c r="EA129" s="299"/>
      <c r="EB129" s="250" t="str">
        <f>Language!$E$225</f>
        <v>Final</v>
      </c>
      <c r="EC129" s="250" t="str">
        <f>Language!$E$216</f>
        <v>W/D/L</v>
      </c>
      <c r="ED129" s="250" t="str">
        <f>Language!$E$217</f>
        <v>GD</v>
      </c>
      <c r="EE129" s="250" t="str">
        <f>Language!$E$218</f>
        <v>exact</v>
      </c>
      <c r="EF129" s="250" t="str">
        <f>Language!$E$230</f>
        <v>many g.</v>
      </c>
      <c r="EG129" s="251" t="str">
        <f>Language!$E$219</f>
        <v>teams</v>
      </c>
      <c r="EL129" s="298"/>
      <c r="EM129" s="299"/>
      <c r="EN129" s="299"/>
      <c r="EO129" s="250" t="str">
        <f>Language!$E$225</f>
        <v>Final</v>
      </c>
      <c r="EP129" s="250" t="str">
        <f>Language!$E$216</f>
        <v>W/D/L</v>
      </c>
      <c r="EQ129" s="250" t="str">
        <f>Language!$E$217</f>
        <v>GD</v>
      </c>
      <c r="ER129" s="250" t="str">
        <f>Language!$E$218</f>
        <v>exact</v>
      </c>
      <c r="ES129" s="250" t="str">
        <f>Language!$E$230</f>
        <v>many g.</v>
      </c>
      <c r="ET129" s="251" t="str">
        <f>Language!$E$219</f>
        <v>teams</v>
      </c>
      <c r="EY129" s="298"/>
      <c r="EZ129" s="299"/>
      <c r="FA129" s="299"/>
      <c r="FB129" s="250" t="str">
        <f>Language!$E$225</f>
        <v>Final</v>
      </c>
      <c r="FC129" s="250" t="str">
        <f>Language!$E$216</f>
        <v>W/D/L</v>
      </c>
      <c r="FD129" s="250" t="str">
        <f>Language!$E$217</f>
        <v>GD</v>
      </c>
      <c r="FE129" s="250" t="str">
        <f>Language!$E$218</f>
        <v>exact</v>
      </c>
      <c r="FF129" s="250" t="str">
        <f>Language!$E$230</f>
        <v>many g.</v>
      </c>
      <c r="FG129" s="251" t="str">
        <f>Language!$E$219</f>
        <v>teams</v>
      </c>
      <c r="FL129" s="298"/>
      <c r="FM129" s="299"/>
      <c r="FN129" s="299"/>
      <c r="FO129" s="250" t="str">
        <f>Language!$E$225</f>
        <v>Final</v>
      </c>
      <c r="FP129" s="250" t="str">
        <f>Language!$E$216</f>
        <v>W/D/L</v>
      </c>
      <c r="FQ129" s="250" t="str">
        <f>Language!$E$217</f>
        <v>GD</v>
      </c>
      <c r="FR129" s="250" t="str">
        <f>Language!$E$218</f>
        <v>exact</v>
      </c>
      <c r="FS129" s="250" t="str">
        <f>Language!$E$230</f>
        <v>many g.</v>
      </c>
      <c r="FT129" s="251" t="str">
        <f>Language!$E$219</f>
        <v>teams</v>
      </c>
      <c r="FY129" s="298"/>
      <c r="FZ129" s="299"/>
      <c r="GA129" s="299"/>
      <c r="GB129" s="250" t="str">
        <f>Language!$E$225</f>
        <v>Final</v>
      </c>
      <c r="GC129" s="250" t="str">
        <f>Language!$E$216</f>
        <v>W/D/L</v>
      </c>
      <c r="GD129" s="250" t="str">
        <f>Language!$E$217</f>
        <v>GD</v>
      </c>
      <c r="GE129" s="250" t="str">
        <f>Language!$E$218</f>
        <v>exact</v>
      </c>
      <c r="GF129" s="250" t="str">
        <f>Language!$E$230</f>
        <v>many g.</v>
      </c>
      <c r="GG129" s="251" t="str">
        <f>Language!$E$219</f>
        <v>teams</v>
      </c>
      <c r="GL129" s="298"/>
      <c r="GM129" s="299"/>
      <c r="GN129" s="299"/>
      <c r="GO129" s="250" t="str">
        <f>Language!$E$225</f>
        <v>Final</v>
      </c>
      <c r="GP129" s="250" t="str">
        <f>Language!$E$216</f>
        <v>W/D/L</v>
      </c>
      <c r="GQ129" s="250" t="str">
        <f>Language!$E$217</f>
        <v>GD</v>
      </c>
      <c r="GR129" s="250" t="str">
        <f>Language!$E$218</f>
        <v>exact</v>
      </c>
      <c r="GS129" s="250" t="str">
        <f>Language!$E$230</f>
        <v>many g.</v>
      </c>
      <c r="GT129" s="251" t="str">
        <f>Language!$E$219</f>
        <v>teams</v>
      </c>
      <c r="GY129" s="298"/>
      <c r="GZ129" s="299"/>
      <c r="HA129" s="299"/>
      <c r="HB129" s="250" t="str">
        <f>Language!$E$225</f>
        <v>Final</v>
      </c>
      <c r="HC129" s="250" t="str">
        <f>Language!$E$216</f>
        <v>W/D/L</v>
      </c>
      <c r="HD129" s="250" t="str">
        <f>Language!$E$217</f>
        <v>GD</v>
      </c>
      <c r="HE129" s="250" t="str">
        <f>Language!$E$218</f>
        <v>exact</v>
      </c>
      <c r="HF129" s="250" t="str">
        <f>Language!$E$230</f>
        <v>many g.</v>
      </c>
      <c r="HG129" s="251" t="str">
        <f>Language!$E$219</f>
        <v>teams</v>
      </c>
      <c r="HL129" s="298"/>
      <c r="HM129" s="299"/>
      <c r="HN129" s="299"/>
      <c r="HO129" s="250" t="str">
        <f>Language!$E$225</f>
        <v>Final</v>
      </c>
      <c r="HP129" s="250" t="str">
        <f>Language!$E$216</f>
        <v>W/D/L</v>
      </c>
      <c r="HQ129" s="250" t="str">
        <f>Language!$E$217</f>
        <v>GD</v>
      </c>
      <c r="HR129" s="250" t="str">
        <f>Language!$E$218</f>
        <v>exact</v>
      </c>
      <c r="HS129" s="250" t="str">
        <f>Language!$E$230</f>
        <v>many g.</v>
      </c>
      <c r="HT129" s="251" t="str">
        <f>Language!$E$219</f>
        <v>teams</v>
      </c>
      <c r="HY129" s="298"/>
      <c r="HZ129" s="299"/>
      <c r="IA129" s="299"/>
      <c r="IB129" s="250" t="str">
        <f>Language!$E$225</f>
        <v>Final</v>
      </c>
      <c r="IC129" s="250" t="str">
        <f>Language!$E$216</f>
        <v>W/D/L</v>
      </c>
      <c r="ID129" s="250" t="str">
        <f>Language!$E$217</f>
        <v>GD</v>
      </c>
      <c r="IE129" s="250" t="str">
        <f>Language!$E$218</f>
        <v>exact</v>
      </c>
      <c r="IF129" s="250" t="str">
        <f>Language!$E$230</f>
        <v>many g.</v>
      </c>
      <c r="IG129" s="251" t="str">
        <f>Language!$E$219</f>
        <v>teams</v>
      </c>
      <c r="IL129" s="298"/>
      <c r="IM129" s="299"/>
      <c r="IN129" s="299"/>
      <c r="IO129" s="250" t="str">
        <f>Language!$E$225</f>
        <v>Final</v>
      </c>
      <c r="IP129" s="250" t="str">
        <f>Language!$E$216</f>
        <v>W/D/L</v>
      </c>
      <c r="IQ129" s="250" t="str">
        <f>Language!$E$217</f>
        <v>GD</v>
      </c>
      <c r="IR129" s="250" t="str">
        <f>Language!$E$218</f>
        <v>exact</v>
      </c>
      <c r="IS129" s="250" t="str">
        <f>Language!$E$230</f>
        <v>many g.</v>
      </c>
      <c r="IT129" s="251" t="str">
        <f>Language!$E$219</f>
        <v>teams</v>
      </c>
      <c r="IY129" s="298"/>
      <c r="IZ129" s="299"/>
      <c r="JA129" s="299"/>
      <c r="JB129" s="250" t="str">
        <f>Language!$E$225</f>
        <v>Final</v>
      </c>
      <c r="JC129" s="250" t="str">
        <f>Language!$E$216</f>
        <v>W/D/L</v>
      </c>
      <c r="JD129" s="250" t="str">
        <f>Language!$E$217</f>
        <v>GD</v>
      </c>
      <c r="JE129" s="250" t="str">
        <f>Language!$E$218</f>
        <v>exact</v>
      </c>
      <c r="JF129" s="250" t="str">
        <f>Language!$E$230</f>
        <v>many g.</v>
      </c>
      <c r="JG129" s="251" t="str">
        <f>Language!$E$219</f>
        <v>teams</v>
      </c>
      <c r="JL129" s="298"/>
      <c r="JM129" s="299"/>
      <c r="JN129" s="299"/>
      <c r="JO129" s="250" t="str">
        <f>Language!$E$225</f>
        <v>Final</v>
      </c>
      <c r="JP129" s="250" t="str">
        <f>Language!$E$216</f>
        <v>W/D/L</v>
      </c>
      <c r="JQ129" s="250" t="str">
        <f>Language!$E$217</f>
        <v>GD</v>
      </c>
      <c r="JR129" s="250" t="str">
        <f>Language!$E$218</f>
        <v>exact</v>
      </c>
      <c r="JS129" s="250" t="str">
        <f>Language!$E$230</f>
        <v>many g.</v>
      </c>
      <c r="JT129" s="251" t="str">
        <f>Language!$E$219</f>
        <v>teams</v>
      </c>
      <c r="JY129" s="298"/>
      <c r="JZ129" s="299"/>
      <c r="KA129" s="299"/>
      <c r="KB129" s="250" t="str">
        <f>Language!$E$225</f>
        <v>Final</v>
      </c>
      <c r="KC129" s="250" t="str">
        <f>Language!$E$216</f>
        <v>W/D/L</v>
      </c>
      <c r="KD129" s="250" t="str">
        <f>Language!$E$217</f>
        <v>GD</v>
      </c>
      <c r="KE129" s="250" t="str">
        <f>Language!$E$218</f>
        <v>exact</v>
      </c>
      <c r="KF129" s="250" t="str">
        <f>Language!$E$230</f>
        <v>many g.</v>
      </c>
      <c r="KG129" s="251" t="str">
        <f>Language!$E$219</f>
        <v>teams</v>
      </c>
      <c r="KL129" s="298"/>
      <c r="KM129" s="299"/>
      <c r="KN129" s="299"/>
      <c r="KO129" s="250" t="str">
        <f>Language!$E$225</f>
        <v>Final</v>
      </c>
      <c r="KP129" s="250" t="str">
        <f>Language!$E$216</f>
        <v>W/D/L</v>
      </c>
      <c r="KQ129" s="250" t="str">
        <f>Language!$E$217</f>
        <v>GD</v>
      </c>
      <c r="KR129" s="250" t="str">
        <f>Language!$E$218</f>
        <v>exact</v>
      </c>
      <c r="KS129" s="250" t="str">
        <f>Language!$E$230</f>
        <v>many g.</v>
      </c>
      <c r="KT129" s="251" t="str">
        <f>Language!$E$219</f>
        <v>teams</v>
      </c>
      <c r="KY129" s="298"/>
      <c r="KZ129" s="299"/>
      <c r="LA129" s="299"/>
      <c r="LB129" s="250" t="str">
        <f>Language!$E$225</f>
        <v>Final</v>
      </c>
      <c r="LC129" s="250" t="str">
        <f>Language!$E$216</f>
        <v>W/D/L</v>
      </c>
      <c r="LD129" s="250" t="str">
        <f>Language!$E$217</f>
        <v>GD</v>
      </c>
      <c r="LE129" s="250" t="str">
        <f>Language!$E$218</f>
        <v>exact</v>
      </c>
      <c r="LF129" s="250" t="str">
        <f>Language!$E$230</f>
        <v>many g.</v>
      </c>
      <c r="LG129" s="251" t="str">
        <f>Language!$E$219</f>
        <v>teams</v>
      </c>
      <c r="LL129" s="298"/>
      <c r="LM129" s="299"/>
      <c r="LN129" s="299"/>
      <c r="LO129" s="250" t="str">
        <f>Language!$E$225</f>
        <v>Final</v>
      </c>
      <c r="LP129" s="250" t="str">
        <f>Language!$E$216</f>
        <v>W/D/L</v>
      </c>
      <c r="LQ129" s="250" t="str">
        <f>Language!$E$217</f>
        <v>GD</v>
      </c>
      <c r="LR129" s="250" t="str">
        <f>Language!$E$218</f>
        <v>exact</v>
      </c>
      <c r="LS129" s="250" t="str">
        <f>Language!$E$230</f>
        <v>many g.</v>
      </c>
      <c r="LT129" s="251" t="str">
        <f>Language!$E$219</f>
        <v>teams</v>
      </c>
      <c r="LY129" s="298"/>
      <c r="LZ129" s="299"/>
      <c r="MA129" s="299"/>
      <c r="MB129" s="250" t="str">
        <f>Language!$E$225</f>
        <v>Final</v>
      </c>
      <c r="MC129" s="250" t="str">
        <f>Language!$E$216</f>
        <v>W/D/L</v>
      </c>
      <c r="MD129" s="250" t="str">
        <f>Language!$E$217</f>
        <v>GD</v>
      </c>
      <c r="ME129" s="250" t="str">
        <f>Language!$E$218</f>
        <v>exact</v>
      </c>
      <c r="MF129" s="250" t="str">
        <f>Language!$E$230</f>
        <v>many g.</v>
      </c>
      <c r="MG129" s="251" t="str">
        <f>Language!$E$219</f>
        <v>teams</v>
      </c>
    </row>
    <row r="130" spans="2:345" x14ac:dyDescent="0.25">
      <c r="L130" s="1058" t="str">
        <f>Language!$E$251</f>
        <v>Number:</v>
      </c>
      <c r="M130" s="1059"/>
      <c r="N130" s="1060"/>
      <c r="O130" s="231">
        <f>SUM(O126:O128)</f>
        <v>0</v>
      </c>
      <c r="P130" s="231">
        <f>SUM(P6:P88)</f>
        <v>0</v>
      </c>
      <c r="Q130" s="231">
        <f>SUM(Q6:Q88)</f>
        <v>0</v>
      </c>
      <c r="R130" s="231">
        <f>SUM(R6:R88)</f>
        <v>0</v>
      </c>
      <c r="S130" s="231">
        <f>SUM(S6:S88)</f>
        <v>0</v>
      </c>
      <c r="T130" s="577">
        <f>SUM(T90:T124)</f>
        <v>0</v>
      </c>
      <c r="Y130" s="1058" t="str">
        <f>Language!$E$251</f>
        <v>Number:</v>
      </c>
      <c r="Z130" s="1059"/>
      <c r="AA130" s="1060"/>
      <c r="AB130" s="231">
        <f>SUM(AB126:AB128)</f>
        <v>0</v>
      </c>
      <c r="AC130" s="231">
        <f>SUM(AC6:AC88)</f>
        <v>0</v>
      </c>
      <c r="AD130" s="231">
        <f>SUM(AD6:AD88)</f>
        <v>0</v>
      </c>
      <c r="AE130" s="231">
        <f>SUM(AE6:AE88)</f>
        <v>0</v>
      </c>
      <c r="AF130" s="231">
        <f>SUM(AF6:AF88)</f>
        <v>0</v>
      </c>
      <c r="AG130" s="577">
        <f>SUM(AG90:AG124)</f>
        <v>0</v>
      </c>
      <c r="AL130" s="1058" t="str">
        <f>Language!$E$251</f>
        <v>Number:</v>
      </c>
      <c r="AM130" s="1059"/>
      <c r="AN130" s="1060"/>
      <c r="AO130" s="231">
        <f>SUM(AO126:AO128)</f>
        <v>0</v>
      </c>
      <c r="AP130" s="231">
        <f>SUM(AP6:AP88)</f>
        <v>0</v>
      </c>
      <c r="AQ130" s="231">
        <f>SUM(AQ6:AQ88)</f>
        <v>0</v>
      </c>
      <c r="AR130" s="231">
        <f>SUM(AR6:AR88)</f>
        <v>0</v>
      </c>
      <c r="AS130" s="231">
        <f>SUM(AS6:AS88)</f>
        <v>0</v>
      </c>
      <c r="AT130" s="577">
        <f>SUM(AT90:AT124)</f>
        <v>0</v>
      </c>
      <c r="AY130" s="1058" t="str">
        <f>Language!$E$251</f>
        <v>Number:</v>
      </c>
      <c r="AZ130" s="1059"/>
      <c r="BA130" s="1060"/>
      <c r="BB130" s="231">
        <f>SUM(BB126:BB128)</f>
        <v>0</v>
      </c>
      <c r="BC130" s="231">
        <f>SUM(BC6:BC88)</f>
        <v>0</v>
      </c>
      <c r="BD130" s="231">
        <f>SUM(BD6:BD88)</f>
        <v>0</v>
      </c>
      <c r="BE130" s="231">
        <f>SUM(BE6:BE88)</f>
        <v>0</v>
      </c>
      <c r="BF130" s="231">
        <f>SUM(BF6:BF88)</f>
        <v>0</v>
      </c>
      <c r="BG130" s="577">
        <f>SUM(BG90:BG124)</f>
        <v>0</v>
      </c>
      <c r="BL130" s="1058" t="str">
        <f>Language!$E$251</f>
        <v>Number:</v>
      </c>
      <c r="BM130" s="1059"/>
      <c r="BN130" s="1060"/>
      <c r="BO130" s="231">
        <f>SUM(BO126:BO128)</f>
        <v>0</v>
      </c>
      <c r="BP130" s="231">
        <f>SUM(BP6:BP88)</f>
        <v>0</v>
      </c>
      <c r="BQ130" s="231">
        <f>SUM(BQ6:BQ88)</f>
        <v>0</v>
      </c>
      <c r="BR130" s="231">
        <f>SUM(BR6:BR88)</f>
        <v>0</v>
      </c>
      <c r="BS130" s="231">
        <f>SUM(BS6:BS88)</f>
        <v>0</v>
      </c>
      <c r="BT130" s="577">
        <f>SUM(BT90:BT124)</f>
        <v>0</v>
      </c>
      <c r="BY130" s="1058" t="str">
        <f>Language!$E$251</f>
        <v>Number:</v>
      </c>
      <c r="BZ130" s="1059"/>
      <c r="CA130" s="1060"/>
      <c r="CB130" s="231">
        <f>SUM(CB126:CB128)</f>
        <v>0</v>
      </c>
      <c r="CC130" s="231">
        <f>SUM(CC6:CC88)</f>
        <v>0</v>
      </c>
      <c r="CD130" s="231">
        <f>SUM(CD6:CD88)</f>
        <v>0</v>
      </c>
      <c r="CE130" s="231">
        <f>SUM(CE6:CE88)</f>
        <v>0</v>
      </c>
      <c r="CF130" s="231">
        <f>SUM(CF6:CF88)</f>
        <v>0</v>
      </c>
      <c r="CG130" s="577">
        <f>SUM(CG90:CG124)</f>
        <v>0</v>
      </c>
      <c r="CL130" s="1058" t="str">
        <f>Language!$E$251</f>
        <v>Number:</v>
      </c>
      <c r="CM130" s="1059"/>
      <c r="CN130" s="1060"/>
      <c r="CO130" s="231">
        <f>SUM(CO126:CO128)</f>
        <v>0</v>
      </c>
      <c r="CP130" s="231">
        <f>SUM(CP6:CP88)</f>
        <v>0</v>
      </c>
      <c r="CQ130" s="231">
        <f>SUM(CQ6:CQ88)</f>
        <v>0</v>
      </c>
      <c r="CR130" s="231">
        <f>SUM(CR6:CR88)</f>
        <v>0</v>
      </c>
      <c r="CS130" s="231">
        <f>SUM(CS6:CS88)</f>
        <v>0</v>
      </c>
      <c r="CT130" s="577">
        <f>SUM(CT90:CT124)</f>
        <v>0</v>
      </c>
      <c r="CY130" s="1058" t="str">
        <f>Language!$E$251</f>
        <v>Number:</v>
      </c>
      <c r="CZ130" s="1059"/>
      <c r="DA130" s="1060"/>
      <c r="DB130" s="231">
        <f>SUM(DB126:DB128)</f>
        <v>0</v>
      </c>
      <c r="DC130" s="231">
        <f>SUM(DC6:DC88)</f>
        <v>0</v>
      </c>
      <c r="DD130" s="231">
        <f>SUM(DD6:DD88)</f>
        <v>0</v>
      </c>
      <c r="DE130" s="231">
        <f>SUM(DE6:DE88)</f>
        <v>0</v>
      </c>
      <c r="DF130" s="231">
        <f>SUM(DF6:DF88)</f>
        <v>0</v>
      </c>
      <c r="DG130" s="577">
        <f>SUM(DG90:DG124)</f>
        <v>0</v>
      </c>
      <c r="DL130" s="1058" t="str">
        <f>Language!$E$251</f>
        <v>Number:</v>
      </c>
      <c r="DM130" s="1059"/>
      <c r="DN130" s="1060"/>
      <c r="DO130" s="231">
        <f>SUM(DO126:DO128)</f>
        <v>0</v>
      </c>
      <c r="DP130" s="231">
        <f>SUM(DP6:DP88)</f>
        <v>0</v>
      </c>
      <c r="DQ130" s="231">
        <f>SUM(DQ6:DQ88)</f>
        <v>0</v>
      </c>
      <c r="DR130" s="231">
        <f>SUM(DR6:DR88)</f>
        <v>0</v>
      </c>
      <c r="DS130" s="231">
        <f>SUM(DS6:DS88)</f>
        <v>0</v>
      </c>
      <c r="DT130" s="577">
        <f>SUM(DT90:DT124)</f>
        <v>0</v>
      </c>
      <c r="DY130" s="1058" t="str">
        <f>Language!$E$251</f>
        <v>Number:</v>
      </c>
      <c r="DZ130" s="1059"/>
      <c r="EA130" s="1060"/>
      <c r="EB130" s="231">
        <f>SUM(EB126:EB128)</f>
        <v>0</v>
      </c>
      <c r="EC130" s="231">
        <f>SUM(EC6:EC88)</f>
        <v>0</v>
      </c>
      <c r="ED130" s="231">
        <f>SUM(ED6:ED88)</f>
        <v>0</v>
      </c>
      <c r="EE130" s="231">
        <f>SUM(EE6:EE88)</f>
        <v>0</v>
      </c>
      <c r="EF130" s="231">
        <f>SUM(EF6:EF88)</f>
        <v>0</v>
      </c>
      <c r="EG130" s="577">
        <f>SUM(EG90:EG124)</f>
        <v>0</v>
      </c>
      <c r="EL130" s="1058" t="str">
        <f>Language!$E$251</f>
        <v>Number:</v>
      </c>
      <c r="EM130" s="1059"/>
      <c r="EN130" s="1060"/>
      <c r="EO130" s="231">
        <f>SUM(EO126:EO128)</f>
        <v>0</v>
      </c>
      <c r="EP130" s="231">
        <f>SUM(EP6:EP88)</f>
        <v>0</v>
      </c>
      <c r="EQ130" s="231">
        <f>SUM(EQ6:EQ88)</f>
        <v>0</v>
      </c>
      <c r="ER130" s="231">
        <f>SUM(ER6:ER88)</f>
        <v>0</v>
      </c>
      <c r="ES130" s="231">
        <f>SUM(ES6:ES88)</f>
        <v>0</v>
      </c>
      <c r="ET130" s="577">
        <f>SUM(ET90:ET124)</f>
        <v>0</v>
      </c>
      <c r="EY130" s="1058" t="str">
        <f>Language!$E$251</f>
        <v>Number:</v>
      </c>
      <c r="EZ130" s="1059"/>
      <c r="FA130" s="1060"/>
      <c r="FB130" s="231">
        <f>SUM(FB126:FB128)</f>
        <v>0</v>
      </c>
      <c r="FC130" s="231">
        <f>SUM(FC6:FC88)</f>
        <v>0</v>
      </c>
      <c r="FD130" s="231">
        <f>SUM(FD6:FD88)</f>
        <v>0</v>
      </c>
      <c r="FE130" s="231">
        <f>SUM(FE6:FE88)</f>
        <v>0</v>
      </c>
      <c r="FF130" s="231">
        <f>SUM(FF6:FF88)</f>
        <v>0</v>
      </c>
      <c r="FG130" s="577">
        <f>SUM(FG90:FG124)</f>
        <v>0</v>
      </c>
      <c r="FL130" s="1058" t="str">
        <f>Language!$E$251</f>
        <v>Number:</v>
      </c>
      <c r="FM130" s="1059"/>
      <c r="FN130" s="1060"/>
      <c r="FO130" s="231">
        <f>SUM(FO126:FO128)</f>
        <v>0</v>
      </c>
      <c r="FP130" s="231">
        <f>SUM(FP6:FP88)</f>
        <v>0</v>
      </c>
      <c r="FQ130" s="231">
        <f>SUM(FQ6:FQ88)</f>
        <v>0</v>
      </c>
      <c r="FR130" s="231">
        <f>SUM(FR6:FR88)</f>
        <v>0</v>
      </c>
      <c r="FS130" s="231">
        <f>SUM(FS6:FS88)</f>
        <v>0</v>
      </c>
      <c r="FT130" s="577">
        <f>SUM(FT90:FT124)</f>
        <v>0</v>
      </c>
      <c r="FY130" s="1058" t="str">
        <f>Language!$E$251</f>
        <v>Number:</v>
      </c>
      <c r="FZ130" s="1059"/>
      <c r="GA130" s="1060"/>
      <c r="GB130" s="231">
        <f>SUM(GB126:GB128)</f>
        <v>0</v>
      </c>
      <c r="GC130" s="231">
        <f>SUM(GC6:GC88)</f>
        <v>0</v>
      </c>
      <c r="GD130" s="231">
        <f>SUM(GD6:GD88)</f>
        <v>0</v>
      </c>
      <c r="GE130" s="231">
        <f>SUM(GE6:GE88)</f>
        <v>0</v>
      </c>
      <c r="GF130" s="231">
        <f>SUM(GF6:GF88)</f>
        <v>0</v>
      </c>
      <c r="GG130" s="577">
        <f>SUM(GG90:GG124)</f>
        <v>0</v>
      </c>
      <c r="GL130" s="1058" t="str">
        <f>Language!$E$251</f>
        <v>Number:</v>
      </c>
      <c r="GM130" s="1059"/>
      <c r="GN130" s="1060"/>
      <c r="GO130" s="231">
        <f>SUM(GO126:GO128)</f>
        <v>0</v>
      </c>
      <c r="GP130" s="231">
        <f>SUM(GP6:GP88)</f>
        <v>0</v>
      </c>
      <c r="GQ130" s="231">
        <f>SUM(GQ6:GQ88)</f>
        <v>0</v>
      </c>
      <c r="GR130" s="231">
        <f>SUM(GR6:GR88)</f>
        <v>0</v>
      </c>
      <c r="GS130" s="231">
        <f>SUM(GS6:GS88)</f>
        <v>0</v>
      </c>
      <c r="GT130" s="577">
        <f>SUM(GT90:GT124)</f>
        <v>0</v>
      </c>
      <c r="GY130" s="1058" t="str">
        <f>Language!$E$251</f>
        <v>Number:</v>
      </c>
      <c r="GZ130" s="1059"/>
      <c r="HA130" s="1060"/>
      <c r="HB130" s="231">
        <f>SUM(HB126:HB128)</f>
        <v>0</v>
      </c>
      <c r="HC130" s="231">
        <f>SUM(HC6:HC88)</f>
        <v>0</v>
      </c>
      <c r="HD130" s="231">
        <f>SUM(HD6:HD88)</f>
        <v>0</v>
      </c>
      <c r="HE130" s="231">
        <f>SUM(HE6:HE88)</f>
        <v>0</v>
      </c>
      <c r="HF130" s="231">
        <f>SUM(HF6:HF88)</f>
        <v>0</v>
      </c>
      <c r="HG130" s="577">
        <f>SUM(HG90:HG124)</f>
        <v>0</v>
      </c>
      <c r="HL130" s="1058" t="str">
        <f>Language!$E$251</f>
        <v>Number:</v>
      </c>
      <c r="HM130" s="1059"/>
      <c r="HN130" s="1060"/>
      <c r="HO130" s="231">
        <f>SUM(HO126:HO128)</f>
        <v>0</v>
      </c>
      <c r="HP130" s="231">
        <f>SUM(HP6:HP88)</f>
        <v>0</v>
      </c>
      <c r="HQ130" s="231">
        <f>SUM(HQ6:HQ88)</f>
        <v>0</v>
      </c>
      <c r="HR130" s="231">
        <f>SUM(HR6:HR88)</f>
        <v>0</v>
      </c>
      <c r="HS130" s="231">
        <f>SUM(HS6:HS88)</f>
        <v>0</v>
      </c>
      <c r="HT130" s="577">
        <f>SUM(HT90:HT124)</f>
        <v>0</v>
      </c>
      <c r="HY130" s="1058" t="str">
        <f>Language!$E$251</f>
        <v>Number:</v>
      </c>
      <c r="HZ130" s="1059"/>
      <c r="IA130" s="1060"/>
      <c r="IB130" s="231">
        <f>SUM(IB126:IB128)</f>
        <v>0</v>
      </c>
      <c r="IC130" s="231">
        <f>SUM(IC6:IC88)</f>
        <v>0</v>
      </c>
      <c r="ID130" s="231">
        <f>SUM(ID6:ID88)</f>
        <v>0</v>
      </c>
      <c r="IE130" s="231">
        <f>SUM(IE6:IE88)</f>
        <v>0</v>
      </c>
      <c r="IF130" s="231">
        <f>SUM(IF6:IF88)</f>
        <v>0</v>
      </c>
      <c r="IG130" s="577">
        <f>SUM(IG90:IG124)</f>
        <v>0</v>
      </c>
      <c r="IL130" s="1058" t="str">
        <f>Language!$E$251</f>
        <v>Number:</v>
      </c>
      <c r="IM130" s="1059"/>
      <c r="IN130" s="1060"/>
      <c r="IO130" s="231">
        <f>SUM(IO126:IO128)</f>
        <v>0</v>
      </c>
      <c r="IP130" s="231">
        <f>SUM(IP6:IP88)</f>
        <v>0</v>
      </c>
      <c r="IQ130" s="231">
        <f>SUM(IQ6:IQ88)</f>
        <v>0</v>
      </c>
      <c r="IR130" s="231">
        <f>SUM(IR6:IR88)</f>
        <v>0</v>
      </c>
      <c r="IS130" s="231">
        <f>SUM(IS6:IS88)</f>
        <v>0</v>
      </c>
      <c r="IT130" s="577">
        <f>SUM(IT90:IT124)</f>
        <v>0</v>
      </c>
      <c r="IY130" s="1058" t="str">
        <f>Language!$E$251</f>
        <v>Number:</v>
      </c>
      <c r="IZ130" s="1059"/>
      <c r="JA130" s="1060"/>
      <c r="JB130" s="231">
        <f>SUM(JB126:JB128)</f>
        <v>0</v>
      </c>
      <c r="JC130" s="231">
        <f>SUM(JC6:JC88)</f>
        <v>0</v>
      </c>
      <c r="JD130" s="231">
        <f>SUM(JD6:JD88)</f>
        <v>0</v>
      </c>
      <c r="JE130" s="231">
        <f>SUM(JE6:JE88)</f>
        <v>0</v>
      </c>
      <c r="JF130" s="231">
        <f>SUM(JF6:JF88)</f>
        <v>0</v>
      </c>
      <c r="JG130" s="577">
        <f>SUM(JG90:JG124)</f>
        <v>0</v>
      </c>
      <c r="JL130" s="1058" t="str">
        <f>Language!$E$251</f>
        <v>Number:</v>
      </c>
      <c r="JM130" s="1059"/>
      <c r="JN130" s="1060"/>
      <c r="JO130" s="231">
        <f>SUM(JO126:JO128)</f>
        <v>0</v>
      </c>
      <c r="JP130" s="231">
        <f>SUM(JP6:JP88)</f>
        <v>0</v>
      </c>
      <c r="JQ130" s="231">
        <f>SUM(JQ6:JQ88)</f>
        <v>0</v>
      </c>
      <c r="JR130" s="231">
        <f>SUM(JR6:JR88)</f>
        <v>0</v>
      </c>
      <c r="JS130" s="231">
        <f>SUM(JS6:JS88)</f>
        <v>0</v>
      </c>
      <c r="JT130" s="577">
        <f>SUM(JT90:JT124)</f>
        <v>0</v>
      </c>
      <c r="JY130" s="1058" t="str">
        <f>Language!$E$251</f>
        <v>Number:</v>
      </c>
      <c r="JZ130" s="1059"/>
      <c r="KA130" s="1060"/>
      <c r="KB130" s="231">
        <f>SUM(KB126:KB128)</f>
        <v>0</v>
      </c>
      <c r="KC130" s="231">
        <f>SUM(KC6:KC88)</f>
        <v>0</v>
      </c>
      <c r="KD130" s="231">
        <f>SUM(KD6:KD88)</f>
        <v>0</v>
      </c>
      <c r="KE130" s="231">
        <f>SUM(KE6:KE88)</f>
        <v>0</v>
      </c>
      <c r="KF130" s="231">
        <f>SUM(KF6:KF88)</f>
        <v>0</v>
      </c>
      <c r="KG130" s="577">
        <f>SUM(KG90:KG124)</f>
        <v>0</v>
      </c>
      <c r="KL130" s="1058" t="str">
        <f>Language!$E$251</f>
        <v>Number:</v>
      </c>
      <c r="KM130" s="1059"/>
      <c r="KN130" s="1060"/>
      <c r="KO130" s="231">
        <f>SUM(KO126:KO128)</f>
        <v>0</v>
      </c>
      <c r="KP130" s="231">
        <f>SUM(KP6:KP88)</f>
        <v>0</v>
      </c>
      <c r="KQ130" s="231">
        <f>SUM(KQ6:KQ88)</f>
        <v>0</v>
      </c>
      <c r="KR130" s="231">
        <f>SUM(KR6:KR88)</f>
        <v>0</v>
      </c>
      <c r="KS130" s="231">
        <f>SUM(KS6:KS88)</f>
        <v>0</v>
      </c>
      <c r="KT130" s="577">
        <f>SUM(KT90:KT124)</f>
        <v>0</v>
      </c>
      <c r="KY130" s="1058" t="str">
        <f>Language!$E$251</f>
        <v>Number:</v>
      </c>
      <c r="KZ130" s="1059"/>
      <c r="LA130" s="1060"/>
      <c r="LB130" s="231">
        <f>SUM(LB126:LB128)</f>
        <v>0</v>
      </c>
      <c r="LC130" s="231">
        <f>SUM(LC6:LC88)</f>
        <v>0</v>
      </c>
      <c r="LD130" s="231">
        <f>SUM(LD6:LD88)</f>
        <v>0</v>
      </c>
      <c r="LE130" s="231">
        <f>SUM(LE6:LE88)</f>
        <v>0</v>
      </c>
      <c r="LF130" s="231">
        <f>SUM(LF6:LF88)</f>
        <v>0</v>
      </c>
      <c r="LG130" s="577">
        <f>SUM(LG90:LG124)</f>
        <v>0</v>
      </c>
      <c r="LL130" s="1058" t="str">
        <f>Language!$E$251</f>
        <v>Number:</v>
      </c>
      <c r="LM130" s="1059"/>
      <c r="LN130" s="1060"/>
      <c r="LO130" s="231">
        <f>SUM(LO126:LO128)</f>
        <v>0</v>
      </c>
      <c r="LP130" s="231">
        <f>SUM(LP6:LP88)</f>
        <v>0</v>
      </c>
      <c r="LQ130" s="231">
        <f>SUM(LQ6:LQ88)</f>
        <v>0</v>
      </c>
      <c r="LR130" s="231">
        <f>SUM(LR6:LR88)</f>
        <v>0</v>
      </c>
      <c r="LS130" s="231">
        <f>SUM(LS6:LS88)</f>
        <v>0</v>
      </c>
      <c r="LT130" s="577">
        <f>SUM(LT90:LT124)</f>
        <v>0</v>
      </c>
      <c r="LY130" s="1058" t="str">
        <f>Language!$E$251</f>
        <v>Number:</v>
      </c>
      <c r="LZ130" s="1059"/>
      <c r="MA130" s="1060"/>
      <c r="MB130" s="231">
        <f>SUM(MB126:MB128)</f>
        <v>0</v>
      </c>
      <c r="MC130" s="231">
        <f>SUM(MC6:MC88)</f>
        <v>0</v>
      </c>
      <c r="MD130" s="231">
        <f>SUM(MD6:MD88)</f>
        <v>0</v>
      </c>
      <c r="ME130" s="231">
        <f>SUM(ME6:ME88)</f>
        <v>0</v>
      </c>
      <c r="MF130" s="231">
        <f>SUM(MF6:MF88)</f>
        <v>0</v>
      </c>
      <c r="MG130" s="577">
        <f>SUM(MG90:MG124)</f>
        <v>0</v>
      </c>
    </row>
    <row r="131" spans="2:345" ht="16.5" thickBot="1" x14ac:dyDescent="0.3">
      <c r="L131" s="1052" t="str">
        <f>Language!$E$213</f>
        <v>Points:</v>
      </c>
      <c r="M131" s="1053"/>
      <c r="N131" s="1054"/>
      <c r="O131" s="259">
        <f>O130*PrSettings!$F$9</f>
        <v>0</v>
      </c>
      <c r="P131" s="259">
        <f>P130*PrSettings!$F$4</f>
        <v>0</v>
      </c>
      <c r="Q131" s="259">
        <f>Q130*PrSettings!$F$5</f>
        <v>0</v>
      </c>
      <c r="R131" s="259">
        <f>R130*PrSettings!$F$6</f>
        <v>0</v>
      </c>
      <c r="S131" s="259">
        <f>S130*PrSettings!$F$7</f>
        <v>0</v>
      </c>
      <c r="T131" s="260">
        <f>T130*PrSettings!$F$8</f>
        <v>0</v>
      </c>
      <c r="Y131" s="1052" t="str">
        <f>Language!$E$213</f>
        <v>Points:</v>
      </c>
      <c r="Z131" s="1053"/>
      <c r="AA131" s="1054"/>
      <c r="AB131" s="259">
        <f>AB130*PrSettings!$F$9</f>
        <v>0</v>
      </c>
      <c r="AC131" s="259">
        <f>AC130*PrSettings!$F$4</f>
        <v>0</v>
      </c>
      <c r="AD131" s="259">
        <f>AD130*PrSettings!$F$5</f>
        <v>0</v>
      </c>
      <c r="AE131" s="259">
        <f>AE130*PrSettings!$F$6</f>
        <v>0</v>
      </c>
      <c r="AF131" s="259">
        <f>AF130*PrSettings!$F$7</f>
        <v>0</v>
      </c>
      <c r="AG131" s="260">
        <f>AG130*PrSettings!$F$8</f>
        <v>0</v>
      </c>
      <c r="AL131" s="1052" t="str">
        <f>Language!$E$213</f>
        <v>Points:</v>
      </c>
      <c r="AM131" s="1053"/>
      <c r="AN131" s="1054"/>
      <c r="AO131" s="259">
        <f>AO130*PrSettings!$F$9</f>
        <v>0</v>
      </c>
      <c r="AP131" s="259">
        <f>AP130*PrSettings!$F$4</f>
        <v>0</v>
      </c>
      <c r="AQ131" s="259">
        <f>AQ130*PrSettings!$F$5</f>
        <v>0</v>
      </c>
      <c r="AR131" s="259">
        <f>AR130*PrSettings!$F$6</f>
        <v>0</v>
      </c>
      <c r="AS131" s="259">
        <f>AS130*PrSettings!$F$7</f>
        <v>0</v>
      </c>
      <c r="AT131" s="260">
        <f>AT130*PrSettings!$F$8</f>
        <v>0</v>
      </c>
      <c r="AY131" s="1052" t="str">
        <f>Language!$E$213</f>
        <v>Points:</v>
      </c>
      <c r="AZ131" s="1053"/>
      <c r="BA131" s="1054"/>
      <c r="BB131" s="259">
        <f>BB130*PrSettings!$F$9</f>
        <v>0</v>
      </c>
      <c r="BC131" s="259">
        <f>BC130*PrSettings!$F$4</f>
        <v>0</v>
      </c>
      <c r="BD131" s="259">
        <f>BD130*PrSettings!$F$5</f>
        <v>0</v>
      </c>
      <c r="BE131" s="259">
        <f>BE130*PrSettings!$F$6</f>
        <v>0</v>
      </c>
      <c r="BF131" s="259">
        <f>BF130*PrSettings!$F$7</f>
        <v>0</v>
      </c>
      <c r="BG131" s="260">
        <f>BG130*PrSettings!$F$8</f>
        <v>0</v>
      </c>
      <c r="BL131" s="1052" t="str">
        <f>Language!$E$213</f>
        <v>Points:</v>
      </c>
      <c r="BM131" s="1053"/>
      <c r="BN131" s="1054"/>
      <c r="BO131" s="259">
        <f>BO130*PrSettings!$F$9</f>
        <v>0</v>
      </c>
      <c r="BP131" s="259">
        <f>BP130*PrSettings!$F$4</f>
        <v>0</v>
      </c>
      <c r="BQ131" s="259">
        <f>BQ130*PrSettings!$F$5</f>
        <v>0</v>
      </c>
      <c r="BR131" s="259">
        <f>BR130*PrSettings!$F$6</f>
        <v>0</v>
      </c>
      <c r="BS131" s="259">
        <f>BS130*PrSettings!$F$7</f>
        <v>0</v>
      </c>
      <c r="BT131" s="260">
        <f>BT130*PrSettings!$F$8</f>
        <v>0</v>
      </c>
      <c r="BY131" s="1052" t="str">
        <f>Language!$E$213</f>
        <v>Points:</v>
      </c>
      <c r="BZ131" s="1053"/>
      <c r="CA131" s="1054"/>
      <c r="CB131" s="259">
        <f>CB130*PrSettings!$F$9</f>
        <v>0</v>
      </c>
      <c r="CC131" s="259">
        <f>CC130*PrSettings!$F$4</f>
        <v>0</v>
      </c>
      <c r="CD131" s="259">
        <f>CD130*PrSettings!$F$5</f>
        <v>0</v>
      </c>
      <c r="CE131" s="259">
        <f>CE130*PrSettings!$F$6</f>
        <v>0</v>
      </c>
      <c r="CF131" s="259">
        <f>CF130*PrSettings!$F$7</f>
        <v>0</v>
      </c>
      <c r="CG131" s="260">
        <f>CG130*PrSettings!$F$8</f>
        <v>0</v>
      </c>
      <c r="CL131" s="1052" t="str">
        <f>Language!$E$213</f>
        <v>Points:</v>
      </c>
      <c r="CM131" s="1053"/>
      <c r="CN131" s="1054"/>
      <c r="CO131" s="259">
        <f>CO130*PrSettings!$F$9</f>
        <v>0</v>
      </c>
      <c r="CP131" s="259">
        <f>CP130*PrSettings!$F$4</f>
        <v>0</v>
      </c>
      <c r="CQ131" s="259">
        <f>CQ130*PrSettings!$F$5</f>
        <v>0</v>
      </c>
      <c r="CR131" s="259">
        <f>CR130*PrSettings!$F$6</f>
        <v>0</v>
      </c>
      <c r="CS131" s="259">
        <f>CS130*PrSettings!$F$7</f>
        <v>0</v>
      </c>
      <c r="CT131" s="260">
        <f>CT130*PrSettings!$F$8</f>
        <v>0</v>
      </c>
      <c r="CY131" s="1052" t="str">
        <f>Language!$E$213</f>
        <v>Points:</v>
      </c>
      <c r="CZ131" s="1053"/>
      <c r="DA131" s="1054"/>
      <c r="DB131" s="259">
        <f>DB130*PrSettings!$F$9</f>
        <v>0</v>
      </c>
      <c r="DC131" s="259">
        <f>DC130*PrSettings!$F$4</f>
        <v>0</v>
      </c>
      <c r="DD131" s="259">
        <f>DD130*PrSettings!$F$5</f>
        <v>0</v>
      </c>
      <c r="DE131" s="259">
        <f>DE130*PrSettings!$F$6</f>
        <v>0</v>
      </c>
      <c r="DF131" s="259">
        <f>DF130*PrSettings!$F$7</f>
        <v>0</v>
      </c>
      <c r="DG131" s="260">
        <f>DG130*PrSettings!$F$8</f>
        <v>0</v>
      </c>
      <c r="DL131" s="1052" t="str">
        <f>Language!$E$213</f>
        <v>Points:</v>
      </c>
      <c r="DM131" s="1053"/>
      <c r="DN131" s="1054"/>
      <c r="DO131" s="259">
        <f>DO130*PrSettings!$F$9</f>
        <v>0</v>
      </c>
      <c r="DP131" s="259">
        <f>DP130*PrSettings!$F$4</f>
        <v>0</v>
      </c>
      <c r="DQ131" s="259">
        <f>DQ130*PrSettings!$F$5</f>
        <v>0</v>
      </c>
      <c r="DR131" s="259">
        <f>DR130*PrSettings!$F$6</f>
        <v>0</v>
      </c>
      <c r="DS131" s="259">
        <f>DS130*PrSettings!$F$7</f>
        <v>0</v>
      </c>
      <c r="DT131" s="260">
        <f>DT130*PrSettings!$F$8</f>
        <v>0</v>
      </c>
      <c r="DY131" s="1052" t="str">
        <f>Language!$E$213</f>
        <v>Points:</v>
      </c>
      <c r="DZ131" s="1053"/>
      <c r="EA131" s="1054"/>
      <c r="EB131" s="259">
        <f>EB130*PrSettings!$F$9</f>
        <v>0</v>
      </c>
      <c r="EC131" s="259">
        <f>EC130*PrSettings!$F$4</f>
        <v>0</v>
      </c>
      <c r="ED131" s="259">
        <f>ED130*PrSettings!$F$5</f>
        <v>0</v>
      </c>
      <c r="EE131" s="259">
        <f>EE130*PrSettings!$F$6</f>
        <v>0</v>
      </c>
      <c r="EF131" s="259">
        <f>EF130*PrSettings!$F$7</f>
        <v>0</v>
      </c>
      <c r="EG131" s="260">
        <f>EG130*PrSettings!$F$8</f>
        <v>0</v>
      </c>
      <c r="EL131" s="1052" t="str">
        <f>Language!$E$213</f>
        <v>Points:</v>
      </c>
      <c r="EM131" s="1053"/>
      <c r="EN131" s="1054"/>
      <c r="EO131" s="259">
        <f>EO130*PrSettings!$F$9</f>
        <v>0</v>
      </c>
      <c r="EP131" s="259">
        <f>EP130*PrSettings!$F$4</f>
        <v>0</v>
      </c>
      <c r="EQ131" s="259">
        <f>EQ130*PrSettings!$F$5</f>
        <v>0</v>
      </c>
      <c r="ER131" s="259">
        <f>ER130*PrSettings!$F$6</f>
        <v>0</v>
      </c>
      <c r="ES131" s="259">
        <f>ES130*PrSettings!$F$7</f>
        <v>0</v>
      </c>
      <c r="ET131" s="260">
        <f>ET130*PrSettings!$F$8</f>
        <v>0</v>
      </c>
      <c r="EY131" s="1052" t="str">
        <f>Language!$E$213</f>
        <v>Points:</v>
      </c>
      <c r="EZ131" s="1053"/>
      <c r="FA131" s="1054"/>
      <c r="FB131" s="259">
        <f>FB130*PrSettings!$F$9</f>
        <v>0</v>
      </c>
      <c r="FC131" s="259">
        <f>FC130*PrSettings!$F$4</f>
        <v>0</v>
      </c>
      <c r="FD131" s="259">
        <f>FD130*PrSettings!$F$5</f>
        <v>0</v>
      </c>
      <c r="FE131" s="259">
        <f>FE130*PrSettings!$F$6</f>
        <v>0</v>
      </c>
      <c r="FF131" s="259">
        <f>FF130*PrSettings!$F$7</f>
        <v>0</v>
      </c>
      <c r="FG131" s="260">
        <f>FG130*PrSettings!$F$8</f>
        <v>0</v>
      </c>
      <c r="FL131" s="1052" t="str">
        <f>Language!$E$213</f>
        <v>Points:</v>
      </c>
      <c r="FM131" s="1053"/>
      <c r="FN131" s="1054"/>
      <c r="FO131" s="259">
        <f>FO130*PrSettings!$F$9</f>
        <v>0</v>
      </c>
      <c r="FP131" s="259">
        <f>FP130*PrSettings!$F$4</f>
        <v>0</v>
      </c>
      <c r="FQ131" s="259">
        <f>FQ130*PrSettings!$F$5</f>
        <v>0</v>
      </c>
      <c r="FR131" s="259">
        <f>FR130*PrSettings!$F$6</f>
        <v>0</v>
      </c>
      <c r="FS131" s="259">
        <f>FS130*PrSettings!$F$7</f>
        <v>0</v>
      </c>
      <c r="FT131" s="260">
        <f>FT130*PrSettings!$F$8</f>
        <v>0</v>
      </c>
      <c r="FY131" s="1052" t="str">
        <f>Language!$E$213</f>
        <v>Points:</v>
      </c>
      <c r="FZ131" s="1053"/>
      <c r="GA131" s="1054"/>
      <c r="GB131" s="259">
        <f>GB130*PrSettings!$F$9</f>
        <v>0</v>
      </c>
      <c r="GC131" s="259">
        <f>GC130*PrSettings!$F$4</f>
        <v>0</v>
      </c>
      <c r="GD131" s="259">
        <f>GD130*PrSettings!$F$5</f>
        <v>0</v>
      </c>
      <c r="GE131" s="259">
        <f>GE130*PrSettings!$F$6</f>
        <v>0</v>
      </c>
      <c r="GF131" s="259">
        <f>GF130*PrSettings!$F$7</f>
        <v>0</v>
      </c>
      <c r="GG131" s="260">
        <f>GG130*PrSettings!$F$8</f>
        <v>0</v>
      </c>
      <c r="GL131" s="1052" t="str">
        <f>Language!$E$213</f>
        <v>Points:</v>
      </c>
      <c r="GM131" s="1053"/>
      <c r="GN131" s="1054"/>
      <c r="GO131" s="259">
        <f>GO130*PrSettings!$F$9</f>
        <v>0</v>
      </c>
      <c r="GP131" s="259">
        <f>GP130*PrSettings!$F$4</f>
        <v>0</v>
      </c>
      <c r="GQ131" s="259">
        <f>GQ130*PrSettings!$F$5</f>
        <v>0</v>
      </c>
      <c r="GR131" s="259">
        <f>GR130*PrSettings!$F$6</f>
        <v>0</v>
      </c>
      <c r="GS131" s="259">
        <f>GS130*PrSettings!$F$7</f>
        <v>0</v>
      </c>
      <c r="GT131" s="260">
        <f>GT130*PrSettings!$F$8</f>
        <v>0</v>
      </c>
      <c r="GY131" s="1052" t="str">
        <f>Language!$E$213</f>
        <v>Points:</v>
      </c>
      <c r="GZ131" s="1053"/>
      <c r="HA131" s="1054"/>
      <c r="HB131" s="259">
        <f>HB130*PrSettings!$F$9</f>
        <v>0</v>
      </c>
      <c r="HC131" s="259">
        <f>HC130*PrSettings!$F$4</f>
        <v>0</v>
      </c>
      <c r="HD131" s="259">
        <f>HD130*PrSettings!$F$5</f>
        <v>0</v>
      </c>
      <c r="HE131" s="259">
        <f>HE130*PrSettings!$F$6</f>
        <v>0</v>
      </c>
      <c r="HF131" s="259">
        <f>HF130*PrSettings!$F$7</f>
        <v>0</v>
      </c>
      <c r="HG131" s="260">
        <f>HG130*PrSettings!$F$8</f>
        <v>0</v>
      </c>
      <c r="HL131" s="1052" t="str">
        <f>Language!$E$213</f>
        <v>Points:</v>
      </c>
      <c r="HM131" s="1053"/>
      <c r="HN131" s="1054"/>
      <c r="HO131" s="259">
        <f>HO130*PrSettings!$F$9</f>
        <v>0</v>
      </c>
      <c r="HP131" s="259">
        <f>HP130*PrSettings!$F$4</f>
        <v>0</v>
      </c>
      <c r="HQ131" s="259">
        <f>HQ130*PrSettings!$F$5</f>
        <v>0</v>
      </c>
      <c r="HR131" s="259">
        <f>HR130*PrSettings!$F$6</f>
        <v>0</v>
      </c>
      <c r="HS131" s="259">
        <f>HS130*PrSettings!$F$7</f>
        <v>0</v>
      </c>
      <c r="HT131" s="260">
        <f>HT130*PrSettings!$F$8</f>
        <v>0</v>
      </c>
      <c r="HY131" s="1052" t="str">
        <f>Language!$E$213</f>
        <v>Points:</v>
      </c>
      <c r="HZ131" s="1053"/>
      <c r="IA131" s="1054"/>
      <c r="IB131" s="259">
        <f>IB130*PrSettings!$F$9</f>
        <v>0</v>
      </c>
      <c r="IC131" s="259">
        <f>IC130*PrSettings!$F$4</f>
        <v>0</v>
      </c>
      <c r="ID131" s="259">
        <f>ID130*PrSettings!$F$5</f>
        <v>0</v>
      </c>
      <c r="IE131" s="259">
        <f>IE130*PrSettings!$F$6</f>
        <v>0</v>
      </c>
      <c r="IF131" s="259">
        <f>IF130*PrSettings!$F$7</f>
        <v>0</v>
      </c>
      <c r="IG131" s="260">
        <f>IG130*PrSettings!$F$8</f>
        <v>0</v>
      </c>
      <c r="IL131" s="1052" t="str">
        <f>Language!$E$213</f>
        <v>Points:</v>
      </c>
      <c r="IM131" s="1053"/>
      <c r="IN131" s="1054"/>
      <c r="IO131" s="259">
        <f>IO130*PrSettings!$F$9</f>
        <v>0</v>
      </c>
      <c r="IP131" s="259">
        <f>IP130*PrSettings!$F$4</f>
        <v>0</v>
      </c>
      <c r="IQ131" s="259">
        <f>IQ130*PrSettings!$F$5</f>
        <v>0</v>
      </c>
      <c r="IR131" s="259">
        <f>IR130*PrSettings!$F$6</f>
        <v>0</v>
      </c>
      <c r="IS131" s="259">
        <f>IS130*PrSettings!$F$7</f>
        <v>0</v>
      </c>
      <c r="IT131" s="260">
        <f>IT130*PrSettings!$F$8</f>
        <v>0</v>
      </c>
      <c r="IY131" s="1052" t="str">
        <f>Language!$E$213</f>
        <v>Points:</v>
      </c>
      <c r="IZ131" s="1053"/>
      <c r="JA131" s="1054"/>
      <c r="JB131" s="259">
        <f>JB130*PrSettings!$F$9</f>
        <v>0</v>
      </c>
      <c r="JC131" s="259">
        <f>JC130*PrSettings!$F$4</f>
        <v>0</v>
      </c>
      <c r="JD131" s="259">
        <f>JD130*PrSettings!$F$5</f>
        <v>0</v>
      </c>
      <c r="JE131" s="259">
        <f>JE130*PrSettings!$F$6</f>
        <v>0</v>
      </c>
      <c r="JF131" s="259">
        <f>JF130*PrSettings!$F$7</f>
        <v>0</v>
      </c>
      <c r="JG131" s="260">
        <f>JG130*PrSettings!$F$8</f>
        <v>0</v>
      </c>
      <c r="JL131" s="1052" t="str">
        <f>Language!$E$213</f>
        <v>Points:</v>
      </c>
      <c r="JM131" s="1053"/>
      <c r="JN131" s="1054"/>
      <c r="JO131" s="259">
        <f>JO130*PrSettings!$F$9</f>
        <v>0</v>
      </c>
      <c r="JP131" s="259">
        <f>JP130*PrSettings!$F$4</f>
        <v>0</v>
      </c>
      <c r="JQ131" s="259">
        <f>JQ130*PrSettings!$F$5</f>
        <v>0</v>
      </c>
      <c r="JR131" s="259">
        <f>JR130*PrSettings!$F$6</f>
        <v>0</v>
      </c>
      <c r="JS131" s="259">
        <f>JS130*PrSettings!$F$7</f>
        <v>0</v>
      </c>
      <c r="JT131" s="260">
        <f>JT130*PrSettings!$F$8</f>
        <v>0</v>
      </c>
      <c r="JY131" s="1052" t="str">
        <f>Language!$E$213</f>
        <v>Points:</v>
      </c>
      <c r="JZ131" s="1053"/>
      <c r="KA131" s="1054"/>
      <c r="KB131" s="259">
        <f>KB130*PrSettings!$F$9</f>
        <v>0</v>
      </c>
      <c r="KC131" s="259">
        <f>KC130*PrSettings!$F$4</f>
        <v>0</v>
      </c>
      <c r="KD131" s="259">
        <f>KD130*PrSettings!$F$5</f>
        <v>0</v>
      </c>
      <c r="KE131" s="259">
        <f>KE130*PrSettings!$F$6</f>
        <v>0</v>
      </c>
      <c r="KF131" s="259">
        <f>KF130*PrSettings!$F$7</f>
        <v>0</v>
      </c>
      <c r="KG131" s="260">
        <f>KG130*PrSettings!$F$8</f>
        <v>0</v>
      </c>
      <c r="KL131" s="1052" t="str">
        <f>Language!$E$213</f>
        <v>Points:</v>
      </c>
      <c r="KM131" s="1053"/>
      <c r="KN131" s="1054"/>
      <c r="KO131" s="259">
        <f>KO130*PrSettings!$F$9</f>
        <v>0</v>
      </c>
      <c r="KP131" s="259">
        <f>KP130*PrSettings!$F$4</f>
        <v>0</v>
      </c>
      <c r="KQ131" s="259">
        <f>KQ130*PrSettings!$F$5</f>
        <v>0</v>
      </c>
      <c r="KR131" s="259">
        <f>KR130*PrSettings!$F$6</f>
        <v>0</v>
      </c>
      <c r="KS131" s="259">
        <f>KS130*PrSettings!$F$7</f>
        <v>0</v>
      </c>
      <c r="KT131" s="260">
        <f>KT130*PrSettings!$F$8</f>
        <v>0</v>
      </c>
      <c r="KY131" s="1052" t="str">
        <f>Language!$E$213</f>
        <v>Points:</v>
      </c>
      <c r="KZ131" s="1053"/>
      <c r="LA131" s="1054"/>
      <c r="LB131" s="259">
        <f>LB130*PrSettings!$F$9</f>
        <v>0</v>
      </c>
      <c r="LC131" s="259">
        <f>LC130*PrSettings!$F$4</f>
        <v>0</v>
      </c>
      <c r="LD131" s="259">
        <f>LD130*PrSettings!$F$5</f>
        <v>0</v>
      </c>
      <c r="LE131" s="259">
        <f>LE130*PrSettings!$F$6</f>
        <v>0</v>
      </c>
      <c r="LF131" s="259">
        <f>LF130*PrSettings!$F$7</f>
        <v>0</v>
      </c>
      <c r="LG131" s="260">
        <f>LG130*PrSettings!$F$8</f>
        <v>0</v>
      </c>
      <c r="LL131" s="1052" t="str">
        <f>Language!$E$213</f>
        <v>Points:</v>
      </c>
      <c r="LM131" s="1053"/>
      <c r="LN131" s="1054"/>
      <c r="LO131" s="259">
        <f>LO130*PrSettings!$F$9</f>
        <v>0</v>
      </c>
      <c r="LP131" s="259">
        <f>LP130*PrSettings!$F$4</f>
        <v>0</v>
      </c>
      <c r="LQ131" s="259">
        <f>LQ130*PrSettings!$F$5</f>
        <v>0</v>
      </c>
      <c r="LR131" s="259">
        <f>LR130*PrSettings!$F$6</f>
        <v>0</v>
      </c>
      <c r="LS131" s="259">
        <f>LS130*PrSettings!$F$7</f>
        <v>0</v>
      </c>
      <c r="LT131" s="260">
        <f>LT130*PrSettings!$F$8</f>
        <v>0</v>
      </c>
      <c r="LY131" s="1052" t="str">
        <f>Language!$E$213</f>
        <v>Points:</v>
      </c>
      <c r="LZ131" s="1053"/>
      <c r="MA131" s="1054"/>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55" t="str">
        <f>Language!$E$214</f>
        <v>Sum:</v>
      </c>
      <c r="M132" s="1056"/>
      <c r="N132" s="1057"/>
      <c r="O132" s="1049">
        <f>SUM(O131:T131)</f>
        <v>0</v>
      </c>
      <c r="P132" s="1050"/>
      <c r="Q132" s="1050"/>
      <c r="R132" s="1050"/>
      <c r="S132" s="1050"/>
      <c r="T132" s="1051"/>
      <c r="Y132" s="1055" t="str">
        <f>Language!$E$214</f>
        <v>Sum:</v>
      </c>
      <c r="Z132" s="1056"/>
      <c r="AA132" s="1057"/>
      <c r="AB132" s="1049">
        <f>SUM(AB131:AG131)</f>
        <v>0</v>
      </c>
      <c r="AC132" s="1050"/>
      <c r="AD132" s="1050"/>
      <c r="AE132" s="1050"/>
      <c r="AF132" s="1050"/>
      <c r="AG132" s="1051"/>
      <c r="AL132" s="1055" t="str">
        <f>Language!$E$214</f>
        <v>Sum:</v>
      </c>
      <c r="AM132" s="1056"/>
      <c r="AN132" s="1057"/>
      <c r="AO132" s="1049">
        <f>SUM(AO131:AT131)</f>
        <v>0</v>
      </c>
      <c r="AP132" s="1050"/>
      <c r="AQ132" s="1050"/>
      <c r="AR132" s="1050"/>
      <c r="AS132" s="1050"/>
      <c r="AT132" s="1051"/>
      <c r="AY132" s="1055" t="str">
        <f>Language!$E$214</f>
        <v>Sum:</v>
      </c>
      <c r="AZ132" s="1056"/>
      <c r="BA132" s="1057"/>
      <c r="BB132" s="1049">
        <f>SUM(BB131:BG131)</f>
        <v>0</v>
      </c>
      <c r="BC132" s="1050"/>
      <c r="BD132" s="1050"/>
      <c r="BE132" s="1050"/>
      <c r="BF132" s="1050"/>
      <c r="BG132" s="1051"/>
      <c r="BL132" s="1055" t="str">
        <f>Language!$E$214</f>
        <v>Sum:</v>
      </c>
      <c r="BM132" s="1056"/>
      <c r="BN132" s="1057"/>
      <c r="BO132" s="1049">
        <f>SUM(BO131:BT131)</f>
        <v>0</v>
      </c>
      <c r="BP132" s="1050"/>
      <c r="BQ132" s="1050"/>
      <c r="BR132" s="1050"/>
      <c r="BS132" s="1050"/>
      <c r="BT132" s="1051"/>
      <c r="BY132" s="1055" t="str">
        <f>Language!$E$214</f>
        <v>Sum:</v>
      </c>
      <c r="BZ132" s="1056"/>
      <c r="CA132" s="1057"/>
      <c r="CB132" s="1049">
        <f>SUM(CB131:CG131)</f>
        <v>0</v>
      </c>
      <c r="CC132" s="1050"/>
      <c r="CD132" s="1050"/>
      <c r="CE132" s="1050"/>
      <c r="CF132" s="1050"/>
      <c r="CG132" s="1051"/>
      <c r="CL132" s="1055" t="str">
        <f>Language!$E$214</f>
        <v>Sum:</v>
      </c>
      <c r="CM132" s="1056"/>
      <c r="CN132" s="1057"/>
      <c r="CO132" s="1049">
        <f>SUM(CO131:CT131)</f>
        <v>0</v>
      </c>
      <c r="CP132" s="1050"/>
      <c r="CQ132" s="1050"/>
      <c r="CR132" s="1050"/>
      <c r="CS132" s="1050"/>
      <c r="CT132" s="1051"/>
      <c r="CY132" s="1055" t="str">
        <f>Language!$E$214</f>
        <v>Sum:</v>
      </c>
      <c r="CZ132" s="1056"/>
      <c r="DA132" s="1057"/>
      <c r="DB132" s="1049">
        <f>SUM(DB131:DG131)</f>
        <v>0</v>
      </c>
      <c r="DC132" s="1050"/>
      <c r="DD132" s="1050"/>
      <c r="DE132" s="1050"/>
      <c r="DF132" s="1050"/>
      <c r="DG132" s="1051"/>
      <c r="DL132" s="1055" t="str">
        <f>Language!$E$214</f>
        <v>Sum:</v>
      </c>
      <c r="DM132" s="1056"/>
      <c r="DN132" s="1057"/>
      <c r="DO132" s="1049">
        <f>SUM(DO131:DT131)</f>
        <v>0</v>
      </c>
      <c r="DP132" s="1050"/>
      <c r="DQ132" s="1050"/>
      <c r="DR132" s="1050"/>
      <c r="DS132" s="1050"/>
      <c r="DT132" s="1051"/>
      <c r="DY132" s="1055" t="str">
        <f>Language!$E$214</f>
        <v>Sum:</v>
      </c>
      <c r="DZ132" s="1056"/>
      <c r="EA132" s="1057"/>
      <c r="EB132" s="1049">
        <f>SUM(EB131:EG131)</f>
        <v>0</v>
      </c>
      <c r="EC132" s="1050"/>
      <c r="ED132" s="1050"/>
      <c r="EE132" s="1050"/>
      <c r="EF132" s="1050"/>
      <c r="EG132" s="1051"/>
      <c r="EL132" s="1055" t="str">
        <f>Language!$E$214</f>
        <v>Sum:</v>
      </c>
      <c r="EM132" s="1056"/>
      <c r="EN132" s="1057"/>
      <c r="EO132" s="1049">
        <f>SUM(EO131:ET131)</f>
        <v>0</v>
      </c>
      <c r="EP132" s="1050"/>
      <c r="EQ132" s="1050"/>
      <c r="ER132" s="1050"/>
      <c r="ES132" s="1050"/>
      <c r="ET132" s="1051"/>
      <c r="EY132" s="1055" t="str">
        <f>Language!$E$214</f>
        <v>Sum:</v>
      </c>
      <c r="EZ132" s="1056"/>
      <c r="FA132" s="1057"/>
      <c r="FB132" s="1049">
        <f>SUM(FB131:FG131)</f>
        <v>0</v>
      </c>
      <c r="FC132" s="1050"/>
      <c r="FD132" s="1050"/>
      <c r="FE132" s="1050"/>
      <c r="FF132" s="1050"/>
      <c r="FG132" s="1051"/>
      <c r="FL132" s="1055" t="str">
        <f>Language!$E$214</f>
        <v>Sum:</v>
      </c>
      <c r="FM132" s="1056"/>
      <c r="FN132" s="1057"/>
      <c r="FO132" s="1049">
        <f>SUM(FO131:FT131)</f>
        <v>0</v>
      </c>
      <c r="FP132" s="1050"/>
      <c r="FQ132" s="1050"/>
      <c r="FR132" s="1050"/>
      <c r="FS132" s="1050"/>
      <c r="FT132" s="1051"/>
      <c r="FY132" s="1055" t="str">
        <f>Language!$E$214</f>
        <v>Sum:</v>
      </c>
      <c r="FZ132" s="1056"/>
      <c r="GA132" s="1057"/>
      <c r="GB132" s="1049">
        <f>SUM(GB131:GG131)</f>
        <v>0</v>
      </c>
      <c r="GC132" s="1050"/>
      <c r="GD132" s="1050"/>
      <c r="GE132" s="1050"/>
      <c r="GF132" s="1050"/>
      <c r="GG132" s="1051"/>
      <c r="GL132" s="1055" t="str">
        <f>Language!$E$214</f>
        <v>Sum:</v>
      </c>
      <c r="GM132" s="1056"/>
      <c r="GN132" s="1057"/>
      <c r="GO132" s="1049">
        <f>SUM(GO131:GT131)</f>
        <v>0</v>
      </c>
      <c r="GP132" s="1050"/>
      <c r="GQ132" s="1050"/>
      <c r="GR132" s="1050"/>
      <c r="GS132" s="1050"/>
      <c r="GT132" s="1051"/>
      <c r="GY132" s="1055" t="str">
        <f>Language!$E$214</f>
        <v>Sum:</v>
      </c>
      <c r="GZ132" s="1056"/>
      <c r="HA132" s="1057"/>
      <c r="HB132" s="1049">
        <f>SUM(HB131:HG131)</f>
        <v>0</v>
      </c>
      <c r="HC132" s="1050"/>
      <c r="HD132" s="1050"/>
      <c r="HE132" s="1050"/>
      <c r="HF132" s="1050"/>
      <c r="HG132" s="1051"/>
      <c r="HL132" s="1055" t="str">
        <f>Language!$E$214</f>
        <v>Sum:</v>
      </c>
      <c r="HM132" s="1056"/>
      <c r="HN132" s="1057"/>
      <c r="HO132" s="1049">
        <f>SUM(HO131:HT131)</f>
        <v>0</v>
      </c>
      <c r="HP132" s="1050"/>
      <c r="HQ132" s="1050"/>
      <c r="HR132" s="1050"/>
      <c r="HS132" s="1050"/>
      <c r="HT132" s="1051"/>
      <c r="HY132" s="1055" t="str">
        <f>Language!$E$214</f>
        <v>Sum:</v>
      </c>
      <c r="HZ132" s="1056"/>
      <c r="IA132" s="1057"/>
      <c r="IB132" s="1049">
        <f>SUM(IB131:IG131)</f>
        <v>0</v>
      </c>
      <c r="IC132" s="1050"/>
      <c r="ID132" s="1050"/>
      <c r="IE132" s="1050"/>
      <c r="IF132" s="1050"/>
      <c r="IG132" s="1051"/>
      <c r="IL132" s="1055" t="str">
        <f>Language!$E$214</f>
        <v>Sum:</v>
      </c>
      <c r="IM132" s="1056"/>
      <c r="IN132" s="1057"/>
      <c r="IO132" s="1049">
        <f>SUM(IO131:IT131)</f>
        <v>0</v>
      </c>
      <c r="IP132" s="1050"/>
      <c r="IQ132" s="1050"/>
      <c r="IR132" s="1050"/>
      <c r="IS132" s="1050"/>
      <c r="IT132" s="1051"/>
      <c r="IY132" s="1055" t="str">
        <f>Language!$E$214</f>
        <v>Sum:</v>
      </c>
      <c r="IZ132" s="1056"/>
      <c r="JA132" s="1057"/>
      <c r="JB132" s="1049">
        <f>SUM(JB131:JG131)</f>
        <v>0</v>
      </c>
      <c r="JC132" s="1050"/>
      <c r="JD132" s="1050"/>
      <c r="JE132" s="1050"/>
      <c r="JF132" s="1050"/>
      <c r="JG132" s="1051"/>
      <c r="JL132" s="1055" t="str">
        <f>Language!$E$214</f>
        <v>Sum:</v>
      </c>
      <c r="JM132" s="1056"/>
      <c r="JN132" s="1057"/>
      <c r="JO132" s="1049">
        <f>SUM(JO131:JT131)</f>
        <v>0</v>
      </c>
      <c r="JP132" s="1050"/>
      <c r="JQ132" s="1050"/>
      <c r="JR132" s="1050"/>
      <c r="JS132" s="1050"/>
      <c r="JT132" s="1051"/>
      <c r="JY132" s="1055" t="str">
        <f>Language!$E$214</f>
        <v>Sum:</v>
      </c>
      <c r="JZ132" s="1056"/>
      <c r="KA132" s="1057"/>
      <c r="KB132" s="1049">
        <f>SUM(KB131:KG131)</f>
        <v>0</v>
      </c>
      <c r="KC132" s="1050"/>
      <c r="KD132" s="1050"/>
      <c r="KE132" s="1050"/>
      <c r="KF132" s="1050"/>
      <c r="KG132" s="1051"/>
      <c r="KL132" s="1055" t="str">
        <f>Language!$E$214</f>
        <v>Sum:</v>
      </c>
      <c r="KM132" s="1056"/>
      <c r="KN132" s="1057"/>
      <c r="KO132" s="1049">
        <f>SUM(KO131:KT131)</f>
        <v>0</v>
      </c>
      <c r="KP132" s="1050"/>
      <c r="KQ132" s="1050"/>
      <c r="KR132" s="1050"/>
      <c r="KS132" s="1050"/>
      <c r="KT132" s="1051"/>
      <c r="KY132" s="1055" t="str">
        <f>Language!$E$214</f>
        <v>Sum:</v>
      </c>
      <c r="KZ132" s="1056"/>
      <c r="LA132" s="1057"/>
      <c r="LB132" s="1049">
        <f>SUM(LB131:LG131)</f>
        <v>0</v>
      </c>
      <c r="LC132" s="1050"/>
      <c r="LD132" s="1050"/>
      <c r="LE132" s="1050"/>
      <c r="LF132" s="1050"/>
      <c r="LG132" s="1051"/>
      <c r="LL132" s="1055" t="str">
        <f>Language!$E$214</f>
        <v>Sum:</v>
      </c>
      <c r="LM132" s="1056"/>
      <c r="LN132" s="1057"/>
      <c r="LO132" s="1049">
        <f>SUM(LO131:LT131)</f>
        <v>0</v>
      </c>
      <c r="LP132" s="1050"/>
      <c r="LQ132" s="1050"/>
      <c r="LR132" s="1050"/>
      <c r="LS132" s="1050"/>
      <c r="LT132" s="1051"/>
      <c r="LY132" s="1055" t="str">
        <f>Language!$E$214</f>
        <v>Sum:</v>
      </c>
      <c r="LZ132" s="1056"/>
      <c r="MA132" s="1057"/>
      <c r="MB132" s="1049">
        <f>SUM(MB131:MG131)</f>
        <v>0</v>
      </c>
      <c r="MC132" s="1050"/>
      <c r="MD132" s="1050"/>
      <c r="ME132" s="1050"/>
      <c r="MF132" s="1050"/>
      <c r="MG132" s="1051"/>
    </row>
    <row r="133" spans="2:345" ht="30.75" customHeight="1" thickTop="1" x14ac:dyDescent="0.25"/>
    <row r="134" spans="2:345" ht="16.5" thickBot="1" x14ac:dyDescent="0.3">
      <c r="B134" s="1044" t="str">
        <f>Language!$E$227</f>
        <v>Hint</v>
      </c>
      <c r="C134" s="1044"/>
      <c r="D134" s="1044"/>
      <c r="E134" s="1044"/>
      <c r="F134" s="1044"/>
      <c r="G134" s="1044"/>
      <c r="H134" s="1044"/>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28" t="str">
        <f>Language!$E$236</f>
        <v>For example, to add ten more people, select columns HI through MG and copy them to the right. Finished.
(Remove sheet protection!)</v>
      </c>
      <c r="C135" s="1029"/>
      <c r="D135" s="1029"/>
      <c r="E135" s="1029"/>
      <c r="F135" s="1029"/>
      <c r="G135" s="1029"/>
      <c r="H135" s="1030"/>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31"/>
      <c r="C136" s="1032"/>
      <c r="D136" s="1032"/>
      <c r="E136" s="1032"/>
      <c r="F136" s="1032"/>
      <c r="G136" s="1032"/>
      <c r="H136" s="1033"/>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31"/>
      <c r="C137" s="1032"/>
      <c r="D137" s="1032"/>
      <c r="E137" s="1032"/>
      <c r="F137" s="1032"/>
      <c r="G137" s="1032"/>
      <c r="H137" s="1033"/>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31" t="str">
        <f>Language!$E$237</f>
        <v>To predict the teams in the KO round, enter the team numbers in the yellow fields.</v>
      </c>
      <c r="C138" s="1032"/>
      <c r="D138" s="1032"/>
      <c r="E138" s="1032"/>
      <c r="F138" s="1032"/>
      <c r="G138" s="1032"/>
      <c r="H138" s="1033"/>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31"/>
      <c r="C139" s="1032"/>
      <c r="D139" s="1032"/>
      <c r="E139" s="1032"/>
      <c r="F139" s="1032"/>
      <c r="G139" s="1032"/>
      <c r="H139" s="1033"/>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31"/>
      <c r="C140" s="1032"/>
      <c r="D140" s="1032"/>
      <c r="E140" s="1032"/>
      <c r="F140" s="1032"/>
      <c r="G140" s="1032"/>
      <c r="H140" s="1033"/>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31" t="str">
        <f>Language!$E$238</f>
        <v>The factors for the individual categories and other presettings can be selected on the 'PrSettings' worksheet.</v>
      </c>
      <c r="C141" s="1032"/>
      <c r="D141" s="1032"/>
      <c r="E141" s="1032"/>
      <c r="F141" s="1032"/>
      <c r="G141" s="1032"/>
      <c r="H141" s="1033"/>
    </row>
    <row r="142" spans="2:345" x14ac:dyDescent="0.25">
      <c r="B142" s="1031"/>
      <c r="C142" s="1032"/>
      <c r="D142" s="1032"/>
      <c r="E142" s="1032"/>
      <c r="F142" s="1032"/>
      <c r="G142" s="1032"/>
      <c r="H142" s="1033"/>
    </row>
    <row r="143" spans="2:345" ht="16.5" thickBot="1" x14ac:dyDescent="0.3">
      <c r="B143" s="1034"/>
      <c r="C143" s="1035"/>
      <c r="D143" s="1035"/>
      <c r="E143" s="1035"/>
      <c r="F143" s="1035"/>
      <c r="G143" s="1035"/>
      <c r="H143" s="1036"/>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58" priority="1863">
      <formula>Q107&gt;1</formula>
    </cfRule>
  </conditionalFormatting>
  <conditionalFormatting sqref="L116:L119 L121:L122 L107:L114">
    <cfRule type="expression" dxfId="1157" priority="1934">
      <formula>R107&gt;1</formula>
    </cfRule>
  </conditionalFormatting>
  <conditionalFormatting sqref="L90:L105">
    <cfRule type="expression" dxfId="1156" priority="1122">
      <formula>R90&gt;1</formula>
    </cfRule>
  </conditionalFormatting>
  <conditionalFormatting sqref="J90:J105">
    <cfRule type="expression" dxfId="1155" priority="1121">
      <formula>Q90&gt;1</formula>
    </cfRule>
  </conditionalFormatting>
  <conditionalFormatting sqref="J124">
    <cfRule type="expression" dxfId="1154" priority="840">
      <formula>Q124&gt;1</formula>
    </cfRule>
  </conditionalFormatting>
  <conditionalFormatting sqref="J126">
    <cfRule type="expression" dxfId="1153" priority="839">
      <formula>Q126&gt;1</formula>
    </cfRule>
  </conditionalFormatting>
  <conditionalFormatting sqref="L124">
    <cfRule type="expression" dxfId="1152" priority="838">
      <formula>R124&gt;1</formula>
    </cfRule>
  </conditionalFormatting>
  <conditionalFormatting sqref="J128">
    <cfRule type="expression" dxfId="1151" priority="837">
      <formula>Q128&gt;1</formula>
    </cfRule>
  </conditionalFormatting>
  <conditionalFormatting sqref="W107:W114 W116:W119 W121:W122">
    <cfRule type="expression" dxfId="1150" priority="224">
      <formula>AD107&gt;1</formula>
    </cfRule>
  </conditionalFormatting>
  <conditionalFormatting sqref="Y116:Y119 Y121:Y122 Y107:Y114">
    <cfRule type="expression" dxfId="1149" priority="225">
      <formula>AE107&gt;1</formula>
    </cfRule>
  </conditionalFormatting>
  <conditionalFormatting sqref="Y90:Y105">
    <cfRule type="expression" dxfId="1148" priority="223">
      <formula>AE90&gt;1</formula>
    </cfRule>
  </conditionalFormatting>
  <conditionalFormatting sqref="W90:W105">
    <cfRule type="expression" dxfId="1147" priority="222">
      <formula>AD90&gt;1</formula>
    </cfRule>
  </conditionalFormatting>
  <conditionalFormatting sqref="W124">
    <cfRule type="expression" dxfId="1146" priority="221">
      <formula>AD124&gt;1</formula>
    </cfRule>
  </conditionalFormatting>
  <conditionalFormatting sqref="W126">
    <cfRule type="expression" dxfId="1145" priority="220">
      <formula>AD126&gt;1</formula>
    </cfRule>
  </conditionalFormatting>
  <conditionalFormatting sqref="Y124">
    <cfRule type="expression" dxfId="1144" priority="219">
      <formula>AE124&gt;1</formula>
    </cfRule>
  </conditionalFormatting>
  <conditionalFormatting sqref="W128">
    <cfRule type="expression" dxfId="1143" priority="218">
      <formula>AD128&gt;1</formula>
    </cfRule>
  </conditionalFormatting>
  <conditionalFormatting sqref="AJ107:AJ114 AJ116:AJ119 AJ121:AJ122">
    <cfRule type="expression" dxfId="1142" priority="215">
      <formula>AQ107&gt;1</formula>
    </cfRule>
  </conditionalFormatting>
  <conditionalFormatting sqref="AL116:AL119 AL121:AL122 AL107:AL114">
    <cfRule type="expression" dxfId="1141" priority="216">
      <formula>AR107&gt;1</formula>
    </cfRule>
  </conditionalFormatting>
  <conditionalFormatting sqref="AL90:AL105">
    <cfRule type="expression" dxfId="1140" priority="214">
      <formula>AR90&gt;1</formula>
    </cfRule>
  </conditionalFormatting>
  <conditionalFormatting sqref="AJ90:AJ105">
    <cfRule type="expression" dxfId="1139" priority="213">
      <formula>AQ90&gt;1</formula>
    </cfRule>
  </conditionalFormatting>
  <conditionalFormatting sqref="AJ124">
    <cfRule type="expression" dxfId="1138" priority="212">
      <formula>AQ124&gt;1</formula>
    </cfRule>
  </conditionalFormatting>
  <conditionalFormatting sqref="AJ126">
    <cfRule type="expression" dxfId="1137" priority="211">
      <formula>AQ126&gt;1</formula>
    </cfRule>
  </conditionalFormatting>
  <conditionalFormatting sqref="AL124">
    <cfRule type="expression" dxfId="1136" priority="210">
      <formula>AR124&gt;1</formula>
    </cfRule>
  </conditionalFormatting>
  <conditionalFormatting sqref="AJ128">
    <cfRule type="expression" dxfId="1135" priority="209">
      <formula>AQ128&gt;1</formula>
    </cfRule>
  </conditionalFormatting>
  <conditionalFormatting sqref="AW107:AW114 AW116:AW119 AW121:AW122">
    <cfRule type="expression" dxfId="1134" priority="206">
      <formula>BD107&gt;1</formula>
    </cfRule>
  </conditionalFormatting>
  <conditionalFormatting sqref="AY116:AY119 AY121:AY122 AY107:AY114">
    <cfRule type="expression" dxfId="1133" priority="207">
      <formula>BE107&gt;1</formula>
    </cfRule>
  </conditionalFormatting>
  <conditionalFormatting sqref="AY90:AY105">
    <cfRule type="expression" dxfId="1132" priority="205">
      <formula>BE90&gt;1</formula>
    </cfRule>
  </conditionalFormatting>
  <conditionalFormatting sqref="AW90:AW105">
    <cfRule type="expression" dxfId="1131" priority="204">
      <formula>BD90&gt;1</formula>
    </cfRule>
  </conditionalFormatting>
  <conditionalFormatting sqref="AW124">
    <cfRule type="expression" dxfId="1130" priority="203">
      <formula>BD124&gt;1</formula>
    </cfRule>
  </conditionalFormatting>
  <conditionalFormatting sqref="AW126">
    <cfRule type="expression" dxfId="1129" priority="202">
      <formula>BD126&gt;1</formula>
    </cfRule>
  </conditionalFormatting>
  <conditionalFormatting sqref="AY124">
    <cfRule type="expression" dxfId="1128" priority="201">
      <formula>BE124&gt;1</formula>
    </cfRule>
  </conditionalFormatting>
  <conditionalFormatting sqref="AW128">
    <cfRule type="expression" dxfId="1127" priority="200">
      <formula>BD128&gt;1</formula>
    </cfRule>
  </conditionalFormatting>
  <conditionalFormatting sqref="BJ107:BJ114 BJ116:BJ119 BJ121:BJ122">
    <cfRule type="expression" dxfId="1126" priority="197">
      <formula>BQ107&gt;1</formula>
    </cfRule>
  </conditionalFormatting>
  <conditionalFormatting sqref="BL116:BL119 BL121:BL122 BL107:BL114">
    <cfRule type="expression" dxfId="1125" priority="198">
      <formula>BR107&gt;1</formula>
    </cfRule>
  </conditionalFormatting>
  <conditionalFormatting sqref="BL90:BL105">
    <cfRule type="expression" dxfId="1124" priority="196">
      <formula>BR90&gt;1</formula>
    </cfRule>
  </conditionalFormatting>
  <conditionalFormatting sqref="BJ90:BJ105">
    <cfRule type="expression" dxfId="1123" priority="195">
      <formula>BQ90&gt;1</formula>
    </cfRule>
  </conditionalFormatting>
  <conditionalFormatting sqref="BJ124">
    <cfRule type="expression" dxfId="1122" priority="194">
      <formula>BQ124&gt;1</formula>
    </cfRule>
  </conditionalFormatting>
  <conditionalFormatting sqref="BJ126">
    <cfRule type="expression" dxfId="1121" priority="193">
      <formula>BQ126&gt;1</formula>
    </cfRule>
  </conditionalFormatting>
  <conditionalFormatting sqref="BL124">
    <cfRule type="expression" dxfId="1120" priority="192">
      <formula>BR124&gt;1</formula>
    </cfRule>
  </conditionalFormatting>
  <conditionalFormatting sqref="BJ128">
    <cfRule type="expression" dxfId="1119" priority="191">
      <formula>BQ128&gt;1</formula>
    </cfRule>
  </conditionalFormatting>
  <conditionalFormatting sqref="BW107:BW114 BW116:BW119 BW121:BW122">
    <cfRule type="expression" dxfId="1118" priority="188">
      <formula>CD107&gt;1</formula>
    </cfRule>
  </conditionalFormatting>
  <conditionalFormatting sqref="BY116:BY119 BY121:BY122 BY107:BY114">
    <cfRule type="expression" dxfId="1117" priority="189">
      <formula>CE107&gt;1</formula>
    </cfRule>
  </conditionalFormatting>
  <conditionalFormatting sqref="BY90:BY105">
    <cfRule type="expression" dxfId="1116" priority="187">
      <formula>CE90&gt;1</formula>
    </cfRule>
  </conditionalFormatting>
  <conditionalFormatting sqref="BW90:BW105">
    <cfRule type="expression" dxfId="1115" priority="186">
      <formula>CD90&gt;1</formula>
    </cfRule>
  </conditionalFormatting>
  <conditionalFormatting sqref="BW124">
    <cfRule type="expression" dxfId="1114" priority="185">
      <formula>CD124&gt;1</formula>
    </cfRule>
  </conditionalFormatting>
  <conditionalFormatting sqref="BW126">
    <cfRule type="expression" dxfId="1113" priority="184">
      <formula>CD126&gt;1</formula>
    </cfRule>
  </conditionalFormatting>
  <conditionalFormatting sqref="BY124">
    <cfRule type="expression" dxfId="1112" priority="183">
      <formula>CE124&gt;1</formula>
    </cfRule>
  </conditionalFormatting>
  <conditionalFormatting sqref="BW128">
    <cfRule type="expression" dxfId="1111" priority="182">
      <formula>CD128&gt;1</formula>
    </cfRule>
  </conditionalFormatting>
  <conditionalFormatting sqref="CJ107:CJ114 CJ116:CJ119 CJ121:CJ122">
    <cfRule type="expression" dxfId="1110" priority="179">
      <formula>CQ107&gt;1</formula>
    </cfRule>
  </conditionalFormatting>
  <conditionalFormatting sqref="CL116:CL119 CL121:CL122 CL107:CL114">
    <cfRule type="expression" dxfId="1109" priority="180">
      <formula>CR107&gt;1</formula>
    </cfRule>
  </conditionalFormatting>
  <conditionalFormatting sqref="CL90:CL105">
    <cfRule type="expression" dxfId="1108" priority="178">
      <formula>CR90&gt;1</formula>
    </cfRule>
  </conditionalFormatting>
  <conditionalFormatting sqref="CJ90:CJ105">
    <cfRule type="expression" dxfId="1107" priority="177">
      <formula>CQ90&gt;1</formula>
    </cfRule>
  </conditionalFormatting>
  <conditionalFormatting sqref="CJ124">
    <cfRule type="expression" dxfId="1106" priority="176">
      <formula>CQ124&gt;1</formula>
    </cfRule>
  </conditionalFormatting>
  <conditionalFormatting sqref="CJ126">
    <cfRule type="expression" dxfId="1105" priority="175">
      <formula>CQ126&gt;1</formula>
    </cfRule>
  </conditionalFormatting>
  <conditionalFormatting sqref="CL124">
    <cfRule type="expression" dxfId="1104" priority="174">
      <formula>CR124&gt;1</formula>
    </cfRule>
  </conditionalFormatting>
  <conditionalFormatting sqref="CJ128">
    <cfRule type="expression" dxfId="1103" priority="173">
      <formula>CQ128&gt;1</formula>
    </cfRule>
  </conditionalFormatting>
  <conditionalFormatting sqref="CW107:CW114 CW116:CW119 CW121:CW122">
    <cfRule type="expression" dxfId="1102" priority="170">
      <formula>DD107&gt;1</formula>
    </cfRule>
  </conditionalFormatting>
  <conditionalFormatting sqref="CY116:CY119 CY121:CY122 CY107:CY114">
    <cfRule type="expression" dxfId="1101" priority="171">
      <formula>DE107&gt;1</formula>
    </cfRule>
  </conditionalFormatting>
  <conditionalFormatting sqref="CY90:CY105">
    <cfRule type="expression" dxfId="1100" priority="169">
      <formula>DE90&gt;1</formula>
    </cfRule>
  </conditionalFormatting>
  <conditionalFormatting sqref="CW90:CW105">
    <cfRule type="expression" dxfId="1099" priority="168">
      <formula>DD90&gt;1</formula>
    </cfRule>
  </conditionalFormatting>
  <conditionalFormatting sqref="CW124">
    <cfRule type="expression" dxfId="1098" priority="167">
      <formula>DD124&gt;1</formula>
    </cfRule>
  </conditionalFormatting>
  <conditionalFormatting sqref="CW126">
    <cfRule type="expression" dxfId="1097" priority="166">
      <formula>DD126&gt;1</formula>
    </cfRule>
  </conditionalFormatting>
  <conditionalFormatting sqref="CY124">
    <cfRule type="expression" dxfId="1096" priority="165">
      <formula>DE124&gt;1</formula>
    </cfRule>
  </conditionalFormatting>
  <conditionalFormatting sqref="CW128">
    <cfRule type="expression" dxfId="1095" priority="164">
      <formula>DD128&gt;1</formula>
    </cfRule>
  </conditionalFormatting>
  <conditionalFormatting sqref="DJ107:DJ114 DJ116:DJ119 DJ121:DJ122">
    <cfRule type="expression" dxfId="1094" priority="161">
      <formula>DQ107&gt;1</formula>
    </cfRule>
  </conditionalFormatting>
  <conditionalFormatting sqref="DL116:DL119 DL121:DL122 DL107:DL114">
    <cfRule type="expression" dxfId="1093" priority="162">
      <formula>DR107&gt;1</formula>
    </cfRule>
  </conditionalFormatting>
  <conditionalFormatting sqref="DL90:DL105">
    <cfRule type="expression" dxfId="1092" priority="160">
      <formula>DR90&gt;1</formula>
    </cfRule>
  </conditionalFormatting>
  <conditionalFormatting sqref="DJ90:DJ105">
    <cfRule type="expression" dxfId="1091" priority="159">
      <formula>DQ90&gt;1</formula>
    </cfRule>
  </conditionalFormatting>
  <conditionalFormatting sqref="DJ124">
    <cfRule type="expression" dxfId="1090" priority="158">
      <formula>DQ124&gt;1</formula>
    </cfRule>
  </conditionalFormatting>
  <conditionalFormatting sqref="DJ126">
    <cfRule type="expression" dxfId="1089" priority="157">
      <formula>DQ126&gt;1</formula>
    </cfRule>
  </conditionalFormatting>
  <conditionalFormatting sqref="DL124">
    <cfRule type="expression" dxfId="1088" priority="156">
      <formula>DR124&gt;1</formula>
    </cfRule>
  </conditionalFormatting>
  <conditionalFormatting sqref="DJ128">
    <cfRule type="expression" dxfId="1087" priority="155">
      <formula>DQ128&gt;1</formula>
    </cfRule>
  </conditionalFormatting>
  <conditionalFormatting sqref="DW107:DW114 DW116:DW119 DW121:DW122">
    <cfRule type="expression" dxfId="1086" priority="152">
      <formula>ED107&gt;1</formula>
    </cfRule>
  </conditionalFormatting>
  <conditionalFormatting sqref="DY116:DY119 DY121:DY122 DY107:DY114">
    <cfRule type="expression" dxfId="1085" priority="153">
      <formula>EE107&gt;1</formula>
    </cfRule>
  </conditionalFormatting>
  <conditionalFormatting sqref="DY90:DY105">
    <cfRule type="expression" dxfId="1084" priority="151">
      <formula>EE90&gt;1</formula>
    </cfRule>
  </conditionalFormatting>
  <conditionalFormatting sqref="DW90:DW105">
    <cfRule type="expression" dxfId="1083" priority="150">
      <formula>ED90&gt;1</formula>
    </cfRule>
  </conditionalFormatting>
  <conditionalFormatting sqref="DW124">
    <cfRule type="expression" dxfId="1082" priority="149">
      <formula>ED124&gt;1</formula>
    </cfRule>
  </conditionalFormatting>
  <conditionalFormatting sqref="DW126">
    <cfRule type="expression" dxfId="1081" priority="148">
      <formula>ED126&gt;1</formula>
    </cfRule>
  </conditionalFormatting>
  <conditionalFormatting sqref="DY124">
    <cfRule type="expression" dxfId="1080" priority="147">
      <formula>EE124&gt;1</formula>
    </cfRule>
  </conditionalFormatting>
  <conditionalFormatting sqref="DW128">
    <cfRule type="expression" dxfId="1079" priority="146">
      <formula>ED128&gt;1</formula>
    </cfRule>
  </conditionalFormatting>
  <conditionalFormatting sqref="EJ107:EJ114 EJ116:EJ119 EJ121:EJ122">
    <cfRule type="expression" dxfId="1078" priority="143">
      <formula>EQ107&gt;1</formula>
    </cfRule>
  </conditionalFormatting>
  <conditionalFormatting sqref="EL116:EL119 EL121:EL122 EL107:EL114">
    <cfRule type="expression" dxfId="1077" priority="144">
      <formula>ER107&gt;1</formula>
    </cfRule>
  </conditionalFormatting>
  <conditionalFormatting sqref="EL90:EL105">
    <cfRule type="expression" dxfId="1076" priority="142">
      <formula>ER90&gt;1</formula>
    </cfRule>
  </conditionalFormatting>
  <conditionalFormatting sqref="EJ90:EJ105">
    <cfRule type="expression" dxfId="1075" priority="141">
      <formula>EQ90&gt;1</formula>
    </cfRule>
  </conditionalFormatting>
  <conditionalFormatting sqref="EJ124">
    <cfRule type="expression" dxfId="1074" priority="140">
      <formula>EQ124&gt;1</formula>
    </cfRule>
  </conditionalFormatting>
  <conditionalFormatting sqref="EJ126">
    <cfRule type="expression" dxfId="1073" priority="139">
      <formula>EQ126&gt;1</formula>
    </cfRule>
  </conditionalFormatting>
  <conditionalFormatting sqref="EL124">
    <cfRule type="expression" dxfId="1072" priority="138">
      <formula>ER124&gt;1</formula>
    </cfRule>
  </conditionalFormatting>
  <conditionalFormatting sqref="EJ128">
    <cfRule type="expression" dxfId="1071" priority="137">
      <formula>EQ128&gt;1</formula>
    </cfRule>
  </conditionalFormatting>
  <conditionalFormatting sqref="EW107:EW114 EW116:EW119 EW121:EW122">
    <cfRule type="expression" dxfId="1070" priority="134">
      <formula>FD107&gt;1</formula>
    </cfRule>
  </conditionalFormatting>
  <conditionalFormatting sqref="EY116:EY119 EY121:EY122 EY107:EY114">
    <cfRule type="expression" dxfId="1069" priority="135">
      <formula>FE107&gt;1</formula>
    </cfRule>
  </conditionalFormatting>
  <conditionalFormatting sqref="EY90:EY105">
    <cfRule type="expression" dxfId="1068" priority="133">
      <formula>FE90&gt;1</formula>
    </cfRule>
  </conditionalFormatting>
  <conditionalFormatting sqref="EW90:EW105">
    <cfRule type="expression" dxfId="1067" priority="132">
      <formula>FD90&gt;1</formula>
    </cfRule>
  </conditionalFormatting>
  <conditionalFormatting sqref="EW124">
    <cfRule type="expression" dxfId="1066" priority="131">
      <formula>FD124&gt;1</formula>
    </cfRule>
  </conditionalFormatting>
  <conditionalFormatting sqref="EW126">
    <cfRule type="expression" dxfId="1065" priority="130">
      <formula>FD126&gt;1</formula>
    </cfRule>
  </conditionalFormatting>
  <conditionalFormatting sqref="EY124">
    <cfRule type="expression" dxfId="1064" priority="129">
      <formula>FE124&gt;1</formula>
    </cfRule>
  </conditionalFormatting>
  <conditionalFormatting sqref="EW128">
    <cfRule type="expression" dxfId="1063" priority="128">
      <formula>FD128&gt;1</formula>
    </cfRule>
  </conditionalFormatting>
  <conditionalFormatting sqref="FJ107:FJ114 FJ116:FJ119 FJ121:FJ122">
    <cfRule type="expression" dxfId="1062" priority="125">
      <formula>FQ107&gt;1</formula>
    </cfRule>
  </conditionalFormatting>
  <conditionalFormatting sqref="FL116:FL119 FL121:FL122 FL107:FL114">
    <cfRule type="expression" dxfId="1061" priority="126">
      <formula>FR107&gt;1</formula>
    </cfRule>
  </conditionalFormatting>
  <conditionalFormatting sqref="FL90:FL105">
    <cfRule type="expression" dxfId="1060" priority="124">
      <formula>FR90&gt;1</formula>
    </cfRule>
  </conditionalFormatting>
  <conditionalFormatting sqref="FJ90:FJ105">
    <cfRule type="expression" dxfId="1059" priority="123">
      <formula>FQ90&gt;1</formula>
    </cfRule>
  </conditionalFormatting>
  <conditionalFormatting sqref="FJ124">
    <cfRule type="expression" dxfId="1058" priority="122">
      <formula>FQ124&gt;1</formula>
    </cfRule>
  </conditionalFormatting>
  <conditionalFormatting sqref="FJ126">
    <cfRule type="expression" dxfId="1057" priority="121">
      <formula>FQ126&gt;1</formula>
    </cfRule>
  </conditionalFormatting>
  <conditionalFormatting sqref="FL124">
    <cfRule type="expression" dxfId="1056" priority="120">
      <formula>FR124&gt;1</formula>
    </cfRule>
  </conditionalFormatting>
  <conditionalFormatting sqref="FJ128">
    <cfRule type="expression" dxfId="1055" priority="119">
      <formula>FQ128&gt;1</formula>
    </cfRule>
  </conditionalFormatting>
  <conditionalFormatting sqref="FW107:FW114 FW116:FW119 FW121:FW122">
    <cfRule type="expression" dxfId="1054" priority="116">
      <formula>GD107&gt;1</formula>
    </cfRule>
  </conditionalFormatting>
  <conditionalFormatting sqref="FY116:FY119 FY121:FY122 FY107:FY114">
    <cfRule type="expression" dxfId="1053" priority="117">
      <formula>GE107&gt;1</formula>
    </cfRule>
  </conditionalFormatting>
  <conditionalFormatting sqref="FY90:FY105">
    <cfRule type="expression" dxfId="1052" priority="115">
      <formula>GE90&gt;1</formula>
    </cfRule>
  </conditionalFormatting>
  <conditionalFormatting sqref="FW90:FW105">
    <cfRule type="expression" dxfId="1051" priority="114">
      <formula>GD90&gt;1</formula>
    </cfRule>
  </conditionalFormatting>
  <conditionalFormatting sqref="FW124">
    <cfRule type="expression" dxfId="1050" priority="113">
      <formula>GD124&gt;1</formula>
    </cfRule>
  </conditionalFormatting>
  <conditionalFormatting sqref="FW126">
    <cfRule type="expression" dxfId="1049" priority="112">
      <formula>GD126&gt;1</formula>
    </cfRule>
  </conditionalFormatting>
  <conditionalFormatting sqref="FY124">
    <cfRule type="expression" dxfId="1048" priority="111">
      <formula>GE124&gt;1</formula>
    </cfRule>
  </conditionalFormatting>
  <conditionalFormatting sqref="FW128">
    <cfRule type="expression" dxfId="1047" priority="110">
      <formula>GD128&gt;1</formula>
    </cfRule>
  </conditionalFormatting>
  <conditionalFormatting sqref="GJ107:GJ114 GJ116:GJ119 GJ121:GJ122">
    <cfRule type="expression" dxfId="1046" priority="107">
      <formula>GQ107&gt;1</formula>
    </cfRule>
  </conditionalFormatting>
  <conditionalFormatting sqref="GL116:GL119 GL121:GL122 GL107:GL114">
    <cfRule type="expression" dxfId="1045" priority="108">
      <formula>GR107&gt;1</formula>
    </cfRule>
  </conditionalFormatting>
  <conditionalFormatting sqref="GL90:GL105">
    <cfRule type="expression" dxfId="1044" priority="106">
      <formula>GR90&gt;1</formula>
    </cfRule>
  </conditionalFormatting>
  <conditionalFormatting sqref="GJ90:GJ105">
    <cfRule type="expression" dxfId="1043" priority="105">
      <formula>GQ90&gt;1</formula>
    </cfRule>
  </conditionalFormatting>
  <conditionalFormatting sqref="GJ124">
    <cfRule type="expression" dxfId="1042" priority="104">
      <formula>GQ124&gt;1</formula>
    </cfRule>
  </conditionalFormatting>
  <conditionalFormatting sqref="GJ126">
    <cfRule type="expression" dxfId="1041" priority="103">
      <formula>GQ126&gt;1</formula>
    </cfRule>
  </conditionalFormatting>
  <conditionalFormatting sqref="GL124">
    <cfRule type="expression" dxfId="1040" priority="102">
      <formula>GR124&gt;1</formula>
    </cfRule>
  </conditionalFormatting>
  <conditionalFormatting sqref="GJ128">
    <cfRule type="expression" dxfId="1039" priority="101">
      <formula>GQ128&gt;1</formula>
    </cfRule>
  </conditionalFormatting>
  <conditionalFormatting sqref="GW107:GW114 GW116:GW119 GW121:GW122">
    <cfRule type="expression" dxfId="1038" priority="98">
      <formula>HD107&gt;1</formula>
    </cfRule>
  </conditionalFormatting>
  <conditionalFormatting sqref="GY116:GY119 GY121:GY122 GY107:GY114">
    <cfRule type="expression" dxfId="1037" priority="99">
      <formula>HE107&gt;1</formula>
    </cfRule>
  </conditionalFormatting>
  <conditionalFormatting sqref="GY90:GY105">
    <cfRule type="expression" dxfId="1036" priority="97">
      <formula>HE90&gt;1</formula>
    </cfRule>
  </conditionalFormatting>
  <conditionalFormatting sqref="GW90:GW105">
    <cfRule type="expression" dxfId="1035" priority="96">
      <formula>HD90&gt;1</formula>
    </cfRule>
  </conditionalFormatting>
  <conditionalFormatting sqref="GW124">
    <cfRule type="expression" dxfId="1034" priority="95">
      <formula>HD124&gt;1</formula>
    </cfRule>
  </conditionalFormatting>
  <conditionalFormatting sqref="GW126">
    <cfRule type="expression" dxfId="1033" priority="94">
      <formula>HD126&gt;1</formula>
    </cfRule>
  </conditionalFormatting>
  <conditionalFormatting sqref="GY124">
    <cfRule type="expression" dxfId="1032" priority="93">
      <formula>HE124&gt;1</formula>
    </cfRule>
  </conditionalFormatting>
  <conditionalFormatting sqref="GW128">
    <cfRule type="expression" dxfId="1031" priority="92">
      <formula>HD128&gt;1</formula>
    </cfRule>
  </conditionalFormatting>
  <conditionalFormatting sqref="HJ107:HJ114 HJ116:HJ119 HJ121:HJ122">
    <cfRule type="expression" dxfId="1030" priority="89">
      <formula>HQ107&gt;1</formula>
    </cfRule>
  </conditionalFormatting>
  <conditionalFormatting sqref="HL116:HL119 HL121:HL122 HL107:HL114">
    <cfRule type="expression" dxfId="1029" priority="90">
      <formula>HR107&gt;1</formula>
    </cfRule>
  </conditionalFormatting>
  <conditionalFormatting sqref="HL90:HL105">
    <cfRule type="expression" dxfId="1028" priority="88">
      <formula>HR90&gt;1</formula>
    </cfRule>
  </conditionalFormatting>
  <conditionalFormatting sqref="HJ90:HJ105">
    <cfRule type="expression" dxfId="1027" priority="87">
      <formula>HQ90&gt;1</formula>
    </cfRule>
  </conditionalFormatting>
  <conditionalFormatting sqref="HJ124">
    <cfRule type="expression" dxfId="1026" priority="86">
      <formula>HQ124&gt;1</formula>
    </cfRule>
  </conditionalFormatting>
  <conditionalFormatting sqref="HJ126">
    <cfRule type="expression" dxfId="1025" priority="85">
      <formula>HQ126&gt;1</formula>
    </cfRule>
  </conditionalFormatting>
  <conditionalFormatting sqref="HL124">
    <cfRule type="expression" dxfId="1024" priority="84">
      <formula>HR124&gt;1</formula>
    </cfRule>
  </conditionalFormatting>
  <conditionalFormatting sqref="HJ128">
    <cfRule type="expression" dxfId="1023" priority="83">
      <formula>HQ128&gt;1</formula>
    </cfRule>
  </conditionalFormatting>
  <conditionalFormatting sqref="HW107:HW114 HW116:HW119 HW121:HW122">
    <cfRule type="expression" dxfId="1022" priority="80">
      <formula>ID107&gt;1</formula>
    </cfRule>
  </conditionalFormatting>
  <conditionalFormatting sqref="HY116:HY119 HY121:HY122 HY107:HY114">
    <cfRule type="expression" dxfId="1021" priority="81">
      <formula>IE107&gt;1</formula>
    </cfRule>
  </conditionalFormatting>
  <conditionalFormatting sqref="HY90:HY105">
    <cfRule type="expression" dxfId="1020" priority="79">
      <formula>IE90&gt;1</formula>
    </cfRule>
  </conditionalFormatting>
  <conditionalFormatting sqref="HW90:HW105">
    <cfRule type="expression" dxfId="1019" priority="78">
      <formula>ID90&gt;1</formula>
    </cfRule>
  </conditionalFormatting>
  <conditionalFormatting sqref="HW124">
    <cfRule type="expression" dxfId="1018" priority="77">
      <formula>ID124&gt;1</formula>
    </cfRule>
  </conditionalFormatting>
  <conditionalFormatting sqref="HW126">
    <cfRule type="expression" dxfId="1017" priority="76">
      <formula>ID126&gt;1</formula>
    </cfRule>
  </conditionalFormatting>
  <conditionalFormatting sqref="HY124">
    <cfRule type="expression" dxfId="1016" priority="75">
      <formula>IE124&gt;1</formula>
    </cfRule>
  </conditionalFormatting>
  <conditionalFormatting sqref="HW128">
    <cfRule type="expression" dxfId="1015" priority="74">
      <formula>ID128&gt;1</formula>
    </cfRule>
  </conditionalFormatting>
  <conditionalFormatting sqref="IJ107:IJ114 IJ116:IJ119 IJ121:IJ122">
    <cfRule type="expression" dxfId="1014" priority="71">
      <formula>IQ107&gt;1</formula>
    </cfRule>
  </conditionalFormatting>
  <conditionalFormatting sqref="IL116:IL119 IL121:IL122 IL107:IL114">
    <cfRule type="expression" dxfId="1013" priority="72">
      <formula>IR107&gt;1</formula>
    </cfRule>
  </conditionalFormatting>
  <conditionalFormatting sqref="IL90:IL105">
    <cfRule type="expression" dxfId="1012" priority="70">
      <formula>IR90&gt;1</formula>
    </cfRule>
  </conditionalFormatting>
  <conditionalFormatting sqref="IJ90:IJ105">
    <cfRule type="expression" dxfId="1011" priority="69">
      <formula>IQ90&gt;1</formula>
    </cfRule>
  </conditionalFormatting>
  <conditionalFormatting sqref="IJ124">
    <cfRule type="expression" dxfId="1010" priority="68">
      <formula>IQ124&gt;1</formula>
    </cfRule>
  </conditionalFormatting>
  <conditionalFormatting sqref="IJ126">
    <cfRule type="expression" dxfId="1009" priority="67">
      <formula>IQ126&gt;1</formula>
    </cfRule>
  </conditionalFormatting>
  <conditionalFormatting sqref="IL124">
    <cfRule type="expression" dxfId="1008" priority="66">
      <formula>IR124&gt;1</formula>
    </cfRule>
  </conditionalFormatting>
  <conditionalFormatting sqref="IJ128">
    <cfRule type="expression" dxfId="1007" priority="65">
      <formula>IQ128&gt;1</formula>
    </cfRule>
  </conditionalFormatting>
  <conditionalFormatting sqref="IW107:IW114 IW116:IW119 IW121:IW122">
    <cfRule type="expression" dxfId="1006" priority="62">
      <formula>JD107&gt;1</formula>
    </cfRule>
  </conditionalFormatting>
  <conditionalFormatting sqref="IY116:IY119 IY121:IY122 IY107:IY114">
    <cfRule type="expression" dxfId="1005" priority="63">
      <formula>JE107&gt;1</formula>
    </cfRule>
  </conditionalFormatting>
  <conditionalFormatting sqref="IY90:IY105">
    <cfRule type="expression" dxfId="1004" priority="61">
      <formula>JE90&gt;1</formula>
    </cfRule>
  </conditionalFormatting>
  <conditionalFormatting sqref="IW90:IW105">
    <cfRule type="expression" dxfId="1003" priority="60">
      <formula>JD90&gt;1</formula>
    </cfRule>
  </conditionalFormatting>
  <conditionalFormatting sqref="IW124">
    <cfRule type="expression" dxfId="1002" priority="59">
      <formula>JD124&gt;1</formula>
    </cfRule>
  </conditionalFormatting>
  <conditionalFormatting sqref="IW126">
    <cfRule type="expression" dxfId="1001" priority="58">
      <formula>JD126&gt;1</formula>
    </cfRule>
  </conditionalFormatting>
  <conditionalFormatting sqref="IY124">
    <cfRule type="expression" dxfId="1000" priority="57">
      <formula>JE124&gt;1</formula>
    </cfRule>
  </conditionalFormatting>
  <conditionalFormatting sqref="IW128">
    <cfRule type="expression" dxfId="999" priority="56">
      <formula>JD128&gt;1</formula>
    </cfRule>
  </conditionalFormatting>
  <conditionalFormatting sqref="JJ107:JJ114 JJ116:JJ119 JJ121:JJ122">
    <cfRule type="expression" dxfId="998" priority="53">
      <formula>JQ107&gt;1</formula>
    </cfRule>
  </conditionalFormatting>
  <conditionalFormatting sqref="JL116:JL119 JL121:JL122 JL107:JL114">
    <cfRule type="expression" dxfId="997" priority="54">
      <formula>JR107&gt;1</formula>
    </cfRule>
  </conditionalFormatting>
  <conditionalFormatting sqref="JL90:JL105">
    <cfRule type="expression" dxfId="996" priority="52">
      <formula>JR90&gt;1</formula>
    </cfRule>
  </conditionalFormatting>
  <conditionalFormatting sqref="JJ90:JJ105">
    <cfRule type="expression" dxfId="995" priority="51">
      <formula>JQ90&gt;1</formula>
    </cfRule>
  </conditionalFormatting>
  <conditionalFormatting sqref="JJ124">
    <cfRule type="expression" dxfId="994" priority="50">
      <formula>JQ124&gt;1</formula>
    </cfRule>
  </conditionalFormatting>
  <conditionalFormatting sqref="JJ126">
    <cfRule type="expression" dxfId="993" priority="49">
      <formula>JQ126&gt;1</formula>
    </cfRule>
  </conditionalFormatting>
  <conditionalFormatting sqref="JL124">
    <cfRule type="expression" dxfId="992" priority="48">
      <formula>JR124&gt;1</formula>
    </cfRule>
  </conditionalFormatting>
  <conditionalFormatting sqref="JJ128">
    <cfRule type="expression" dxfId="991" priority="47">
      <formula>JQ128&gt;1</formula>
    </cfRule>
  </conditionalFormatting>
  <conditionalFormatting sqref="JW107:JW114 JW116:JW119 JW121:JW122">
    <cfRule type="expression" dxfId="990" priority="44">
      <formula>KD107&gt;1</formula>
    </cfRule>
  </conditionalFormatting>
  <conditionalFormatting sqref="JY116:JY119 JY121:JY122 JY107:JY114">
    <cfRule type="expression" dxfId="989" priority="45">
      <formula>KE107&gt;1</formula>
    </cfRule>
  </conditionalFormatting>
  <conditionalFormatting sqref="JY90:JY105">
    <cfRule type="expression" dxfId="988" priority="43">
      <formula>KE90&gt;1</formula>
    </cfRule>
  </conditionalFormatting>
  <conditionalFormatting sqref="JW90:JW105">
    <cfRule type="expression" dxfId="987" priority="42">
      <formula>KD90&gt;1</formula>
    </cfRule>
  </conditionalFormatting>
  <conditionalFormatting sqref="JW124">
    <cfRule type="expression" dxfId="986" priority="41">
      <formula>KD124&gt;1</formula>
    </cfRule>
  </conditionalFormatting>
  <conditionalFormatting sqref="JW126">
    <cfRule type="expression" dxfId="985" priority="40">
      <formula>KD126&gt;1</formula>
    </cfRule>
  </conditionalFormatting>
  <conditionalFormatting sqref="JY124">
    <cfRule type="expression" dxfId="984" priority="39">
      <formula>KE124&gt;1</formula>
    </cfRule>
  </conditionalFormatting>
  <conditionalFormatting sqref="JW128">
    <cfRule type="expression" dxfId="983" priority="38">
      <formula>KD128&gt;1</formula>
    </cfRule>
  </conditionalFormatting>
  <conditionalFormatting sqref="KJ107:KJ114 KJ116:KJ119 KJ121:KJ122">
    <cfRule type="expression" dxfId="982" priority="35">
      <formula>KQ107&gt;1</formula>
    </cfRule>
  </conditionalFormatting>
  <conditionalFormatting sqref="KL116:KL119 KL121:KL122 KL107:KL114">
    <cfRule type="expression" dxfId="981" priority="36">
      <formula>KR107&gt;1</formula>
    </cfRule>
  </conditionalFormatting>
  <conditionalFormatting sqref="KL90:KL105">
    <cfRule type="expression" dxfId="980" priority="34">
      <formula>KR90&gt;1</formula>
    </cfRule>
  </conditionalFormatting>
  <conditionalFormatting sqref="KJ90:KJ105">
    <cfRule type="expression" dxfId="979" priority="33">
      <formula>KQ90&gt;1</formula>
    </cfRule>
  </conditionalFormatting>
  <conditionalFormatting sqref="KJ124">
    <cfRule type="expression" dxfId="978" priority="32">
      <formula>KQ124&gt;1</formula>
    </cfRule>
  </conditionalFormatting>
  <conditionalFormatting sqref="KJ126">
    <cfRule type="expression" dxfId="977" priority="31">
      <formula>KQ126&gt;1</formula>
    </cfRule>
  </conditionalFormatting>
  <conditionalFormatting sqref="KL124">
    <cfRule type="expression" dxfId="976" priority="30">
      <formula>KR124&gt;1</formula>
    </cfRule>
  </conditionalFormatting>
  <conditionalFormatting sqref="KJ128">
    <cfRule type="expression" dxfId="975" priority="29">
      <formula>KQ128&gt;1</formula>
    </cfRule>
  </conditionalFormatting>
  <conditionalFormatting sqref="KW107:KW114 KW116:KW119 KW121:KW122">
    <cfRule type="expression" dxfId="974" priority="26">
      <formula>LD107&gt;1</formula>
    </cfRule>
  </conditionalFormatting>
  <conditionalFormatting sqref="KY116:KY119 KY121:KY122 KY107:KY114">
    <cfRule type="expression" dxfId="973" priority="27">
      <formula>LE107&gt;1</formula>
    </cfRule>
  </conditionalFormatting>
  <conditionalFormatting sqref="KY90:KY105">
    <cfRule type="expression" dxfId="972" priority="25">
      <formula>LE90&gt;1</formula>
    </cfRule>
  </conditionalFormatting>
  <conditionalFormatting sqref="KW90:KW105">
    <cfRule type="expression" dxfId="971" priority="24">
      <formula>LD90&gt;1</formula>
    </cfRule>
  </conditionalFormatting>
  <conditionalFormatting sqref="KW124">
    <cfRule type="expression" dxfId="970" priority="23">
      <formula>LD124&gt;1</formula>
    </cfRule>
  </conditionalFormatting>
  <conditionalFormatting sqref="KW126">
    <cfRule type="expression" dxfId="969" priority="22">
      <formula>LD126&gt;1</formula>
    </cfRule>
  </conditionalFormatting>
  <conditionalFormatting sqref="KY124">
    <cfRule type="expression" dxfId="968" priority="21">
      <formula>LE124&gt;1</formula>
    </cfRule>
  </conditionalFormatting>
  <conditionalFormatting sqref="KW128">
    <cfRule type="expression" dxfId="967" priority="20">
      <formula>LD128&gt;1</formula>
    </cfRule>
  </conditionalFormatting>
  <conditionalFormatting sqref="LJ107:LJ114 LJ116:LJ119 LJ121:LJ122">
    <cfRule type="expression" dxfId="966" priority="17">
      <formula>LQ107&gt;1</formula>
    </cfRule>
  </conditionalFormatting>
  <conditionalFormatting sqref="LL116:LL119 LL121:LL122 LL107:LL114">
    <cfRule type="expression" dxfId="965" priority="18">
      <formula>LR107&gt;1</formula>
    </cfRule>
  </conditionalFormatting>
  <conditionalFormatting sqref="LL90:LL105">
    <cfRule type="expression" dxfId="964" priority="16">
      <formula>LR90&gt;1</formula>
    </cfRule>
  </conditionalFormatting>
  <conditionalFormatting sqref="LJ90:LJ105">
    <cfRule type="expression" dxfId="963" priority="15">
      <formula>LQ90&gt;1</formula>
    </cfRule>
  </conditionalFormatting>
  <conditionalFormatting sqref="LJ124">
    <cfRule type="expression" dxfId="962" priority="14">
      <formula>LQ124&gt;1</formula>
    </cfRule>
  </conditionalFormatting>
  <conditionalFormatting sqref="LJ126">
    <cfRule type="expression" dxfId="961" priority="13">
      <formula>LQ126&gt;1</formula>
    </cfRule>
  </conditionalFormatting>
  <conditionalFormatting sqref="LL124">
    <cfRule type="expression" dxfId="960" priority="12">
      <formula>LR124&gt;1</formula>
    </cfRule>
  </conditionalFormatting>
  <conditionalFormatting sqref="LJ128">
    <cfRule type="expression" dxfId="959" priority="11">
      <formula>LQ128&gt;1</formula>
    </cfRule>
  </conditionalFormatting>
  <conditionalFormatting sqref="LW107:LW114 LW116:LW119 LW121:LW122">
    <cfRule type="expression" dxfId="958" priority="8">
      <formula>MD107&gt;1</formula>
    </cfRule>
  </conditionalFormatting>
  <conditionalFormatting sqref="LY116:LY119 LY121:LY122 LY107:LY114">
    <cfRule type="expression" dxfId="957" priority="9">
      <formula>ME107&gt;1</formula>
    </cfRule>
  </conditionalFormatting>
  <conditionalFormatting sqref="LY90:LY105">
    <cfRule type="expression" dxfId="956" priority="7">
      <formula>ME90&gt;1</formula>
    </cfRule>
  </conditionalFormatting>
  <conditionalFormatting sqref="LW90:LW105">
    <cfRule type="expression" dxfId="955" priority="6">
      <formula>MD90&gt;1</formula>
    </cfRule>
  </conditionalFormatting>
  <conditionalFormatting sqref="LW124">
    <cfRule type="expression" dxfId="954" priority="5">
      <formula>MD124&gt;1</formula>
    </cfRule>
  </conditionalFormatting>
  <conditionalFormatting sqref="LW126">
    <cfRule type="expression" dxfId="953" priority="4">
      <formula>MD126&gt;1</formula>
    </cfRule>
  </conditionalFormatting>
  <conditionalFormatting sqref="LY124">
    <cfRule type="expression" dxfId="952" priority="3">
      <formula>ME124&gt;1</formula>
    </cfRule>
  </conditionalFormatting>
  <conditionalFormatting sqref="LW128">
    <cfRule type="expression" dxfId="95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1" t="str">
        <f>Language!$E$127</f>
        <v>Predictions Ranking</v>
      </c>
      <c r="C1" s="1061"/>
      <c r="D1" s="1061"/>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2" t="str">
        <f>Language!$E$210</f>
        <v>Predictions</v>
      </c>
      <c r="C1" s="1062"/>
      <c r="D1" s="1062"/>
      <c r="E1" s="1062"/>
      <c r="F1" s="1062"/>
      <c r="G1" s="1062"/>
    </row>
    <row r="2" spans="1:345" ht="18.75" customHeight="1" x14ac:dyDescent="0.45">
      <c r="A2" s="223"/>
      <c r="B2" s="223"/>
      <c r="C2" s="224"/>
      <c r="D2" s="224"/>
      <c r="E2" s="224"/>
      <c r="I2" s="1063">
        <f>O130</f>
        <v>0</v>
      </c>
      <c r="J2" s="1063"/>
      <c r="K2" s="1063"/>
      <c r="L2" s="1063"/>
      <c r="M2" s="1063"/>
      <c r="N2" s="1063"/>
      <c r="O2" s="1063"/>
      <c r="P2" s="1063"/>
      <c r="Q2" s="1063"/>
      <c r="R2" s="1063"/>
      <c r="S2" s="1063"/>
      <c r="T2" s="1063"/>
      <c r="V2" s="1063">
        <f>AB130</f>
        <v>0</v>
      </c>
      <c r="W2" s="1063"/>
      <c r="X2" s="1063"/>
      <c r="Y2" s="1063"/>
      <c r="Z2" s="1063"/>
      <c r="AA2" s="1063"/>
      <c r="AB2" s="1063"/>
      <c r="AC2" s="1063"/>
      <c r="AD2" s="1063"/>
      <c r="AE2" s="1063"/>
      <c r="AF2" s="1063"/>
      <c r="AG2" s="1063"/>
      <c r="AI2" s="1063">
        <f>AO130</f>
        <v>0</v>
      </c>
      <c r="AJ2" s="1063"/>
      <c r="AK2" s="1063"/>
      <c r="AL2" s="1063"/>
      <c r="AM2" s="1063"/>
      <c r="AN2" s="1063"/>
      <c r="AO2" s="1063"/>
      <c r="AP2" s="1063"/>
      <c r="AQ2" s="1063"/>
      <c r="AR2" s="1063"/>
      <c r="AS2" s="1063"/>
      <c r="AT2" s="1063"/>
      <c r="AV2" s="1063">
        <f>BB130</f>
        <v>0</v>
      </c>
      <c r="AW2" s="1063"/>
      <c r="AX2" s="1063"/>
      <c r="AY2" s="1063"/>
      <c r="AZ2" s="1063"/>
      <c r="BA2" s="1063"/>
      <c r="BB2" s="1063"/>
      <c r="BC2" s="1063"/>
      <c r="BD2" s="1063"/>
      <c r="BE2" s="1063"/>
      <c r="BF2" s="1063"/>
      <c r="BG2" s="1063"/>
      <c r="BI2" s="1063">
        <f>BO130</f>
        <v>0</v>
      </c>
      <c r="BJ2" s="1063"/>
      <c r="BK2" s="1063"/>
      <c r="BL2" s="1063"/>
      <c r="BM2" s="1063"/>
      <c r="BN2" s="1063"/>
      <c r="BO2" s="1063"/>
      <c r="BP2" s="1063"/>
      <c r="BQ2" s="1063"/>
      <c r="BR2" s="1063"/>
      <c r="BS2" s="1063"/>
      <c r="BT2" s="1063"/>
      <c r="BV2" s="1063">
        <f>CB130</f>
        <v>0</v>
      </c>
      <c r="BW2" s="1063"/>
      <c r="BX2" s="1063"/>
      <c r="BY2" s="1063"/>
      <c r="BZ2" s="1063"/>
      <c r="CA2" s="1063"/>
      <c r="CB2" s="1063"/>
      <c r="CC2" s="1063"/>
      <c r="CD2" s="1063"/>
      <c r="CE2" s="1063"/>
      <c r="CF2" s="1063"/>
      <c r="CG2" s="1063"/>
      <c r="CI2" s="1063">
        <f>CO130</f>
        <v>0</v>
      </c>
      <c r="CJ2" s="1063"/>
      <c r="CK2" s="1063"/>
      <c r="CL2" s="1063"/>
      <c r="CM2" s="1063"/>
      <c r="CN2" s="1063"/>
      <c r="CO2" s="1063"/>
      <c r="CP2" s="1063"/>
      <c r="CQ2" s="1063"/>
      <c r="CR2" s="1063"/>
      <c r="CS2" s="1063"/>
      <c r="CT2" s="1063"/>
      <c r="CV2" s="1063">
        <f>DB130</f>
        <v>0</v>
      </c>
      <c r="CW2" s="1063"/>
      <c r="CX2" s="1063"/>
      <c r="CY2" s="1063"/>
      <c r="CZ2" s="1063"/>
      <c r="DA2" s="1063"/>
      <c r="DB2" s="1063"/>
      <c r="DC2" s="1063"/>
      <c r="DD2" s="1063"/>
      <c r="DE2" s="1063"/>
      <c r="DF2" s="1063"/>
      <c r="DG2" s="1063"/>
      <c r="DI2" s="1063">
        <f>DO130</f>
        <v>0</v>
      </c>
      <c r="DJ2" s="1063"/>
      <c r="DK2" s="1063"/>
      <c r="DL2" s="1063"/>
      <c r="DM2" s="1063"/>
      <c r="DN2" s="1063"/>
      <c r="DO2" s="1063"/>
      <c r="DP2" s="1063"/>
      <c r="DQ2" s="1063"/>
      <c r="DR2" s="1063"/>
      <c r="DS2" s="1063"/>
      <c r="DT2" s="1063"/>
      <c r="DV2" s="1063">
        <f>EB130</f>
        <v>0</v>
      </c>
      <c r="DW2" s="1063"/>
      <c r="DX2" s="1063"/>
      <c r="DY2" s="1063"/>
      <c r="DZ2" s="1063"/>
      <c r="EA2" s="1063"/>
      <c r="EB2" s="1063"/>
      <c r="EC2" s="1063"/>
      <c r="ED2" s="1063"/>
      <c r="EE2" s="1063"/>
      <c r="EF2" s="1063"/>
      <c r="EG2" s="1063"/>
      <c r="EI2" s="1063">
        <f>EO130</f>
        <v>0</v>
      </c>
      <c r="EJ2" s="1063"/>
      <c r="EK2" s="1063"/>
      <c r="EL2" s="1063"/>
      <c r="EM2" s="1063"/>
      <c r="EN2" s="1063"/>
      <c r="EO2" s="1063"/>
      <c r="EP2" s="1063"/>
      <c r="EQ2" s="1063"/>
      <c r="ER2" s="1063"/>
      <c r="ES2" s="1063"/>
      <c r="ET2" s="1063"/>
      <c r="EV2" s="1063">
        <f>FB130</f>
        <v>0</v>
      </c>
      <c r="EW2" s="1063"/>
      <c r="EX2" s="1063"/>
      <c r="EY2" s="1063"/>
      <c r="EZ2" s="1063"/>
      <c r="FA2" s="1063"/>
      <c r="FB2" s="1063"/>
      <c r="FC2" s="1063"/>
      <c r="FD2" s="1063"/>
      <c r="FE2" s="1063"/>
      <c r="FF2" s="1063"/>
      <c r="FG2" s="1063"/>
      <c r="FI2" s="1063">
        <f>FO130</f>
        <v>0</v>
      </c>
      <c r="FJ2" s="1063"/>
      <c r="FK2" s="1063"/>
      <c r="FL2" s="1063"/>
      <c r="FM2" s="1063"/>
      <c r="FN2" s="1063"/>
      <c r="FO2" s="1063"/>
      <c r="FP2" s="1063"/>
      <c r="FQ2" s="1063"/>
      <c r="FR2" s="1063"/>
      <c r="FS2" s="1063"/>
      <c r="FT2" s="1063"/>
      <c r="FV2" s="1063">
        <f>GB130</f>
        <v>0</v>
      </c>
      <c r="FW2" s="1063"/>
      <c r="FX2" s="1063"/>
      <c r="FY2" s="1063"/>
      <c r="FZ2" s="1063"/>
      <c r="GA2" s="1063"/>
      <c r="GB2" s="1063"/>
      <c r="GC2" s="1063"/>
      <c r="GD2" s="1063"/>
      <c r="GE2" s="1063"/>
      <c r="GF2" s="1063"/>
      <c r="GG2" s="1063"/>
      <c r="GI2" s="1063">
        <f>GO130</f>
        <v>0</v>
      </c>
      <c r="GJ2" s="1063"/>
      <c r="GK2" s="1063"/>
      <c r="GL2" s="1063"/>
      <c r="GM2" s="1063"/>
      <c r="GN2" s="1063"/>
      <c r="GO2" s="1063"/>
      <c r="GP2" s="1063"/>
      <c r="GQ2" s="1063"/>
      <c r="GR2" s="1063"/>
      <c r="GS2" s="1063"/>
      <c r="GT2" s="1063"/>
      <c r="GV2" s="1063">
        <f>HB130</f>
        <v>0</v>
      </c>
      <c r="GW2" s="1063"/>
      <c r="GX2" s="1063"/>
      <c r="GY2" s="1063"/>
      <c r="GZ2" s="1063"/>
      <c r="HA2" s="1063"/>
      <c r="HB2" s="1063"/>
      <c r="HC2" s="1063"/>
      <c r="HD2" s="1063"/>
      <c r="HE2" s="1063"/>
      <c r="HF2" s="1063"/>
      <c r="HG2" s="1063"/>
      <c r="HI2" s="1063">
        <f>HO130</f>
        <v>0</v>
      </c>
      <c r="HJ2" s="1063"/>
      <c r="HK2" s="1063"/>
      <c r="HL2" s="1063"/>
      <c r="HM2" s="1063"/>
      <c r="HN2" s="1063"/>
      <c r="HO2" s="1063"/>
      <c r="HP2" s="1063"/>
      <c r="HQ2" s="1063"/>
      <c r="HR2" s="1063"/>
      <c r="HS2" s="1063"/>
      <c r="HT2" s="1063"/>
      <c r="HV2" s="1063">
        <f>IB130</f>
        <v>0</v>
      </c>
      <c r="HW2" s="1063"/>
      <c r="HX2" s="1063"/>
      <c r="HY2" s="1063"/>
      <c r="HZ2" s="1063"/>
      <c r="IA2" s="1063"/>
      <c r="IB2" s="1063"/>
      <c r="IC2" s="1063"/>
      <c r="ID2" s="1063"/>
      <c r="IE2" s="1063"/>
      <c r="IF2" s="1063"/>
      <c r="IG2" s="1063"/>
      <c r="II2" s="1063">
        <f>IO130</f>
        <v>0</v>
      </c>
      <c r="IJ2" s="1063"/>
      <c r="IK2" s="1063"/>
      <c r="IL2" s="1063"/>
      <c r="IM2" s="1063"/>
      <c r="IN2" s="1063"/>
      <c r="IO2" s="1063"/>
      <c r="IP2" s="1063"/>
      <c r="IQ2" s="1063"/>
      <c r="IR2" s="1063"/>
      <c r="IS2" s="1063"/>
      <c r="IT2" s="1063"/>
      <c r="IV2" s="1063">
        <f>JB130</f>
        <v>0</v>
      </c>
      <c r="IW2" s="1063"/>
      <c r="IX2" s="1063"/>
      <c r="IY2" s="1063"/>
      <c r="IZ2" s="1063"/>
      <c r="JA2" s="1063"/>
      <c r="JB2" s="1063"/>
      <c r="JC2" s="1063"/>
      <c r="JD2" s="1063"/>
      <c r="JE2" s="1063"/>
      <c r="JF2" s="1063"/>
      <c r="JG2" s="1063"/>
      <c r="JI2" s="1063">
        <f>JO130</f>
        <v>0</v>
      </c>
      <c r="JJ2" s="1063"/>
      <c r="JK2" s="1063"/>
      <c r="JL2" s="1063"/>
      <c r="JM2" s="1063"/>
      <c r="JN2" s="1063"/>
      <c r="JO2" s="1063"/>
      <c r="JP2" s="1063"/>
      <c r="JQ2" s="1063"/>
      <c r="JR2" s="1063"/>
      <c r="JS2" s="1063"/>
      <c r="JT2" s="1063"/>
      <c r="JV2" s="1063">
        <f>KB130</f>
        <v>0</v>
      </c>
      <c r="JW2" s="1063"/>
      <c r="JX2" s="1063"/>
      <c r="JY2" s="1063"/>
      <c r="JZ2" s="1063"/>
      <c r="KA2" s="1063"/>
      <c r="KB2" s="1063"/>
      <c r="KC2" s="1063"/>
      <c r="KD2" s="1063"/>
      <c r="KE2" s="1063"/>
      <c r="KF2" s="1063"/>
      <c r="KG2" s="1063"/>
      <c r="KI2" s="1063">
        <f>KO130</f>
        <v>0</v>
      </c>
      <c r="KJ2" s="1063"/>
      <c r="KK2" s="1063"/>
      <c r="KL2" s="1063"/>
      <c r="KM2" s="1063"/>
      <c r="KN2" s="1063"/>
      <c r="KO2" s="1063"/>
      <c r="KP2" s="1063"/>
      <c r="KQ2" s="1063"/>
      <c r="KR2" s="1063"/>
      <c r="KS2" s="1063"/>
      <c r="KT2" s="1063"/>
      <c r="KV2" s="1063">
        <f>LB130</f>
        <v>0</v>
      </c>
      <c r="KW2" s="1063"/>
      <c r="KX2" s="1063"/>
      <c r="KY2" s="1063"/>
      <c r="KZ2" s="1063"/>
      <c r="LA2" s="1063"/>
      <c r="LB2" s="1063"/>
      <c r="LC2" s="1063"/>
      <c r="LD2" s="1063"/>
      <c r="LE2" s="1063"/>
      <c r="LF2" s="1063"/>
      <c r="LG2" s="1063"/>
      <c r="LI2" s="1063">
        <f>LO130</f>
        <v>0</v>
      </c>
      <c r="LJ2" s="1063"/>
      <c r="LK2" s="1063"/>
      <c r="LL2" s="1063"/>
      <c r="LM2" s="1063"/>
      <c r="LN2" s="1063"/>
      <c r="LO2" s="1063"/>
      <c r="LP2" s="1063"/>
      <c r="LQ2" s="1063"/>
      <c r="LR2" s="1063"/>
      <c r="LS2" s="1063"/>
      <c r="LT2" s="1063"/>
      <c r="LV2" s="1063">
        <f>MB130</f>
        <v>0</v>
      </c>
      <c r="LW2" s="1063"/>
      <c r="LX2" s="1063"/>
      <c r="LY2" s="1063"/>
      <c r="LZ2" s="1063"/>
      <c r="MA2" s="1063"/>
      <c r="MB2" s="1063"/>
      <c r="MC2" s="1063"/>
      <c r="MD2" s="1063"/>
      <c r="ME2" s="1063"/>
      <c r="MF2" s="1063"/>
      <c r="MG2" s="1063"/>
    </row>
    <row r="3" spans="1:345" ht="24.75" customHeight="1" thickBot="1" x14ac:dyDescent="0.3">
      <c r="A3" s="223"/>
      <c r="B3" s="1039" t="str">
        <f>Language!$E$211</f>
        <v>Correct Results</v>
      </c>
      <c r="C3" s="1040"/>
      <c r="D3" s="1040"/>
      <c r="E3" s="1040"/>
      <c r="F3" s="1040"/>
      <c r="G3" s="1041"/>
      <c r="I3" s="1067" t="s">
        <v>553</v>
      </c>
      <c r="J3" s="1068"/>
      <c r="K3" s="1068"/>
      <c r="L3" s="1068"/>
      <c r="M3" s="1068"/>
      <c r="N3" s="1068"/>
      <c r="O3" s="1068"/>
      <c r="P3" s="1068"/>
      <c r="Q3" s="1068"/>
      <c r="R3" s="1068"/>
      <c r="S3" s="1068"/>
      <c r="T3" s="1069"/>
      <c r="V3" s="1067" t="s">
        <v>1562</v>
      </c>
      <c r="W3" s="1068"/>
      <c r="X3" s="1068"/>
      <c r="Y3" s="1068"/>
      <c r="Z3" s="1068"/>
      <c r="AA3" s="1068"/>
      <c r="AB3" s="1068"/>
      <c r="AC3" s="1068"/>
      <c r="AD3" s="1068"/>
      <c r="AE3" s="1068"/>
      <c r="AF3" s="1068"/>
      <c r="AG3" s="1069"/>
      <c r="AI3" s="1067"/>
      <c r="AJ3" s="1068"/>
      <c r="AK3" s="1068"/>
      <c r="AL3" s="1068"/>
      <c r="AM3" s="1068"/>
      <c r="AN3" s="1068"/>
      <c r="AO3" s="1068"/>
      <c r="AP3" s="1068"/>
      <c r="AQ3" s="1068"/>
      <c r="AR3" s="1068"/>
      <c r="AS3" s="1068"/>
      <c r="AT3" s="1069"/>
      <c r="AV3" s="1067"/>
      <c r="AW3" s="1068"/>
      <c r="AX3" s="1068"/>
      <c r="AY3" s="1068"/>
      <c r="AZ3" s="1068"/>
      <c r="BA3" s="1068"/>
      <c r="BB3" s="1068"/>
      <c r="BC3" s="1068"/>
      <c r="BD3" s="1068"/>
      <c r="BE3" s="1068"/>
      <c r="BF3" s="1068"/>
      <c r="BG3" s="1069"/>
      <c r="BI3" s="1067"/>
      <c r="BJ3" s="1068"/>
      <c r="BK3" s="1068"/>
      <c r="BL3" s="1068"/>
      <c r="BM3" s="1068"/>
      <c r="BN3" s="1068"/>
      <c r="BO3" s="1068"/>
      <c r="BP3" s="1068"/>
      <c r="BQ3" s="1068"/>
      <c r="BR3" s="1068"/>
      <c r="BS3" s="1068"/>
      <c r="BT3" s="1069"/>
      <c r="BV3" s="1067"/>
      <c r="BW3" s="1068"/>
      <c r="BX3" s="1068"/>
      <c r="BY3" s="1068"/>
      <c r="BZ3" s="1068"/>
      <c r="CA3" s="1068"/>
      <c r="CB3" s="1068"/>
      <c r="CC3" s="1068"/>
      <c r="CD3" s="1068"/>
      <c r="CE3" s="1068"/>
      <c r="CF3" s="1068"/>
      <c r="CG3" s="1069"/>
      <c r="CI3" s="1067"/>
      <c r="CJ3" s="1068"/>
      <c r="CK3" s="1068"/>
      <c r="CL3" s="1068"/>
      <c r="CM3" s="1068"/>
      <c r="CN3" s="1068"/>
      <c r="CO3" s="1068"/>
      <c r="CP3" s="1068"/>
      <c r="CQ3" s="1068"/>
      <c r="CR3" s="1068"/>
      <c r="CS3" s="1068"/>
      <c r="CT3" s="1069"/>
      <c r="CV3" s="1067"/>
      <c r="CW3" s="1068"/>
      <c r="CX3" s="1068"/>
      <c r="CY3" s="1068"/>
      <c r="CZ3" s="1068"/>
      <c r="DA3" s="1068"/>
      <c r="DB3" s="1068"/>
      <c r="DC3" s="1068"/>
      <c r="DD3" s="1068"/>
      <c r="DE3" s="1068"/>
      <c r="DF3" s="1068"/>
      <c r="DG3" s="1069"/>
      <c r="DI3" s="1067"/>
      <c r="DJ3" s="1068"/>
      <c r="DK3" s="1068"/>
      <c r="DL3" s="1068"/>
      <c r="DM3" s="1068"/>
      <c r="DN3" s="1068"/>
      <c r="DO3" s="1068"/>
      <c r="DP3" s="1068"/>
      <c r="DQ3" s="1068"/>
      <c r="DR3" s="1068"/>
      <c r="DS3" s="1068"/>
      <c r="DT3" s="1069"/>
      <c r="DV3" s="1067"/>
      <c r="DW3" s="1068"/>
      <c r="DX3" s="1068"/>
      <c r="DY3" s="1068"/>
      <c r="DZ3" s="1068"/>
      <c r="EA3" s="1068"/>
      <c r="EB3" s="1068"/>
      <c r="EC3" s="1068"/>
      <c r="ED3" s="1068"/>
      <c r="EE3" s="1068"/>
      <c r="EF3" s="1068"/>
      <c r="EG3" s="1069"/>
      <c r="EI3" s="1067"/>
      <c r="EJ3" s="1068"/>
      <c r="EK3" s="1068"/>
      <c r="EL3" s="1068"/>
      <c r="EM3" s="1068"/>
      <c r="EN3" s="1068"/>
      <c r="EO3" s="1068"/>
      <c r="EP3" s="1068"/>
      <c r="EQ3" s="1068"/>
      <c r="ER3" s="1068"/>
      <c r="ES3" s="1068"/>
      <c r="ET3" s="1069"/>
      <c r="EV3" s="1067"/>
      <c r="EW3" s="1068"/>
      <c r="EX3" s="1068"/>
      <c r="EY3" s="1068"/>
      <c r="EZ3" s="1068"/>
      <c r="FA3" s="1068"/>
      <c r="FB3" s="1068"/>
      <c r="FC3" s="1068"/>
      <c r="FD3" s="1068"/>
      <c r="FE3" s="1068"/>
      <c r="FF3" s="1068"/>
      <c r="FG3" s="1069"/>
      <c r="FI3" s="1067"/>
      <c r="FJ3" s="1068"/>
      <c r="FK3" s="1068"/>
      <c r="FL3" s="1068"/>
      <c r="FM3" s="1068"/>
      <c r="FN3" s="1068"/>
      <c r="FO3" s="1068"/>
      <c r="FP3" s="1068"/>
      <c r="FQ3" s="1068"/>
      <c r="FR3" s="1068"/>
      <c r="FS3" s="1068"/>
      <c r="FT3" s="1069"/>
      <c r="FV3" s="1067"/>
      <c r="FW3" s="1068"/>
      <c r="FX3" s="1068"/>
      <c r="FY3" s="1068"/>
      <c r="FZ3" s="1068"/>
      <c r="GA3" s="1068"/>
      <c r="GB3" s="1068"/>
      <c r="GC3" s="1068"/>
      <c r="GD3" s="1068"/>
      <c r="GE3" s="1068"/>
      <c r="GF3" s="1068"/>
      <c r="GG3" s="1069"/>
      <c r="GI3" s="1067"/>
      <c r="GJ3" s="1068"/>
      <c r="GK3" s="1068"/>
      <c r="GL3" s="1068"/>
      <c r="GM3" s="1068"/>
      <c r="GN3" s="1068"/>
      <c r="GO3" s="1068"/>
      <c r="GP3" s="1068"/>
      <c r="GQ3" s="1068"/>
      <c r="GR3" s="1068"/>
      <c r="GS3" s="1068"/>
      <c r="GT3" s="1069"/>
      <c r="GV3" s="1067"/>
      <c r="GW3" s="1068"/>
      <c r="GX3" s="1068"/>
      <c r="GY3" s="1068"/>
      <c r="GZ3" s="1068"/>
      <c r="HA3" s="1068"/>
      <c r="HB3" s="1068"/>
      <c r="HC3" s="1068"/>
      <c r="HD3" s="1068"/>
      <c r="HE3" s="1068"/>
      <c r="HF3" s="1068"/>
      <c r="HG3" s="1069"/>
      <c r="HI3" s="1067"/>
      <c r="HJ3" s="1068"/>
      <c r="HK3" s="1068"/>
      <c r="HL3" s="1068"/>
      <c r="HM3" s="1068"/>
      <c r="HN3" s="1068"/>
      <c r="HO3" s="1068"/>
      <c r="HP3" s="1068"/>
      <c r="HQ3" s="1068"/>
      <c r="HR3" s="1068"/>
      <c r="HS3" s="1068"/>
      <c r="HT3" s="1069"/>
      <c r="HV3" s="1067"/>
      <c r="HW3" s="1068"/>
      <c r="HX3" s="1068"/>
      <c r="HY3" s="1068"/>
      <c r="HZ3" s="1068"/>
      <c r="IA3" s="1068"/>
      <c r="IB3" s="1068"/>
      <c r="IC3" s="1068"/>
      <c r="ID3" s="1068"/>
      <c r="IE3" s="1068"/>
      <c r="IF3" s="1068"/>
      <c r="IG3" s="1069"/>
      <c r="II3" s="1067"/>
      <c r="IJ3" s="1068"/>
      <c r="IK3" s="1068"/>
      <c r="IL3" s="1068"/>
      <c r="IM3" s="1068"/>
      <c r="IN3" s="1068"/>
      <c r="IO3" s="1068"/>
      <c r="IP3" s="1068"/>
      <c r="IQ3" s="1068"/>
      <c r="IR3" s="1068"/>
      <c r="IS3" s="1068"/>
      <c r="IT3" s="1069"/>
      <c r="IV3" s="1067"/>
      <c r="IW3" s="1068"/>
      <c r="IX3" s="1068"/>
      <c r="IY3" s="1068"/>
      <c r="IZ3" s="1068"/>
      <c r="JA3" s="1068"/>
      <c r="JB3" s="1068"/>
      <c r="JC3" s="1068"/>
      <c r="JD3" s="1068"/>
      <c r="JE3" s="1068"/>
      <c r="JF3" s="1068"/>
      <c r="JG3" s="1069"/>
      <c r="JI3" s="1067"/>
      <c r="JJ3" s="1068"/>
      <c r="JK3" s="1068"/>
      <c r="JL3" s="1068"/>
      <c r="JM3" s="1068"/>
      <c r="JN3" s="1068"/>
      <c r="JO3" s="1068"/>
      <c r="JP3" s="1068"/>
      <c r="JQ3" s="1068"/>
      <c r="JR3" s="1068"/>
      <c r="JS3" s="1068"/>
      <c r="JT3" s="1069"/>
      <c r="JV3" s="1067"/>
      <c r="JW3" s="1068"/>
      <c r="JX3" s="1068"/>
      <c r="JY3" s="1068"/>
      <c r="JZ3" s="1068"/>
      <c r="KA3" s="1068"/>
      <c r="KB3" s="1068"/>
      <c r="KC3" s="1068"/>
      <c r="KD3" s="1068"/>
      <c r="KE3" s="1068"/>
      <c r="KF3" s="1068"/>
      <c r="KG3" s="1069"/>
      <c r="KI3" s="1067"/>
      <c r="KJ3" s="1068"/>
      <c r="KK3" s="1068"/>
      <c r="KL3" s="1068"/>
      <c r="KM3" s="1068"/>
      <c r="KN3" s="1068"/>
      <c r="KO3" s="1068"/>
      <c r="KP3" s="1068"/>
      <c r="KQ3" s="1068"/>
      <c r="KR3" s="1068"/>
      <c r="KS3" s="1068"/>
      <c r="KT3" s="1069"/>
      <c r="KV3" s="1067"/>
      <c r="KW3" s="1068"/>
      <c r="KX3" s="1068"/>
      <c r="KY3" s="1068"/>
      <c r="KZ3" s="1068"/>
      <c r="LA3" s="1068"/>
      <c r="LB3" s="1068"/>
      <c r="LC3" s="1068"/>
      <c r="LD3" s="1068"/>
      <c r="LE3" s="1068"/>
      <c r="LF3" s="1068"/>
      <c r="LG3" s="1069"/>
      <c r="LI3" s="1067"/>
      <c r="LJ3" s="1068"/>
      <c r="LK3" s="1068"/>
      <c r="LL3" s="1068"/>
      <c r="LM3" s="1068"/>
      <c r="LN3" s="1068"/>
      <c r="LO3" s="1068"/>
      <c r="LP3" s="1068"/>
      <c r="LQ3" s="1068"/>
      <c r="LR3" s="1068"/>
      <c r="LS3" s="1068"/>
      <c r="LT3" s="1069"/>
      <c r="LV3" s="1067"/>
      <c r="LW3" s="1068"/>
      <c r="LX3" s="1068"/>
      <c r="LY3" s="1068"/>
      <c r="LZ3" s="1068"/>
      <c r="MA3" s="1068"/>
      <c r="MB3" s="1068"/>
      <c r="MC3" s="1068"/>
      <c r="MD3" s="1068"/>
      <c r="ME3" s="1068"/>
      <c r="MF3" s="1068"/>
      <c r="MG3" s="1069"/>
    </row>
    <row r="4" spans="1:345" ht="40.5" customHeight="1" thickTop="1" x14ac:dyDescent="0.25">
      <c r="A4" s="223"/>
      <c r="B4" s="247"/>
      <c r="C4" s="248"/>
      <c r="D4" s="248"/>
      <c r="E4" s="249"/>
      <c r="F4" s="1042" t="str">
        <f>Language!$E$215</f>
        <v>Result</v>
      </c>
      <c r="G4" s="1043"/>
      <c r="I4" s="256"/>
      <c r="J4" s="248"/>
      <c r="K4" s="248"/>
      <c r="L4" s="249"/>
      <c r="M4" s="1038" t="str">
        <f>Language!$E$215</f>
        <v>Result</v>
      </c>
      <c r="N4" s="1038"/>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8" t="str">
        <f>Language!$E$215</f>
        <v>Result</v>
      </c>
      <c r="AA4" s="1038"/>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8" t="str">
        <f>Language!$E$215</f>
        <v>Result</v>
      </c>
      <c r="AN4" s="1038"/>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8" t="str">
        <f>Language!$E$215</f>
        <v>Result</v>
      </c>
      <c r="BA4" s="1038"/>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8" t="str">
        <f>Language!$E$215</f>
        <v>Result</v>
      </c>
      <c r="BN4" s="1038"/>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8" t="str">
        <f>Language!$E$215</f>
        <v>Result</v>
      </c>
      <c r="CA4" s="1038"/>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8" t="str">
        <f>Language!$E$215</f>
        <v>Result</v>
      </c>
      <c r="CN4" s="1038"/>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8" t="str">
        <f>Language!$E$215</f>
        <v>Result</v>
      </c>
      <c r="DA4" s="1038"/>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8" t="str">
        <f>Language!$E$215</f>
        <v>Result</v>
      </c>
      <c r="DN4" s="1038"/>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8" t="str">
        <f>Language!$E$215</f>
        <v>Result</v>
      </c>
      <c r="EA4" s="1038"/>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8" t="str">
        <f>Language!$E$215</f>
        <v>Result</v>
      </c>
      <c r="EN4" s="1038"/>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8" t="str">
        <f>Language!$E$215</f>
        <v>Result</v>
      </c>
      <c r="FA4" s="1038"/>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8" t="str">
        <f>Language!$E$215</f>
        <v>Result</v>
      </c>
      <c r="FN4" s="1038"/>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8" t="str">
        <f>Language!$E$215</f>
        <v>Result</v>
      </c>
      <c r="GA4" s="1038"/>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8" t="str">
        <f>Language!$E$215</f>
        <v>Result</v>
      </c>
      <c r="GN4" s="1038"/>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8" t="str">
        <f>Language!$E$215</f>
        <v>Result</v>
      </c>
      <c r="HA4" s="1038"/>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8" t="str">
        <f>Language!$E$215</f>
        <v>Result</v>
      </c>
      <c r="HN4" s="1038"/>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8" t="str">
        <f>Language!$E$215</f>
        <v>Result</v>
      </c>
      <c r="IA4" s="1038"/>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8" t="str">
        <f>Language!$E$215</f>
        <v>Result</v>
      </c>
      <c r="IN4" s="1038"/>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8" t="str">
        <f>Language!$E$215</f>
        <v>Result</v>
      </c>
      <c r="JA4" s="1038"/>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8" t="str">
        <f>Language!$E$215</f>
        <v>Result</v>
      </c>
      <c r="JN4" s="1038"/>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8" t="str">
        <f>Language!$E$215</f>
        <v>Result</v>
      </c>
      <c r="KA4" s="1038"/>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8" t="str">
        <f>Language!$E$215</f>
        <v>Result</v>
      </c>
      <c r="KN4" s="1038"/>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8" t="str">
        <f>Language!$E$215</f>
        <v>Result</v>
      </c>
      <c r="LA4" s="1038"/>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8" t="str">
        <f>Language!$E$215</f>
        <v>Result</v>
      </c>
      <c r="LN4" s="1038"/>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8" t="str">
        <f>Language!$E$215</f>
        <v>Result</v>
      </c>
      <c r="MA4" s="1038"/>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68" si="0">$B5</f>
        <v>Group A</v>
      </c>
      <c r="J5" s="240"/>
      <c r="K5" s="240"/>
      <c r="L5" s="241"/>
      <c r="M5" s="270"/>
      <c r="N5" s="271"/>
      <c r="O5" s="242"/>
      <c r="P5" s="254"/>
      <c r="Q5" s="254"/>
      <c r="R5" s="241"/>
      <c r="S5" s="241"/>
      <c r="T5" s="255"/>
      <c r="V5" s="238" t="str">
        <f t="shared" ref="V5:V68" si="1">$B5</f>
        <v>Group A</v>
      </c>
      <c r="W5" s="240"/>
      <c r="X5" s="240"/>
      <c r="Y5" s="241"/>
      <c r="Z5" s="270"/>
      <c r="AA5" s="271"/>
      <c r="AB5" s="242"/>
      <c r="AC5" s="254"/>
      <c r="AD5" s="254"/>
      <c r="AE5" s="241"/>
      <c r="AF5" s="241"/>
      <c r="AG5" s="255"/>
      <c r="AI5" s="238" t="str">
        <f t="shared" ref="AI5:AI68" si="2">$B5</f>
        <v>Group A</v>
      </c>
      <c r="AJ5" s="240"/>
      <c r="AK5" s="240"/>
      <c r="AL5" s="241"/>
      <c r="AM5" s="270"/>
      <c r="AN5" s="271"/>
      <c r="AO5" s="242"/>
      <c r="AP5" s="254"/>
      <c r="AQ5" s="254"/>
      <c r="AR5" s="241"/>
      <c r="AS5" s="241"/>
      <c r="AT5" s="255"/>
      <c r="AV5" s="238" t="str">
        <f t="shared" ref="AV5:AV68" si="3">$B5</f>
        <v>Group A</v>
      </c>
      <c r="AW5" s="240"/>
      <c r="AX5" s="240"/>
      <c r="AY5" s="241"/>
      <c r="AZ5" s="270"/>
      <c r="BA5" s="271"/>
      <c r="BB5" s="242"/>
      <c r="BC5" s="254"/>
      <c r="BD5" s="254"/>
      <c r="BE5" s="241"/>
      <c r="BF5" s="241"/>
      <c r="BG5" s="255"/>
      <c r="BI5" s="238" t="str">
        <f t="shared" ref="BI5:BI68" si="4">$B5</f>
        <v>Group A</v>
      </c>
      <c r="BJ5" s="240"/>
      <c r="BK5" s="240"/>
      <c r="BL5" s="241"/>
      <c r="BM5" s="270"/>
      <c r="BN5" s="271"/>
      <c r="BO5" s="242"/>
      <c r="BP5" s="254"/>
      <c r="BQ5" s="254"/>
      <c r="BR5" s="241"/>
      <c r="BS5" s="241"/>
      <c r="BT5" s="255"/>
      <c r="BV5" s="238" t="str">
        <f t="shared" ref="BV5:BV68" si="5">$B5</f>
        <v>Group A</v>
      </c>
      <c r="BW5" s="240"/>
      <c r="BX5" s="240"/>
      <c r="BY5" s="241"/>
      <c r="BZ5" s="270"/>
      <c r="CA5" s="271"/>
      <c r="CB5" s="242"/>
      <c r="CC5" s="254"/>
      <c r="CD5" s="254"/>
      <c r="CE5" s="241"/>
      <c r="CF5" s="241"/>
      <c r="CG5" s="255"/>
      <c r="CI5" s="238" t="str">
        <f t="shared" ref="CI5:CI68" si="6">$B5</f>
        <v>Group A</v>
      </c>
      <c r="CJ5" s="240"/>
      <c r="CK5" s="240"/>
      <c r="CL5" s="241"/>
      <c r="CM5" s="270"/>
      <c r="CN5" s="271"/>
      <c r="CO5" s="242"/>
      <c r="CP5" s="254"/>
      <c r="CQ5" s="254"/>
      <c r="CR5" s="241"/>
      <c r="CS5" s="241"/>
      <c r="CT5" s="255"/>
      <c r="CV5" s="238" t="str">
        <f t="shared" ref="CV5:CV68" si="7">$B5</f>
        <v>Group A</v>
      </c>
      <c r="CW5" s="240"/>
      <c r="CX5" s="240"/>
      <c r="CY5" s="241"/>
      <c r="CZ5" s="270"/>
      <c r="DA5" s="271"/>
      <c r="DB5" s="242"/>
      <c r="DC5" s="254"/>
      <c r="DD5" s="254"/>
      <c r="DE5" s="241"/>
      <c r="DF5" s="241"/>
      <c r="DG5" s="255"/>
      <c r="DI5" s="238" t="str">
        <f t="shared" ref="DI5:DI68" si="8">$B5</f>
        <v>Group A</v>
      </c>
      <c r="DJ5" s="240"/>
      <c r="DK5" s="240"/>
      <c r="DL5" s="241"/>
      <c r="DM5" s="270"/>
      <c r="DN5" s="271"/>
      <c r="DO5" s="242"/>
      <c r="DP5" s="254"/>
      <c r="DQ5" s="254"/>
      <c r="DR5" s="241"/>
      <c r="DS5" s="241"/>
      <c r="DT5" s="255"/>
      <c r="DV5" s="238" t="str">
        <f t="shared" ref="DV5:DV68" si="9">$B5</f>
        <v>Group A</v>
      </c>
      <c r="DW5" s="240"/>
      <c r="DX5" s="240"/>
      <c r="DY5" s="241"/>
      <c r="DZ5" s="270"/>
      <c r="EA5" s="271"/>
      <c r="EB5" s="242"/>
      <c r="EC5" s="254"/>
      <c r="ED5" s="254"/>
      <c r="EE5" s="241"/>
      <c r="EF5" s="241"/>
      <c r="EG5" s="255"/>
      <c r="EI5" s="238" t="str">
        <f t="shared" ref="EI5:EI68" si="10">$B5</f>
        <v>Group A</v>
      </c>
      <c r="EJ5" s="240"/>
      <c r="EK5" s="240"/>
      <c r="EL5" s="241"/>
      <c r="EM5" s="270"/>
      <c r="EN5" s="271"/>
      <c r="EO5" s="242"/>
      <c r="EP5" s="254"/>
      <c r="EQ5" s="254"/>
      <c r="ER5" s="241"/>
      <c r="ES5" s="241"/>
      <c r="ET5" s="255"/>
      <c r="EV5" s="238" t="str">
        <f t="shared" ref="EV5:EV68" si="11">$B5</f>
        <v>Group A</v>
      </c>
      <c r="EW5" s="240"/>
      <c r="EX5" s="240"/>
      <c r="EY5" s="241"/>
      <c r="EZ5" s="270"/>
      <c r="FA5" s="271"/>
      <c r="FB5" s="242"/>
      <c r="FC5" s="254"/>
      <c r="FD5" s="254"/>
      <c r="FE5" s="241"/>
      <c r="FF5" s="241"/>
      <c r="FG5" s="255"/>
      <c r="FI5" s="238" t="str">
        <f t="shared" ref="FI5:FI68" si="12">$B5</f>
        <v>Group A</v>
      </c>
      <c r="FJ5" s="240"/>
      <c r="FK5" s="240"/>
      <c r="FL5" s="241"/>
      <c r="FM5" s="270"/>
      <c r="FN5" s="271"/>
      <c r="FO5" s="242"/>
      <c r="FP5" s="254"/>
      <c r="FQ5" s="254"/>
      <c r="FR5" s="241"/>
      <c r="FS5" s="241"/>
      <c r="FT5" s="255"/>
      <c r="FV5" s="238" t="str">
        <f t="shared" ref="FV5:FV68" si="13">$B5</f>
        <v>Group A</v>
      </c>
      <c r="FW5" s="240"/>
      <c r="FX5" s="240"/>
      <c r="FY5" s="241"/>
      <c r="FZ5" s="270"/>
      <c r="GA5" s="271"/>
      <c r="GB5" s="242"/>
      <c r="GC5" s="254"/>
      <c r="GD5" s="254"/>
      <c r="GE5" s="241"/>
      <c r="GF5" s="241"/>
      <c r="GG5" s="255"/>
      <c r="GI5" s="238" t="str">
        <f t="shared" ref="GI5:GI68" si="14">$B5</f>
        <v>Group A</v>
      </c>
      <c r="GJ5" s="240"/>
      <c r="GK5" s="240"/>
      <c r="GL5" s="241"/>
      <c r="GM5" s="270"/>
      <c r="GN5" s="271"/>
      <c r="GO5" s="242"/>
      <c r="GP5" s="254"/>
      <c r="GQ5" s="254"/>
      <c r="GR5" s="241"/>
      <c r="GS5" s="241"/>
      <c r="GT5" s="255"/>
      <c r="GV5" s="238" t="str">
        <f t="shared" ref="GV5:GV68" si="15">$B5</f>
        <v>Group A</v>
      </c>
      <c r="GW5" s="240"/>
      <c r="GX5" s="240"/>
      <c r="GY5" s="241"/>
      <c r="GZ5" s="270"/>
      <c r="HA5" s="271"/>
      <c r="HB5" s="242"/>
      <c r="HC5" s="254"/>
      <c r="HD5" s="254"/>
      <c r="HE5" s="241"/>
      <c r="HF5" s="241"/>
      <c r="HG5" s="255"/>
      <c r="HI5" s="238" t="str">
        <f t="shared" ref="HI5:HI68" si="16">$B5</f>
        <v>Group A</v>
      </c>
      <c r="HJ5" s="240"/>
      <c r="HK5" s="240"/>
      <c r="HL5" s="241"/>
      <c r="HM5" s="270"/>
      <c r="HN5" s="271"/>
      <c r="HO5" s="242"/>
      <c r="HP5" s="254"/>
      <c r="HQ5" s="254"/>
      <c r="HR5" s="241"/>
      <c r="HS5" s="241"/>
      <c r="HT5" s="255"/>
      <c r="HV5" s="238" t="str">
        <f t="shared" ref="HV5:HV68" si="17">$B5</f>
        <v>Group A</v>
      </c>
      <c r="HW5" s="240"/>
      <c r="HX5" s="240"/>
      <c r="HY5" s="241"/>
      <c r="HZ5" s="270"/>
      <c r="IA5" s="271"/>
      <c r="IB5" s="242"/>
      <c r="IC5" s="254"/>
      <c r="ID5" s="254"/>
      <c r="IE5" s="241"/>
      <c r="IF5" s="241"/>
      <c r="IG5" s="255"/>
      <c r="II5" s="238" t="str">
        <f t="shared" ref="II5:II68" si="18">$B5</f>
        <v>Group A</v>
      </c>
      <c r="IJ5" s="240"/>
      <c r="IK5" s="240"/>
      <c r="IL5" s="241"/>
      <c r="IM5" s="270"/>
      <c r="IN5" s="271"/>
      <c r="IO5" s="242"/>
      <c r="IP5" s="254"/>
      <c r="IQ5" s="254"/>
      <c r="IR5" s="241"/>
      <c r="IS5" s="241"/>
      <c r="IT5" s="255"/>
      <c r="IV5" s="238" t="str">
        <f t="shared" ref="IV5:IV68" si="19">$B5</f>
        <v>Group A</v>
      </c>
      <c r="IW5" s="240"/>
      <c r="IX5" s="240"/>
      <c r="IY5" s="241"/>
      <c r="IZ5" s="270"/>
      <c r="JA5" s="271"/>
      <c r="JB5" s="242"/>
      <c r="JC5" s="254"/>
      <c r="JD5" s="254"/>
      <c r="JE5" s="241"/>
      <c r="JF5" s="241"/>
      <c r="JG5" s="255"/>
      <c r="JI5" s="238" t="str">
        <f t="shared" ref="JI5:JI68" si="20">$B5</f>
        <v>Group A</v>
      </c>
      <c r="JJ5" s="240"/>
      <c r="JK5" s="240"/>
      <c r="JL5" s="241"/>
      <c r="JM5" s="270"/>
      <c r="JN5" s="271"/>
      <c r="JO5" s="242"/>
      <c r="JP5" s="254"/>
      <c r="JQ5" s="254"/>
      <c r="JR5" s="241"/>
      <c r="JS5" s="241"/>
      <c r="JT5" s="255"/>
      <c r="JV5" s="238" t="str">
        <f t="shared" ref="JV5:JV68" si="21">$B5</f>
        <v>Group A</v>
      </c>
      <c r="JW5" s="240"/>
      <c r="JX5" s="240"/>
      <c r="JY5" s="241"/>
      <c r="JZ5" s="270"/>
      <c r="KA5" s="271"/>
      <c r="KB5" s="242"/>
      <c r="KC5" s="254"/>
      <c r="KD5" s="254"/>
      <c r="KE5" s="241"/>
      <c r="KF5" s="241"/>
      <c r="KG5" s="255"/>
      <c r="KI5" s="238" t="str">
        <f t="shared" ref="KI5:KI68" si="22">$B5</f>
        <v>Group A</v>
      </c>
      <c r="KJ5" s="240"/>
      <c r="KK5" s="240"/>
      <c r="KL5" s="241"/>
      <c r="KM5" s="270"/>
      <c r="KN5" s="271"/>
      <c r="KO5" s="242"/>
      <c r="KP5" s="254"/>
      <c r="KQ5" s="254"/>
      <c r="KR5" s="241"/>
      <c r="KS5" s="241"/>
      <c r="KT5" s="255"/>
      <c r="KV5" s="238" t="str">
        <f t="shared" ref="KV5:KV68" si="23">$B5</f>
        <v>Group A</v>
      </c>
      <c r="KW5" s="240"/>
      <c r="KX5" s="240"/>
      <c r="KY5" s="241"/>
      <c r="KZ5" s="270"/>
      <c r="LA5" s="271"/>
      <c r="LB5" s="242"/>
      <c r="LC5" s="254"/>
      <c r="LD5" s="254"/>
      <c r="LE5" s="241"/>
      <c r="LF5" s="241"/>
      <c r="LG5" s="255"/>
      <c r="LI5" s="238" t="str">
        <f t="shared" ref="LI5:LI68" si="24">$B5</f>
        <v>Group A</v>
      </c>
      <c r="LJ5" s="240"/>
      <c r="LK5" s="240"/>
      <c r="LL5" s="241"/>
      <c r="LM5" s="270"/>
      <c r="LN5" s="271"/>
      <c r="LO5" s="242"/>
      <c r="LP5" s="254"/>
      <c r="LQ5" s="254"/>
      <c r="LR5" s="241"/>
      <c r="LS5" s="241"/>
      <c r="LT5" s="255"/>
      <c r="LV5" s="238" t="str">
        <f t="shared" ref="LV5:LV68" si="25">$B5</f>
        <v>Group A</v>
      </c>
      <c r="LW5" s="240"/>
      <c r="LX5" s="240"/>
      <c r="LY5" s="241"/>
      <c r="LZ5" s="270"/>
      <c r="MA5" s="271"/>
      <c r="MB5" s="242"/>
      <c r="MC5" s="254"/>
      <c r="MD5" s="254"/>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t="str">
        <f>CalcA!$R$26</f>
        <v/>
      </c>
      <c r="G10" s="233" t="str">
        <f>CalcA!$S$26</f>
        <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t="str">
        <f>CalcA!$R$27</f>
        <v/>
      </c>
      <c r="G11" s="233" t="str">
        <f>CalcA!$S$27</f>
        <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t="str">
        <f>CalcB!$R$26</f>
        <v/>
      </c>
      <c r="G17" s="233" t="str">
        <f>CalcB!$S$26</f>
        <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t="str">
        <f>CalcB!$R$27</f>
        <v/>
      </c>
      <c r="G18" s="233" t="str">
        <f>CalcB!$S$27</f>
        <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t="str">
        <f>CalcC!$R$26</f>
        <v/>
      </c>
      <c r="G24" s="233" t="str">
        <f>CalcC!$S$26</f>
        <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t="str">
        <f>CalcC!$R$27</f>
        <v/>
      </c>
      <c r="G25" s="233" t="str">
        <f>CalcC!$S$27</f>
        <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t="str">
        <f>CalcD!$R$26</f>
        <v/>
      </c>
      <c r="G31" s="233" t="str">
        <f>CalcD!$S$26</f>
        <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t="str">
        <f>CalcD!$R$27</f>
        <v/>
      </c>
      <c r="G32" s="233" t="str">
        <f>CalcD!$S$27</f>
        <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si="0"/>
        <v>10</v>
      </c>
      <c r="J34" s="230" t="str">
        <f t="shared" ref="J34:J39" si="468">$C34</f>
        <v>Germany</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Germany</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Germany</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Germany</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Germany</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Germany</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Germany</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Germany</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Germany</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Germany</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Germany</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Germany</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Germany</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Germany</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Germany</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Germany</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Germany</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Germany</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Germany</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Germany</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Germany</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Germany</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Germany</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Germany</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Germany</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Germany</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0"/>
        <v>34</v>
      </c>
      <c r="J35" s="230" t="str">
        <f t="shared" si="468"/>
        <v>Cote d'Ivoire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Cote d'Ivoire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Cote d'Ivoire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Cote d'Ivoire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Cote d'Ivoire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Cote d'Ivoire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Cote d'Ivoire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Cote d'Ivoire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Cote d'Ivoire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Cote d'Ivoire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Cote d'Ivoire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Cote d'Ivoire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Cote d'Ivoire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Cote d'Ivoire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Cote d'Ivoire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Cote d'Ivoire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Cote d'Ivoire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Cote d'Ivoire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Cote d'Ivoire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Cote d'Ivoire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Cote d'Ivoire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Cote d'Ivoire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Cote d'Ivoire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Cote d'Ivoire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Cote d'Ivoire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Cote d'Ivoire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0"/>
        <v>10</v>
      </c>
      <c r="J36" s="230" t="str">
        <f t="shared" si="468"/>
        <v>Germany</v>
      </c>
      <c r="K36" s="231">
        <f t="shared" si="26"/>
        <v>34</v>
      </c>
      <c r="L36" s="230" t="str">
        <f t="shared" si="469"/>
        <v>Cote d'Ivoire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Germany</v>
      </c>
      <c r="X36" s="231">
        <f t="shared" si="29"/>
        <v>34</v>
      </c>
      <c r="Y36" s="230" t="str">
        <f t="shared" si="473"/>
        <v>Cote d'Ivoire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Germany</v>
      </c>
      <c r="AK36" s="231">
        <f t="shared" si="32"/>
        <v>34</v>
      </c>
      <c r="AL36" s="230" t="str">
        <f t="shared" si="477"/>
        <v>Cote d'Ivoire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Germany</v>
      </c>
      <c r="AX36" s="231">
        <f t="shared" si="35"/>
        <v>34</v>
      </c>
      <c r="AY36" s="230" t="str">
        <f t="shared" si="481"/>
        <v>Cote d'Ivoire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Germany</v>
      </c>
      <c r="BK36" s="231">
        <f t="shared" si="38"/>
        <v>34</v>
      </c>
      <c r="BL36" s="230" t="str">
        <f t="shared" si="485"/>
        <v>Cote d'Ivoire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Germany</v>
      </c>
      <c r="BX36" s="231">
        <f t="shared" si="41"/>
        <v>34</v>
      </c>
      <c r="BY36" s="230" t="str">
        <f t="shared" si="489"/>
        <v>Cote d'Ivoire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Germany</v>
      </c>
      <c r="CK36" s="231">
        <f t="shared" si="44"/>
        <v>34</v>
      </c>
      <c r="CL36" s="230" t="str">
        <f t="shared" si="493"/>
        <v>Cote d'Ivoire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Germany</v>
      </c>
      <c r="CX36" s="231">
        <f t="shared" si="47"/>
        <v>34</v>
      </c>
      <c r="CY36" s="230" t="str">
        <f t="shared" si="497"/>
        <v>Cote d'Ivoire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Germany</v>
      </c>
      <c r="DK36" s="231">
        <f t="shared" si="50"/>
        <v>34</v>
      </c>
      <c r="DL36" s="230" t="str">
        <f t="shared" si="501"/>
        <v>Cote d'Ivoire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Germany</v>
      </c>
      <c r="DX36" s="231">
        <f t="shared" si="53"/>
        <v>34</v>
      </c>
      <c r="DY36" s="230" t="str">
        <f t="shared" si="505"/>
        <v>Cote d'Ivoire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Germany</v>
      </c>
      <c r="EK36" s="231">
        <f t="shared" si="56"/>
        <v>34</v>
      </c>
      <c r="EL36" s="230" t="str">
        <f t="shared" si="509"/>
        <v>Cote d'Ivoire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Germany</v>
      </c>
      <c r="EX36" s="231">
        <f t="shared" si="59"/>
        <v>34</v>
      </c>
      <c r="EY36" s="230" t="str">
        <f t="shared" si="513"/>
        <v>Cote d'Ivoire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Germany</v>
      </c>
      <c r="FK36" s="231">
        <f t="shared" si="62"/>
        <v>34</v>
      </c>
      <c r="FL36" s="230" t="str">
        <f t="shared" si="517"/>
        <v>Cote d'Ivoire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Germany</v>
      </c>
      <c r="FX36" s="231">
        <f t="shared" si="65"/>
        <v>34</v>
      </c>
      <c r="FY36" s="230" t="str">
        <f t="shared" si="521"/>
        <v>Cote d'Ivoire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Germany</v>
      </c>
      <c r="GK36" s="231">
        <f t="shared" si="68"/>
        <v>34</v>
      </c>
      <c r="GL36" s="230" t="str">
        <f t="shared" si="525"/>
        <v>Cote d'Ivoire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Germany</v>
      </c>
      <c r="GX36" s="231">
        <f t="shared" si="71"/>
        <v>34</v>
      </c>
      <c r="GY36" s="230" t="str">
        <f t="shared" si="529"/>
        <v>Cote d'Ivoire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Germany</v>
      </c>
      <c r="HK36" s="231">
        <f t="shared" si="74"/>
        <v>34</v>
      </c>
      <c r="HL36" s="230" t="str">
        <f t="shared" si="533"/>
        <v>Cote d'Ivoire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Germany</v>
      </c>
      <c r="HX36" s="231">
        <f t="shared" si="77"/>
        <v>34</v>
      </c>
      <c r="HY36" s="230" t="str">
        <f t="shared" si="537"/>
        <v>Cote d'Ivoire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Germany</v>
      </c>
      <c r="IK36" s="231">
        <f t="shared" si="80"/>
        <v>34</v>
      </c>
      <c r="IL36" s="230" t="str">
        <f t="shared" si="541"/>
        <v>Cote d'Ivoire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Germany</v>
      </c>
      <c r="IX36" s="231">
        <f t="shared" si="83"/>
        <v>34</v>
      </c>
      <c r="IY36" s="230" t="str">
        <f t="shared" si="545"/>
        <v>Cote d'Ivoire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Germany</v>
      </c>
      <c r="JK36" s="231">
        <f t="shared" si="86"/>
        <v>34</v>
      </c>
      <c r="JL36" s="230" t="str">
        <f t="shared" si="549"/>
        <v>Cote d'Ivoire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Germany</v>
      </c>
      <c r="JX36" s="231">
        <f t="shared" si="89"/>
        <v>34</v>
      </c>
      <c r="JY36" s="230" t="str">
        <f t="shared" si="553"/>
        <v>Cote d'Ivoire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Germany</v>
      </c>
      <c r="KK36" s="231">
        <f t="shared" si="92"/>
        <v>34</v>
      </c>
      <c r="KL36" s="230" t="str">
        <f t="shared" si="557"/>
        <v>Cote d'Ivoire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Germany</v>
      </c>
      <c r="KX36" s="231">
        <f t="shared" si="95"/>
        <v>34</v>
      </c>
      <c r="KY36" s="230" t="str">
        <f t="shared" si="561"/>
        <v>Cote d'Ivoire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Germany</v>
      </c>
      <c r="LK36" s="231">
        <f t="shared" si="98"/>
        <v>34</v>
      </c>
      <c r="LL36" s="230" t="str">
        <f t="shared" si="565"/>
        <v>Cote d'Ivoire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Germany</v>
      </c>
      <c r="LX36" s="231">
        <f t="shared" si="101"/>
        <v>34</v>
      </c>
      <c r="LY36" s="230" t="str">
        <f t="shared" si="569"/>
        <v>Cote d'Ivoire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t="str">
        <f>CalcE!$R$26</f>
        <v/>
      </c>
      <c r="G38" s="233" t="str">
        <f>CalcE!$S$26</f>
        <v/>
      </c>
      <c r="I38" s="229">
        <f t="shared" si="0"/>
        <v>82</v>
      </c>
      <c r="J38" s="230" t="str">
        <f t="shared" si="468"/>
        <v>Curaçao</v>
      </c>
      <c r="K38" s="231">
        <f t="shared" si="26"/>
        <v>34</v>
      </c>
      <c r="L38" s="230" t="str">
        <f t="shared" si="469"/>
        <v>Cote d'Ivoire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Cote d'Ivoire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Cote d'Ivoire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Cote d'Ivoire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Cote d'Ivoire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Cote d'Ivoire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Cote d'Ivoire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Cote d'Ivoire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Cote d'Ivoire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Cote d'Ivoire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Cote d'Ivoire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Cote d'Ivoire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Cote d'Ivoire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Cote d'Ivoire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Cote d'Ivoire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Cote d'Ivoire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Cote d'Ivoire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Cote d'Ivoire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Cote d'Ivoire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Cote d'Ivoire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Cote d'Ivoire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Cote d'Ivoire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Cote d'Ivoire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Cote d'Ivoire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Cote d'Ivoire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Cote d'Ivoire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t="str">
        <f>CalcE!$R$27</f>
        <v/>
      </c>
      <c r="G39" s="233" t="str">
        <f>CalcE!$S$27</f>
        <v/>
      </c>
      <c r="I39" s="229">
        <f t="shared" si="0"/>
        <v>23</v>
      </c>
      <c r="J39" s="230" t="str">
        <f t="shared" si="468"/>
        <v>Ecuador</v>
      </c>
      <c r="K39" s="231">
        <f t="shared" si="26"/>
        <v>10</v>
      </c>
      <c r="L39" s="230" t="str">
        <f t="shared" si="469"/>
        <v>Germany</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Germany</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Germany</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Germany</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Germany</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Germany</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Germany</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Germany</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Germany</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Germany</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Germany</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Germany</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Germany</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Germany</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Germany</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Germany</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Germany</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Germany</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Germany</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Germany</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Germany</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Germany</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Germany</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Germany</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Germany</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Germany</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0"/>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0"/>
        <v>7</v>
      </c>
      <c r="J41" s="230" t="str">
        <f t="shared" ref="J41:J46" si="572">$C41</f>
        <v>Netherlands</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Netherlands</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Netherlands</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Netherlands</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Netherlands</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Netherlands</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Netherlands</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Netherlands</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Netherlands</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Netherlands</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Netherlands</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Netherlands</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Netherlands</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Netherlands</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Netherlands</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Netherlands</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Netherlands</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Netherlands</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Netherlands</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Netherlands</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Netherlands</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Netherlands</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Netherlands</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Netherlands</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Netherlands</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Netherlands</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0"/>
        <v>38</v>
      </c>
      <c r="J42" s="230" t="str">
        <f t="shared" si="572"/>
        <v>Sweden</v>
      </c>
      <c r="K42" s="231">
        <f t="shared" si="26"/>
        <v>44</v>
      </c>
      <c r="L42" s="230" t="str">
        <f t="shared" si="573"/>
        <v>Tunisia</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Sweden</v>
      </c>
      <c r="X42" s="231">
        <f t="shared" si="29"/>
        <v>44</v>
      </c>
      <c r="Y42" s="230" t="str">
        <f t="shared" si="577"/>
        <v>Tunisia</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Sweden</v>
      </c>
      <c r="AK42" s="231">
        <f t="shared" si="32"/>
        <v>44</v>
      </c>
      <c r="AL42" s="230" t="str">
        <f t="shared" si="581"/>
        <v>Tunisia</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Sweden</v>
      </c>
      <c r="AX42" s="231">
        <f t="shared" si="35"/>
        <v>44</v>
      </c>
      <c r="AY42" s="230" t="str">
        <f t="shared" si="585"/>
        <v>Tunisia</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Sweden</v>
      </c>
      <c r="BK42" s="231">
        <f t="shared" si="38"/>
        <v>44</v>
      </c>
      <c r="BL42" s="230" t="str">
        <f t="shared" si="589"/>
        <v>Tunisia</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Sweden</v>
      </c>
      <c r="BX42" s="231">
        <f t="shared" si="41"/>
        <v>44</v>
      </c>
      <c r="BY42" s="230" t="str">
        <f t="shared" si="593"/>
        <v>Tunisia</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Sweden</v>
      </c>
      <c r="CK42" s="231">
        <f t="shared" si="44"/>
        <v>44</v>
      </c>
      <c r="CL42" s="230" t="str">
        <f t="shared" si="597"/>
        <v>Tunisia</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Sweden</v>
      </c>
      <c r="CX42" s="231">
        <f t="shared" si="47"/>
        <v>44</v>
      </c>
      <c r="CY42" s="230" t="str">
        <f t="shared" si="601"/>
        <v>Tunisia</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Sweden</v>
      </c>
      <c r="DK42" s="231">
        <f t="shared" si="50"/>
        <v>44</v>
      </c>
      <c r="DL42" s="230" t="str">
        <f t="shared" si="605"/>
        <v>Tunisia</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Sweden</v>
      </c>
      <c r="DX42" s="231">
        <f t="shared" si="53"/>
        <v>44</v>
      </c>
      <c r="DY42" s="230" t="str">
        <f t="shared" si="609"/>
        <v>Tunisia</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Sweden</v>
      </c>
      <c r="EK42" s="231">
        <f t="shared" si="56"/>
        <v>44</v>
      </c>
      <c r="EL42" s="230" t="str">
        <f t="shared" si="613"/>
        <v>Tunisia</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Sweden</v>
      </c>
      <c r="EX42" s="231">
        <f t="shared" si="59"/>
        <v>44</v>
      </c>
      <c r="EY42" s="230" t="str">
        <f t="shared" si="617"/>
        <v>Tunisia</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Sweden</v>
      </c>
      <c r="FK42" s="231">
        <f t="shared" si="62"/>
        <v>44</v>
      </c>
      <c r="FL42" s="230" t="str">
        <f t="shared" si="621"/>
        <v>Tunisia</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Sweden</v>
      </c>
      <c r="FX42" s="231">
        <f t="shared" si="65"/>
        <v>44</v>
      </c>
      <c r="FY42" s="230" t="str">
        <f t="shared" si="625"/>
        <v>Tunisia</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Sweden</v>
      </c>
      <c r="GK42" s="231">
        <f t="shared" si="68"/>
        <v>44</v>
      </c>
      <c r="GL42" s="230" t="str">
        <f t="shared" si="629"/>
        <v>Tunisia</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Sweden</v>
      </c>
      <c r="GX42" s="231">
        <f t="shared" si="71"/>
        <v>44</v>
      </c>
      <c r="GY42" s="230" t="str">
        <f t="shared" si="633"/>
        <v>Tunisia</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Sweden</v>
      </c>
      <c r="HK42" s="231">
        <f t="shared" si="74"/>
        <v>44</v>
      </c>
      <c r="HL42" s="230" t="str">
        <f t="shared" si="637"/>
        <v>Tunisia</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Sweden</v>
      </c>
      <c r="HX42" s="231">
        <f t="shared" si="77"/>
        <v>44</v>
      </c>
      <c r="HY42" s="230" t="str">
        <f t="shared" si="641"/>
        <v>Tunisia</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Sweden</v>
      </c>
      <c r="IK42" s="231">
        <f t="shared" si="80"/>
        <v>44</v>
      </c>
      <c r="IL42" s="230" t="str">
        <f t="shared" si="645"/>
        <v>Tunisia</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Sweden</v>
      </c>
      <c r="IX42" s="231">
        <f t="shared" si="83"/>
        <v>44</v>
      </c>
      <c r="IY42" s="230" t="str">
        <f t="shared" si="649"/>
        <v>Tunisia</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Sweden</v>
      </c>
      <c r="JK42" s="231">
        <f t="shared" si="86"/>
        <v>44</v>
      </c>
      <c r="JL42" s="230" t="str">
        <f t="shared" si="653"/>
        <v>Tunisia</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Sweden</v>
      </c>
      <c r="JX42" s="231">
        <f t="shared" si="89"/>
        <v>44</v>
      </c>
      <c r="JY42" s="230" t="str">
        <f t="shared" si="657"/>
        <v>Tunisia</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Sweden</v>
      </c>
      <c r="KK42" s="231">
        <f t="shared" si="92"/>
        <v>44</v>
      </c>
      <c r="KL42" s="230" t="str">
        <f t="shared" si="661"/>
        <v>Tunisia</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Sweden</v>
      </c>
      <c r="KX42" s="231">
        <f t="shared" si="95"/>
        <v>44</v>
      </c>
      <c r="KY42" s="230" t="str">
        <f t="shared" si="665"/>
        <v>Tunisia</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Sweden</v>
      </c>
      <c r="LK42" s="231">
        <f t="shared" si="98"/>
        <v>44</v>
      </c>
      <c r="LL42" s="230" t="str">
        <f t="shared" si="669"/>
        <v>Tunisia</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Sweden</v>
      </c>
      <c r="LX42" s="231">
        <f t="shared" si="101"/>
        <v>44</v>
      </c>
      <c r="LY42" s="230" t="str">
        <f t="shared" si="673"/>
        <v>Tunisia</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0"/>
        <v>7</v>
      </c>
      <c r="J43" s="230" t="str">
        <f t="shared" si="572"/>
        <v>Netherlands</v>
      </c>
      <c r="K43" s="231">
        <f t="shared" si="26"/>
        <v>38</v>
      </c>
      <c r="L43" s="230" t="str">
        <f t="shared" si="573"/>
        <v>Sweden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Netherlands</v>
      </c>
      <c r="X43" s="231">
        <f t="shared" si="29"/>
        <v>38</v>
      </c>
      <c r="Y43" s="230" t="str">
        <f t="shared" si="577"/>
        <v>Sweden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Netherlands</v>
      </c>
      <c r="AK43" s="231">
        <f t="shared" si="32"/>
        <v>38</v>
      </c>
      <c r="AL43" s="230" t="str">
        <f t="shared" si="581"/>
        <v>Sweden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Netherlands</v>
      </c>
      <c r="AX43" s="231">
        <f t="shared" si="35"/>
        <v>38</v>
      </c>
      <c r="AY43" s="230" t="str">
        <f t="shared" si="585"/>
        <v>Sweden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Netherlands</v>
      </c>
      <c r="BK43" s="231">
        <f t="shared" si="38"/>
        <v>38</v>
      </c>
      <c r="BL43" s="230" t="str">
        <f t="shared" si="589"/>
        <v>Sweden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Netherlands</v>
      </c>
      <c r="BX43" s="231">
        <f t="shared" si="41"/>
        <v>38</v>
      </c>
      <c r="BY43" s="230" t="str">
        <f t="shared" si="593"/>
        <v>Sweden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Netherlands</v>
      </c>
      <c r="CK43" s="231">
        <f t="shared" si="44"/>
        <v>38</v>
      </c>
      <c r="CL43" s="230" t="str">
        <f t="shared" si="597"/>
        <v>Sweden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Netherlands</v>
      </c>
      <c r="CX43" s="231">
        <f t="shared" si="47"/>
        <v>38</v>
      </c>
      <c r="CY43" s="230" t="str">
        <f t="shared" si="601"/>
        <v>Sweden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Netherlands</v>
      </c>
      <c r="DK43" s="231">
        <f t="shared" si="50"/>
        <v>38</v>
      </c>
      <c r="DL43" s="230" t="str">
        <f t="shared" si="605"/>
        <v>Sweden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Netherlands</v>
      </c>
      <c r="DX43" s="231">
        <f t="shared" si="53"/>
        <v>38</v>
      </c>
      <c r="DY43" s="230" t="str">
        <f t="shared" si="609"/>
        <v>Sweden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Netherlands</v>
      </c>
      <c r="EK43" s="231">
        <f t="shared" si="56"/>
        <v>38</v>
      </c>
      <c r="EL43" s="230" t="str">
        <f t="shared" si="613"/>
        <v>Sweden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Netherlands</v>
      </c>
      <c r="EX43" s="231">
        <f t="shared" si="59"/>
        <v>38</v>
      </c>
      <c r="EY43" s="230" t="str">
        <f t="shared" si="617"/>
        <v>Sweden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Netherlands</v>
      </c>
      <c r="FK43" s="231">
        <f t="shared" si="62"/>
        <v>38</v>
      </c>
      <c r="FL43" s="230" t="str">
        <f t="shared" si="621"/>
        <v>Sweden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Netherlands</v>
      </c>
      <c r="FX43" s="231">
        <f t="shared" si="65"/>
        <v>38</v>
      </c>
      <c r="FY43" s="230" t="str">
        <f t="shared" si="625"/>
        <v>Sweden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Netherlands</v>
      </c>
      <c r="GK43" s="231">
        <f t="shared" si="68"/>
        <v>38</v>
      </c>
      <c r="GL43" s="230" t="str">
        <f t="shared" si="629"/>
        <v>Sweden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Netherlands</v>
      </c>
      <c r="GX43" s="231">
        <f t="shared" si="71"/>
        <v>38</v>
      </c>
      <c r="GY43" s="230" t="str">
        <f t="shared" si="633"/>
        <v>Sweden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Netherlands</v>
      </c>
      <c r="HK43" s="231">
        <f t="shared" si="74"/>
        <v>38</v>
      </c>
      <c r="HL43" s="230" t="str">
        <f t="shared" si="637"/>
        <v>Sweden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Netherlands</v>
      </c>
      <c r="HX43" s="231">
        <f t="shared" si="77"/>
        <v>38</v>
      </c>
      <c r="HY43" s="230" t="str">
        <f t="shared" si="641"/>
        <v>Sweden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Netherlands</v>
      </c>
      <c r="IK43" s="231">
        <f t="shared" si="80"/>
        <v>38</v>
      </c>
      <c r="IL43" s="230" t="str">
        <f t="shared" si="645"/>
        <v>Sweden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Netherlands</v>
      </c>
      <c r="IX43" s="231">
        <f t="shared" si="83"/>
        <v>38</v>
      </c>
      <c r="IY43" s="230" t="str">
        <f t="shared" si="649"/>
        <v>Sweden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Netherlands</v>
      </c>
      <c r="JK43" s="231">
        <f t="shared" si="86"/>
        <v>38</v>
      </c>
      <c r="JL43" s="230" t="str">
        <f t="shared" si="653"/>
        <v>Sweden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Netherlands</v>
      </c>
      <c r="JX43" s="231">
        <f t="shared" si="89"/>
        <v>38</v>
      </c>
      <c r="JY43" s="230" t="str">
        <f t="shared" si="657"/>
        <v>Sweden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Netherlands</v>
      </c>
      <c r="KK43" s="231">
        <f t="shared" si="92"/>
        <v>38</v>
      </c>
      <c r="KL43" s="230" t="str">
        <f t="shared" si="661"/>
        <v>Sweden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Netherlands</v>
      </c>
      <c r="KX43" s="231">
        <f t="shared" si="95"/>
        <v>38</v>
      </c>
      <c r="KY43" s="230" t="str">
        <f t="shared" si="665"/>
        <v>Sweden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Netherlands</v>
      </c>
      <c r="LK43" s="231">
        <f t="shared" si="98"/>
        <v>38</v>
      </c>
      <c r="LL43" s="230" t="str">
        <f t="shared" si="669"/>
        <v>Sweden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Netherlands</v>
      </c>
      <c r="LX43" s="231">
        <f t="shared" si="101"/>
        <v>38</v>
      </c>
      <c r="LY43" s="230" t="str">
        <f t="shared" si="673"/>
        <v>Sweden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0"/>
        <v>44</v>
      </c>
      <c r="J44" s="230" t="str">
        <f t="shared" si="572"/>
        <v>Tunisia</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Tunisia</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Tunisia</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Tunisia</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Tunisia</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Tunisia</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Tunisia</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Tunisia</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Tunisia</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Tunisia</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Tunisia</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Tunisia</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Tunisia</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Tunisia</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Tunisia</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Tunisia</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Tunisia</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Tunisia</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Tunisia</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Tunisia</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Tunisia</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Tunisia</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Tunisia</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Tunisia</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Tunisia</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Tunisia</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t="str">
        <f>CalcF!$R$26</f>
        <v/>
      </c>
      <c r="G45" s="233" t="str">
        <f>CalcF!$S$26</f>
        <v/>
      </c>
      <c r="I45" s="229">
        <f t="shared" si="0"/>
        <v>18</v>
      </c>
      <c r="J45" s="230" t="str">
        <f t="shared" si="572"/>
        <v>Japan</v>
      </c>
      <c r="K45" s="231">
        <f t="shared" si="26"/>
        <v>38</v>
      </c>
      <c r="L45" s="230" t="str">
        <f t="shared" si="573"/>
        <v>Sweden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t="str">
        <f>CalcF!$R$27</f>
        <v/>
      </c>
      <c r="G46" s="233" t="str">
        <f>CalcF!$S$27</f>
        <v/>
      </c>
      <c r="I46" s="229">
        <f t="shared" si="0"/>
        <v>44</v>
      </c>
      <c r="J46" s="230" t="str">
        <f t="shared" si="572"/>
        <v>Tunisia</v>
      </c>
      <c r="K46" s="231">
        <f t="shared" si="26"/>
        <v>7</v>
      </c>
      <c r="L46" s="230" t="str">
        <f t="shared" si="573"/>
        <v>Netherlands</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Tunisia</v>
      </c>
      <c r="X46" s="231">
        <f t="shared" si="29"/>
        <v>7</v>
      </c>
      <c r="Y46" s="230" t="str">
        <f t="shared" si="577"/>
        <v>Netherlands</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Tunisia</v>
      </c>
      <c r="AK46" s="231">
        <f t="shared" si="32"/>
        <v>7</v>
      </c>
      <c r="AL46" s="230" t="str">
        <f t="shared" si="581"/>
        <v>Netherlands</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Tunisia</v>
      </c>
      <c r="AX46" s="231">
        <f t="shared" si="35"/>
        <v>7</v>
      </c>
      <c r="AY46" s="230" t="str">
        <f t="shared" si="585"/>
        <v>Netherlands</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Tunisia</v>
      </c>
      <c r="BK46" s="231">
        <f t="shared" si="38"/>
        <v>7</v>
      </c>
      <c r="BL46" s="230" t="str">
        <f t="shared" si="589"/>
        <v>Netherlands</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Tunisia</v>
      </c>
      <c r="BX46" s="231">
        <f t="shared" si="41"/>
        <v>7</v>
      </c>
      <c r="BY46" s="230" t="str">
        <f t="shared" si="593"/>
        <v>Netherlands</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Tunisia</v>
      </c>
      <c r="CK46" s="231">
        <f t="shared" si="44"/>
        <v>7</v>
      </c>
      <c r="CL46" s="230" t="str">
        <f t="shared" si="597"/>
        <v>Netherlands</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Tunisia</v>
      </c>
      <c r="CX46" s="231">
        <f t="shared" si="47"/>
        <v>7</v>
      </c>
      <c r="CY46" s="230" t="str">
        <f t="shared" si="601"/>
        <v>Netherlands</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Tunisia</v>
      </c>
      <c r="DK46" s="231">
        <f t="shared" si="50"/>
        <v>7</v>
      </c>
      <c r="DL46" s="230" t="str">
        <f t="shared" si="605"/>
        <v>Netherlands</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Tunisia</v>
      </c>
      <c r="DX46" s="231">
        <f t="shared" si="53"/>
        <v>7</v>
      </c>
      <c r="DY46" s="230" t="str">
        <f t="shared" si="609"/>
        <v>Netherlands</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Tunisia</v>
      </c>
      <c r="EK46" s="231">
        <f t="shared" si="56"/>
        <v>7</v>
      </c>
      <c r="EL46" s="230" t="str">
        <f t="shared" si="613"/>
        <v>Netherlands</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Tunisia</v>
      </c>
      <c r="EX46" s="231">
        <f t="shared" si="59"/>
        <v>7</v>
      </c>
      <c r="EY46" s="230" t="str">
        <f t="shared" si="617"/>
        <v>Netherlands</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Tunisia</v>
      </c>
      <c r="FK46" s="231">
        <f t="shared" si="62"/>
        <v>7</v>
      </c>
      <c r="FL46" s="230" t="str">
        <f t="shared" si="621"/>
        <v>Netherlands</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Tunisia</v>
      </c>
      <c r="FX46" s="231">
        <f t="shared" si="65"/>
        <v>7</v>
      </c>
      <c r="FY46" s="230" t="str">
        <f t="shared" si="625"/>
        <v>Netherlands</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Tunisia</v>
      </c>
      <c r="GK46" s="231">
        <f t="shared" si="68"/>
        <v>7</v>
      </c>
      <c r="GL46" s="230" t="str">
        <f t="shared" si="629"/>
        <v>Netherlands</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Tunisia</v>
      </c>
      <c r="GX46" s="231">
        <f t="shared" si="71"/>
        <v>7</v>
      </c>
      <c r="GY46" s="230" t="str">
        <f t="shared" si="633"/>
        <v>Netherlands</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Tunisia</v>
      </c>
      <c r="HK46" s="231">
        <f t="shared" si="74"/>
        <v>7</v>
      </c>
      <c r="HL46" s="230" t="str">
        <f t="shared" si="637"/>
        <v>Netherlands</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Tunisia</v>
      </c>
      <c r="HX46" s="231">
        <f t="shared" si="77"/>
        <v>7</v>
      </c>
      <c r="HY46" s="230" t="str">
        <f t="shared" si="641"/>
        <v>Netherlands</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Tunisia</v>
      </c>
      <c r="IK46" s="231">
        <f t="shared" si="80"/>
        <v>7</v>
      </c>
      <c r="IL46" s="230" t="str">
        <f t="shared" si="645"/>
        <v>Netherlands</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Tunisia</v>
      </c>
      <c r="IX46" s="231">
        <f t="shared" si="83"/>
        <v>7</v>
      </c>
      <c r="IY46" s="230" t="str">
        <f t="shared" si="649"/>
        <v>Netherlands</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Tunisia</v>
      </c>
      <c r="JK46" s="231">
        <f t="shared" si="86"/>
        <v>7</v>
      </c>
      <c r="JL46" s="230" t="str">
        <f t="shared" si="653"/>
        <v>Netherlands</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Tunisia</v>
      </c>
      <c r="JX46" s="231">
        <f t="shared" si="89"/>
        <v>7</v>
      </c>
      <c r="JY46" s="230" t="str">
        <f t="shared" si="657"/>
        <v>Netherlands</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Tunisia</v>
      </c>
      <c r="KK46" s="231">
        <f t="shared" si="92"/>
        <v>7</v>
      </c>
      <c r="KL46" s="230" t="str">
        <f t="shared" si="661"/>
        <v>Netherlands</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Tunisia</v>
      </c>
      <c r="KX46" s="231">
        <f t="shared" si="95"/>
        <v>7</v>
      </c>
      <c r="KY46" s="230" t="str">
        <f t="shared" si="665"/>
        <v>Netherlands</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Tunisia</v>
      </c>
      <c r="LK46" s="231">
        <f t="shared" si="98"/>
        <v>7</v>
      </c>
      <c r="LL46" s="230" t="str">
        <f t="shared" si="669"/>
        <v>Netherlands</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Tunisia</v>
      </c>
      <c r="LX46" s="231">
        <f t="shared" si="101"/>
        <v>7</v>
      </c>
      <c r="LY46" s="230" t="str">
        <f t="shared" si="673"/>
        <v>Netherlands</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0"/>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0"/>
        <v>9</v>
      </c>
      <c r="J48" s="230" t="str">
        <f t="shared" ref="J48:J53" si="676">$C48</f>
        <v>Belgium</v>
      </c>
      <c r="K48" s="231">
        <f t="shared" si="26"/>
        <v>29</v>
      </c>
      <c r="L48" s="230" t="str">
        <f t="shared" ref="L48:L53" si="677">$E48</f>
        <v>Egypt</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Belgium</v>
      </c>
      <c r="X48" s="231">
        <f t="shared" si="29"/>
        <v>29</v>
      </c>
      <c r="Y48" s="230" t="str">
        <f t="shared" ref="Y48:Y53" si="681">$E48</f>
        <v>Egypt</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Belgium</v>
      </c>
      <c r="AK48" s="231">
        <f t="shared" si="32"/>
        <v>29</v>
      </c>
      <c r="AL48" s="230" t="str">
        <f t="shared" ref="AL48:AL53" si="685">$E48</f>
        <v>Egypt</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Belgium</v>
      </c>
      <c r="AX48" s="231">
        <f t="shared" si="35"/>
        <v>29</v>
      </c>
      <c r="AY48" s="230" t="str">
        <f t="shared" ref="AY48:AY53" si="689">$E48</f>
        <v>Egypt</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Belgium</v>
      </c>
      <c r="BK48" s="231">
        <f t="shared" si="38"/>
        <v>29</v>
      </c>
      <c r="BL48" s="230" t="str">
        <f t="shared" ref="BL48:BL53" si="693">$E48</f>
        <v>Egypt</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Belgium</v>
      </c>
      <c r="BX48" s="231">
        <f t="shared" si="41"/>
        <v>29</v>
      </c>
      <c r="BY48" s="230" t="str">
        <f t="shared" ref="BY48:BY53" si="697">$E48</f>
        <v>Egypt</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Belgium</v>
      </c>
      <c r="CK48" s="231">
        <f t="shared" si="44"/>
        <v>29</v>
      </c>
      <c r="CL48" s="230" t="str">
        <f t="shared" ref="CL48:CL53" si="701">$E48</f>
        <v>Egypt</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Belgium</v>
      </c>
      <c r="CX48" s="231">
        <f t="shared" si="47"/>
        <v>29</v>
      </c>
      <c r="CY48" s="230" t="str">
        <f t="shared" ref="CY48:CY53" si="705">$E48</f>
        <v>Egypt</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Belgium</v>
      </c>
      <c r="DK48" s="231">
        <f t="shared" si="50"/>
        <v>29</v>
      </c>
      <c r="DL48" s="230" t="str">
        <f t="shared" ref="DL48:DL53" si="709">$E48</f>
        <v>Egypt</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Belgium</v>
      </c>
      <c r="DX48" s="231">
        <f t="shared" si="53"/>
        <v>29</v>
      </c>
      <c r="DY48" s="230" t="str">
        <f t="shared" ref="DY48:DY53" si="713">$E48</f>
        <v>Egypt</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Belgium</v>
      </c>
      <c r="EK48" s="231">
        <f t="shared" si="56"/>
        <v>29</v>
      </c>
      <c r="EL48" s="230" t="str">
        <f t="shared" ref="EL48:EL53" si="717">$E48</f>
        <v>Egypt</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Belgium</v>
      </c>
      <c r="EX48" s="231">
        <f t="shared" si="59"/>
        <v>29</v>
      </c>
      <c r="EY48" s="230" t="str">
        <f t="shared" ref="EY48:EY53" si="721">$E48</f>
        <v>Egypt</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Belgium</v>
      </c>
      <c r="FK48" s="231">
        <f t="shared" si="62"/>
        <v>29</v>
      </c>
      <c r="FL48" s="230" t="str">
        <f t="shared" ref="FL48:FL53" si="725">$E48</f>
        <v>Egypt</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Belgium</v>
      </c>
      <c r="FX48" s="231">
        <f t="shared" si="65"/>
        <v>29</v>
      </c>
      <c r="FY48" s="230" t="str">
        <f t="shared" ref="FY48:FY53" si="729">$E48</f>
        <v>Egypt</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Belgium</v>
      </c>
      <c r="GK48" s="231">
        <f t="shared" si="68"/>
        <v>29</v>
      </c>
      <c r="GL48" s="230" t="str">
        <f t="shared" ref="GL48:GL53" si="733">$E48</f>
        <v>Egypt</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Belgium</v>
      </c>
      <c r="GX48" s="231">
        <f t="shared" si="71"/>
        <v>29</v>
      </c>
      <c r="GY48" s="230" t="str">
        <f t="shared" ref="GY48:GY53" si="737">$E48</f>
        <v>Egypt</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Belgium</v>
      </c>
      <c r="HK48" s="231">
        <f t="shared" si="74"/>
        <v>29</v>
      </c>
      <c r="HL48" s="230" t="str">
        <f t="shared" ref="HL48:HL53" si="741">$E48</f>
        <v>Egypt</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Belgium</v>
      </c>
      <c r="HX48" s="231">
        <f t="shared" si="77"/>
        <v>29</v>
      </c>
      <c r="HY48" s="230" t="str">
        <f t="shared" ref="HY48:HY53" si="745">$E48</f>
        <v>Egypt</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Belgium</v>
      </c>
      <c r="IK48" s="231">
        <f t="shared" si="80"/>
        <v>29</v>
      </c>
      <c r="IL48" s="230" t="str">
        <f t="shared" ref="IL48:IL53" si="749">$E48</f>
        <v>Egypt</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Belgium</v>
      </c>
      <c r="IX48" s="231">
        <f t="shared" si="83"/>
        <v>29</v>
      </c>
      <c r="IY48" s="230" t="str">
        <f t="shared" ref="IY48:IY53" si="753">$E48</f>
        <v>Egypt</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Belgium</v>
      </c>
      <c r="JK48" s="231">
        <f t="shared" si="86"/>
        <v>29</v>
      </c>
      <c r="JL48" s="230" t="str">
        <f t="shared" ref="JL48:JL53" si="757">$E48</f>
        <v>Egypt</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Belgium</v>
      </c>
      <c r="JX48" s="231">
        <f t="shared" si="89"/>
        <v>29</v>
      </c>
      <c r="JY48" s="230" t="str">
        <f t="shared" ref="JY48:JY53" si="761">$E48</f>
        <v>Egypt</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Belgium</v>
      </c>
      <c r="KK48" s="231">
        <f t="shared" si="92"/>
        <v>29</v>
      </c>
      <c r="KL48" s="230" t="str">
        <f t="shared" ref="KL48:KL53" si="765">$E48</f>
        <v>Egypt</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Belgium</v>
      </c>
      <c r="KX48" s="231">
        <f t="shared" si="95"/>
        <v>29</v>
      </c>
      <c r="KY48" s="230" t="str">
        <f t="shared" ref="KY48:KY53" si="769">$E48</f>
        <v>Egypt</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Belgium</v>
      </c>
      <c r="LK48" s="231">
        <f t="shared" si="98"/>
        <v>29</v>
      </c>
      <c r="LL48" s="230" t="str">
        <f t="shared" ref="LL48:LL53" si="773">$E48</f>
        <v>Egypt</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Belgium</v>
      </c>
      <c r="LX48" s="231">
        <f t="shared" si="101"/>
        <v>29</v>
      </c>
      <c r="LY48" s="230" t="str">
        <f t="shared" ref="LY48:LY53" si="777">$E48</f>
        <v>Egypt</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0"/>
        <v>21</v>
      </c>
      <c r="J49" s="230" t="str">
        <f t="shared" si="676"/>
        <v>IR Iran</v>
      </c>
      <c r="K49" s="231">
        <f t="shared" si="26"/>
        <v>85</v>
      </c>
      <c r="L49" s="230" t="str">
        <f t="shared" si="677"/>
        <v>New Zealand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New Zealand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New Zealand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New Zealand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New Zealand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New Zealand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New Zealand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New Zealand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New Zealand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New Zealand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New Zealand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New Zealand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New Zealand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New Zealand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New Zealand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New Zealand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New Zealand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New Zealand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New Zealand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New Zealand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New Zealand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New Zealand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New Zealand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New Zealand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New Zealand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New Zealand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0"/>
        <v>9</v>
      </c>
      <c r="J50" s="230" t="str">
        <f t="shared" si="676"/>
        <v>Belgium</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Belgium</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Belgium</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Belgium</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Belgium</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Belgium</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Belgium</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Belgium</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Belgium</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Belgium</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Belgium</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Belgium</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Belgium</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Belgium</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Belgium</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Belgium</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Belgium</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Belgium</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Belgium</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Belgium</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Belgium</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Belgium</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Belgium</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Belgium</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Belgium</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Belgium</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0"/>
        <v>85</v>
      </c>
      <c r="J51" s="230" t="str">
        <f t="shared" si="676"/>
        <v>New Zealand</v>
      </c>
      <c r="K51" s="231">
        <f t="shared" si="26"/>
        <v>29</v>
      </c>
      <c r="L51" s="230" t="str">
        <f t="shared" si="677"/>
        <v>Egypt</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New Zealand</v>
      </c>
      <c r="X51" s="231">
        <f t="shared" si="29"/>
        <v>29</v>
      </c>
      <c r="Y51" s="230" t="str">
        <f t="shared" si="681"/>
        <v>Egypt</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New Zealand</v>
      </c>
      <c r="AK51" s="231">
        <f t="shared" si="32"/>
        <v>29</v>
      </c>
      <c r="AL51" s="230" t="str">
        <f t="shared" si="685"/>
        <v>Egypt</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New Zealand</v>
      </c>
      <c r="AX51" s="231">
        <f t="shared" si="35"/>
        <v>29</v>
      </c>
      <c r="AY51" s="230" t="str">
        <f t="shared" si="689"/>
        <v>Egypt</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New Zealand</v>
      </c>
      <c r="BK51" s="231">
        <f t="shared" si="38"/>
        <v>29</v>
      </c>
      <c r="BL51" s="230" t="str">
        <f t="shared" si="693"/>
        <v>Egypt</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New Zealand</v>
      </c>
      <c r="BX51" s="231">
        <f t="shared" si="41"/>
        <v>29</v>
      </c>
      <c r="BY51" s="230" t="str">
        <f t="shared" si="697"/>
        <v>Egypt</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New Zealand</v>
      </c>
      <c r="CK51" s="231">
        <f t="shared" si="44"/>
        <v>29</v>
      </c>
      <c r="CL51" s="230" t="str">
        <f t="shared" si="701"/>
        <v>Egypt</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New Zealand</v>
      </c>
      <c r="CX51" s="231">
        <f t="shared" si="47"/>
        <v>29</v>
      </c>
      <c r="CY51" s="230" t="str">
        <f t="shared" si="705"/>
        <v>Egypt</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New Zealand</v>
      </c>
      <c r="DK51" s="231">
        <f t="shared" si="50"/>
        <v>29</v>
      </c>
      <c r="DL51" s="230" t="str">
        <f t="shared" si="709"/>
        <v>Egypt</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New Zealand</v>
      </c>
      <c r="DX51" s="231">
        <f t="shared" si="53"/>
        <v>29</v>
      </c>
      <c r="DY51" s="230" t="str">
        <f t="shared" si="713"/>
        <v>Egypt</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New Zealand</v>
      </c>
      <c r="EK51" s="231">
        <f t="shared" si="56"/>
        <v>29</v>
      </c>
      <c r="EL51" s="230" t="str">
        <f t="shared" si="717"/>
        <v>Egypt</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New Zealand</v>
      </c>
      <c r="EX51" s="231">
        <f t="shared" si="59"/>
        <v>29</v>
      </c>
      <c r="EY51" s="230" t="str">
        <f t="shared" si="721"/>
        <v>Egypt</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New Zealand</v>
      </c>
      <c r="FK51" s="231">
        <f t="shared" si="62"/>
        <v>29</v>
      </c>
      <c r="FL51" s="230" t="str">
        <f t="shared" si="725"/>
        <v>Egypt</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New Zealand</v>
      </c>
      <c r="FX51" s="231">
        <f t="shared" si="65"/>
        <v>29</v>
      </c>
      <c r="FY51" s="230" t="str">
        <f t="shared" si="729"/>
        <v>Egypt</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New Zealand</v>
      </c>
      <c r="GK51" s="231">
        <f t="shared" si="68"/>
        <v>29</v>
      </c>
      <c r="GL51" s="230" t="str">
        <f t="shared" si="733"/>
        <v>Egypt</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New Zealand</v>
      </c>
      <c r="GX51" s="231">
        <f t="shared" si="71"/>
        <v>29</v>
      </c>
      <c r="GY51" s="230" t="str">
        <f t="shared" si="737"/>
        <v>Egypt</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New Zealand</v>
      </c>
      <c r="HK51" s="231">
        <f t="shared" si="74"/>
        <v>29</v>
      </c>
      <c r="HL51" s="230" t="str">
        <f t="shared" si="741"/>
        <v>Egypt</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New Zealand</v>
      </c>
      <c r="HX51" s="231">
        <f t="shared" si="77"/>
        <v>29</v>
      </c>
      <c r="HY51" s="230" t="str">
        <f t="shared" si="745"/>
        <v>Egypt</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New Zealand</v>
      </c>
      <c r="IK51" s="231">
        <f t="shared" si="80"/>
        <v>29</v>
      </c>
      <c r="IL51" s="230" t="str">
        <f t="shared" si="749"/>
        <v>Egypt</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New Zealand</v>
      </c>
      <c r="IX51" s="231">
        <f t="shared" si="83"/>
        <v>29</v>
      </c>
      <c r="IY51" s="230" t="str">
        <f t="shared" si="753"/>
        <v>Egypt</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New Zealand</v>
      </c>
      <c r="JK51" s="231">
        <f t="shared" si="86"/>
        <v>29</v>
      </c>
      <c r="JL51" s="230" t="str">
        <f t="shared" si="757"/>
        <v>Egypt</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New Zealand</v>
      </c>
      <c r="JX51" s="231">
        <f t="shared" si="89"/>
        <v>29</v>
      </c>
      <c r="JY51" s="230" t="str">
        <f t="shared" si="761"/>
        <v>Egypt</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New Zealand</v>
      </c>
      <c r="KK51" s="231">
        <f t="shared" si="92"/>
        <v>29</v>
      </c>
      <c r="KL51" s="230" t="str">
        <f t="shared" si="765"/>
        <v>Egypt</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New Zealand</v>
      </c>
      <c r="KX51" s="231">
        <f t="shared" si="95"/>
        <v>29</v>
      </c>
      <c r="KY51" s="230" t="str">
        <f t="shared" si="769"/>
        <v>Egypt</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New Zealand</v>
      </c>
      <c r="LK51" s="231">
        <f t="shared" si="98"/>
        <v>29</v>
      </c>
      <c r="LL51" s="230" t="str">
        <f t="shared" si="773"/>
        <v>Egypt</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New Zealand</v>
      </c>
      <c r="LX51" s="231">
        <f t="shared" si="101"/>
        <v>29</v>
      </c>
      <c r="LY51" s="230" t="str">
        <f t="shared" si="777"/>
        <v>Egypt</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t="str">
        <f>CalcG!$R$26</f>
        <v/>
      </c>
      <c r="G52" s="233" t="str">
        <f>CalcG!$S$26</f>
        <v/>
      </c>
      <c r="I52" s="229">
        <f t="shared" si="0"/>
        <v>29</v>
      </c>
      <c r="J52" s="230" t="str">
        <f t="shared" si="676"/>
        <v>Egypt</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Egypt</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Egypt</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Egypt</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Egypt</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Egypt</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Egypt</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Egypt</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Egypt</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Egypt</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Egypt</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Egypt</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Egypt</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Egypt</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Egypt</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Egypt</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Egypt</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Egypt</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Egypt</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Egypt</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Egypt</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Egypt</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Egypt</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Egypt</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Egypt</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Egypt</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t="str">
        <f>CalcG!$R$27</f>
        <v/>
      </c>
      <c r="G53" s="233" t="str">
        <f>CalcG!$S$27</f>
        <v/>
      </c>
      <c r="I53" s="229">
        <f t="shared" si="0"/>
        <v>85</v>
      </c>
      <c r="J53" s="230" t="str">
        <f t="shared" si="676"/>
        <v>New Zealand</v>
      </c>
      <c r="K53" s="231">
        <f t="shared" si="26"/>
        <v>9</v>
      </c>
      <c r="L53" s="230" t="str">
        <f t="shared" si="677"/>
        <v>Belgium</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New Zealand</v>
      </c>
      <c r="X53" s="231">
        <f t="shared" si="29"/>
        <v>9</v>
      </c>
      <c r="Y53" s="230" t="str">
        <f t="shared" si="681"/>
        <v>Belgium</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New Zealand</v>
      </c>
      <c r="AK53" s="231">
        <f t="shared" si="32"/>
        <v>9</v>
      </c>
      <c r="AL53" s="230" t="str">
        <f t="shared" si="685"/>
        <v>Belgium</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New Zealand</v>
      </c>
      <c r="AX53" s="231">
        <f t="shared" si="35"/>
        <v>9</v>
      </c>
      <c r="AY53" s="230" t="str">
        <f t="shared" si="689"/>
        <v>Belgium</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New Zealand</v>
      </c>
      <c r="BK53" s="231">
        <f t="shared" si="38"/>
        <v>9</v>
      </c>
      <c r="BL53" s="230" t="str">
        <f t="shared" si="693"/>
        <v>Belgium</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New Zealand</v>
      </c>
      <c r="BX53" s="231">
        <f t="shared" si="41"/>
        <v>9</v>
      </c>
      <c r="BY53" s="230" t="str">
        <f t="shared" si="697"/>
        <v>Belgium</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New Zealand</v>
      </c>
      <c r="CK53" s="231">
        <f t="shared" si="44"/>
        <v>9</v>
      </c>
      <c r="CL53" s="230" t="str">
        <f t="shared" si="701"/>
        <v>Belgium</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New Zealand</v>
      </c>
      <c r="CX53" s="231">
        <f t="shared" si="47"/>
        <v>9</v>
      </c>
      <c r="CY53" s="230" t="str">
        <f t="shared" si="705"/>
        <v>Belgium</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New Zealand</v>
      </c>
      <c r="DK53" s="231">
        <f t="shared" si="50"/>
        <v>9</v>
      </c>
      <c r="DL53" s="230" t="str">
        <f t="shared" si="709"/>
        <v>Belgium</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New Zealand</v>
      </c>
      <c r="DX53" s="231">
        <f t="shared" si="53"/>
        <v>9</v>
      </c>
      <c r="DY53" s="230" t="str">
        <f t="shared" si="713"/>
        <v>Belgium</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New Zealand</v>
      </c>
      <c r="EK53" s="231">
        <f t="shared" si="56"/>
        <v>9</v>
      </c>
      <c r="EL53" s="230" t="str">
        <f t="shared" si="717"/>
        <v>Belgium</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New Zealand</v>
      </c>
      <c r="EX53" s="231">
        <f t="shared" si="59"/>
        <v>9</v>
      </c>
      <c r="EY53" s="230" t="str">
        <f t="shared" si="721"/>
        <v>Belgium</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New Zealand</v>
      </c>
      <c r="FK53" s="231">
        <f t="shared" si="62"/>
        <v>9</v>
      </c>
      <c r="FL53" s="230" t="str">
        <f t="shared" si="725"/>
        <v>Belgium</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New Zealand</v>
      </c>
      <c r="FX53" s="231">
        <f t="shared" si="65"/>
        <v>9</v>
      </c>
      <c r="FY53" s="230" t="str">
        <f t="shared" si="729"/>
        <v>Belgium</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New Zealand</v>
      </c>
      <c r="GK53" s="231">
        <f t="shared" si="68"/>
        <v>9</v>
      </c>
      <c r="GL53" s="230" t="str">
        <f t="shared" si="733"/>
        <v>Belgium</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New Zealand</v>
      </c>
      <c r="GX53" s="231">
        <f t="shared" si="71"/>
        <v>9</v>
      </c>
      <c r="GY53" s="230" t="str">
        <f t="shared" si="737"/>
        <v>Belgium</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New Zealand</v>
      </c>
      <c r="HK53" s="231">
        <f t="shared" si="74"/>
        <v>9</v>
      </c>
      <c r="HL53" s="230" t="str">
        <f t="shared" si="741"/>
        <v>Belgium</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New Zealand</v>
      </c>
      <c r="HX53" s="231">
        <f t="shared" si="77"/>
        <v>9</v>
      </c>
      <c r="HY53" s="230" t="str">
        <f t="shared" si="745"/>
        <v>Belgium</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New Zealand</v>
      </c>
      <c r="IK53" s="231">
        <f t="shared" si="80"/>
        <v>9</v>
      </c>
      <c r="IL53" s="230" t="str">
        <f t="shared" si="749"/>
        <v>Belgium</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New Zealand</v>
      </c>
      <c r="IX53" s="231">
        <f t="shared" si="83"/>
        <v>9</v>
      </c>
      <c r="IY53" s="230" t="str">
        <f t="shared" si="753"/>
        <v>Belgium</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New Zealand</v>
      </c>
      <c r="JK53" s="231">
        <f t="shared" si="86"/>
        <v>9</v>
      </c>
      <c r="JL53" s="230" t="str">
        <f t="shared" si="757"/>
        <v>Belgium</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New Zealand</v>
      </c>
      <c r="JX53" s="231">
        <f t="shared" si="89"/>
        <v>9</v>
      </c>
      <c r="JY53" s="230" t="str">
        <f t="shared" si="761"/>
        <v>Belgium</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New Zealand</v>
      </c>
      <c r="KK53" s="231">
        <f t="shared" si="92"/>
        <v>9</v>
      </c>
      <c r="KL53" s="230" t="str">
        <f t="shared" si="765"/>
        <v>Belgium</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New Zealand</v>
      </c>
      <c r="KX53" s="231">
        <f t="shared" si="95"/>
        <v>9</v>
      </c>
      <c r="KY53" s="230" t="str">
        <f t="shared" si="769"/>
        <v>Belgium</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New Zealand</v>
      </c>
      <c r="LK53" s="231">
        <f t="shared" si="98"/>
        <v>9</v>
      </c>
      <c r="LL53" s="230" t="str">
        <f t="shared" si="773"/>
        <v>Belgium</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New Zealand</v>
      </c>
      <c r="LX53" s="231">
        <f t="shared" si="101"/>
        <v>9</v>
      </c>
      <c r="LY53" s="230" t="str">
        <f t="shared" si="777"/>
        <v>Belgium</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0"/>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0"/>
        <v>2</v>
      </c>
      <c r="J55" s="230" t="str">
        <f t="shared" ref="J55:J60" si="780">$C55</f>
        <v>Spain</v>
      </c>
      <c r="K55" s="231">
        <f t="shared" si="26"/>
        <v>69</v>
      </c>
      <c r="L55" s="230" t="str">
        <f t="shared" ref="L55:L60" si="781">$E55</f>
        <v>Cabo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Spain</v>
      </c>
      <c r="X55" s="231">
        <f t="shared" si="29"/>
        <v>69</v>
      </c>
      <c r="Y55" s="230" t="str">
        <f t="shared" ref="Y55:Y60" si="785">$E55</f>
        <v>Cabo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Spain</v>
      </c>
      <c r="AK55" s="231">
        <f t="shared" si="32"/>
        <v>69</v>
      </c>
      <c r="AL55" s="230" t="str">
        <f t="shared" ref="AL55:AL60" si="789">$E55</f>
        <v>Cabo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Spain</v>
      </c>
      <c r="AX55" s="231">
        <f t="shared" si="35"/>
        <v>69</v>
      </c>
      <c r="AY55" s="230" t="str">
        <f t="shared" ref="AY55:AY60" si="793">$E55</f>
        <v>Cabo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Spain</v>
      </c>
      <c r="BK55" s="231">
        <f t="shared" si="38"/>
        <v>69</v>
      </c>
      <c r="BL55" s="230" t="str">
        <f t="shared" ref="BL55:BL60" si="797">$E55</f>
        <v>Cabo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Spain</v>
      </c>
      <c r="BX55" s="231">
        <f t="shared" si="41"/>
        <v>69</v>
      </c>
      <c r="BY55" s="230" t="str">
        <f t="shared" ref="BY55:BY60" si="801">$E55</f>
        <v>Cabo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Spain</v>
      </c>
      <c r="CK55" s="231">
        <f t="shared" si="44"/>
        <v>69</v>
      </c>
      <c r="CL55" s="230" t="str">
        <f t="shared" ref="CL55:CL60" si="805">$E55</f>
        <v>Cabo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Spain</v>
      </c>
      <c r="CX55" s="231">
        <f t="shared" si="47"/>
        <v>69</v>
      </c>
      <c r="CY55" s="230" t="str">
        <f t="shared" ref="CY55:CY60" si="809">$E55</f>
        <v>Cabo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Spain</v>
      </c>
      <c r="DK55" s="231">
        <f t="shared" si="50"/>
        <v>69</v>
      </c>
      <c r="DL55" s="230" t="str">
        <f t="shared" ref="DL55:DL60" si="813">$E55</f>
        <v>Cabo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Spain</v>
      </c>
      <c r="DX55" s="231">
        <f t="shared" si="53"/>
        <v>69</v>
      </c>
      <c r="DY55" s="230" t="str">
        <f t="shared" ref="DY55:DY60" si="817">$E55</f>
        <v>Cabo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Spain</v>
      </c>
      <c r="EK55" s="231">
        <f t="shared" si="56"/>
        <v>69</v>
      </c>
      <c r="EL55" s="230" t="str">
        <f t="shared" ref="EL55:EL60" si="821">$E55</f>
        <v>Cabo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Spain</v>
      </c>
      <c r="EX55" s="231">
        <f t="shared" si="59"/>
        <v>69</v>
      </c>
      <c r="EY55" s="230" t="str">
        <f t="shared" ref="EY55:EY60" si="825">$E55</f>
        <v>Cabo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Spain</v>
      </c>
      <c r="FK55" s="231">
        <f t="shared" si="62"/>
        <v>69</v>
      </c>
      <c r="FL55" s="230" t="str">
        <f t="shared" ref="FL55:FL60" si="829">$E55</f>
        <v>Cabo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Spain</v>
      </c>
      <c r="FX55" s="231">
        <f t="shared" si="65"/>
        <v>69</v>
      </c>
      <c r="FY55" s="230" t="str">
        <f t="shared" ref="FY55:FY60" si="833">$E55</f>
        <v>Cabo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Spain</v>
      </c>
      <c r="GK55" s="231">
        <f t="shared" si="68"/>
        <v>69</v>
      </c>
      <c r="GL55" s="230" t="str">
        <f t="shared" ref="GL55:GL60" si="837">$E55</f>
        <v>Cabo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Spain</v>
      </c>
      <c r="GX55" s="231">
        <f t="shared" si="71"/>
        <v>69</v>
      </c>
      <c r="GY55" s="230" t="str">
        <f t="shared" ref="GY55:GY60" si="841">$E55</f>
        <v>Cabo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Spain</v>
      </c>
      <c r="HK55" s="231">
        <f t="shared" si="74"/>
        <v>69</v>
      </c>
      <c r="HL55" s="230" t="str">
        <f t="shared" ref="HL55:HL60" si="845">$E55</f>
        <v>Cabo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Spain</v>
      </c>
      <c r="HX55" s="231">
        <f t="shared" si="77"/>
        <v>69</v>
      </c>
      <c r="HY55" s="230" t="str">
        <f t="shared" ref="HY55:HY60" si="849">$E55</f>
        <v>Cabo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Spain</v>
      </c>
      <c r="IK55" s="231">
        <f t="shared" si="80"/>
        <v>69</v>
      </c>
      <c r="IL55" s="230" t="str">
        <f t="shared" ref="IL55:IL60" si="853">$E55</f>
        <v>Cabo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Spain</v>
      </c>
      <c r="IX55" s="231">
        <f t="shared" si="83"/>
        <v>69</v>
      </c>
      <c r="IY55" s="230" t="str">
        <f t="shared" ref="IY55:IY60" si="857">$E55</f>
        <v>Cabo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Spain</v>
      </c>
      <c r="JK55" s="231">
        <f t="shared" si="86"/>
        <v>69</v>
      </c>
      <c r="JL55" s="230" t="str">
        <f t="shared" ref="JL55:JL60" si="861">$E55</f>
        <v>Cabo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Spain</v>
      </c>
      <c r="JX55" s="231">
        <f t="shared" si="89"/>
        <v>69</v>
      </c>
      <c r="JY55" s="230" t="str">
        <f t="shared" ref="JY55:JY60" si="865">$E55</f>
        <v>Cabo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Spain</v>
      </c>
      <c r="KK55" s="231">
        <f t="shared" si="92"/>
        <v>69</v>
      </c>
      <c r="KL55" s="230" t="str">
        <f t="shared" ref="KL55:KL60" si="869">$E55</f>
        <v>Cabo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Spain</v>
      </c>
      <c r="KX55" s="231">
        <f t="shared" si="95"/>
        <v>69</v>
      </c>
      <c r="KY55" s="230" t="str">
        <f t="shared" ref="KY55:KY60" si="873">$E55</f>
        <v>Cabo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Spain</v>
      </c>
      <c r="LK55" s="231">
        <f t="shared" si="98"/>
        <v>69</v>
      </c>
      <c r="LL55" s="230" t="str">
        <f t="shared" ref="LL55:LL60" si="877">$E55</f>
        <v>Cabo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Spain</v>
      </c>
      <c r="LX55" s="231">
        <f t="shared" si="101"/>
        <v>69</v>
      </c>
      <c r="LY55" s="230" t="str">
        <f t="shared" ref="LY55:LY60" si="881">$E55</f>
        <v>Cabo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0"/>
        <v>61</v>
      </c>
      <c r="J56" s="230" t="str">
        <f t="shared" si="780"/>
        <v>Saudi Arabia</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 Arabia</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 Arabia</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 Arabia</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 Arabia</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 Arabia</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 Arabia</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 Arabia</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 Arabia</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 Arabia</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 Arabia</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 Arabia</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 Arabia</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 Arabia</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 Arabia</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 Arabia</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 Arabia</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 Arabia</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 Arabia</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 Arabia</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 Arabia</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 Arabia</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 Arabia</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 Arabia</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 Arabia</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 Arabia</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0"/>
        <v>2</v>
      </c>
      <c r="J57" s="230" t="str">
        <f t="shared" si="780"/>
        <v>Spain</v>
      </c>
      <c r="K57" s="231">
        <f t="shared" si="26"/>
        <v>61</v>
      </c>
      <c r="L57" s="230" t="str">
        <f t="shared" si="781"/>
        <v>Saudi Arabia</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Spain</v>
      </c>
      <c r="X57" s="231">
        <f t="shared" si="29"/>
        <v>61</v>
      </c>
      <c r="Y57" s="230" t="str">
        <f t="shared" si="785"/>
        <v>Saudi Arabia</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Spain</v>
      </c>
      <c r="AK57" s="231">
        <f t="shared" si="32"/>
        <v>61</v>
      </c>
      <c r="AL57" s="230" t="str">
        <f t="shared" si="789"/>
        <v>Saudi Arabia</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Spain</v>
      </c>
      <c r="AX57" s="231">
        <f t="shared" si="35"/>
        <v>61</v>
      </c>
      <c r="AY57" s="230" t="str">
        <f t="shared" si="793"/>
        <v>Saudi Arabia</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Spain</v>
      </c>
      <c r="BK57" s="231">
        <f t="shared" si="38"/>
        <v>61</v>
      </c>
      <c r="BL57" s="230" t="str">
        <f t="shared" si="797"/>
        <v>Saudi Arabia</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Spain</v>
      </c>
      <c r="BX57" s="231">
        <f t="shared" si="41"/>
        <v>61</v>
      </c>
      <c r="BY57" s="230" t="str">
        <f t="shared" si="801"/>
        <v>Saudi Arabia</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Spain</v>
      </c>
      <c r="CK57" s="231">
        <f t="shared" si="44"/>
        <v>61</v>
      </c>
      <c r="CL57" s="230" t="str">
        <f t="shared" si="805"/>
        <v>Saudi Arabia</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Spain</v>
      </c>
      <c r="CX57" s="231">
        <f t="shared" si="47"/>
        <v>61</v>
      </c>
      <c r="CY57" s="230" t="str">
        <f t="shared" si="809"/>
        <v>Saudi Arabia</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Spain</v>
      </c>
      <c r="DK57" s="231">
        <f t="shared" si="50"/>
        <v>61</v>
      </c>
      <c r="DL57" s="230" t="str">
        <f t="shared" si="813"/>
        <v>Saudi Arabia</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Spain</v>
      </c>
      <c r="DX57" s="231">
        <f t="shared" si="53"/>
        <v>61</v>
      </c>
      <c r="DY57" s="230" t="str">
        <f t="shared" si="817"/>
        <v>Saudi Arabia</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Spain</v>
      </c>
      <c r="EK57" s="231">
        <f t="shared" si="56"/>
        <v>61</v>
      </c>
      <c r="EL57" s="230" t="str">
        <f t="shared" si="821"/>
        <v>Saudi Arabia</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Spain</v>
      </c>
      <c r="EX57" s="231">
        <f t="shared" si="59"/>
        <v>61</v>
      </c>
      <c r="EY57" s="230" t="str">
        <f t="shared" si="825"/>
        <v>Saudi Arabia</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Spain</v>
      </c>
      <c r="FK57" s="231">
        <f t="shared" si="62"/>
        <v>61</v>
      </c>
      <c r="FL57" s="230" t="str">
        <f t="shared" si="829"/>
        <v>Saudi Arabia</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Spain</v>
      </c>
      <c r="FX57" s="231">
        <f t="shared" si="65"/>
        <v>61</v>
      </c>
      <c r="FY57" s="230" t="str">
        <f t="shared" si="833"/>
        <v>Saudi Arabia</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Spain</v>
      </c>
      <c r="GK57" s="231">
        <f t="shared" si="68"/>
        <v>61</v>
      </c>
      <c r="GL57" s="230" t="str">
        <f t="shared" si="837"/>
        <v>Saudi Arabia</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Spain</v>
      </c>
      <c r="GX57" s="231">
        <f t="shared" si="71"/>
        <v>61</v>
      </c>
      <c r="GY57" s="230" t="str">
        <f t="shared" si="841"/>
        <v>Saudi Arabia</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Spain</v>
      </c>
      <c r="HK57" s="231">
        <f t="shared" si="74"/>
        <v>61</v>
      </c>
      <c r="HL57" s="230" t="str">
        <f t="shared" si="845"/>
        <v>Saudi Arabia</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Spain</v>
      </c>
      <c r="HX57" s="231">
        <f t="shared" si="77"/>
        <v>61</v>
      </c>
      <c r="HY57" s="230" t="str">
        <f t="shared" si="849"/>
        <v>Saudi Arabia</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Spain</v>
      </c>
      <c r="IK57" s="231">
        <f t="shared" si="80"/>
        <v>61</v>
      </c>
      <c r="IL57" s="230" t="str">
        <f t="shared" si="853"/>
        <v>Saudi Arabia</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Spain</v>
      </c>
      <c r="IX57" s="231">
        <f t="shared" si="83"/>
        <v>61</v>
      </c>
      <c r="IY57" s="230" t="str">
        <f t="shared" si="857"/>
        <v>Saudi Arabia</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Spain</v>
      </c>
      <c r="JK57" s="231">
        <f t="shared" si="86"/>
        <v>61</v>
      </c>
      <c r="JL57" s="230" t="str">
        <f t="shared" si="861"/>
        <v>Saudi Arabia</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Spain</v>
      </c>
      <c r="JX57" s="231">
        <f t="shared" si="89"/>
        <v>61</v>
      </c>
      <c r="JY57" s="230" t="str">
        <f t="shared" si="865"/>
        <v>Saudi Arabia</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Spain</v>
      </c>
      <c r="KK57" s="231">
        <f t="shared" si="92"/>
        <v>61</v>
      </c>
      <c r="KL57" s="230" t="str">
        <f t="shared" si="869"/>
        <v>Saudi Arabia</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Spain</v>
      </c>
      <c r="KX57" s="231">
        <f t="shared" si="95"/>
        <v>61</v>
      </c>
      <c r="KY57" s="230" t="str">
        <f t="shared" si="873"/>
        <v>Saudi Arabia</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Spain</v>
      </c>
      <c r="LK57" s="231">
        <f t="shared" si="98"/>
        <v>61</v>
      </c>
      <c r="LL57" s="230" t="str">
        <f t="shared" si="877"/>
        <v>Saudi Arabia</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Spain</v>
      </c>
      <c r="LX57" s="231">
        <f t="shared" si="101"/>
        <v>61</v>
      </c>
      <c r="LY57" s="230" t="str">
        <f t="shared" si="881"/>
        <v>Saudi Arabia</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0"/>
        <v>17</v>
      </c>
      <c r="J58" s="230" t="str">
        <f t="shared" si="780"/>
        <v>Uruguay</v>
      </c>
      <c r="K58" s="231">
        <f t="shared" si="26"/>
        <v>69</v>
      </c>
      <c r="L58" s="230" t="str">
        <f t="shared" si="781"/>
        <v>Cabo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Cabo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Cabo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Cabo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Cabo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Cabo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Cabo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Cabo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Cabo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Cabo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Cabo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Cabo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Cabo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Cabo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Cabo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Cabo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Cabo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Cabo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Cabo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Cabo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Cabo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Cabo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Cabo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Cabo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Cabo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Cabo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t="str">
        <f>CalcH!$R$26</f>
        <v/>
      </c>
      <c r="G59" s="233" t="str">
        <f>CalcH!$S$26</f>
        <v/>
      </c>
      <c r="I59" s="229">
        <f t="shared" si="0"/>
        <v>69</v>
      </c>
      <c r="J59" s="230" t="str">
        <f t="shared" si="780"/>
        <v>Cabo Verde</v>
      </c>
      <c r="K59" s="231">
        <f t="shared" si="26"/>
        <v>61</v>
      </c>
      <c r="L59" s="230" t="str">
        <f t="shared" si="781"/>
        <v>Saudi Arabia</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Cabo Verde</v>
      </c>
      <c r="X59" s="231">
        <f t="shared" si="29"/>
        <v>61</v>
      </c>
      <c r="Y59" s="230" t="str">
        <f t="shared" si="785"/>
        <v>Saudi Arabia</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Cabo Verde</v>
      </c>
      <c r="AK59" s="231">
        <f t="shared" si="32"/>
        <v>61</v>
      </c>
      <c r="AL59" s="230" t="str">
        <f t="shared" si="789"/>
        <v>Saudi Arabia</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Cabo Verde</v>
      </c>
      <c r="AX59" s="231">
        <f t="shared" si="35"/>
        <v>61</v>
      </c>
      <c r="AY59" s="230" t="str">
        <f t="shared" si="793"/>
        <v>Saudi Arabia</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Cabo Verde</v>
      </c>
      <c r="BK59" s="231">
        <f t="shared" si="38"/>
        <v>61</v>
      </c>
      <c r="BL59" s="230" t="str">
        <f t="shared" si="797"/>
        <v>Saudi Arabia</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Cabo Verde</v>
      </c>
      <c r="BX59" s="231">
        <f t="shared" si="41"/>
        <v>61</v>
      </c>
      <c r="BY59" s="230" t="str">
        <f t="shared" si="801"/>
        <v>Saudi Arabia</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Cabo Verde</v>
      </c>
      <c r="CK59" s="231">
        <f t="shared" si="44"/>
        <v>61</v>
      </c>
      <c r="CL59" s="230" t="str">
        <f t="shared" si="805"/>
        <v>Saudi Arabia</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Cabo Verde</v>
      </c>
      <c r="CX59" s="231">
        <f t="shared" si="47"/>
        <v>61</v>
      </c>
      <c r="CY59" s="230" t="str">
        <f t="shared" si="809"/>
        <v>Saudi Arabia</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Cabo Verde</v>
      </c>
      <c r="DK59" s="231">
        <f t="shared" si="50"/>
        <v>61</v>
      </c>
      <c r="DL59" s="230" t="str">
        <f t="shared" si="813"/>
        <v>Saudi Arabia</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Cabo Verde</v>
      </c>
      <c r="DX59" s="231">
        <f t="shared" si="53"/>
        <v>61</v>
      </c>
      <c r="DY59" s="230" t="str">
        <f t="shared" si="817"/>
        <v>Saudi Arabia</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Cabo Verde</v>
      </c>
      <c r="EK59" s="231">
        <f t="shared" si="56"/>
        <v>61</v>
      </c>
      <c r="EL59" s="230" t="str">
        <f t="shared" si="821"/>
        <v>Saudi Arabia</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Cabo Verde</v>
      </c>
      <c r="EX59" s="231">
        <f t="shared" si="59"/>
        <v>61</v>
      </c>
      <c r="EY59" s="230" t="str">
        <f t="shared" si="825"/>
        <v>Saudi Arabia</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Cabo Verde</v>
      </c>
      <c r="FK59" s="231">
        <f t="shared" si="62"/>
        <v>61</v>
      </c>
      <c r="FL59" s="230" t="str">
        <f t="shared" si="829"/>
        <v>Saudi Arabia</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Cabo Verde</v>
      </c>
      <c r="FX59" s="231">
        <f t="shared" si="65"/>
        <v>61</v>
      </c>
      <c r="FY59" s="230" t="str">
        <f t="shared" si="833"/>
        <v>Saudi Arabia</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Cabo Verde</v>
      </c>
      <c r="GK59" s="231">
        <f t="shared" si="68"/>
        <v>61</v>
      </c>
      <c r="GL59" s="230" t="str">
        <f t="shared" si="837"/>
        <v>Saudi Arabia</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Cabo Verde</v>
      </c>
      <c r="GX59" s="231">
        <f t="shared" si="71"/>
        <v>61</v>
      </c>
      <c r="GY59" s="230" t="str">
        <f t="shared" si="841"/>
        <v>Saudi Arabia</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Cabo Verde</v>
      </c>
      <c r="HK59" s="231">
        <f t="shared" si="74"/>
        <v>61</v>
      </c>
      <c r="HL59" s="230" t="str">
        <f t="shared" si="845"/>
        <v>Saudi Arabia</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Cabo Verde</v>
      </c>
      <c r="HX59" s="231">
        <f t="shared" si="77"/>
        <v>61</v>
      </c>
      <c r="HY59" s="230" t="str">
        <f t="shared" si="849"/>
        <v>Saudi Arabia</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Cabo Verde</v>
      </c>
      <c r="IK59" s="231">
        <f t="shared" si="80"/>
        <v>61</v>
      </c>
      <c r="IL59" s="230" t="str">
        <f t="shared" si="853"/>
        <v>Saudi Arabia</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Cabo Verde</v>
      </c>
      <c r="IX59" s="231">
        <f t="shared" si="83"/>
        <v>61</v>
      </c>
      <c r="IY59" s="230" t="str">
        <f t="shared" si="857"/>
        <v>Saudi Arabia</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Cabo Verde</v>
      </c>
      <c r="JK59" s="231">
        <f t="shared" si="86"/>
        <v>61</v>
      </c>
      <c r="JL59" s="230" t="str">
        <f t="shared" si="861"/>
        <v>Saudi Arabia</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Cabo Verde</v>
      </c>
      <c r="JX59" s="231">
        <f t="shared" si="89"/>
        <v>61</v>
      </c>
      <c r="JY59" s="230" t="str">
        <f t="shared" si="865"/>
        <v>Saudi Arabia</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Cabo Verde</v>
      </c>
      <c r="KK59" s="231">
        <f t="shared" si="92"/>
        <v>61</v>
      </c>
      <c r="KL59" s="230" t="str">
        <f t="shared" si="869"/>
        <v>Saudi Arabia</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Cabo Verde</v>
      </c>
      <c r="KX59" s="231">
        <f t="shared" si="95"/>
        <v>61</v>
      </c>
      <c r="KY59" s="230" t="str">
        <f t="shared" si="873"/>
        <v>Saudi Arabia</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Cabo Verde</v>
      </c>
      <c r="LK59" s="231">
        <f t="shared" si="98"/>
        <v>61</v>
      </c>
      <c r="LL59" s="230" t="str">
        <f t="shared" si="877"/>
        <v>Saudi Arabia</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Cabo Verde</v>
      </c>
      <c r="LX59" s="231">
        <f t="shared" si="101"/>
        <v>61</v>
      </c>
      <c r="LY59" s="230" t="str">
        <f t="shared" si="881"/>
        <v>Saudi Arabia</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t="str">
        <f>CalcH!$R$27</f>
        <v/>
      </c>
      <c r="G60" s="233" t="str">
        <f>CalcH!$S$27</f>
        <v/>
      </c>
      <c r="I60" s="229">
        <f t="shared" si="0"/>
        <v>17</v>
      </c>
      <c r="J60" s="230" t="str">
        <f t="shared" si="780"/>
        <v>Uruguay</v>
      </c>
      <c r="K60" s="231">
        <f t="shared" si="26"/>
        <v>2</v>
      </c>
      <c r="L60" s="230" t="str">
        <f t="shared" si="781"/>
        <v>Spain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Spain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Spain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Spain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Spain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Spain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Spain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Spain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Spain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Spain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Spain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Spain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Spain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Spain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Spain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Spain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Spain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Spain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Spain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Spain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Spain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Spain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Spain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Spain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Spain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Spain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0"/>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0"/>
        <v>1</v>
      </c>
      <c r="J62" s="230" t="str">
        <f t="shared" ref="J62:J67" si="884">$C62</f>
        <v>France</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France</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France</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France</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France</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France</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France</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France</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France</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France</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France</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France</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France</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France</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France</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France</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France</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France</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France</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France</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France</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France</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France</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France</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France</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France</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0"/>
        <v>57</v>
      </c>
      <c r="J63" s="230" t="str">
        <f t="shared" si="884"/>
        <v>Iraq</v>
      </c>
      <c r="K63" s="231">
        <f t="shared" si="26"/>
        <v>31</v>
      </c>
      <c r="L63" s="230" t="str">
        <f t="shared" si="885"/>
        <v>Norway</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Iraq</v>
      </c>
      <c r="X63" s="231">
        <f t="shared" si="29"/>
        <v>31</v>
      </c>
      <c r="Y63" s="230" t="str">
        <f t="shared" si="889"/>
        <v>Norway</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Iraq</v>
      </c>
      <c r="AK63" s="231">
        <f t="shared" si="32"/>
        <v>31</v>
      </c>
      <c r="AL63" s="230" t="str">
        <f t="shared" si="893"/>
        <v>Norway</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Iraq</v>
      </c>
      <c r="AX63" s="231">
        <f t="shared" si="35"/>
        <v>31</v>
      </c>
      <c r="AY63" s="230" t="str">
        <f t="shared" si="897"/>
        <v>Norway</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Iraq</v>
      </c>
      <c r="BK63" s="231">
        <f t="shared" si="38"/>
        <v>31</v>
      </c>
      <c r="BL63" s="230" t="str">
        <f t="shared" si="901"/>
        <v>Norway</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Iraq</v>
      </c>
      <c r="BX63" s="231">
        <f t="shared" si="41"/>
        <v>31</v>
      </c>
      <c r="BY63" s="230" t="str">
        <f t="shared" si="905"/>
        <v>Norway</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Iraq</v>
      </c>
      <c r="CK63" s="231">
        <f t="shared" si="44"/>
        <v>31</v>
      </c>
      <c r="CL63" s="230" t="str">
        <f t="shared" si="909"/>
        <v>Norway</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Iraq</v>
      </c>
      <c r="CX63" s="231">
        <f t="shared" si="47"/>
        <v>31</v>
      </c>
      <c r="CY63" s="230" t="str">
        <f t="shared" si="913"/>
        <v>Norway</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Iraq</v>
      </c>
      <c r="DK63" s="231">
        <f t="shared" si="50"/>
        <v>31</v>
      </c>
      <c r="DL63" s="230" t="str">
        <f t="shared" si="917"/>
        <v>Norway</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Iraq</v>
      </c>
      <c r="DX63" s="231">
        <f t="shared" si="53"/>
        <v>31</v>
      </c>
      <c r="DY63" s="230" t="str">
        <f t="shared" si="921"/>
        <v>Norway</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Iraq</v>
      </c>
      <c r="EK63" s="231">
        <f t="shared" si="56"/>
        <v>31</v>
      </c>
      <c r="EL63" s="230" t="str">
        <f t="shared" si="925"/>
        <v>Norway</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Iraq</v>
      </c>
      <c r="EX63" s="231">
        <f t="shared" si="59"/>
        <v>31</v>
      </c>
      <c r="EY63" s="230" t="str">
        <f t="shared" si="929"/>
        <v>Norway</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Iraq</v>
      </c>
      <c r="FK63" s="231">
        <f t="shared" si="62"/>
        <v>31</v>
      </c>
      <c r="FL63" s="230" t="str">
        <f t="shared" si="933"/>
        <v>Norway</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Iraq</v>
      </c>
      <c r="FX63" s="231">
        <f t="shared" si="65"/>
        <v>31</v>
      </c>
      <c r="FY63" s="230" t="str">
        <f t="shared" si="937"/>
        <v>Norway</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Iraq</v>
      </c>
      <c r="GK63" s="231">
        <f t="shared" si="68"/>
        <v>31</v>
      </c>
      <c r="GL63" s="230" t="str">
        <f t="shared" si="941"/>
        <v>Norway</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Iraq</v>
      </c>
      <c r="GX63" s="231">
        <f t="shared" si="71"/>
        <v>31</v>
      </c>
      <c r="GY63" s="230" t="str">
        <f t="shared" si="945"/>
        <v>Norway</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Iraq</v>
      </c>
      <c r="HK63" s="231">
        <f t="shared" si="74"/>
        <v>31</v>
      </c>
      <c r="HL63" s="230" t="str">
        <f t="shared" si="949"/>
        <v>Norway</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Iraq</v>
      </c>
      <c r="HX63" s="231">
        <f t="shared" si="77"/>
        <v>31</v>
      </c>
      <c r="HY63" s="230" t="str">
        <f t="shared" si="953"/>
        <v>Norway</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Iraq</v>
      </c>
      <c r="IK63" s="231">
        <f t="shared" si="80"/>
        <v>31</v>
      </c>
      <c r="IL63" s="230" t="str">
        <f t="shared" si="957"/>
        <v>Norway</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Iraq</v>
      </c>
      <c r="IX63" s="231">
        <f t="shared" si="83"/>
        <v>31</v>
      </c>
      <c r="IY63" s="230" t="str">
        <f t="shared" si="961"/>
        <v>Norway</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Iraq</v>
      </c>
      <c r="JK63" s="231">
        <f t="shared" si="86"/>
        <v>31</v>
      </c>
      <c r="JL63" s="230" t="str">
        <f t="shared" si="965"/>
        <v>Norway</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Iraq</v>
      </c>
      <c r="JX63" s="231">
        <f t="shared" si="89"/>
        <v>31</v>
      </c>
      <c r="JY63" s="230" t="str">
        <f t="shared" si="969"/>
        <v>Norway</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Iraq</v>
      </c>
      <c r="KK63" s="231">
        <f t="shared" si="92"/>
        <v>31</v>
      </c>
      <c r="KL63" s="230" t="str">
        <f t="shared" si="973"/>
        <v>Norway</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Iraq</v>
      </c>
      <c r="KX63" s="231">
        <f t="shared" si="95"/>
        <v>31</v>
      </c>
      <c r="KY63" s="230" t="str">
        <f t="shared" si="977"/>
        <v>Norway</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Iraq</v>
      </c>
      <c r="LK63" s="231">
        <f t="shared" si="98"/>
        <v>31</v>
      </c>
      <c r="LL63" s="230" t="str">
        <f t="shared" si="981"/>
        <v>Norway</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Iraq</v>
      </c>
      <c r="LX63" s="231">
        <f t="shared" si="101"/>
        <v>31</v>
      </c>
      <c r="LY63" s="230" t="str">
        <f t="shared" si="985"/>
        <v>Norway</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t="str">
        <f>CalcI!$R$24</f>
        <v/>
      </c>
      <c r="G64" s="233" t="str">
        <f>CalcI!$S$24</f>
        <v/>
      </c>
      <c r="I64" s="229">
        <f t="shared" si="0"/>
        <v>1</v>
      </c>
      <c r="J64" s="230" t="str">
        <f t="shared" si="884"/>
        <v>France</v>
      </c>
      <c r="K64" s="231">
        <f t="shared" si="26"/>
        <v>57</v>
      </c>
      <c r="L64" s="230" t="str">
        <f t="shared" si="885"/>
        <v>Iraq</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France</v>
      </c>
      <c r="X64" s="231">
        <f t="shared" si="29"/>
        <v>57</v>
      </c>
      <c r="Y64" s="230" t="str">
        <f t="shared" si="889"/>
        <v>Iraq</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France</v>
      </c>
      <c r="AK64" s="231">
        <f t="shared" si="32"/>
        <v>57</v>
      </c>
      <c r="AL64" s="230" t="str">
        <f t="shared" si="893"/>
        <v>Iraq</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France</v>
      </c>
      <c r="AX64" s="231">
        <f t="shared" si="35"/>
        <v>57</v>
      </c>
      <c r="AY64" s="230" t="str">
        <f t="shared" si="897"/>
        <v>Iraq</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France</v>
      </c>
      <c r="BK64" s="231">
        <f t="shared" si="38"/>
        <v>57</v>
      </c>
      <c r="BL64" s="230" t="str">
        <f t="shared" si="901"/>
        <v>Iraq</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France</v>
      </c>
      <c r="BX64" s="231">
        <f t="shared" si="41"/>
        <v>57</v>
      </c>
      <c r="BY64" s="230" t="str">
        <f t="shared" si="905"/>
        <v>Iraq</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France</v>
      </c>
      <c r="CK64" s="231">
        <f t="shared" si="44"/>
        <v>57</v>
      </c>
      <c r="CL64" s="230" t="str">
        <f t="shared" si="909"/>
        <v>Iraq</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France</v>
      </c>
      <c r="CX64" s="231">
        <f t="shared" si="47"/>
        <v>57</v>
      </c>
      <c r="CY64" s="230" t="str">
        <f t="shared" si="913"/>
        <v>Iraq</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France</v>
      </c>
      <c r="DK64" s="231">
        <f t="shared" si="50"/>
        <v>57</v>
      </c>
      <c r="DL64" s="230" t="str">
        <f t="shared" si="917"/>
        <v>Iraq</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France</v>
      </c>
      <c r="DX64" s="231">
        <f t="shared" si="53"/>
        <v>57</v>
      </c>
      <c r="DY64" s="230" t="str">
        <f t="shared" si="921"/>
        <v>Iraq</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France</v>
      </c>
      <c r="EK64" s="231">
        <f t="shared" si="56"/>
        <v>57</v>
      </c>
      <c r="EL64" s="230" t="str">
        <f t="shared" si="925"/>
        <v>Iraq</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France</v>
      </c>
      <c r="EX64" s="231">
        <f t="shared" si="59"/>
        <v>57</v>
      </c>
      <c r="EY64" s="230" t="str">
        <f t="shared" si="929"/>
        <v>Iraq</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France</v>
      </c>
      <c r="FK64" s="231">
        <f t="shared" si="62"/>
        <v>57</v>
      </c>
      <c r="FL64" s="230" t="str">
        <f t="shared" si="933"/>
        <v>Iraq</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France</v>
      </c>
      <c r="FX64" s="231">
        <f t="shared" si="65"/>
        <v>57</v>
      </c>
      <c r="FY64" s="230" t="str">
        <f t="shared" si="937"/>
        <v>Iraq</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France</v>
      </c>
      <c r="GK64" s="231">
        <f t="shared" si="68"/>
        <v>57</v>
      </c>
      <c r="GL64" s="230" t="str">
        <f t="shared" si="941"/>
        <v>Iraq</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France</v>
      </c>
      <c r="GX64" s="231">
        <f t="shared" si="71"/>
        <v>57</v>
      </c>
      <c r="GY64" s="230" t="str">
        <f t="shared" si="945"/>
        <v>Iraq</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France</v>
      </c>
      <c r="HK64" s="231">
        <f t="shared" si="74"/>
        <v>57</v>
      </c>
      <c r="HL64" s="230" t="str">
        <f t="shared" si="949"/>
        <v>Iraq</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France</v>
      </c>
      <c r="HX64" s="231">
        <f t="shared" si="77"/>
        <v>57</v>
      </c>
      <c r="HY64" s="230" t="str">
        <f t="shared" si="953"/>
        <v>Iraq</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France</v>
      </c>
      <c r="IK64" s="231">
        <f t="shared" si="80"/>
        <v>57</v>
      </c>
      <c r="IL64" s="230" t="str">
        <f t="shared" si="957"/>
        <v>Iraq</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France</v>
      </c>
      <c r="IX64" s="231">
        <f t="shared" si="83"/>
        <v>57</v>
      </c>
      <c r="IY64" s="230" t="str">
        <f t="shared" si="961"/>
        <v>Iraq</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France</v>
      </c>
      <c r="JK64" s="231">
        <f t="shared" si="86"/>
        <v>57</v>
      </c>
      <c r="JL64" s="230" t="str">
        <f t="shared" si="965"/>
        <v>Iraq</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France</v>
      </c>
      <c r="JX64" s="231">
        <f t="shared" si="89"/>
        <v>57</v>
      </c>
      <c r="JY64" s="230" t="str">
        <f t="shared" si="969"/>
        <v>Iraq</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France</v>
      </c>
      <c r="KK64" s="231">
        <f t="shared" si="92"/>
        <v>57</v>
      </c>
      <c r="KL64" s="230" t="str">
        <f t="shared" si="973"/>
        <v>Iraq</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France</v>
      </c>
      <c r="KX64" s="231">
        <f t="shared" si="95"/>
        <v>57</v>
      </c>
      <c r="KY64" s="230" t="str">
        <f t="shared" si="977"/>
        <v>Iraq</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France</v>
      </c>
      <c r="LK64" s="231">
        <f t="shared" si="98"/>
        <v>57</v>
      </c>
      <c r="LL64" s="230" t="str">
        <f t="shared" si="981"/>
        <v>Iraq</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France</v>
      </c>
      <c r="LX64" s="231">
        <f t="shared" si="101"/>
        <v>57</v>
      </c>
      <c r="LY64" s="230" t="str">
        <f t="shared" si="985"/>
        <v>Iraq</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t="str">
        <f>CalcI!$R$25</f>
        <v/>
      </c>
      <c r="G65" s="233" t="str">
        <f>CalcI!$S$25</f>
        <v/>
      </c>
      <c r="I65" s="229">
        <f t="shared" si="0"/>
        <v>31</v>
      </c>
      <c r="J65" s="230" t="str">
        <f t="shared" si="884"/>
        <v>Norway</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Norway</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Norway</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Norway</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Norway</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Norway</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Norway</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Norway</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Norway</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Norway</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Norway</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Norway</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Norway</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Norway</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Norway</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Norway</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Norway</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Norway</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Norway</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Norway</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Norway</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Norway</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Norway</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Norway</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Norway</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Norway</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t="str">
        <f>CalcI!$R$26</f>
        <v/>
      </c>
      <c r="G66" s="233" t="str">
        <f>CalcI!$S$26</f>
        <v/>
      </c>
      <c r="I66" s="229">
        <f t="shared" si="0"/>
        <v>31</v>
      </c>
      <c r="J66" s="230" t="str">
        <f t="shared" si="884"/>
        <v>Norway</v>
      </c>
      <c r="K66" s="231">
        <f t="shared" si="26"/>
        <v>1</v>
      </c>
      <c r="L66" s="230" t="str">
        <f t="shared" si="885"/>
        <v>France</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Norway</v>
      </c>
      <c r="X66" s="231">
        <f t="shared" si="29"/>
        <v>1</v>
      </c>
      <c r="Y66" s="230" t="str">
        <f t="shared" si="889"/>
        <v>France</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Norway</v>
      </c>
      <c r="AK66" s="231">
        <f t="shared" si="32"/>
        <v>1</v>
      </c>
      <c r="AL66" s="230" t="str">
        <f t="shared" si="893"/>
        <v>France</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Norway</v>
      </c>
      <c r="AX66" s="231">
        <f t="shared" si="35"/>
        <v>1</v>
      </c>
      <c r="AY66" s="230" t="str">
        <f t="shared" si="897"/>
        <v>France</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Norway</v>
      </c>
      <c r="BK66" s="231">
        <f t="shared" si="38"/>
        <v>1</v>
      </c>
      <c r="BL66" s="230" t="str">
        <f t="shared" si="901"/>
        <v>France</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Norway</v>
      </c>
      <c r="BX66" s="231">
        <f t="shared" si="41"/>
        <v>1</v>
      </c>
      <c r="BY66" s="230" t="str">
        <f t="shared" si="905"/>
        <v>France</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Norway</v>
      </c>
      <c r="CK66" s="231">
        <f t="shared" si="44"/>
        <v>1</v>
      </c>
      <c r="CL66" s="230" t="str">
        <f t="shared" si="909"/>
        <v>France</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Norway</v>
      </c>
      <c r="CX66" s="231">
        <f t="shared" si="47"/>
        <v>1</v>
      </c>
      <c r="CY66" s="230" t="str">
        <f t="shared" si="913"/>
        <v>France</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Norway</v>
      </c>
      <c r="DK66" s="231">
        <f t="shared" si="50"/>
        <v>1</v>
      </c>
      <c r="DL66" s="230" t="str">
        <f t="shared" si="917"/>
        <v>France</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Norway</v>
      </c>
      <c r="DX66" s="231">
        <f t="shared" si="53"/>
        <v>1</v>
      </c>
      <c r="DY66" s="230" t="str">
        <f t="shared" si="921"/>
        <v>France</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Norway</v>
      </c>
      <c r="EK66" s="231">
        <f t="shared" si="56"/>
        <v>1</v>
      </c>
      <c r="EL66" s="230" t="str">
        <f t="shared" si="925"/>
        <v>France</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Norway</v>
      </c>
      <c r="EX66" s="231">
        <f t="shared" si="59"/>
        <v>1</v>
      </c>
      <c r="EY66" s="230" t="str">
        <f t="shared" si="929"/>
        <v>France</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Norway</v>
      </c>
      <c r="FK66" s="231">
        <f t="shared" si="62"/>
        <v>1</v>
      </c>
      <c r="FL66" s="230" t="str">
        <f t="shared" si="933"/>
        <v>France</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Norway</v>
      </c>
      <c r="FX66" s="231">
        <f t="shared" si="65"/>
        <v>1</v>
      </c>
      <c r="FY66" s="230" t="str">
        <f t="shared" si="937"/>
        <v>France</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Norway</v>
      </c>
      <c r="GK66" s="231">
        <f t="shared" si="68"/>
        <v>1</v>
      </c>
      <c r="GL66" s="230" t="str">
        <f t="shared" si="941"/>
        <v>France</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Norway</v>
      </c>
      <c r="GX66" s="231">
        <f t="shared" si="71"/>
        <v>1</v>
      </c>
      <c r="GY66" s="230" t="str">
        <f t="shared" si="945"/>
        <v>France</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Norway</v>
      </c>
      <c r="HK66" s="231">
        <f t="shared" si="74"/>
        <v>1</v>
      </c>
      <c r="HL66" s="230" t="str">
        <f t="shared" si="949"/>
        <v>France</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Norway</v>
      </c>
      <c r="HX66" s="231">
        <f t="shared" si="77"/>
        <v>1</v>
      </c>
      <c r="HY66" s="230" t="str">
        <f t="shared" si="953"/>
        <v>France</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Norway</v>
      </c>
      <c r="IK66" s="231">
        <f t="shared" si="80"/>
        <v>1</v>
      </c>
      <c r="IL66" s="230" t="str">
        <f t="shared" si="957"/>
        <v>France</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Norway</v>
      </c>
      <c r="IX66" s="231">
        <f t="shared" si="83"/>
        <v>1</v>
      </c>
      <c r="IY66" s="230" t="str">
        <f t="shared" si="961"/>
        <v>France</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Norway</v>
      </c>
      <c r="JK66" s="231">
        <f t="shared" si="86"/>
        <v>1</v>
      </c>
      <c r="JL66" s="230" t="str">
        <f t="shared" si="965"/>
        <v>France</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Norway</v>
      </c>
      <c r="JX66" s="231">
        <f t="shared" si="89"/>
        <v>1</v>
      </c>
      <c r="JY66" s="230" t="str">
        <f t="shared" si="969"/>
        <v>France</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Norway</v>
      </c>
      <c r="KK66" s="231">
        <f t="shared" si="92"/>
        <v>1</v>
      </c>
      <c r="KL66" s="230" t="str">
        <f t="shared" si="973"/>
        <v>France</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Norway</v>
      </c>
      <c r="KX66" s="231">
        <f t="shared" si="95"/>
        <v>1</v>
      </c>
      <c r="KY66" s="230" t="str">
        <f t="shared" si="977"/>
        <v>France</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Norway</v>
      </c>
      <c r="LK66" s="231">
        <f t="shared" si="98"/>
        <v>1</v>
      </c>
      <c r="LL66" s="230" t="str">
        <f t="shared" si="981"/>
        <v>France</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Norway</v>
      </c>
      <c r="LX66" s="231">
        <f t="shared" si="101"/>
        <v>1</v>
      </c>
      <c r="LY66" s="230" t="str">
        <f t="shared" si="985"/>
        <v>France</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t="str">
        <f>CalcI!$R$27</f>
        <v/>
      </c>
      <c r="G67" s="233" t="str">
        <f>CalcI!$S$27</f>
        <v/>
      </c>
      <c r="I67" s="229">
        <f t="shared" si="0"/>
        <v>14</v>
      </c>
      <c r="J67" s="230" t="str">
        <f t="shared" si="884"/>
        <v>Senegal</v>
      </c>
      <c r="K67" s="231">
        <f t="shared" si="26"/>
        <v>57</v>
      </c>
      <c r="L67" s="230" t="str">
        <f t="shared" si="885"/>
        <v>Iraq</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Iraq</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Iraq</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Iraq</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Iraq</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Iraq</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Iraq</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Iraq</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Iraq</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Iraq</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Iraq</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Iraq</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Iraq</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Iraq</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Iraq</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Iraq</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Iraq</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Iraq</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Iraq</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Iraq</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Iraq</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Iraq</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Iraq</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Iraq</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Iraq</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Iraq</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0"/>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ref="I69:I88" si="988">$B69</f>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98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t="str">
        <f>CalcJ!$R$24</f>
        <v/>
      </c>
      <c r="G71" s="233" t="str">
        <f>CalcJ!$S$24</f>
        <v/>
      </c>
      <c r="I71" s="229">
        <f t="shared" si="98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t="str">
        <f>CalcJ!$R$25</f>
        <v/>
      </c>
      <c r="G72" s="233" t="str">
        <f>CalcJ!$S$25</f>
        <v/>
      </c>
      <c r="I72" s="229">
        <f t="shared" si="98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t="str">
        <f>CalcJ!$R$26</f>
        <v/>
      </c>
      <c r="G73" s="233" t="str">
        <f>CalcJ!$S$26</f>
        <v/>
      </c>
      <c r="I73" s="229">
        <f t="shared" si="98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t="str">
        <f>CalcJ!$R$27</f>
        <v/>
      </c>
      <c r="G74" s="233" t="str">
        <f>CalcJ!$S$27</f>
        <v/>
      </c>
      <c r="I74" s="229">
        <f t="shared" si="98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98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98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98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t="str">
        <f>CalcK!$R$24</f>
        <v/>
      </c>
      <c r="G78" s="233" t="str">
        <f>CalcK!$S$24</f>
        <v/>
      </c>
      <c r="I78" s="229">
        <f t="shared" si="98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t="str">
        <f>CalcK!$R$25</f>
        <v/>
      </c>
      <c r="G79" s="233" t="str">
        <f>CalcK!$S$25</f>
        <v/>
      </c>
      <c r="I79" s="229">
        <f t="shared" si="98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t="str">
        <f>CalcK!$R$26</f>
        <v/>
      </c>
      <c r="G80" s="233" t="str">
        <f>CalcK!$S$26</f>
        <v/>
      </c>
      <c r="I80" s="229">
        <f t="shared" si="98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t="str">
        <f>CalcK!$R$27</f>
        <v/>
      </c>
      <c r="G81" s="233" t="str">
        <f>CalcK!$S$27</f>
        <v/>
      </c>
      <c r="I81" s="229">
        <f t="shared" si="98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98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98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t="str">
        <f>CalcL!$R$24</f>
        <v/>
      </c>
      <c r="G85" s="233" t="str">
        <f>CalcL!$S$24</f>
        <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t="str">
        <f>CalcL!$R$25</f>
        <v/>
      </c>
      <c r="G86" s="233" t="str">
        <f>CalcL!$S$25</f>
        <v/>
      </c>
      <c r="I86" s="229">
        <f t="shared" si="98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t="str">
        <f>CalcL!$R$26</f>
        <v/>
      </c>
      <c r="G87" s="233" t="str">
        <f>CalcL!$S$26</f>
        <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t="str">
        <f>CalcL!$R$27</f>
        <v/>
      </c>
      <c r="G88" s="233" t="str">
        <f>CalcL!$S$27</f>
        <v/>
      </c>
      <c r="I88" s="229">
        <f t="shared" si="98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54"/>
      <c r="R89" s="241"/>
      <c r="S89" s="241"/>
      <c r="T89" s="255"/>
      <c r="V89" s="238" t="str">
        <f t="shared" ref="V89:V106" si="1405">$B89</f>
        <v>Round of 32</v>
      </c>
      <c r="W89" s="240"/>
      <c r="X89" s="240"/>
      <c r="Y89" s="241"/>
      <c r="Z89" s="270"/>
      <c r="AA89" s="271"/>
      <c r="AB89" s="242"/>
      <c r="AC89" s="254"/>
      <c r="AD89" s="254"/>
      <c r="AE89" s="241"/>
      <c r="AF89" s="241"/>
      <c r="AG89" s="255"/>
      <c r="AI89" s="238" t="str">
        <f t="shared" ref="AI89:AI106" si="1406">$B89</f>
        <v>Round of 32</v>
      </c>
      <c r="AJ89" s="240"/>
      <c r="AK89" s="240"/>
      <c r="AL89" s="241"/>
      <c r="AM89" s="270"/>
      <c r="AN89" s="271"/>
      <c r="AO89" s="242"/>
      <c r="AP89" s="254"/>
      <c r="AQ89" s="254"/>
      <c r="AR89" s="241"/>
      <c r="AS89" s="241"/>
      <c r="AT89" s="255"/>
      <c r="AV89" s="238" t="str">
        <f t="shared" ref="AV89:AV106" si="1407">$B89</f>
        <v>Round of 32</v>
      </c>
      <c r="AW89" s="240"/>
      <c r="AX89" s="240"/>
      <c r="AY89" s="241"/>
      <c r="AZ89" s="270"/>
      <c r="BA89" s="271"/>
      <c r="BB89" s="242"/>
      <c r="BC89" s="254"/>
      <c r="BD89" s="254"/>
      <c r="BE89" s="241"/>
      <c r="BF89" s="241"/>
      <c r="BG89" s="255"/>
      <c r="BI89" s="238" t="str">
        <f t="shared" ref="BI89:BI106" si="1408">$B89</f>
        <v>Round of 32</v>
      </c>
      <c r="BJ89" s="240"/>
      <c r="BK89" s="240"/>
      <c r="BL89" s="241"/>
      <c r="BM89" s="270"/>
      <c r="BN89" s="271"/>
      <c r="BO89" s="242"/>
      <c r="BP89" s="254"/>
      <c r="BQ89" s="254"/>
      <c r="BR89" s="241"/>
      <c r="BS89" s="241"/>
      <c r="BT89" s="255"/>
      <c r="BV89" s="238" t="str">
        <f t="shared" ref="BV89:BV106" si="1409">$B89</f>
        <v>Round of 32</v>
      </c>
      <c r="BW89" s="240"/>
      <c r="BX89" s="240"/>
      <c r="BY89" s="241"/>
      <c r="BZ89" s="270"/>
      <c r="CA89" s="271"/>
      <c r="CB89" s="242"/>
      <c r="CC89" s="254"/>
      <c r="CD89" s="254"/>
      <c r="CE89" s="241"/>
      <c r="CF89" s="241"/>
      <c r="CG89" s="255"/>
      <c r="CI89" s="238" t="str">
        <f t="shared" ref="CI89:CI106" si="1410">$B89</f>
        <v>Round of 32</v>
      </c>
      <c r="CJ89" s="240"/>
      <c r="CK89" s="240"/>
      <c r="CL89" s="241"/>
      <c r="CM89" s="270"/>
      <c r="CN89" s="271"/>
      <c r="CO89" s="242"/>
      <c r="CP89" s="254"/>
      <c r="CQ89" s="254"/>
      <c r="CR89" s="241"/>
      <c r="CS89" s="241"/>
      <c r="CT89" s="255"/>
      <c r="CV89" s="238" t="str">
        <f t="shared" ref="CV89:CV106" si="1411">$B89</f>
        <v>Round of 32</v>
      </c>
      <c r="CW89" s="240"/>
      <c r="CX89" s="240"/>
      <c r="CY89" s="241"/>
      <c r="CZ89" s="270"/>
      <c r="DA89" s="271"/>
      <c r="DB89" s="242"/>
      <c r="DC89" s="254"/>
      <c r="DD89" s="254"/>
      <c r="DE89" s="241"/>
      <c r="DF89" s="241"/>
      <c r="DG89" s="255"/>
      <c r="DI89" s="238" t="str">
        <f t="shared" ref="DI89:DI106" si="1412">$B89</f>
        <v>Round of 32</v>
      </c>
      <c r="DJ89" s="240"/>
      <c r="DK89" s="240"/>
      <c r="DL89" s="241"/>
      <c r="DM89" s="270"/>
      <c r="DN89" s="271"/>
      <c r="DO89" s="242"/>
      <c r="DP89" s="254"/>
      <c r="DQ89" s="254"/>
      <c r="DR89" s="241"/>
      <c r="DS89" s="241"/>
      <c r="DT89" s="255"/>
      <c r="DV89" s="238" t="str">
        <f t="shared" ref="DV89:DV106" si="1413">$B89</f>
        <v>Round of 32</v>
      </c>
      <c r="DW89" s="240"/>
      <c r="DX89" s="240"/>
      <c r="DY89" s="241"/>
      <c r="DZ89" s="270"/>
      <c r="EA89" s="271"/>
      <c r="EB89" s="242"/>
      <c r="EC89" s="254"/>
      <c r="ED89" s="254"/>
      <c r="EE89" s="241"/>
      <c r="EF89" s="241"/>
      <c r="EG89" s="255"/>
      <c r="EI89" s="238" t="str">
        <f t="shared" ref="EI89:EI106" si="1414">$B89</f>
        <v>Round of 32</v>
      </c>
      <c r="EJ89" s="240"/>
      <c r="EK89" s="240"/>
      <c r="EL89" s="241"/>
      <c r="EM89" s="270"/>
      <c r="EN89" s="271"/>
      <c r="EO89" s="242"/>
      <c r="EP89" s="254"/>
      <c r="EQ89" s="254"/>
      <c r="ER89" s="241"/>
      <c r="ES89" s="241"/>
      <c r="ET89" s="255"/>
      <c r="EV89" s="238" t="str">
        <f t="shared" ref="EV89:EV106" si="1415">$B89</f>
        <v>Round of 32</v>
      </c>
      <c r="EW89" s="240"/>
      <c r="EX89" s="240"/>
      <c r="EY89" s="241"/>
      <c r="EZ89" s="270"/>
      <c r="FA89" s="271"/>
      <c r="FB89" s="242"/>
      <c r="FC89" s="254"/>
      <c r="FD89" s="254"/>
      <c r="FE89" s="241"/>
      <c r="FF89" s="241"/>
      <c r="FG89" s="255"/>
      <c r="FI89" s="238" t="str">
        <f t="shared" ref="FI89:FI106" si="1416">$B89</f>
        <v>Round of 32</v>
      </c>
      <c r="FJ89" s="240"/>
      <c r="FK89" s="240"/>
      <c r="FL89" s="241"/>
      <c r="FM89" s="270"/>
      <c r="FN89" s="271"/>
      <c r="FO89" s="242"/>
      <c r="FP89" s="254"/>
      <c r="FQ89" s="254"/>
      <c r="FR89" s="241"/>
      <c r="FS89" s="241"/>
      <c r="FT89" s="255"/>
      <c r="FV89" s="238" t="str">
        <f t="shared" ref="FV89:FV106" si="1417">$B89</f>
        <v>Round of 32</v>
      </c>
      <c r="FW89" s="240"/>
      <c r="FX89" s="240"/>
      <c r="FY89" s="241"/>
      <c r="FZ89" s="270"/>
      <c r="GA89" s="271"/>
      <c r="GB89" s="242"/>
      <c r="GC89" s="254"/>
      <c r="GD89" s="254"/>
      <c r="GE89" s="241"/>
      <c r="GF89" s="241"/>
      <c r="GG89" s="255"/>
      <c r="GI89" s="238" t="str">
        <f t="shared" ref="GI89:GI106" si="1418">$B89</f>
        <v>Round of 32</v>
      </c>
      <c r="GJ89" s="240"/>
      <c r="GK89" s="240"/>
      <c r="GL89" s="241"/>
      <c r="GM89" s="270"/>
      <c r="GN89" s="271"/>
      <c r="GO89" s="242"/>
      <c r="GP89" s="254"/>
      <c r="GQ89" s="254"/>
      <c r="GR89" s="241"/>
      <c r="GS89" s="241"/>
      <c r="GT89" s="255"/>
      <c r="GV89" s="238" t="str">
        <f t="shared" ref="GV89:GV106" si="1419">$B89</f>
        <v>Round of 32</v>
      </c>
      <c r="GW89" s="240"/>
      <c r="GX89" s="240"/>
      <c r="GY89" s="241"/>
      <c r="GZ89" s="270"/>
      <c r="HA89" s="271"/>
      <c r="HB89" s="242"/>
      <c r="HC89" s="254"/>
      <c r="HD89" s="254"/>
      <c r="HE89" s="241"/>
      <c r="HF89" s="241"/>
      <c r="HG89" s="255"/>
      <c r="HI89" s="238" t="str">
        <f t="shared" ref="HI89:HI106" si="1420">$B89</f>
        <v>Round of 32</v>
      </c>
      <c r="HJ89" s="240"/>
      <c r="HK89" s="240"/>
      <c r="HL89" s="241"/>
      <c r="HM89" s="270"/>
      <c r="HN89" s="271"/>
      <c r="HO89" s="242"/>
      <c r="HP89" s="254"/>
      <c r="HQ89" s="254"/>
      <c r="HR89" s="241"/>
      <c r="HS89" s="241"/>
      <c r="HT89" s="255"/>
      <c r="HV89" s="238" t="str">
        <f t="shared" ref="HV89:HV106" si="1421">$B89</f>
        <v>Round of 32</v>
      </c>
      <c r="HW89" s="240"/>
      <c r="HX89" s="240"/>
      <c r="HY89" s="241"/>
      <c r="HZ89" s="270"/>
      <c r="IA89" s="271"/>
      <c r="IB89" s="242"/>
      <c r="IC89" s="254"/>
      <c r="ID89" s="254"/>
      <c r="IE89" s="241"/>
      <c r="IF89" s="241"/>
      <c r="IG89" s="255"/>
      <c r="II89" s="238" t="str">
        <f t="shared" ref="II89:II106" si="1422">$B89</f>
        <v>Round of 32</v>
      </c>
      <c r="IJ89" s="240"/>
      <c r="IK89" s="240"/>
      <c r="IL89" s="241"/>
      <c r="IM89" s="270"/>
      <c r="IN89" s="271"/>
      <c r="IO89" s="242"/>
      <c r="IP89" s="254"/>
      <c r="IQ89" s="254"/>
      <c r="IR89" s="241"/>
      <c r="IS89" s="241"/>
      <c r="IT89" s="255"/>
      <c r="IV89" s="238" t="str">
        <f t="shared" ref="IV89:IV106" si="1423">$B89</f>
        <v>Round of 32</v>
      </c>
      <c r="IW89" s="240"/>
      <c r="IX89" s="240"/>
      <c r="IY89" s="241"/>
      <c r="IZ89" s="270"/>
      <c r="JA89" s="271"/>
      <c r="JB89" s="242"/>
      <c r="JC89" s="254"/>
      <c r="JD89" s="254"/>
      <c r="JE89" s="241"/>
      <c r="JF89" s="241"/>
      <c r="JG89" s="255"/>
      <c r="JI89" s="238" t="str">
        <f t="shared" ref="JI89:JI106" si="1424">$B89</f>
        <v>Round of 32</v>
      </c>
      <c r="JJ89" s="240"/>
      <c r="JK89" s="240"/>
      <c r="JL89" s="241"/>
      <c r="JM89" s="270"/>
      <c r="JN89" s="271"/>
      <c r="JO89" s="242"/>
      <c r="JP89" s="254"/>
      <c r="JQ89" s="254"/>
      <c r="JR89" s="241"/>
      <c r="JS89" s="241"/>
      <c r="JT89" s="255"/>
      <c r="JV89" s="238" t="str">
        <f t="shared" ref="JV89:JV106" si="1425">$B89</f>
        <v>Round of 32</v>
      </c>
      <c r="JW89" s="240"/>
      <c r="JX89" s="240"/>
      <c r="JY89" s="241"/>
      <c r="JZ89" s="270"/>
      <c r="KA89" s="271"/>
      <c r="KB89" s="242"/>
      <c r="KC89" s="254"/>
      <c r="KD89" s="254"/>
      <c r="KE89" s="241"/>
      <c r="KF89" s="241"/>
      <c r="KG89" s="255"/>
      <c r="KI89" s="238" t="str">
        <f t="shared" ref="KI89:KI106" si="1426">$B89</f>
        <v>Round of 32</v>
      </c>
      <c r="KJ89" s="240"/>
      <c r="KK89" s="240"/>
      <c r="KL89" s="241"/>
      <c r="KM89" s="270"/>
      <c r="KN89" s="271"/>
      <c r="KO89" s="242"/>
      <c r="KP89" s="254"/>
      <c r="KQ89" s="254"/>
      <c r="KR89" s="241"/>
      <c r="KS89" s="241"/>
      <c r="KT89" s="255"/>
      <c r="KV89" s="238" t="str">
        <f t="shared" ref="KV89:KV106" si="1427">$B89</f>
        <v>Round of 32</v>
      </c>
      <c r="KW89" s="240"/>
      <c r="KX89" s="240"/>
      <c r="KY89" s="241"/>
      <c r="KZ89" s="270"/>
      <c r="LA89" s="271"/>
      <c r="LB89" s="242"/>
      <c r="LC89" s="254"/>
      <c r="LD89" s="254"/>
      <c r="LE89" s="241"/>
      <c r="LF89" s="241"/>
      <c r="LG89" s="255"/>
      <c r="LI89" s="238" t="str">
        <f t="shared" ref="LI89:LI106" si="1428">$B89</f>
        <v>Round of 32</v>
      </c>
      <c r="LJ89" s="240"/>
      <c r="LK89" s="240"/>
      <c r="LL89" s="241"/>
      <c r="LM89" s="270"/>
      <c r="LN89" s="271"/>
      <c r="LO89" s="242"/>
      <c r="LP89" s="254"/>
      <c r="LQ89" s="254"/>
      <c r="LR89" s="241"/>
      <c r="LS89" s="241"/>
      <c r="LT89" s="255"/>
      <c r="LV89" s="238" t="str">
        <f t="shared" ref="LV89:LV106" si="1429">$B89</f>
        <v>Round of 32</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Germany</v>
      </c>
      <c r="D90" s="231">
        <f>IF(E90="","",INDEX(Groups!$C$7:$C$65,MATCH(E90,Groups!$D$7:$D$65,0)))</f>
        <v>43</v>
      </c>
      <c r="E90" s="230" t="str">
        <f>'World Cup'!$C$50</f>
        <v>Scotland</v>
      </c>
      <c r="F90" s="232" t="str">
        <f>IF(AND('World Cup'!$B$51&lt;&gt;"",'World Cup'!$C$51&lt;&gt;""),'World Cup'!$B$51,"")</f>
        <v/>
      </c>
      <c r="G90" s="233" t="str">
        <f>IF(AND('World Cup'!$B$51&lt;&gt;"",'World Cup'!$C$51&lt;&gt;""),'World Cup'!$C$51,"")</f>
        <v/>
      </c>
      <c r="I90" s="229">
        <f>$B90</f>
        <v>10</v>
      </c>
      <c r="J90" s="230" t="str">
        <f>$C90</f>
        <v>Germany</v>
      </c>
      <c r="K90" s="231">
        <f>$D90</f>
        <v>43</v>
      </c>
      <c r="L90" s="230" t="str">
        <f>$E90</f>
        <v>Scotland</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Germany</v>
      </c>
      <c r="X90" s="231">
        <f>$D90</f>
        <v>43</v>
      </c>
      <c r="Y90" s="230" t="str">
        <f>$E90</f>
        <v>Scotland</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Germany</v>
      </c>
      <c r="AK90" s="231">
        <f>$D90</f>
        <v>43</v>
      </c>
      <c r="AL90" s="230" t="str">
        <f>$E90</f>
        <v>Scotland</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Germany</v>
      </c>
      <c r="AX90" s="231">
        <f>$D90</f>
        <v>43</v>
      </c>
      <c r="AY90" s="230" t="str">
        <f>$E90</f>
        <v>Scotland</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Germany</v>
      </c>
      <c r="BK90" s="231">
        <f>$D90</f>
        <v>43</v>
      </c>
      <c r="BL90" s="230" t="str">
        <f>$E90</f>
        <v>Scotland</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Germany</v>
      </c>
      <c r="BX90" s="231">
        <f>$D90</f>
        <v>43</v>
      </c>
      <c r="BY90" s="230" t="str">
        <f>$E90</f>
        <v>Scotland</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Germany</v>
      </c>
      <c r="CK90" s="231">
        <f>$D90</f>
        <v>43</v>
      </c>
      <c r="CL90" s="230" t="str">
        <f>$E90</f>
        <v>Scotland</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Germany</v>
      </c>
      <c r="CX90" s="231">
        <f>$D90</f>
        <v>43</v>
      </c>
      <c r="CY90" s="230" t="str">
        <f>$E90</f>
        <v>Scotland</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Germany</v>
      </c>
      <c r="DK90" s="231">
        <f>$D90</f>
        <v>43</v>
      </c>
      <c r="DL90" s="230" t="str">
        <f>$E90</f>
        <v>Scotland</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Germany</v>
      </c>
      <c r="DX90" s="231">
        <f>$D90</f>
        <v>43</v>
      </c>
      <c r="DY90" s="230" t="str">
        <f>$E90</f>
        <v>Scotland</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Germany</v>
      </c>
      <c r="EK90" s="231">
        <f>$D90</f>
        <v>43</v>
      </c>
      <c r="EL90" s="230" t="str">
        <f>$E90</f>
        <v>Scotland</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Germany</v>
      </c>
      <c r="EX90" s="231">
        <f>$D90</f>
        <v>43</v>
      </c>
      <c r="EY90" s="230" t="str">
        <f>$E90</f>
        <v>Scotland</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Germany</v>
      </c>
      <c r="FK90" s="231">
        <f>$D90</f>
        <v>43</v>
      </c>
      <c r="FL90" s="230" t="str">
        <f>$E90</f>
        <v>Scotland</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Germany</v>
      </c>
      <c r="FX90" s="231">
        <f>$D90</f>
        <v>43</v>
      </c>
      <c r="FY90" s="230" t="str">
        <f>$E90</f>
        <v>Scotland</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Germany</v>
      </c>
      <c r="GK90" s="231">
        <f>$D90</f>
        <v>43</v>
      </c>
      <c r="GL90" s="230" t="str">
        <f>$E90</f>
        <v>Scotland</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Germany</v>
      </c>
      <c r="GX90" s="231">
        <f>$D90</f>
        <v>43</v>
      </c>
      <c r="GY90" s="230" t="str">
        <f>$E90</f>
        <v>Scotland</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Germany</v>
      </c>
      <c r="HK90" s="231">
        <f>$D90</f>
        <v>43</v>
      </c>
      <c r="HL90" s="230" t="str">
        <f>$E90</f>
        <v>Scotland</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Germany</v>
      </c>
      <c r="HX90" s="231">
        <f>$D90</f>
        <v>43</v>
      </c>
      <c r="HY90" s="230" t="str">
        <f>$E90</f>
        <v>Scotland</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Germany</v>
      </c>
      <c r="IK90" s="231">
        <f>$D90</f>
        <v>43</v>
      </c>
      <c r="IL90" s="230" t="str">
        <f>$E90</f>
        <v>Scotland</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Germany</v>
      </c>
      <c r="IX90" s="231">
        <f>$D90</f>
        <v>43</v>
      </c>
      <c r="IY90" s="230" t="str">
        <f>$E90</f>
        <v>Scotland</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Germany</v>
      </c>
      <c r="JK90" s="231">
        <f>$D90</f>
        <v>43</v>
      </c>
      <c r="JL90" s="230" t="str">
        <f>$E90</f>
        <v>Scotland</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Germany</v>
      </c>
      <c r="JX90" s="231">
        <f>$D90</f>
        <v>43</v>
      </c>
      <c r="JY90" s="230" t="str">
        <f>$E90</f>
        <v>Scotland</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Germany</v>
      </c>
      <c r="KK90" s="231">
        <f>$D90</f>
        <v>43</v>
      </c>
      <c r="KL90" s="230" t="str">
        <f>$E90</f>
        <v>Scotland</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Germany</v>
      </c>
      <c r="KX90" s="231">
        <f>$D90</f>
        <v>43</v>
      </c>
      <c r="KY90" s="230" t="str">
        <f>$E90</f>
        <v>Scotland</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Germany</v>
      </c>
      <c r="LK90" s="231">
        <f>$D90</f>
        <v>43</v>
      </c>
      <c r="LL90" s="230" t="str">
        <f>$E90</f>
        <v>Scotland</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Germany</v>
      </c>
      <c r="LX90" s="231">
        <f>$D90</f>
        <v>43</v>
      </c>
      <c r="LY90" s="230" t="str">
        <f>$E90</f>
        <v>Scotland</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31</v>
      </c>
      <c r="C91" s="230" t="str">
        <f>'World Cup'!$E$50</f>
        <v>Norway</v>
      </c>
      <c r="D91" s="231">
        <f>IF(E91="","",INDEX(Groups!$C$7:$C$65,MATCH(E91,Groups!$D$7:$D$65,0)))</f>
        <v>38</v>
      </c>
      <c r="E91" s="230" t="str">
        <f>'World Cup'!$F$50</f>
        <v>Sweden</v>
      </c>
      <c r="F91" s="232" t="str">
        <f>IF(AND('World Cup'!$E$51&lt;&gt;"",'World Cup'!$F$51&lt;&gt;""),'World Cup'!$E$51,"")</f>
        <v/>
      </c>
      <c r="G91" s="233" t="str">
        <f>IF(AND('World Cup'!$E$51&lt;&gt;"",'World Cup'!$F$51&lt;&gt;""),'World Cup'!$F$51,"")</f>
        <v/>
      </c>
      <c r="I91" s="229">
        <f t="shared" ref="I91:I105" si="1482">$B91</f>
        <v>31</v>
      </c>
      <c r="J91" s="230" t="str">
        <f t="shared" ref="J91:J105" si="1483">$C91</f>
        <v>Norway</v>
      </c>
      <c r="K91" s="231">
        <f t="shared" ref="K91:K105" si="1484">$D91</f>
        <v>38</v>
      </c>
      <c r="L91" s="230" t="str">
        <f t="shared" ref="L91:L105" si="1485">$E91</f>
        <v>Sweden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31</v>
      </c>
      <c r="W91" s="230" t="str">
        <f t="shared" ref="W91:W105" si="1488">$C91</f>
        <v>Norway</v>
      </c>
      <c r="X91" s="231">
        <f t="shared" ref="X91:X105" si="1489">$D91</f>
        <v>38</v>
      </c>
      <c r="Y91" s="230" t="str">
        <f t="shared" ref="Y91:Y105" si="1490">$E91</f>
        <v>Sweden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31</v>
      </c>
      <c r="AJ91" s="230" t="str">
        <f t="shared" ref="AJ91:AJ105" si="1493">$C91</f>
        <v>Norway</v>
      </c>
      <c r="AK91" s="231">
        <f t="shared" ref="AK91:AK105" si="1494">$D91</f>
        <v>38</v>
      </c>
      <c r="AL91" s="230" t="str">
        <f t="shared" ref="AL91:AL105" si="1495">$E91</f>
        <v>Sweden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31</v>
      </c>
      <c r="AW91" s="230" t="str">
        <f t="shared" ref="AW91:AW105" si="1498">$C91</f>
        <v>Norway</v>
      </c>
      <c r="AX91" s="231">
        <f t="shared" ref="AX91:AX105" si="1499">$D91</f>
        <v>38</v>
      </c>
      <c r="AY91" s="230" t="str">
        <f t="shared" ref="AY91:AY105" si="1500">$E91</f>
        <v>Sweden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31</v>
      </c>
      <c r="BJ91" s="230" t="str">
        <f t="shared" ref="BJ91:BJ105" si="1503">$C91</f>
        <v>Norway</v>
      </c>
      <c r="BK91" s="231">
        <f t="shared" ref="BK91:BK105" si="1504">$D91</f>
        <v>38</v>
      </c>
      <c r="BL91" s="230" t="str">
        <f t="shared" ref="BL91:BL105" si="1505">$E91</f>
        <v>Sweden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31</v>
      </c>
      <c r="BW91" s="230" t="str">
        <f t="shared" ref="BW91:BW105" si="1508">$C91</f>
        <v>Norway</v>
      </c>
      <c r="BX91" s="231">
        <f t="shared" ref="BX91:BX105" si="1509">$D91</f>
        <v>38</v>
      </c>
      <c r="BY91" s="230" t="str">
        <f t="shared" ref="BY91:BY105" si="1510">$E91</f>
        <v>Sweden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31</v>
      </c>
      <c r="CJ91" s="230" t="str">
        <f t="shared" ref="CJ91:CJ105" si="1513">$C91</f>
        <v>Norway</v>
      </c>
      <c r="CK91" s="231">
        <f t="shared" ref="CK91:CK105" si="1514">$D91</f>
        <v>38</v>
      </c>
      <c r="CL91" s="230" t="str">
        <f t="shared" ref="CL91:CL105" si="1515">$E91</f>
        <v>Sweden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31</v>
      </c>
      <c r="CW91" s="230" t="str">
        <f t="shared" ref="CW91:CW105" si="1518">$C91</f>
        <v>Norway</v>
      </c>
      <c r="CX91" s="231">
        <f t="shared" ref="CX91:CX105" si="1519">$D91</f>
        <v>38</v>
      </c>
      <c r="CY91" s="230" t="str">
        <f t="shared" ref="CY91:CY105" si="1520">$E91</f>
        <v>Sweden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31</v>
      </c>
      <c r="DJ91" s="230" t="str">
        <f t="shared" ref="DJ91:DJ105" si="1523">$C91</f>
        <v>Norway</v>
      </c>
      <c r="DK91" s="231">
        <f t="shared" ref="DK91:DK105" si="1524">$D91</f>
        <v>38</v>
      </c>
      <c r="DL91" s="230" t="str">
        <f t="shared" ref="DL91:DL105" si="1525">$E91</f>
        <v>Sweden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31</v>
      </c>
      <c r="DW91" s="230" t="str">
        <f t="shared" ref="DW91:DW105" si="1528">$C91</f>
        <v>Norway</v>
      </c>
      <c r="DX91" s="231">
        <f t="shared" ref="DX91:DX105" si="1529">$D91</f>
        <v>38</v>
      </c>
      <c r="DY91" s="230" t="str">
        <f t="shared" ref="DY91:DY105" si="1530">$E91</f>
        <v>Sweden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31</v>
      </c>
      <c r="EJ91" s="230" t="str">
        <f t="shared" ref="EJ91:EJ105" si="1533">$C91</f>
        <v>Norway</v>
      </c>
      <c r="EK91" s="231">
        <f t="shared" ref="EK91:EK105" si="1534">$D91</f>
        <v>38</v>
      </c>
      <c r="EL91" s="230" t="str">
        <f t="shared" ref="EL91:EL105" si="1535">$E91</f>
        <v>Sweden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31</v>
      </c>
      <c r="EW91" s="230" t="str">
        <f t="shared" ref="EW91:EW105" si="1538">$C91</f>
        <v>Norway</v>
      </c>
      <c r="EX91" s="231">
        <f t="shared" ref="EX91:EX105" si="1539">$D91</f>
        <v>38</v>
      </c>
      <c r="EY91" s="230" t="str">
        <f t="shared" ref="EY91:EY105" si="1540">$E91</f>
        <v>Sweden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31</v>
      </c>
      <c r="FJ91" s="230" t="str">
        <f t="shared" ref="FJ91:FJ105" si="1543">$C91</f>
        <v>Norway</v>
      </c>
      <c r="FK91" s="231">
        <f t="shared" ref="FK91:FK105" si="1544">$D91</f>
        <v>38</v>
      </c>
      <c r="FL91" s="230" t="str">
        <f t="shared" ref="FL91:FL105" si="1545">$E91</f>
        <v>Sweden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31</v>
      </c>
      <c r="FW91" s="230" t="str">
        <f t="shared" ref="FW91:FW105" si="1548">$C91</f>
        <v>Norway</v>
      </c>
      <c r="FX91" s="231">
        <f t="shared" ref="FX91:FX105" si="1549">$D91</f>
        <v>38</v>
      </c>
      <c r="FY91" s="230" t="str">
        <f t="shared" ref="FY91:FY105" si="1550">$E91</f>
        <v>Sweden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31</v>
      </c>
      <c r="GJ91" s="230" t="str">
        <f t="shared" ref="GJ91:GJ105" si="1553">$C91</f>
        <v>Norway</v>
      </c>
      <c r="GK91" s="231">
        <f t="shared" ref="GK91:GK105" si="1554">$D91</f>
        <v>38</v>
      </c>
      <c r="GL91" s="230" t="str">
        <f t="shared" ref="GL91:GL105" si="1555">$E91</f>
        <v>Sweden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31</v>
      </c>
      <c r="GW91" s="230" t="str">
        <f t="shared" ref="GW91:GW105" si="1558">$C91</f>
        <v>Norway</v>
      </c>
      <c r="GX91" s="231">
        <f t="shared" ref="GX91:GX105" si="1559">$D91</f>
        <v>38</v>
      </c>
      <c r="GY91" s="230" t="str">
        <f t="shared" ref="GY91:GY105" si="1560">$E91</f>
        <v>Sweden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31</v>
      </c>
      <c r="HJ91" s="230" t="str">
        <f t="shared" ref="HJ91:HJ105" si="1563">$C91</f>
        <v>Norway</v>
      </c>
      <c r="HK91" s="231">
        <f t="shared" ref="HK91:HK105" si="1564">$D91</f>
        <v>38</v>
      </c>
      <c r="HL91" s="230" t="str">
        <f t="shared" ref="HL91:HL105" si="1565">$E91</f>
        <v>Sweden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31</v>
      </c>
      <c r="HW91" s="230" t="str">
        <f t="shared" ref="HW91:HW105" si="1568">$C91</f>
        <v>Norway</v>
      </c>
      <c r="HX91" s="231">
        <f t="shared" ref="HX91:HX105" si="1569">$D91</f>
        <v>38</v>
      </c>
      <c r="HY91" s="230" t="str">
        <f t="shared" ref="HY91:HY105" si="1570">$E91</f>
        <v>Sweden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31</v>
      </c>
      <c r="IJ91" s="230" t="str">
        <f t="shared" ref="IJ91:IJ105" si="1573">$C91</f>
        <v>Norway</v>
      </c>
      <c r="IK91" s="231">
        <f t="shared" ref="IK91:IK105" si="1574">$D91</f>
        <v>38</v>
      </c>
      <c r="IL91" s="230" t="str">
        <f t="shared" ref="IL91:IL105" si="1575">$E91</f>
        <v>Sweden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31</v>
      </c>
      <c r="IW91" s="230" t="str">
        <f t="shared" ref="IW91:IW105" si="1578">$C91</f>
        <v>Norway</v>
      </c>
      <c r="IX91" s="231">
        <f t="shared" ref="IX91:IX105" si="1579">$D91</f>
        <v>38</v>
      </c>
      <c r="IY91" s="230" t="str">
        <f t="shared" ref="IY91:IY105" si="1580">$E91</f>
        <v>Sweden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31</v>
      </c>
      <c r="JJ91" s="230" t="str">
        <f t="shared" ref="JJ91:JJ105" si="1583">$C91</f>
        <v>Norway</v>
      </c>
      <c r="JK91" s="231">
        <f t="shared" ref="JK91:JK105" si="1584">$D91</f>
        <v>38</v>
      </c>
      <c r="JL91" s="230" t="str">
        <f t="shared" ref="JL91:JL105" si="1585">$E91</f>
        <v>Sweden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31</v>
      </c>
      <c r="JW91" s="230" t="str">
        <f t="shared" ref="JW91:JW105" si="1588">$C91</f>
        <v>Norway</v>
      </c>
      <c r="JX91" s="231">
        <f t="shared" ref="JX91:JX105" si="1589">$D91</f>
        <v>38</v>
      </c>
      <c r="JY91" s="230" t="str">
        <f t="shared" ref="JY91:JY105" si="1590">$E91</f>
        <v>Sweden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31</v>
      </c>
      <c r="KJ91" s="230" t="str">
        <f t="shared" ref="KJ91:KJ105" si="1593">$C91</f>
        <v>Norway</v>
      </c>
      <c r="KK91" s="231">
        <f t="shared" ref="KK91:KK105" si="1594">$D91</f>
        <v>38</v>
      </c>
      <c r="KL91" s="230" t="str">
        <f t="shared" ref="KL91:KL105" si="1595">$E91</f>
        <v>Sweden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31</v>
      </c>
      <c r="KW91" s="230" t="str">
        <f t="shared" ref="KW91:KW105" si="1598">$C91</f>
        <v>Norway</v>
      </c>
      <c r="KX91" s="231">
        <f t="shared" ref="KX91:KX105" si="1599">$D91</f>
        <v>38</v>
      </c>
      <c r="KY91" s="230" t="str">
        <f t="shared" ref="KY91:KY105" si="1600">$E91</f>
        <v>Sweden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31</v>
      </c>
      <c r="LJ91" s="230" t="str">
        <f t="shared" ref="LJ91:LJ105" si="1603">$C91</f>
        <v>Norway</v>
      </c>
      <c r="LK91" s="231">
        <f t="shared" ref="LK91:LK105" si="1604">$D91</f>
        <v>38</v>
      </c>
      <c r="LL91" s="230" t="str">
        <f t="shared" ref="LL91:LL105" si="1605">$E91</f>
        <v>Sweden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31</v>
      </c>
      <c r="LW91" s="230" t="str">
        <f t="shared" ref="LW91:LW105" si="1608">$C91</f>
        <v>Norway</v>
      </c>
      <c r="LX91" s="231">
        <f t="shared" ref="LX91:LX105" si="1609">$D91</f>
        <v>38</v>
      </c>
      <c r="LY91" s="230" t="str">
        <f t="shared" ref="LY91:LY105" si="1610">$E91</f>
        <v>Sweden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25</v>
      </c>
      <c r="C92" s="230" t="str">
        <f>'World Cup'!$H$50</f>
        <v>South Korea</v>
      </c>
      <c r="D92" s="231">
        <f>IF(E92="","",INDEX(Groups!$C$7:$C$65,MATCH(E92,Groups!$D$7:$D$65,0)))</f>
        <v>19</v>
      </c>
      <c r="E92" s="230" t="str">
        <f>'World Cup'!$I$50</f>
        <v>Switzerland</v>
      </c>
      <c r="F92" s="232" t="str">
        <f>IF(AND('World Cup'!$H$51&lt;&gt;"",'World Cup'!$I$51&lt;&gt;""),'World Cup'!$H$51,"")</f>
        <v/>
      </c>
      <c r="G92" s="233" t="str">
        <f>IF(AND('World Cup'!$H$51&lt;&gt;"",'World Cup'!$I$51&lt;&gt;""),'World Cup'!$I$51,"")</f>
        <v/>
      </c>
      <c r="I92" s="229">
        <f t="shared" si="1482"/>
        <v>25</v>
      </c>
      <c r="J92" s="230" t="str">
        <f t="shared" si="1483"/>
        <v>South Korea</v>
      </c>
      <c r="K92" s="231">
        <f t="shared" si="1484"/>
        <v>19</v>
      </c>
      <c r="L92" s="230" t="str">
        <f t="shared" si="1485"/>
        <v>Switzerland</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25</v>
      </c>
      <c r="W92" s="230" t="str">
        <f t="shared" si="1488"/>
        <v>South Korea</v>
      </c>
      <c r="X92" s="231">
        <f t="shared" si="1489"/>
        <v>19</v>
      </c>
      <c r="Y92" s="230" t="str">
        <f t="shared" si="1490"/>
        <v>Switzerland</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25</v>
      </c>
      <c r="AJ92" s="230" t="str">
        <f t="shared" si="1493"/>
        <v>South Korea</v>
      </c>
      <c r="AK92" s="231">
        <f t="shared" si="1494"/>
        <v>19</v>
      </c>
      <c r="AL92" s="230" t="str">
        <f t="shared" si="1495"/>
        <v>Switzerland</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25</v>
      </c>
      <c r="AW92" s="230" t="str">
        <f t="shared" si="1498"/>
        <v>South Korea</v>
      </c>
      <c r="AX92" s="231">
        <f t="shared" si="1499"/>
        <v>19</v>
      </c>
      <c r="AY92" s="230" t="str">
        <f t="shared" si="1500"/>
        <v>Switzerland</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25</v>
      </c>
      <c r="BJ92" s="230" t="str">
        <f t="shared" si="1503"/>
        <v>South Korea</v>
      </c>
      <c r="BK92" s="231">
        <f t="shared" si="1504"/>
        <v>19</v>
      </c>
      <c r="BL92" s="230" t="str">
        <f t="shared" si="1505"/>
        <v>Switzerland</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25</v>
      </c>
      <c r="BW92" s="230" t="str">
        <f t="shared" si="1508"/>
        <v>South Korea</v>
      </c>
      <c r="BX92" s="231">
        <f t="shared" si="1509"/>
        <v>19</v>
      </c>
      <c r="BY92" s="230" t="str">
        <f t="shared" si="1510"/>
        <v>Switzerland</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25</v>
      </c>
      <c r="CJ92" s="230" t="str">
        <f t="shared" si="1513"/>
        <v>South Korea</v>
      </c>
      <c r="CK92" s="231">
        <f t="shared" si="1514"/>
        <v>19</v>
      </c>
      <c r="CL92" s="230" t="str">
        <f t="shared" si="1515"/>
        <v>Switzerland</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25</v>
      </c>
      <c r="CW92" s="230" t="str">
        <f t="shared" si="1518"/>
        <v>South Korea</v>
      </c>
      <c r="CX92" s="231">
        <f t="shared" si="1519"/>
        <v>19</v>
      </c>
      <c r="CY92" s="230" t="str">
        <f t="shared" si="1520"/>
        <v>Switzerland</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25</v>
      </c>
      <c r="DJ92" s="230" t="str">
        <f t="shared" si="1523"/>
        <v>South Korea</v>
      </c>
      <c r="DK92" s="231">
        <f t="shared" si="1524"/>
        <v>19</v>
      </c>
      <c r="DL92" s="230" t="str">
        <f t="shared" si="1525"/>
        <v>Switzerland</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25</v>
      </c>
      <c r="DW92" s="230" t="str">
        <f t="shared" si="1528"/>
        <v>South Korea</v>
      </c>
      <c r="DX92" s="231">
        <f t="shared" si="1529"/>
        <v>19</v>
      </c>
      <c r="DY92" s="230" t="str">
        <f t="shared" si="1530"/>
        <v>Switzerland</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25</v>
      </c>
      <c r="EJ92" s="230" t="str">
        <f t="shared" si="1533"/>
        <v>South Korea</v>
      </c>
      <c r="EK92" s="231">
        <f t="shared" si="1534"/>
        <v>19</v>
      </c>
      <c r="EL92" s="230" t="str">
        <f t="shared" si="1535"/>
        <v>Switzerland</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25</v>
      </c>
      <c r="EW92" s="230" t="str">
        <f t="shared" si="1538"/>
        <v>South Korea</v>
      </c>
      <c r="EX92" s="231">
        <f t="shared" si="1539"/>
        <v>19</v>
      </c>
      <c r="EY92" s="230" t="str">
        <f t="shared" si="1540"/>
        <v>Switzerland</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25</v>
      </c>
      <c r="FJ92" s="230" t="str">
        <f t="shared" si="1543"/>
        <v>South Korea</v>
      </c>
      <c r="FK92" s="231">
        <f t="shared" si="1544"/>
        <v>19</v>
      </c>
      <c r="FL92" s="230" t="str">
        <f t="shared" si="1545"/>
        <v>Switzerland</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25</v>
      </c>
      <c r="FW92" s="230" t="str">
        <f t="shared" si="1548"/>
        <v>South Korea</v>
      </c>
      <c r="FX92" s="231">
        <f t="shared" si="1549"/>
        <v>19</v>
      </c>
      <c r="FY92" s="230" t="str">
        <f t="shared" si="1550"/>
        <v>Switzerland</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25</v>
      </c>
      <c r="GJ92" s="230" t="str">
        <f t="shared" si="1553"/>
        <v>South Korea</v>
      </c>
      <c r="GK92" s="231">
        <f t="shared" si="1554"/>
        <v>19</v>
      </c>
      <c r="GL92" s="230" t="str">
        <f t="shared" si="1555"/>
        <v>Switzerland</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25</v>
      </c>
      <c r="GW92" s="230" t="str">
        <f t="shared" si="1558"/>
        <v>South Korea</v>
      </c>
      <c r="GX92" s="231">
        <f t="shared" si="1559"/>
        <v>19</v>
      </c>
      <c r="GY92" s="230" t="str">
        <f t="shared" si="1560"/>
        <v>Switzerland</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25</v>
      </c>
      <c r="HJ92" s="230" t="str">
        <f t="shared" si="1563"/>
        <v>South Korea</v>
      </c>
      <c r="HK92" s="231">
        <f t="shared" si="1564"/>
        <v>19</v>
      </c>
      <c r="HL92" s="230" t="str">
        <f t="shared" si="1565"/>
        <v>Switzerland</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25</v>
      </c>
      <c r="HW92" s="230" t="str">
        <f t="shared" si="1568"/>
        <v>South Korea</v>
      </c>
      <c r="HX92" s="231">
        <f t="shared" si="1569"/>
        <v>19</v>
      </c>
      <c r="HY92" s="230" t="str">
        <f t="shared" si="1570"/>
        <v>Switzerland</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25</v>
      </c>
      <c r="IJ92" s="230" t="str">
        <f t="shared" si="1573"/>
        <v>South Korea</v>
      </c>
      <c r="IK92" s="231">
        <f t="shared" si="1574"/>
        <v>19</v>
      </c>
      <c r="IL92" s="230" t="str">
        <f t="shared" si="1575"/>
        <v>Switzerland</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25</v>
      </c>
      <c r="IW92" s="230" t="str">
        <f t="shared" si="1578"/>
        <v>South Korea</v>
      </c>
      <c r="IX92" s="231">
        <f t="shared" si="1579"/>
        <v>19</v>
      </c>
      <c r="IY92" s="230" t="str">
        <f t="shared" si="1580"/>
        <v>Switzerland</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25</v>
      </c>
      <c r="JJ92" s="230" t="str">
        <f t="shared" si="1583"/>
        <v>South Korea</v>
      </c>
      <c r="JK92" s="231">
        <f t="shared" si="1584"/>
        <v>19</v>
      </c>
      <c r="JL92" s="230" t="str">
        <f t="shared" si="1585"/>
        <v>Switzerland</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25</v>
      </c>
      <c r="JW92" s="230" t="str">
        <f t="shared" si="1588"/>
        <v>South Korea</v>
      </c>
      <c r="JX92" s="231">
        <f t="shared" si="1589"/>
        <v>19</v>
      </c>
      <c r="JY92" s="230" t="str">
        <f t="shared" si="1590"/>
        <v>Switzerland</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25</v>
      </c>
      <c r="KJ92" s="230" t="str">
        <f t="shared" si="1593"/>
        <v>South Korea</v>
      </c>
      <c r="KK92" s="231">
        <f t="shared" si="1594"/>
        <v>19</v>
      </c>
      <c r="KL92" s="230" t="str">
        <f t="shared" si="1595"/>
        <v>Switzerland</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25</v>
      </c>
      <c r="KW92" s="230" t="str">
        <f t="shared" si="1598"/>
        <v>South Korea</v>
      </c>
      <c r="KX92" s="231">
        <f t="shared" si="1599"/>
        <v>19</v>
      </c>
      <c r="KY92" s="230" t="str">
        <f t="shared" si="1600"/>
        <v>Switzerland</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25</v>
      </c>
      <c r="LJ92" s="230" t="str">
        <f t="shared" si="1603"/>
        <v>South Korea</v>
      </c>
      <c r="LK92" s="231">
        <f t="shared" si="1604"/>
        <v>19</v>
      </c>
      <c r="LL92" s="230" t="str">
        <f t="shared" si="1605"/>
        <v>Switzerland</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25</v>
      </c>
      <c r="LW92" s="230" t="str">
        <f t="shared" si="1608"/>
        <v>South Korea</v>
      </c>
      <c r="LX92" s="231">
        <f t="shared" si="1609"/>
        <v>19</v>
      </c>
      <c r="LY92" s="230" t="str">
        <f t="shared" si="1610"/>
        <v>Switzerland</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Netherlands</v>
      </c>
      <c r="D93" s="231">
        <f>IF(E93="","",INDEX(Groups!$C$7:$C$65,MATCH(E93,Groups!$D$7:$D$65,0)))</f>
        <v>8</v>
      </c>
      <c r="E93" s="230" t="str">
        <f>'World Cup'!$L$50</f>
        <v>Morocco</v>
      </c>
      <c r="F93" s="232" t="str">
        <f>IF(AND('World Cup'!$K$51&lt;&gt;"",'World Cup'!$L$51&lt;&gt;""),'World Cup'!$K$51,"")</f>
        <v/>
      </c>
      <c r="G93" s="233" t="str">
        <f>IF(AND('World Cup'!$K$51&lt;&gt;"",'World Cup'!$L$51&lt;&gt;""),'World Cup'!$L$51,"")</f>
        <v/>
      </c>
      <c r="I93" s="229">
        <f t="shared" si="1482"/>
        <v>7</v>
      </c>
      <c r="J93" s="230" t="str">
        <f t="shared" si="1483"/>
        <v>Netherlands</v>
      </c>
      <c r="K93" s="231">
        <f t="shared" si="1484"/>
        <v>8</v>
      </c>
      <c r="L93" s="230" t="str">
        <f t="shared" si="1485"/>
        <v>Morocco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Netherlands</v>
      </c>
      <c r="X93" s="231">
        <f t="shared" si="1489"/>
        <v>8</v>
      </c>
      <c r="Y93" s="230" t="str">
        <f t="shared" si="1490"/>
        <v>Morocco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Netherlands</v>
      </c>
      <c r="AK93" s="231">
        <f t="shared" si="1494"/>
        <v>8</v>
      </c>
      <c r="AL93" s="230" t="str">
        <f t="shared" si="1495"/>
        <v>Morocco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Netherlands</v>
      </c>
      <c r="AX93" s="231">
        <f t="shared" si="1499"/>
        <v>8</v>
      </c>
      <c r="AY93" s="230" t="str">
        <f t="shared" si="1500"/>
        <v>Morocco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Netherlands</v>
      </c>
      <c r="BK93" s="231">
        <f t="shared" si="1504"/>
        <v>8</v>
      </c>
      <c r="BL93" s="230" t="str">
        <f t="shared" si="1505"/>
        <v>Morocco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Netherlands</v>
      </c>
      <c r="BX93" s="231">
        <f t="shared" si="1509"/>
        <v>8</v>
      </c>
      <c r="BY93" s="230" t="str">
        <f t="shared" si="1510"/>
        <v>Morocco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Netherlands</v>
      </c>
      <c r="CK93" s="231">
        <f t="shared" si="1514"/>
        <v>8</v>
      </c>
      <c r="CL93" s="230" t="str">
        <f t="shared" si="1515"/>
        <v>Morocco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Netherlands</v>
      </c>
      <c r="CX93" s="231">
        <f t="shared" si="1519"/>
        <v>8</v>
      </c>
      <c r="CY93" s="230" t="str">
        <f t="shared" si="1520"/>
        <v>Morocco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Netherlands</v>
      </c>
      <c r="DK93" s="231">
        <f t="shared" si="1524"/>
        <v>8</v>
      </c>
      <c r="DL93" s="230" t="str">
        <f t="shared" si="1525"/>
        <v>Morocco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Netherlands</v>
      </c>
      <c r="DX93" s="231">
        <f t="shared" si="1529"/>
        <v>8</v>
      </c>
      <c r="DY93" s="230" t="str">
        <f t="shared" si="1530"/>
        <v>Morocco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Netherlands</v>
      </c>
      <c r="EK93" s="231">
        <f t="shared" si="1534"/>
        <v>8</v>
      </c>
      <c r="EL93" s="230" t="str">
        <f t="shared" si="1535"/>
        <v>Morocco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Netherlands</v>
      </c>
      <c r="EX93" s="231">
        <f t="shared" si="1539"/>
        <v>8</v>
      </c>
      <c r="EY93" s="230" t="str">
        <f t="shared" si="1540"/>
        <v>Morocco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Netherlands</v>
      </c>
      <c r="FK93" s="231">
        <f t="shared" si="1544"/>
        <v>8</v>
      </c>
      <c r="FL93" s="230" t="str">
        <f t="shared" si="1545"/>
        <v>Morocco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Netherlands</v>
      </c>
      <c r="FX93" s="231">
        <f t="shared" si="1549"/>
        <v>8</v>
      </c>
      <c r="FY93" s="230" t="str">
        <f t="shared" si="1550"/>
        <v>Morocco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Netherlands</v>
      </c>
      <c r="GK93" s="231">
        <f t="shared" si="1554"/>
        <v>8</v>
      </c>
      <c r="GL93" s="230" t="str">
        <f t="shared" si="1555"/>
        <v>Morocco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Netherlands</v>
      </c>
      <c r="GX93" s="231">
        <f t="shared" si="1559"/>
        <v>8</v>
      </c>
      <c r="GY93" s="230" t="str">
        <f t="shared" si="1560"/>
        <v>Morocco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Netherlands</v>
      </c>
      <c r="HK93" s="231">
        <f t="shared" si="1564"/>
        <v>8</v>
      </c>
      <c r="HL93" s="230" t="str">
        <f t="shared" si="1565"/>
        <v>Morocco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Netherlands</v>
      </c>
      <c r="HX93" s="231">
        <f t="shared" si="1569"/>
        <v>8</v>
      </c>
      <c r="HY93" s="230" t="str">
        <f t="shared" si="1570"/>
        <v>Morocco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Netherlands</v>
      </c>
      <c r="IK93" s="231">
        <f t="shared" si="1574"/>
        <v>8</v>
      </c>
      <c r="IL93" s="230" t="str">
        <f t="shared" si="1575"/>
        <v>Morocco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Netherlands</v>
      </c>
      <c r="IX93" s="231">
        <f t="shared" si="1579"/>
        <v>8</v>
      </c>
      <c r="IY93" s="230" t="str">
        <f t="shared" si="1580"/>
        <v>Morocco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Netherlands</v>
      </c>
      <c r="JK93" s="231">
        <f t="shared" si="1584"/>
        <v>8</v>
      </c>
      <c r="JL93" s="230" t="str">
        <f t="shared" si="1585"/>
        <v>Morocco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Netherlands</v>
      </c>
      <c r="JX93" s="231">
        <f t="shared" si="1589"/>
        <v>8</v>
      </c>
      <c r="JY93" s="230" t="str">
        <f t="shared" si="1590"/>
        <v>Morocco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Netherlands</v>
      </c>
      <c r="KK93" s="231">
        <f t="shared" si="1594"/>
        <v>8</v>
      </c>
      <c r="KL93" s="230" t="str">
        <f t="shared" si="1595"/>
        <v>Morocco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Netherlands</v>
      </c>
      <c r="KX93" s="231">
        <f t="shared" si="1599"/>
        <v>8</v>
      </c>
      <c r="KY93" s="230" t="str">
        <f t="shared" si="1600"/>
        <v>Morocco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Netherlands</v>
      </c>
      <c r="LK93" s="231">
        <f t="shared" si="1604"/>
        <v>8</v>
      </c>
      <c r="LL93" s="230" t="str">
        <f t="shared" si="1605"/>
        <v>Morocco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Netherlands</v>
      </c>
      <c r="LX93" s="231">
        <f t="shared" si="1609"/>
        <v>8</v>
      </c>
      <c r="LY93" s="230" t="str">
        <f t="shared" si="1610"/>
        <v>Morocco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46</v>
      </c>
      <c r="C94" s="230" t="str">
        <f>'World Cup'!$N$50</f>
        <v>DR Congo</v>
      </c>
      <c r="D94" s="231">
        <f>IF(E94="","",INDEX(Groups!$C$7:$C$65,MATCH(E94,Groups!$D$7:$D$65,0)))</f>
        <v>74</v>
      </c>
      <c r="E94" s="230" t="str">
        <f>'World Cup'!$O$50</f>
        <v>Ghana</v>
      </c>
      <c r="F94" s="232" t="str">
        <f>IF(AND('World Cup'!$N$51&lt;&gt;"",'World Cup'!$O$51&lt;&gt;""),'World Cup'!$N$51,"")</f>
        <v/>
      </c>
      <c r="G94" s="233" t="str">
        <f>IF(AND('World Cup'!$N$51&lt;&gt;"",'World Cup'!$O$51&lt;&gt;""),'World Cup'!$O$51,"")</f>
        <v/>
      </c>
      <c r="I94" s="229">
        <f t="shared" si="1482"/>
        <v>46</v>
      </c>
      <c r="J94" s="230" t="str">
        <f t="shared" si="1483"/>
        <v>DR Congo</v>
      </c>
      <c r="K94" s="231">
        <f t="shared" si="1484"/>
        <v>74</v>
      </c>
      <c r="L94" s="230" t="str">
        <f t="shared" si="1485"/>
        <v>Ghana</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46</v>
      </c>
      <c r="W94" s="230" t="str">
        <f t="shared" si="1488"/>
        <v>DR Congo</v>
      </c>
      <c r="X94" s="231">
        <f t="shared" si="1489"/>
        <v>74</v>
      </c>
      <c r="Y94" s="230" t="str">
        <f t="shared" si="1490"/>
        <v>Ghana</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46</v>
      </c>
      <c r="AJ94" s="230" t="str">
        <f t="shared" si="1493"/>
        <v>DR Congo</v>
      </c>
      <c r="AK94" s="231">
        <f t="shared" si="1494"/>
        <v>74</v>
      </c>
      <c r="AL94" s="230" t="str">
        <f t="shared" si="1495"/>
        <v>Ghana</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46</v>
      </c>
      <c r="AW94" s="230" t="str">
        <f t="shared" si="1498"/>
        <v>DR Congo</v>
      </c>
      <c r="AX94" s="231">
        <f t="shared" si="1499"/>
        <v>74</v>
      </c>
      <c r="AY94" s="230" t="str">
        <f t="shared" si="1500"/>
        <v>Ghana</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46</v>
      </c>
      <c r="BJ94" s="230" t="str">
        <f t="shared" si="1503"/>
        <v>DR Congo</v>
      </c>
      <c r="BK94" s="231">
        <f t="shared" si="1504"/>
        <v>74</v>
      </c>
      <c r="BL94" s="230" t="str">
        <f t="shared" si="1505"/>
        <v>Ghana</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46</v>
      </c>
      <c r="BW94" s="230" t="str">
        <f t="shared" si="1508"/>
        <v>DR Congo</v>
      </c>
      <c r="BX94" s="231">
        <f t="shared" si="1509"/>
        <v>74</v>
      </c>
      <c r="BY94" s="230" t="str">
        <f t="shared" si="1510"/>
        <v>Ghana</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46</v>
      </c>
      <c r="CJ94" s="230" t="str">
        <f t="shared" si="1513"/>
        <v>DR Congo</v>
      </c>
      <c r="CK94" s="231">
        <f t="shared" si="1514"/>
        <v>74</v>
      </c>
      <c r="CL94" s="230" t="str">
        <f t="shared" si="1515"/>
        <v>Ghana</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46</v>
      </c>
      <c r="CW94" s="230" t="str">
        <f t="shared" si="1518"/>
        <v>DR Congo</v>
      </c>
      <c r="CX94" s="231">
        <f t="shared" si="1519"/>
        <v>74</v>
      </c>
      <c r="CY94" s="230" t="str">
        <f t="shared" si="1520"/>
        <v>Ghana</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46</v>
      </c>
      <c r="DJ94" s="230" t="str">
        <f t="shared" si="1523"/>
        <v>DR Congo</v>
      </c>
      <c r="DK94" s="231">
        <f t="shared" si="1524"/>
        <v>74</v>
      </c>
      <c r="DL94" s="230" t="str">
        <f t="shared" si="1525"/>
        <v>Ghana</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46</v>
      </c>
      <c r="DW94" s="230" t="str">
        <f t="shared" si="1528"/>
        <v>DR Congo</v>
      </c>
      <c r="DX94" s="231">
        <f t="shared" si="1529"/>
        <v>74</v>
      </c>
      <c r="DY94" s="230" t="str">
        <f t="shared" si="1530"/>
        <v>Ghana</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46</v>
      </c>
      <c r="EJ94" s="230" t="str">
        <f t="shared" si="1533"/>
        <v>DR Congo</v>
      </c>
      <c r="EK94" s="231">
        <f t="shared" si="1534"/>
        <v>74</v>
      </c>
      <c r="EL94" s="230" t="str">
        <f t="shared" si="1535"/>
        <v>Ghana</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46</v>
      </c>
      <c r="EW94" s="230" t="str">
        <f t="shared" si="1538"/>
        <v>DR Congo</v>
      </c>
      <c r="EX94" s="231">
        <f t="shared" si="1539"/>
        <v>74</v>
      </c>
      <c r="EY94" s="230" t="str">
        <f t="shared" si="1540"/>
        <v>Ghana</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46</v>
      </c>
      <c r="FJ94" s="230" t="str">
        <f t="shared" si="1543"/>
        <v>DR Congo</v>
      </c>
      <c r="FK94" s="231">
        <f t="shared" si="1544"/>
        <v>74</v>
      </c>
      <c r="FL94" s="230" t="str">
        <f t="shared" si="1545"/>
        <v>Ghana</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46</v>
      </c>
      <c r="FW94" s="230" t="str">
        <f t="shared" si="1548"/>
        <v>DR Congo</v>
      </c>
      <c r="FX94" s="231">
        <f t="shared" si="1549"/>
        <v>74</v>
      </c>
      <c r="FY94" s="230" t="str">
        <f t="shared" si="1550"/>
        <v>Ghana</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46</v>
      </c>
      <c r="GJ94" s="230" t="str">
        <f t="shared" si="1553"/>
        <v>DR Congo</v>
      </c>
      <c r="GK94" s="231">
        <f t="shared" si="1554"/>
        <v>74</v>
      </c>
      <c r="GL94" s="230" t="str">
        <f t="shared" si="1555"/>
        <v>Ghana</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46</v>
      </c>
      <c r="GW94" s="230" t="str">
        <f t="shared" si="1558"/>
        <v>DR Congo</v>
      </c>
      <c r="GX94" s="231">
        <f t="shared" si="1559"/>
        <v>74</v>
      </c>
      <c r="GY94" s="230" t="str">
        <f t="shared" si="1560"/>
        <v>Ghana</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46</v>
      </c>
      <c r="HJ94" s="230" t="str">
        <f t="shared" si="1563"/>
        <v>DR Congo</v>
      </c>
      <c r="HK94" s="231">
        <f t="shared" si="1564"/>
        <v>74</v>
      </c>
      <c r="HL94" s="230" t="str">
        <f t="shared" si="1565"/>
        <v>Ghana</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46</v>
      </c>
      <c r="HW94" s="230" t="str">
        <f t="shared" si="1568"/>
        <v>DR Congo</v>
      </c>
      <c r="HX94" s="231">
        <f t="shared" si="1569"/>
        <v>74</v>
      </c>
      <c r="HY94" s="230" t="str">
        <f t="shared" si="1570"/>
        <v>Ghana</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46</v>
      </c>
      <c r="IJ94" s="230" t="str">
        <f t="shared" si="1573"/>
        <v>DR Congo</v>
      </c>
      <c r="IK94" s="231">
        <f t="shared" si="1574"/>
        <v>74</v>
      </c>
      <c r="IL94" s="230" t="str">
        <f t="shared" si="1575"/>
        <v>Ghana</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46</v>
      </c>
      <c r="IW94" s="230" t="str">
        <f t="shared" si="1578"/>
        <v>DR Congo</v>
      </c>
      <c r="IX94" s="231">
        <f t="shared" si="1579"/>
        <v>74</v>
      </c>
      <c r="IY94" s="230" t="str">
        <f t="shared" si="1580"/>
        <v>Ghana</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46</v>
      </c>
      <c r="JJ94" s="230" t="str">
        <f t="shared" si="1583"/>
        <v>DR Congo</v>
      </c>
      <c r="JK94" s="231">
        <f t="shared" si="1584"/>
        <v>74</v>
      </c>
      <c r="JL94" s="230" t="str">
        <f t="shared" si="1585"/>
        <v>Ghana</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46</v>
      </c>
      <c r="JW94" s="230" t="str">
        <f t="shared" si="1588"/>
        <v>DR Congo</v>
      </c>
      <c r="JX94" s="231">
        <f t="shared" si="1589"/>
        <v>74</v>
      </c>
      <c r="JY94" s="230" t="str">
        <f t="shared" si="1590"/>
        <v>Ghana</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46</v>
      </c>
      <c r="KJ94" s="230" t="str">
        <f t="shared" si="1593"/>
        <v>DR Congo</v>
      </c>
      <c r="KK94" s="231">
        <f t="shared" si="1594"/>
        <v>74</v>
      </c>
      <c r="KL94" s="230" t="str">
        <f t="shared" si="1595"/>
        <v>Ghana</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46</v>
      </c>
      <c r="KW94" s="230" t="str">
        <f t="shared" si="1598"/>
        <v>DR Congo</v>
      </c>
      <c r="KX94" s="231">
        <f t="shared" si="1599"/>
        <v>74</v>
      </c>
      <c r="KY94" s="230" t="str">
        <f t="shared" si="1600"/>
        <v>Ghana</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46</v>
      </c>
      <c r="LJ94" s="230" t="str">
        <f t="shared" si="1603"/>
        <v>DR Congo</v>
      </c>
      <c r="LK94" s="231">
        <f t="shared" si="1604"/>
        <v>74</v>
      </c>
      <c r="LL94" s="230" t="str">
        <f t="shared" si="1605"/>
        <v>Ghana</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46</v>
      </c>
      <c r="LW94" s="230" t="str">
        <f t="shared" si="1608"/>
        <v>DR Congo</v>
      </c>
      <c r="LX94" s="231">
        <f t="shared" si="1609"/>
        <v>74</v>
      </c>
      <c r="LY94" s="230" t="str">
        <f t="shared" si="1610"/>
        <v>Ghana</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Spain</v>
      </c>
      <c r="D95" s="231">
        <f>IF(E95="","",INDEX(Groups!$C$7:$C$65,MATCH(E95,Groups!$D$7:$D$65,0)))</f>
        <v>24</v>
      </c>
      <c r="E95" s="230" t="str">
        <f>'World Cup'!$R$50</f>
        <v>Austria</v>
      </c>
      <c r="F95" s="232" t="str">
        <f>IF(AND('World Cup'!$Q$51&lt;&gt;"",'World Cup'!$R$51&lt;&gt;""),'World Cup'!$Q$51,"")</f>
        <v/>
      </c>
      <c r="G95" s="233" t="str">
        <f>IF(AND('World Cup'!$Q$51&lt;&gt;"",'World Cup'!$R$51&lt;&gt;""),'World Cup'!$R$51,"")</f>
        <v/>
      </c>
      <c r="I95" s="229">
        <f t="shared" si="1482"/>
        <v>2</v>
      </c>
      <c r="J95" s="230" t="str">
        <f t="shared" si="1483"/>
        <v>Spain</v>
      </c>
      <c r="K95" s="231">
        <f t="shared" si="1484"/>
        <v>24</v>
      </c>
      <c r="L95" s="230" t="str">
        <f t="shared" si="1485"/>
        <v>Austria</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Spain</v>
      </c>
      <c r="X95" s="231">
        <f t="shared" si="1489"/>
        <v>24</v>
      </c>
      <c r="Y95" s="230" t="str">
        <f t="shared" si="1490"/>
        <v>Austria</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Spain</v>
      </c>
      <c r="AK95" s="231">
        <f t="shared" si="1494"/>
        <v>24</v>
      </c>
      <c r="AL95" s="230" t="str">
        <f t="shared" si="1495"/>
        <v>Austria</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Spain</v>
      </c>
      <c r="AX95" s="231">
        <f t="shared" si="1499"/>
        <v>24</v>
      </c>
      <c r="AY95" s="230" t="str">
        <f t="shared" si="1500"/>
        <v>Austria</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Spain</v>
      </c>
      <c r="BK95" s="231">
        <f t="shared" si="1504"/>
        <v>24</v>
      </c>
      <c r="BL95" s="230" t="str">
        <f t="shared" si="1505"/>
        <v>Austria</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Spain</v>
      </c>
      <c r="BX95" s="231">
        <f t="shared" si="1509"/>
        <v>24</v>
      </c>
      <c r="BY95" s="230" t="str">
        <f t="shared" si="1510"/>
        <v>Austria</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Spain</v>
      </c>
      <c r="CK95" s="231">
        <f t="shared" si="1514"/>
        <v>24</v>
      </c>
      <c r="CL95" s="230" t="str">
        <f t="shared" si="1515"/>
        <v>Austria</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Spain</v>
      </c>
      <c r="CX95" s="231">
        <f t="shared" si="1519"/>
        <v>24</v>
      </c>
      <c r="CY95" s="230" t="str">
        <f t="shared" si="1520"/>
        <v>Austria</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Spain</v>
      </c>
      <c r="DK95" s="231">
        <f t="shared" si="1524"/>
        <v>24</v>
      </c>
      <c r="DL95" s="230" t="str">
        <f t="shared" si="1525"/>
        <v>Austria</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Spain</v>
      </c>
      <c r="DX95" s="231">
        <f t="shared" si="1529"/>
        <v>24</v>
      </c>
      <c r="DY95" s="230" t="str">
        <f t="shared" si="1530"/>
        <v>Austria</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Spain</v>
      </c>
      <c r="EK95" s="231">
        <f t="shared" si="1534"/>
        <v>24</v>
      </c>
      <c r="EL95" s="230" t="str">
        <f t="shared" si="1535"/>
        <v>Austria</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Spain</v>
      </c>
      <c r="EX95" s="231">
        <f t="shared" si="1539"/>
        <v>24</v>
      </c>
      <c r="EY95" s="230" t="str">
        <f t="shared" si="1540"/>
        <v>Austria</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Spain</v>
      </c>
      <c r="FK95" s="231">
        <f t="shared" si="1544"/>
        <v>24</v>
      </c>
      <c r="FL95" s="230" t="str">
        <f t="shared" si="1545"/>
        <v>Austria</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Spain</v>
      </c>
      <c r="FX95" s="231">
        <f t="shared" si="1549"/>
        <v>24</v>
      </c>
      <c r="FY95" s="230" t="str">
        <f t="shared" si="1550"/>
        <v>Austria</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Spain</v>
      </c>
      <c r="GK95" s="231">
        <f t="shared" si="1554"/>
        <v>24</v>
      </c>
      <c r="GL95" s="230" t="str">
        <f t="shared" si="1555"/>
        <v>Austria</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Spain</v>
      </c>
      <c r="GX95" s="231">
        <f t="shared" si="1559"/>
        <v>24</v>
      </c>
      <c r="GY95" s="230" t="str">
        <f t="shared" si="1560"/>
        <v>Austria</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Spain</v>
      </c>
      <c r="HK95" s="231">
        <f t="shared" si="1564"/>
        <v>24</v>
      </c>
      <c r="HL95" s="230" t="str">
        <f t="shared" si="1565"/>
        <v>Austria</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Spain</v>
      </c>
      <c r="HX95" s="231">
        <f t="shared" si="1569"/>
        <v>24</v>
      </c>
      <c r="HY95" s="230" t="str">
        <f t="shared" si="1570"/>
        <v>Austria</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Spain</v>
      </c>
      <c r="IK95" s="231">
        <f t="shared" si="1574"/>
        <v>24</v>
      </c>
      <c r="IL95" s="230" t="str">
        <f t="shared" si="1575"/>
        <v>Austria</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Spain</v>
      </c>
      <c r="IX95" s="231">
        <f t="shared" si="1579"/>
        <v>24</v>
      </c>
      <c r="IY95" s="230" t="str">
        <f t="shared" si="1580"/>
        <v>Austria</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Spain</v>
      </c>
      <c r="JK95" s="231">
        <f t="shared" si="1584"/>
        <v>24</v>
      </c>
      <c r="JL95" s="230" t="str">
        <f t="shared" si="1585"/>
        <v>Austria</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Spain</v>
      </c>
      <c r="JX95" s="231">
        <f t="shared" si="1589"/>
        <v>24</v>
      </c>
      <c r="JY95" s="230" t="str">
        <f t="shared" si="1590"/>
        <v>Austria</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Spain</v>
      </c>
      <c r="KK95" s="231">
        <f t="shared" si="1594"/>
        <v>24</v>
      </c>
      <c r="KL95" s="230" t="str">
        <f t="shared" si="1595"/>
        <v>Austria</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Spain</v>
      </c>
      <c r="KX95" s="231">
        <f t="shared" si="1599"/>
        <v>24</v>
      </c>
      <c r="KY95" s="230" t="str">
        <f t="shared" si="1600"/>
        <v>Austria</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Spain</v>
      </c>
      <c r="LK95" s="231">
        <f t="shared" si="1604"/>
        <v>24</v>
      </c>
      <c r="LL95" s="230" t="str">
        <f t="shared" si="1605"/>
        <v>Austria</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Spain</v>
      </c>
      <c r="LX95" s="231">
        <f t="shared" si="1609"/>
        <v>24</v>
      </c>
      <c r="LY95" s="230" t="str">
        <f t="shared" si="1610"/>
        <v>Austria</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23</v>
      </c>
      <c r="E96" s="230" t="str">
        <f>'World Cup'!$U$50</f>
        <v>Ecuador</v>
      </c>
      <c r="F96" s="232" t="str">
        <f>IF(AND('World Cup'!$T$51&lt;&gt;"",'World Cup'!$U$51&lt;&gt;""),'World Cup'!$T$51,"")</f>
        <v/>
      </c>
      <c r="G96" s="233" t="str">
        <f>IF(AND('World Cup'!$T$51&lt;&gt;"",'World Cup'!$U$51&lt;&gt;""),'World Cup'!$U$51,"")</f>
        <v/>
      </c>
      <c r="I96" s="229">
        <f t="shared" si="1482"/>
        <v>16</v>
      </c>
      <c r="J96" s="230" t="str">
        <f t="shared" si="1483"/>
        <v>USA</v>
      </c>
      <c r="K96" s="231">
        <f t="shared" si="1484"/>
        <v>23</v>
      </c>
      <c r="L96" s="230" t="str">
        <f t="shared" si="1485"/>
        <v>Ecuador</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23</v>
      </c>
      <c r="Y96" s="230" t="str">
        <f t="shared" si="1490"/>
        <v>Ecuador</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23</v>
      </c>
      <c r="AL96" s="230" t="str">
        <f t="shared" si="1495"/>
        <v>Ecuador</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23</v>
      </c>
      <c r="AY96" s="230" t="str">
        <f t="shared" si="1500"/>
        <v>Ecuador</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23</v>
      </c>
      <c r="BL96" s="230" t="str">
        <f t="shared" si="1505"/>
        <v>Ecuador</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23</v>
      </c>
      <c r="BY96" s="230" t="str">
        <f t="shared" si="1510"/>
        <v>Ecuador</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23</v>
      </c>
      <c r="CL96" s="230" t="str">
        <f t="shared" si="1515"/>
        <v>Ecuador</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23</v>
      </c>
      <c r="CY96" s="230" t="str">
        <f t="shared" si="1520"/>
        <v>Ecuador</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23</v>
      </c>
      <c r="DL96" s="230" t="str">
        <f t="shared" si="1525"/>
        <v>Ecuador</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23</v>
      </c>
      <c r="DY96" s="230" t="str">
        <f t="shared" si="1530"/>
        <v>Ecuador</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23</v>
      </c>
      <c r="EL96" s="230" t="str">
        <f t="shared" si="1535"/>
        <v>Ecuador</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23</v>
      </c>
      <c r="EY96" s="230" t="str">
        <f t="shared" si="1540"/>
        <v>Ecuador</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23</v>
      </c>
      <c r="FL96" s="230" t="str">
        <f t="shared" si="1545"/>
        <v>Ecuador</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23</v>
      </c>
      <c r="FY96" s="230" t="str">
        <f t="shared" si="1550"/>
        <v>Ecuador</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23</v>
      </c>
      <c r="GL96" s="230" t="str">
        <f t="shared" si="1555"/>
        <v>Ecuador</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23</v>
      </c>
      <c r="GY96" s="230" t="str">
        <f t="shared" si="1560"/>
        <v>Ecuador</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23</v>
      </c>
      <c r="HL96" s="230" t="str">
        <f t="shared" si="1565"/>
        <v>Ecuador</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23</v>
      </c>
      <c r="HY96" s="230" t="str">
        <f t="shared" si="1570"/>
        <v>Ecuador</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23</v>
      </c>
      <c r="IL96" s="230" t="str">
        <f t="shared" si="1575"/>
        <v>Ecuador</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23</v>
      </c>
      <c r="IY96" s="230" t="str">
        <f t="shared" si="1580"/>
        <v>Ecuador</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23</v>
      </c>
      <c r="JL96" s="230" t="str">
        <f t="shared" si="1585"/>
        <v>Ecuador</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23</v>
      </c>
      <c r="JY96" s="230" t="str">
        <f t="shared" si="1590"/>
        <v>Ecuador</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23</v>
      </c>
      <c r="KL96" s="230" t="str">
        <f t="shared" si="1595"/>
        <v>Ecuador</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23</v>
      </c>
      <c r="KY96" s="230" t="str">
        <f t="shared" si="1600"/>
        <v>Ecuador</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23</v>
      </c>
      <c r="LL96" s="230" t="str">
        <f t="shared" si="1605"/>
        <v>Ecuador</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23</v>
      </c>
      <c r="LY96" s="230" t="str">
        <f t="shared" si="1610"/>
        <v>Ecuador</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29</v>
      </c>
      <c r="C97" s="230" t="str">
        <f>'World Cup'!$W$50</f>
        <v>Egypt</v>
      </c>
      <c r="D97" s="231">
        <f>IF(E97="","",INDEX(Groups!$C$7:$C$65,MATCH(E97,Groups!$D$7:$D$65,0)))</f>
        <v>41</v>
      </c>
      <c r="E97" s="230" t="str">
        <f>'World Cup'!$X$50</f>
        <v>Czechia</v>
      </c>
      <c r="F97" s="232" t="str">
        <f>IF(AND('World Cup'!$W$51&lt;&gt;"",'World Cup'!$X$51&lt;&gt;""),'World Cup'!$W$51,"")</f>
        <v/>
      </c>
      <c r="G97" s="233" t="str">
        <f>IF(AND('World Cup'!$W$51&lt;&gt;"",'World Cup'!$X$51&lt;&gt;""),'World Cup'!$X$51,"")</f>
        <v/>
      </c>
      <c r="I97" s="229">
        <f t="shared" si="1482"/>
        <v>29</v>
      </c>
      <c r="J97" s="230" t="str">
        <f t="shared" si="1483"/>
        <v>Egypt</v>
      </c>
      <c r="K97" s="231">
        <f t="shared" si="1484"/>
        <v>41</v>
      </c>
      <c r="L97" s="230" t="str">
        <f t="shared" si="1485"/>
        <v>Czechia</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29</v>
      </c>
      <c r="W97" s="230" t="str">
        <f t="shared" si="1488"/>
        <v>Egypt</v>
      </c>
      <c r="X97" s="231">
        <f t="shared" si="1489"/>
        <v>41</v>
      </c>
      <c r="Y97" s="230" t="str">
        <f t="shared" si="1490"/>
        <v>Czechia</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29</v>
      </c>
      <c r="AJ97" s="230" t="str">
        <f t="shared" si="1493"/>
        <v>Egypt</v>
      </c>
      <c r="AK97" s="231">
        <f t="shared" si="1494"/>
        <v>41</v>
      </c>
      <c r="AL97" s="230" t="str">
        <f t="shared" si="1495"/>
        <v>Czechia</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29</v>
      </c>
      <c r="AW97" s="230" t="str">
        <f t="shared" si="1498"/>
        <v>Egypt</v>
      </c>
      <c r="AX97" s="231">
        <f t="shared" si="1499"/>
        <v>41</v>
      </c>
      <c r="AY97" s="230" t="str">
        <f t="shared" si="1500"/>
        <v>Czechia</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29</v>
      </c>
      <c r="BJ97" s="230" t="str">
        <f t="shared" si="1503"/>
        <v>Egypt</v>
      </c>
      <c r="BK97" s="231">
        <f t="shared" si="1504"/>
        <v>41</v>
      </c>
      <c r="BL97" s="230" t="str">
        <f t="shared" si="1505"/>
        <v>Czechia</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29</v>
      </c>
      <c r="BW97" s="230" t="str">
        <f t="shared" si="1508"/>
        <v>Egypt</v>
      </c>
      <c r="BX97" s="231">
        <f t="shared" si="1509"/>
        <v>41</v>
      </c>
      <c r="BY97" s="230" t="str">
        <f t="shared" si="1510"/>
        <v>Czechia</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29</v>
      </c>
      <c r="CJ97" s="230" t="str">
        <f t="shared" si="1513"/>
        <v>Egypt</v>
      </c>
      <c r="CK97" s="231">
        <f t="shared" si="1514"/>
        <v>41</v>
      </c>
      <c r="CL97" s="230" t="str">
        <f t="shared" si="1515"/>
        <v>Czechia</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29</v>
      </c>
      <c r="CW97" s="230" t="str">
        <f t="shared" si="1518"/>
        <v>Egypt</v>
      </c>
      <c r="CX97" s="231">
        <f t="shared" si="1519"/>
        <v>41</v>
      </c>
      <c r="CY97" s="230" t="str">
        <f t="shared" si="1520"/>
        <v>Czechia</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29</v>
      </c>
      <c r="DJ97" s="230" t="str">
        <f t="shared" si="1523"/>
        <v>Egypt</v>
      </c>
      <c r="DK97" s="231">
        <f t="shared" si="1524"/>
        <v>41</v>
      </c>
      <c r="DL97" s="230" t="str">
        <f t="shared" si="1525"/>
        <v>Czechia</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29</v>
      </c>
      <c r="DW97" s="230" t="str">
        <f t="shared" si="1528"/>
        <v>Egypt</v>
      </c>
      <c r="DX97" s="231">
        <f t="shared" si="1529"/>
        <v>41</v>
      </c>
      <c r="DY97" s="230" t="str">
        <f t="shared" si="1530"/>
        <v>Czechia</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29</v>
      </c>
      <c r="EJ97" s="230" t="str">
        <f t="shared" si="1533"/>
        <v>Egypt</v>
      </c>
      <c r="EK97" s="231">
        <f t="shared" si="1534"/>
        <v>41</v>
      </c>
      <c r="EL97" s="230" t="str">
        <f t="shared" si="1535"/>
        <v>Czechia</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29</v>
      </c>
      <c r="EW97" s="230" t="str">
        <f t="shared" si="1538"/>
        <v>Egypt</v>
      </c>
      <c r="EX97" s="231">
        <f t="shared" si="1539"/>
        <v>41</v>
      </c>
      <c r="EY97" s="230" t="str">
        <f t="shared" si="1540"/>
        <v>Czechia</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29</v>
      </c>
      <c r="FJ97" s="230" t="str">
        <f t="shared" si="1543"/>
        <v>Egypt</v>
      </c>
      <c r="FK97" s="231">
        <f t="shared" si="1544"/>
        <v>41</v>
      </c>
      <c r="FL97" s="230" t="str">
        <f t="shared" si="1545"/>
        <v>Czechia</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29</v>
      </c>
      <c r="FW97" s="230" t="str">
        <f t="shared" si="1548"/>
        <v>Egypt</v>
      </c>
      <c r="FX97" s="231">
        <f t="shared" si="1549"/>
        <v>41</v>
      </c>
      <c r="FY97" s="230" t="str">
        <f t="shared" si="1550"/>
        <v>Czechia</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29</v>
      </c>
      <c r="GJ97" s="230" t="str">
        <f t="shared" si="1553"/>
        <v>Egypt</v>
      </c>
      <c r="GK97" s="231">
        <f t="shared" si="1554"/>
        <v>41</v>
      </c>
      <c r="GL97" s="230" t="str">
        <f t="shared" si="1555"/>
        <v>Czechia</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29</v>
      </c>
      <c r="GW97" s="230" t="str">
        <f t="shared" si="1558"/>
        <v>Egypt</v>
      </c>
      <c r="GX97" s="231">
        <f t="shared" si="1559"/>
        <v>41</v>
      </c>
      <c r="GY97" s="230" t="str">
        <f t="shared" si="1560"/>
        <v>Czechia</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29</v>
      </c>
      <c r="HJ97" s="230" t="str">
        <f t="shared" si="1563"/>
        <v>Egypt</v>
      </c>
      <c r="HK97" s="231">
        <f t="shared" si="1564"/>
        <v>41</v>
      </c>
      <c r="HL97" s="230" t="str">
        <f t="shared" si="1565"/>
        <v>Czechia</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29</v>
      </c>
      <c r="HW97" s="230" t="str">
        <f t="shared" si="1568"/>
        <v>Egypt</v>
      </c>
      <c r="HX97" s="231">
        <f t="shared" si="1569"/>
        <v>41</v>
      </c>
      <c r="HY97" s="230" t="str">
        <f t="shared" si="1570"/>
        <v>Czechia</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29</v>
      </c>
      <c r="IJ97" s="230" t="str">
        <f t="shared" si="1573"/>
        <v>Egypt</v>
      </c>
      <c r="IK97" s="231">
        <f t="shared" si="1574"/>
        <v>41</v>
      </c>
      <c r="IL97" s="230" t="str">
        <f t="shared" si="1575"/>
        <v>Czechia</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29</v>
      </c>
      <c r="IW97" s="230" t="str">
        <f t="shared" si="1578"/>
        <v>Egypt</v>
      </c>
      <c r="IX97" s="231">
        <f t="shared" si="1579"/>
        <v>41</v>
      </c>
      <c r="IY97" s="230" t="str">
        <f t="shared" si="1580"/>
        <v>Czechia</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29</v>
      </c>
      <c r="JJ97" s="230" t="str">
        <f t="shared" si="1583"/>
        <v>Egypt</v>
      </c>
      <c r="JK97" s="231">
        <f t="shared" si="1584"/>
        <v>41</v>
      </c>
      <c r="JL97" s="230" t="str">
        <f t="shared" si="1585"/>
        <v>Czechia</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29</v>
      </c>
      <c r="JW97" s="230" t="str">
        <f t="shared" si="1588"/>
        <v>Egypt</v>
      </c>
      <c r="JX97" s="231">
        <f t="shared" si="1589"/>
        <v>41</v>
      </c>
      <c r="JY97" s="230" t="str">
        <f t="shared" si="1590"/>
        <v>Czechia</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29</v>
      </c>
      <c r="KJ97" s="230" t="str">
        <f t="shared" si="1593"/>
        <v>Egypt</v>
      </c>
      <c r="KK97" s="231">
        <f t="shared" si="1594"/>
        <v>41</v>
      </c>
      <c r="KL97" s="230" t="str">
        <f t="shared" si="1595"/>
        <v>Czechia</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29</v>
      </c>
      <c r="KW97" s="230" t="str">
        <f t="shared" si="1598"/>
        <v>Egypt</v>
      </c>
      <c r="KX97" s="231">
        <f t="shared" si="1599"/>
        <v>41</v>
      </c>
      <c r="KY97" s="230" t="str">
        <f t="shared" si="1600"/>
        <v>Czechia</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29</v>
      </c>
      <c r="LJ97" s="230" t="str">
        <f t="shared" si="1603"/>
        <v>Egypt</v>
      </c>
      <c r="LK97" s="231">
        <f t="shared" si="1604"/>
        <v>41</v>
      </c>
      <c r="LL97" s="230" t="str">
        <f t="shared" si="1605"/>
        <v>Czechia</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29</v>
      </c>
      <c r="LW97" s="230" t="str">
        <f t="shared" si="1608"/>
        <v>Egypt</v>
      </c>
      <c r="LX97" s="231">
        <f t="shared" si="1609"/>
        <v>41</v>
      </c>
      <c r="LY97" s="230" t="str">
        <f t="shared" si="1610"/>
        <v>Czechia</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Brazil</v>
      </c>
      <c r="D98" s="231">
        <f>IF(E98="","",INDEX(Groups!$C$7:$C$65,MATCH(E98,Groups!$D$7:$D$65,0)))</f>
        <v>18</v>
      </c>
      <c r="E98" s="230" t="str">
        <f>'World Cup'!$AA$50</f>
        <v>Japan</v>
      </c>
      <c r="F98" s="232" t="str">
        <f>IF(AND('World Cup'!$Z$51&lt;&gt;"",'World Cup'!$AA$51&lt;&gt;""),'World Cup'!$Z$51,"")</f>
        <v/>
      </c>
      <c r="G98" s="233" t="str">
        <f>IF(AND('World Cup'!$Z$51&lt;&gt;"",'World Cup'!$AA$51&lt;&gt;""),'World Cup'!$AA$51,"")</f>
        <v/>
      </c>
      <c r="I98" s="229">
        <f t="shared" si="1482"/>
        <v>6</v>
      </c>
      <c r="J98" s="230" t="str">
        <f t="shared" si="1483"/>
        <v>Brazil</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Brazil</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Brazil</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Brazil</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Brazil</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Brazil</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Brazil</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Brazil</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Brazil</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Brazil</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Brazil</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Brazil</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Brazil</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Brazil</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Brazil</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Brazil</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Brazil</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Brazil</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Brazil</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Brazil</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Brazil</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Brazil</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Brazil</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Brazil</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Brazil</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Brazil</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Cote d'Ivoire</v>
      </c>
      <c r="D99" s="231">
        <f>IF(E99="","",INDEX(Groups!$C$7:$C$65,MATCH(E99,Groups!$D$7:$D$65,0)))</f>
        <v>1</v>
      </c>
      <c r="E99" s="230" t="str">
        <f>'World Cup'!$AD$50</f>
        <v>France</v>
      </c>
      <c r="F99" s="232" t="str">
        <f>IF(AND('World Cup'!$AC$51&lt;&gt;"",'World Cup'!$AD$51&lt;&gt;""),'World Cup'!$AC$51,"")</f>
        <v/>
      </c>
      <c r="G99" s="233" t="str">
        <f>IF(AND('World Cup'!$AC$51&lt;&gt;"",'World Cup'!$AD$51&lt;&gt;""),'World Cup'!$AD$51,"")</f>
        <v/>
      </c>
      <c r="I99" s="229">
        <f t="shared" si="1482"/>
        <v>34</v>
      </c>
      <c r="J99" s="230" t="str">
        <f t="shared" si="1483"/>
        <v>Cote d'Ivoire</v>
      </c>
      <c r="K99" s="231">
        <f t="shared" si="1484"/>
        <v>1</v>
      </c>
      <c r="L99" s="230" t="str">
        <f t="shared" si="1485"/>
        <v>France</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Cote d'Ivoire</v>
      </c>
      <c r="X99" s="231">
        <f t="shared" si="1489"/>
        <v>1</v>
      </c>
      <c r="Y99" s="230" t="str">
        <f t="shared" si="1490"/>
        <v>France</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Cote d'Ivoire</v>
      </c>
      <c r="AK99" s="231">
        <f t="shared" si="1494"/>
        <v>1</v>
      </c>
      <c r="AL99" s="230" t="str">
        <f t="shared" si="1495"/>
        <v>France</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Cote d'Ivoire</v>
      </c>
      <c r="AX99" s="231">
        <f t="shared" si="1499"/>
        <v>1</v>
      </c>
      <c r="AY99" s="230" t="str">
        <f t="shared" si="1500"/>
        <v>France</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Cote d'Ivoire</v>
      </c>
      <c r="BK99" s="231">
        <f t="shared" si="1504"/>
        <v>1</v>
      </c>
      <c r="BL99" s="230" t="str">
        <f t="shared" si="1505"/>
        <v>France</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Cote d'Ivoire</v>
      </c>
      <c r="BX99" s="231">
        <f t="shared" si="1509"/>
        <v>1</v>
      </c>
      <c r="BY99" s="230" t="str">
        <f t="shared" si="1510"/>
        <v>France</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Cote d'Ivoire</v>
      </c>
      <c r="CK99" s="231">
        <f t="shared" si="1514"/>
        <v>1</v>
      </c>
      <c r="CL99" s="230" t="str">
        <f t="shared" si="1515"/>
        <v>France</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Cote d'Ivoire</v>
      </c>
      <c r="CX99" s="231">
        <f t="shared" si="1519"/>
        <v>1</v>
      </c>
      <c r="CY99" s="230" t="str">
        <f t="shared" si="1520"/>
        <v>France</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Cote d'Ivoire</v>
      </c>
      <c r="DK99" s="231">
        <f t="shared" si="1524"/>
        <v>1</v>
      </c>
      <c r="DL99" s="230" t="str">
        <f t="shared" si="1525"/>
        <v>France</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Cote d'Ivoire</v>
      </c>
      <c r="DX99" s="231">
        <f t="shared" si="1529"/>
        <v>1</v>
      </c>
      <c r="DY99" s="230" t="str">
        <f t="shared" si="1530"/>
        <v>France</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Cote d'Ivoire</v>
      </c>
      <c r="EK99" s="231">
        <f t="shared" si="1534"/>
        <v>1</v>
      </c>
      <c r="EL99" s="230" t="str">
        <f t="shared" si="1535"/>
        <v>France</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Cote d'Ivoire</v>
      </c>
      <c r="EX99" s="231">
        <f t="shared" si="1539"/>
        <v>1</v>
      </c>
      <c r="EY99" s="230" t="str">
        <f t="shared" si="1540"/>
        <v>France</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Cote d'Ivoire</v>
      </c>
      <c r="FK99" s="231">
        <f t="shared" si="1544"/>
        <v>1</v>
      </c>
      <c r="FL99" s="230" t="str">
        <f t="shared" si="1545"/>
        <v>France</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Cote d'Ivoire</v>
      </c>
      <c r="FX99" s="231">
        <f t="shared" si="1549"/>
        <v>1</v>
      </c>
      <c r="FY99" s="230" t="str">
        <f t="shared" si="1550"/>
        <v>France</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Cote d'Ivoire</v>
      </c>
      <c r="GK99" s="231">
        <f t="shared" si="1554"/>
        <v>1</v>
      </c>
      <c r="GL99" s="230" t="str">
        <f t="shared" si="1555"/>
        <v>France</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Cote d'Ivoire</v>
      </c>
      <c r="GX99" s="231">
        <f t="shared" si="1559"/>
        <v>1</v>
      </c>
      <c r="GY99" s="230" t="str">
        <f t="shared" si="1560"/>
        <v>France</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Cote d'Ivoire</v>
      </c>
      <c r="HK99" s="231">
        <f t="shared" si="1564"/>
        <v>1</v>
      </c>
      <c r="HL99" s="230" t="str">
        <f t="shared" si="1565"/>
        <v>France</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Cote d'Ivoire</v>
      </c>
      <c r="HX99" s="231">
        <f t="shared" si="1569"/>
        <v>1</v>
      </c>
      <c r="HY99" s="230" t="str">
        <f t="shared" si="1570"/>
        <v>France</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Cote d'Ivoire</v>
      </c>
      <c r="IK99" s="231">
        <f t="shared" si="1574"/>
        <v>1</v>
      </c>
      <c r="IL99" s="230" t="str">
        <f t="shared" si="1575"/>
        <v>France</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Cote d'Ivoire</v>
      </c>
      <c r="IX99" s="231">
        <f t="shared" si="1579"/>
        <v>1</v>
      </c>
      <c r="IY99" s="230" t="str">
        <f t="shared" si="1580"/>
        <v>France</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Cote d'Ivoire</v>
      </c>
      <c r="JK99" s="231">
        <f t="shared" si="1584"/>
        <v>1</v>
      </c>
      <c r="JL99" s="230" t="str">
        <f t="shared" si="1585"/>
        <v>France</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Cote d'Ivoire</v>
      </c>
      <c r="JX99" s="231">
        <f t="shared" si="1589"/>
        <v>1</v>
      </c>
      <c r="JY99" s="230" t="str">
        <f t="shared" si="1590"/>
        <v>France</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Cote d'Ivoire</v>
      </c>
      <c r="KK99" s="231">
        <f t="shared" si="1594"/>
        <v>1</v>
      </c>
      <c r="KL99" s="230" t="str">
        <f t="shared" si="1595"/>
        <v>France</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Cote d'Ivoire</v>
      </c>
      <c r="KX99" s="231">
        <f t="shared" si="1599"/>
        <v>1</v>
      </c>
      <c r="KY99" s="230" t="str">
        <f t="shared" si="1600"/>
        <v>France</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Cote d'Ivoire</v>
      </c>
      <c r="LK99" s="231">
        <f t="shared" si="1604"/>
        <v>1</v>
      </c>
      <c r="LL99" s="230" t="str">
        <f t="shared" si="1605"/>
        <v>France</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Cote d'Ivoire</v>
      </c>
      <c r="LX99" s="231">
        <f t="shared" si="1609"/>
        <v>1</v>
      </c>
      <c r="LY99" s="230" t="str">
        <f t="shared" si="1610"/>
        <v>France</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Mexico</v>
      </c>
      <c r="D100" s="231">
        <f>IF(E100="","",INDEX(Groups!$C$7:$C$65,MATCH(E100,Groups!$D$7:$D$65,0)))</f>
        <v>69</v>
      </c>
      <c r="E100" s="230" t="str">
        <f>'World Cup'!$AG$50</f>
        <v>Cabo Verde</v>
      </c>
      <c r="F100" s="232" t="str">
        <f>IF(AND('World Cup'!$AF$51&lt;&gt;"",'World Cup'!$AG$51&lt;&gt;""),'World Cup'!$AF$51,"")</f>
        <v/>
      </c>
      <c r="G100" s="233" t="str">
        <f>IF(AND('World Cup'!$AF$51&lt;&gt;"",'World Cup'!$AG$51&lt;&gt;""),'World Cup'!$AG$51,"")</f>
        <v/>
      </c>
      <c r="I100" s="229">
        <f t="shared" si="1482"/>
        <v>15</v>
      </c>
      <c r="J100" s="230" t="str">
        <f t="shared" si="1483"/>
        <v>Mexico</v>
      </c>
      <c r="K100" s="231">
        <f t="shared" si="1484"/>
        <v>69</v>
      </c>
      <c r="L100" s="230" t="str">
        <f t="shared" si="1485"/>
        <v>Cabo Verde</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Mexico</v>
      </c>
      <c r="X100" s="231">
        <f t="shared" si="1489"/>
        <v>69</v>
      </c>
      <c r="Y100" s="230" t="str">
        <f t="shared" si="1490"/>
        <v>Cabo Verde</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Mexico</v>
      </c>
      <c r="AK100" s="231">
        <f t="shared" si="1494"/>
        <v>69</v>
      </c>
      <c r="AL100" s="230" t="str">
        <f t="shared" si="1495"/>
        <v>Cabo Verde</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Mexico</v>
      </c>
      <c r="AX100" s="231">
        <f t="shared" si="1499"/>
        <v>69</v>
      </c>
      <c r="AY100" s="230" t="str">
        <f t="shared" si="1500"/>
        <v>Cabo Verde</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Mexico</v>
      </c>
      <c r="BK100" s="231">
        <f t="shared" si="1504"/>
        <v>69</v>
      </c>
      <c r="BL100" s="230" t="str">
        <f t="shared" si="1505"/>
        <v>Cabo Verde</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Mexico</v>
      </c>
      <c r="BX100" s="231">
        <f t="shared" si="1509"/>
        <v>69</v>
      </c>
      <c r="BY100" s="230" t="str">
        <f t="shared" si="1510"/>
        <v>Cabo Verde</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Mexico</v>
      </c>
      <c r="CK100" s="231">
        <f t="shared" si="1514"/>
        <v>69</v>
      </c>
      <c r="CL100" s="230" t="str">
        <f t="shared" si="1515"/>
        <v>Cabo Verde</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Mexico</v>
      </c>
      <c r="CX100" s="231">
        <f t="shared" si="1519"/>
        <v>69</v>
      </c>
      <c r="CY100" s="230" t="str">
        <f t="shared" si="1520"/>
        <v>Cabo Verde</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Mexico</v>
      </c>
      <c r="DK100" s="231">
        <f t="shared" si="1524"/>
        <v>69</v>
      </c>
      <c r="DL100" s="230" t="str">
        <f t="shared" si="1525"/>
        <v>Cabo Verde</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Mexico</v>
      </c>
      <c r="DX100" s="231">
        <f t="shared" si="1529"/>
        <v>69</v>
      </c>
      <c r="DY100" s="230" t="str">
        <f t="shared" si="1530"/>
        <v>Cabo Verde</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Mexico</v>
      </c>
      <c r="EK100" s="231">
        <f t="shared" si="1534"/>
        <v>69</v>
      </c>
      <c r="EL100" s="230" t="str">
        <f t="shared" si="1535"/>
        <v>Cabo Verde</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Mexico</v>
      </c>
      <c r="EX100" s="231">
        <f t="shared" si="1539"/>
        <v>69</v>
      </c>
      <c r="EY100" s="230" t="str">
        <f t="shared" si="1540"/>
        <v>Cabo Verde</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Mexico</v>
      </c>
      <c r="FK100" s="231">
        <f t="shared" si="1544"/>
        <v>69</v>
      </c>
      <c r="FL100" s="230" t="str">
        <f t="shared" si="1545"/>
        <v>Cabo Verde</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Mexico</v>
      </c>
      <c r="FX100" s="231">
        <f t="shared" si="1549"/>
        <v>69</v>
      </c>
      <c r="FY100" s="230" t="str">
        <f t="shared" si="1550"/>
        <v>Cabo Verde</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Mexico</v>
      </c>
      <c r="GK100" s="231">
        <f t="shared" si="1554"/>
        <v>69</v>
      </c>
      <c r="GL100" s="230" t="str">
        <f t="shared" si="1555"/>
        <v>Cabo Verde</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Mexico</v>
      </c>
      <c r="GX100" s="231">
        <f t="shared" si="1559"/>
        <v>69</v>
      </c>
      <c r="GY100" s="230" t="str">
        <f t="shared" si="1560"/>
        <v>Cabo Verde</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Mexico</v>
      </c>
      <c r="HK100" s="231">
        <f t="shared" si="1564"/>
        <v>69</v>
      </c>
      <c r="HL100" s="230" t="str">
        <f t="shared" si="1565"/>
        <v>Cabo Verde</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Mexico</v>
      </c>
      <c r="HX100" s="231">
        <f t="shared" si="1569"/>
        <v>69</v>
      </c>
      <c r="HY100" s="230" t="str">
        <f t="shared" si="1570"/>
        <v>Cabo Verde</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Mexico</v>
      </c>
      <c r="IK100" s="231">
        <f t="shared" si="1574"/>
        <v>69</v>
      </c>
      <c r="IL100" s="230" t="str">
        <f t="shared" si="1575"/>
        <v>Cabo Verde</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Mexico</v>
      </c>
      <c r="IX100" s="231">
        <f t="shared" si="1579"/>
        <v>69</v>
      </c>
      <c r="IY100" s="230" t="str">
        <f t="shared" si="1580"/>
        <v>Cabo Verde</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Mexico</v>
      </c>
      <c r="JK100" s="231">
        <f t="shared" si="1584"/>
        <v>69</v>
      </c>
      <c r="JL100" s="230" t="str">
        <f t="shared" si="1585"/>
        <v>Cabo Verde</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Mexico</v>
      </c>
      <c r="JX100" s="231">
        <f t="shared" si="1589"/>
        <v>69</v>
      </c>
      <c r="JY100" s="230" t="str">
        <f t="shared" si="1590"/>
        <v>Cabo Verde</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Mexico</v>
      </c>
      <c r="KK100" s="231">
        <f t="shared" si="1594"/>
        <v>69</v>
      </c>
      <c r="KL100" s="230" t="str">
        <f t="shared" si="1595"/>
        <v>Cabo Verde</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Mexico</v>
      </c>
      <c r="KX100" s="231">
        <f t="shared" si="1599"/>
        <v>69</v>
      </c>
      <c r="KY100" s="230" t="str">
        <f t="shared" si="1600"/>
        <v>Cabo Verde</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Mexico</v>
      </c>
      <c r="LK100" s="231">
        <f t="shared" si="1604"/>
        <v>69</v>
      </c>
      <c r="LL100" s="230" t="str">
        <f t="shared" si="1605"/>
        <v>Cabo Verde</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Mexico</v>
      </c>
      <c r="LX100" s="231">
        <f t="shared" si="1609"/>
        <v>69</v>
      </c>
      <c r="LY100" s="230" t="str">
        <f t="shared" si="1610"/>
        <v>Cabo Verde</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5</v>
      </c>
      <c r="E101" s="230" t="str">
        <f>'World Cup'!$AJ$50</f>
        <v>Portugal</v>
      </c>
      <c r="F101" s="232" t="str">
        <f>IF(AND('World Cup'!$AI$51&lt;&gt;"",'World Cup'!$AJ$51&lt;&gt;""),'World Cup'!$AI$51,"")</f>
        <v/>
      </c>
      <c r="G101" s="233" t="str">
        <f>IF(AND('World Cup'!$AI$51&lt;&gt;"",'World Cup'!$AJ$51&lt;&gt;""),'World Cup'!$AJ$51,"")</f>
        <v/>
      </c>
      <c r="I101" s="229">
        <f t="shared" si="1482"/>
        <v>4</v>
      </c>
      <c r="J101" s="230" t="str">
        <f t="shared" si="1483"/>
        <v>England</v>
      </c>
      <c r="K101" s="231">
        <f t="shared" si="1484"/>
        <v>5</v>
      </c>
      <c r="L101" s="230" t="str">
        <f t="shared" si="1485"/>
        <v>Portugal</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5</v>
      </c>
      <c r="Y101" s="230" t="str">
        <f t="shared" si="1490"/>
        <v>Portugal</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5</v>
      </c>
      <c r="AL101" s="230" t="str">
        <f t="shared" si="1495"/>
        <v>Portugal</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5</v>
      </c>
      <c r="AY101" s="230" t="str">
        <f t="shared" si="1500"/>
        <v>Portugal</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5</v>
      </c>
      <c r="BL101" s="230" t="str">
        <f t="shared" si="1505"/>
        <v>Portugal</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5</v>
      </c>
      <c r="BY101" s="230" t="str">
        <f t="shared" si="1510"/>
        <v>Portugal</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5</v>
      </c>
      <c r="CL101" s="230" t="str">
        <f t="shared" si="1515"/>
        <v>Portugal</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5</v>
      </c>
      <c r="CY101" s="230" t="str">
        <f t="shared" si="1520"/>
        <v>Portugal</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5</v>
      </c>
      <c r="DL101" s="230" t="str">
        <f t="shared" si="1525"/>
        <v>Portugal</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5</v>
      </c>
      <c r="DY101" s="230" t="str">
        <f t="shared" si="1530"/>
        <v>Portugal</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5</v>
      </c>
      <c r="EL101" s="230" t="str">
        <f t="shared" si="1535"/>
        <v>Portugal</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5</v>
      </c>
      <c r="EY101" s="230" t="str">
        <f t="shared" si="1540"/>
        <v>Portugal</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5</v>
      </c>
      <c r="FL101" s="230" t="str">
        <f t="shared" si="1545"/>
        <v>Portugal</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5</v>
      </c>
      <c r="FY101" s="230" t="str">
        <f t="shared" si="1550"/>
        <v>Portugal</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5</v>
      </c>
      <c r="GL101" s="230" t="str">
        <f t="shared" si="1555"/>
        <v>Portugal</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5</v>
      </c>
      <c r="GY101" s="230" t="str">
        <f t="shared" si="1560"/>
        <v>Portugal</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5</v>
      </c>
      <c r="HL101" s="230" t="str">
        <f t="shared" si="1565"/>
        <v>Portugal</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5</v>
      </c>
      <c r="HY101" s="230" t="str">
        <f t="shared" si="1570"/>
        <v>Portugal</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5</v>
      </c>
      <c r="IL101" s="230" t="str">
        <f t="shared" si="1575"/>
        <v>Portugal</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5</v>
      </c>
      <c r="IY101" s="230" t="str">
        <f t="shared" si="1580"/>
        <v>Portugal</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5</v>
      </c>
      <c r="JL101" s="230" t="str">
        <f t="shared" si="1585"/>
        <v>Portugal</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5</v>
      </c>
      <c r="JY101" s="230" t="str">
        <f t="shared" si="1590"/>
        <v>Portugal</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5</v>
      </c>
      <c r="KL101" s="230" t="str">
        <f t="shared" si="1595"/>
        <v>Portugal</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5</v>
      </c>
      <c r="KY101" s="230" t="str">
        <f t="shared" si="1600"/>
        <v>Portugal</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5</v>
      </c>
      <c r="LL101" s="230" t="str">
        <f t="shared" si="1605"/>
        <v>Portugal</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5</v>
      </c>
      <c r="LY101" s="230" t="str">
        <f t="shared" si="1610"/>
        <v>Portugal</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Argentina</v>
      </c>
      <c r="D102" s="231">
        <f>IF(E102="","",INDEX(Groups!$C$7:$C$65,MATCH(E102,Groups!$D$7:$D$65,0)))</f>
        <v>17</v>
      </c>
      <c r="E102" s="230" t="str">
        <f>'World Cup'!$AM$50</f>
        <v>Uruguay</v>
      </c>
      <c r="F102" s="232" t="str">
        <f>IF(AND('World Cup'!$AL$51&lt;&gt;"",'World Cup'!$AM$51&lt;&gt;""),'World Cup'!$AL$51,"")</f>
        <v/>
      </c>
      <c r="G102" s="233" t="str">
        <f>IF(AND('World Cup'!$AL$51&lt;&gt;"",'World Cup'!$AM$51&lt;&gt;""),'World Cup'!$AM$51,"")</f>
        <v/>
      </c>
      <c r="I102" s="229">
        <f t="shared" si="1482"/>
        <v>3</v>
      </c>
      <c r="J102" s="230" t="str">
        <f t="shared" si="1483"/>
        <v>Argentina</v>
      </c>
      <c r="K102" s="231">
        <f t="shared" si="1484"/>
        <v>17</v>
      </c>
      <c r="L102" s="230" t="str">
        <f t="shared" si="1485"/>
        <v>Uruguay</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Argentina</v>
      </c>
      <c r="X102" s="231">
        <f t="shared" si="1489"/>
        <v>17</v>
      </c>
      <c r="Y102" s="230" t="str">
        <f t="shared" si="1490"/>
        <v>Uruguay</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Argentina</v>
      </c>
      <c r="AK102" s="231">
        <f t="shared" si="1494"/>
        <v>17</v>
      </c>
      <c r="AL102" s="230" t="str">
        <f t="shared" si="1495"/>
        <v>Uruguay</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Argentina</v>
      </c>
      <c r="AX102" s="231">
        <f t="shared" si="1499"/>
        <v>17</v>
      </c>
      <c r="AY102" s="230" t="str">
        <f t="shared" si="1500"/>
        <v>Uruguay</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Argentina</v>
      </c>
      <c r="BK102" s="231">
        <f t="shared" si="1504"/>
        <v>17</v>
      </c>
      <c r="BL102" s="230" t="str">
        <f t="shared" si="1505"/>
        <v>Uruguay</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Argentina</v>
      </c>
      <c r="BX102" s="231">
        <f t="shared" si="1509"/>
        <v>17</v>
      </c>
      <c r="BY102" s="230" t="str">
        <f t="shared" si="1510"/>
        <v>Uruguay</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Argentina</v>
      </c>
      <c r="CK102" s="231">
        <f t="shared" si="1514"/>
        <v>17</v>
      </c>
      <c r="CL102" s="230" t="str">
        <f t="shared" si="1515"/>
        <v>Uruguay</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Argentina</v>
      </c>
      <c r="CX102" s="231">
        <f t="shared" si="1519"/>
        <v>17</v>
      </c>
      <c r="CY102" s="230" t="str">
        <f t="shared" si="1520"/>
        <v>Uruguay</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Argentina</v>
      </c>
      <c r="DK102" s="231">
        <f t="shared" si="1524"/>
        <v>17</v>
      </c>
      <c r="DL102" s="230" t="str">
        <f t="shared" si="1525"/>
        <v>Uruguay</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Argentina</v>
      </c>
      <c r="DX102" s="231">
        <f t="shared" si="1529"/>
        <v>17</v>
      </c>
      <c r="DY102" s="230" t="str">
        <f t="shared" si="1530"/>
        <v>Uruguay</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Argentina</v>
      </c>
      <c r="EK102" s="231">
        <f t="shared" si="1534"/>
        <v>17</v>
      </c>
      <c r="EL102" s="230" t="str">
        <f t="shared" si="1535"/>
        <v>Uruguay</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Argentina</v>
      </c>
      <c r="EX102" s="231">
        <f t="shared" si="1539"/>
        <v>17</v>
      </c>
      <c r="EY102" s="230" t="str">
        <f t="shared" si="1540"/>
        <v>Uruguay</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Argentina</v>
      </c>
      <c r="FK102" s="231">
        <f t="shared" si="1544"/>
        <v>17</v>
      </c>
      <c r="FL102" s="230" t="str">
        <f t="shared" si="1545"/>
        <v>Uruguay</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Argentina</v>
      </c>
      <c r="FX102" s="231">
        <f t="shared" si="1549"/>
        <v>17</v>
      </c>
      <c r="FY102" s="230" t="str">
        <f t="shared" si="1550"/>
        <v>Uruguay</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Argentina</v>
      </c>
      <c r="GK102" s="231">
        <f t="shared" si="1554"/>
        <v>17</v>
      </c>
      <c r="GL102" s="230" t="str">
        <f t="shared" si="1555"/>
        <v>Uruguay</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Argentina</v>
      </c>
      <c r="GX102" s="231">
        <f t="shared" si="1559"/>
        <v>17</v>
      </c>
      <c r="GY102" s="230" t="str">
        <f t="shared" si="1560"/>
        <v>Uruguay</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Argentina</v>
      </c>
      <c r="HK102" s="231">
        <f t="shared" si="1564"/>
        <v>17</v>
      </c>
      <c r="HL102" s="230" t="str">
        <f t="shared" si="1565"/>
        <v>Uruguay</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Argentina</v>
      </c>
      <c r="HX102" s="231">
        <f t="shared" si="1569"/>
        <v>17</v>
      </c>
      <c r="HY102" s="230" t="str">
        <f t="shared" si="1570"/>
        <v>Uruguay</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Argentina</v>
      </c>
      <c r="IK102" s="231">
        <f t="shared" si="1574"/>
        <v>17</v>
      </c>
      <c r="IL102" s="230" t="str">
        <f t="shared" si="1575"/>
        <v>Uruguay</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Argentina</v>
      </c>
      <c r="IX102" s="231">
        <f t="shared" si="1579"/>
        <v>17</v>
      </c>
      <c r="IY102" s="230" t="str">
        <f t="shared" si="1580"/>
        <v>Uruguay</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Argentina</v>
      </c>
      <c r="JK102" s="231">
        <f t="shared" si="1584"/>
        <v>17</v>
      </c>
      <c r="JL102" s="230" t="str">
        <f t="shared" si="1585"/>
        <v>Uruguay</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Argentina</v>
      </c>
      <c r="JX102" s="231">
        <f t="shared" si="1589"/>
        <v>17</v>
      </c>
      <c r="JY102" s="230" t="str">
        <f t="shared" si="1590"/>
        <v>Uruguay</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Argentina</v>
      </c>
      <c r="KK102" s="231">
        <f t="shared" si="1594"/>
        <v>17</v>
      </c>
      <c r="KL102" s="230" t="str">
        <f t="shared" si="1595"/>
        <v>Uruguay</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Argentina</v>
      </c>
      <c r="KX102" s="231">
        <f t="shared" si="1599"/>
        <v>17</v>
      </c>
      <c r="KY102" s="230" t="str">
        <f t="shared" si="1600"/>
        <v>Uruguay</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Argentina</v>
      </c>
      <c r="LK102" s="231">
        <f t="shared" si="1604"/>
        <v>17</v>
      </c>
      <c r="LL102" s="230" t="str">
        <f t="shared" si="1605"/>
        <v>Uruguay</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Argentina</v>
      </c>
      <c r="LX102" s="231">
        <f t="shared" si="1609"/>
        <v>17</v>
      </c>
      <c r="LY102" s="230" t="str">
        <f t="shared" si="1610"/>
        <v>Uruguay</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Australia</v>
      </c>
      <c r="D103" s="231">
        <f>IF(E103="","",INDEX(Groups!$C$7:$C$65,MATCH(E103,Groups!$D$7:$D$65,0)))</f>
        <v>21</v>
      </c>
      <c r="E103" s="230" t="str">
        <f>'World Cup'!$AP$50</f>
        <v>IR Iran</v>
      </c>
      <c r="F103" s="232" t="str">
        <f>IF(AND('World Cup'!$AO$51&lt;&gt;"",'World Cup'!$AP$51&lt;&gt;""),'World Cup'!$AO$51,"")</f>
        <v/>
      </c>
      <c r="G103" s="233" t="str">
        <f>IF(AND('World Cup'!$AO$51&lt;&gt;"",'World Cup'!$AP$51&lt;&gt;""),'World Cup'!$AP$51,"")</f>
        <v/>
      </c>
      <c r="I103" s="229">
        <f t="shared" si="1482"/>
        <v>27</v>
      </c>
      <c r="J103" s="230" t="str">
        <f t="shared" si="1483"/>
        <v>Australia</v>
      </c>
      <c r="K103" s="231">
        <f t="shared" si="1484"/>
        <v>21</v>
      </c>
      <c r="L103" s="230" t="str">
        <f t="shared" si="1485"/>
        <v>IR Iran</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Australia</v>
      </c>
      <c r="X103" s="231">
        <f t="shared" si="1489"/>
        <v>21</v>
      </c>
      <c r="Y103" s="230" t="str">
        <f t="shared" si="1490"/>
        <v>IR Iran</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Australia</v>
      </c>
      <c r="AK103" s="231">
        <f t="shared" si="1494"/>
        <v>21</v>
      </c>
      <c r="AL103" s="230" t="str">
        <f t="shared" si="1495"/>
        <v>IR Iran</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Australia</v>
      </c>
      <c r="AX103" s="231">
        <f t="shared" si="1499"/>
        <v>21</v>
      </c>
      <c r="AY103" s="230" t="str">
        <f t="shared" si="1500"/>
        <v>IR Iran</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Australia</v>
      </c>
      <c r="BK103" s="231">
        <f t="shared" si="1504"/>
        <v>21</v>
      </c>
      <c r="BL103" s="230" t="str">
        <f t="shared" si="1505"/>
        <v>IR Iran</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Australia</v>
      </c>
      <c r="BX103" s="231">
        <f t="shared" si="1509"/>
        <v>21</v>
      </c>
      <c r="BY103" s="230" t="str">
        <f t="shared" si="1510"/>
        <v>IR Iran</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Australia</v>
      </c>
      <c r="CK103" s="231">
        <f t="shared" si="1514"/>
        <v>21</v>
      </c>
      <c r="CL103" s="230" t="str">
        <f t="shared" si="1515"/>
        <v>IR Iran</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Australia</v>
      </c>
      <c r="CX103" s="231">
        <f t="shared" si="1519"/>
        <v>21</v>
      </c>
      <c r="CY103" s="230" t="str">
        <f t="shared" si="1520"/>
        <v>IR Iran</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Australia</v>
      </c>
      <c r="DK103" s="231">
        <f t="shared" si="1524"/>
        <v>21</v>
      </c>
      <c r="DL103" s="230" t="str">
        <f t="shared" si="1525"/>
        <v>IR Iran</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Australia</v>
      </c>
      <c r="DX103" s="231">
        <f t="shared" si="1529"/>
        <v>21</v>
      </c>
      <c r="DY103" s="230" t="str">
        <f t="shared" si="1530"/>
        <v>IR Iran</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Australia</v>
      </c>
      <c r="EK103" s="231">
        <f t="shared" si="1534"/>
        <v>21</v>
      </c>
      <c r="EL103" s="230" t="str">
        <f t="shared" si="1535"/>
        <v>IR Iran</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Australia</v>
      </c>
      <c r="EX103" s="231">
        <f t="shared" si="1539"/>
        <v>21</v>
      </c>
      <c r="EY103" s="230" t="str">
        <f t="shared" si="1540"/>
        <v>IR Iran</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Australia</v>
      </c>
      <c r="FK103" s="231">
        <f t="shared" si="1544"/>
        <v>21</v>
      </c>
      <c r="FL103" s="230" t="str">
        <f t="shared" si="1545"/>
        <v>IR Iran</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Australia</v>
      </c>
      <c r="FX103" s="231">
        <f t="shared" si="1549"/>
        <v>21</v>
      </c>
      <c r="FY103" s="230" t="str">
        <f t="shared" si="1550"/>
        <v>IR Iran</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Australia</v>
      </c>
      <c r="GK103" s="231">
        <f t="shared" si="1554"/>
        <v>21</v>
      </c>
      <c r="GL103" s="230" t="str">
        <f t="shared" si="1555"/>
        <v>IR Iran</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Australia</v>
      </c>
      <c r="GX103" s="231">
        <f t="shared" si="1559"/>
        <v>21</v>
      </c>
      <c r="GY103" s="230" t="str">
        <f t="shared" si="1560"/>
        <v>IR Iran</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Australia</v>
      </c>
      <c r="HK103" s="231">
        <f t="shared" si="1564"/>
        <v>21</v>
      </c>
      <c r="HL103" s="230" t="str">
        <f t="shared" si="1565"/>
        <v>IR Iran</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Australia</v>
      </c>
      <c r="HX103" s="231">
        <f t="shared" si="1569"/>
        <v>21</v>
      </c>
      <c r="HY103" s="230" t="str">
        <f t="shared" si="1570"/>
        <v>IR Iran</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Australia</v>
      </c>
      <c r="IK103" s="231">
        <f t="shared" si="1574"/>
        <v>21</v>
      </c>
      <c r="IL103" s="230" t="str">
        <f t="shared" si="1575"/>
        <v>IR Iran</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Australia</v>
      </c>
      <c r="IX103" s="231">
        <f t="shared" si="1579"/>
        <v>21</v>
      </c>
      <c r="IY103" s="230" t="str">
        <f t="shared" si="1580"/>
        <v>IR Iran</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Australia</v>
      </c>
      <c r="JK103" s="231">
        <f t="shared" si="1584"/>
        <v>21</v>
      </c>
      <c r="JL103" s="230" t="str">
        <f t="shared" si="1585"/>
        <v>IR Iran</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Australia</v>
      </c>
      <c r="JX103" s="231">
        <f t="shared" si="1589"/>
        <v>21</v>
      </c>
      <c r="JY103" s="230" t="str">
        <f t="shared" si="1590"/>
        <v>IR Iran</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Australia</v>
      </c>
      <c r="KK103" s="231">
        <f t="shared" si="1594"/>
        <v>21</v>
      </c>
      <c r="KL103" s="230" t="str">
        <f t="shared" si="1595"/>
        <v>IR Iran</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Australia</v>
      </c>
      <c r="KX103" s="231">
        <f t="shared" si="1599"/>
        <v>21</v>
      </c>
      <c r="KY103" s="230" t="str">
        <f t="shared" si="1600"/>
        <v>IR Iran</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Australia</v>
      </c>
      <c r="LK103" s="231">
        <f t="shared" si="1604"/>
        <v>21</v>
      </c>
      <c r="LL103" s="230" t="str">
        <f t="shared" si="1605"/>
        <v>IR Iran</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Australia</v>
      </c>
      <c r="LX103" s="231">
        <f t="shared" si="1609"/>
        <v>21</v>
      </c>
      <c r="LY103" s="230" t="str">
        <f t="shared" si="1610"/>
        <v>IR Iran</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30</v>
      </c>
      <c r="C104" s="230" t="str">
        <f>'World Cup'!$AR$50</f>
        <v>Canada</v>
      </c>
      <c r="D104" s="231">
        <f>IF(E104="","",INDEX(Groups!$C$7:$C$65,MATCH(E104,Groups!$D$7:$D$65,0)))</f>
        <v>9</v>
      </c>
      <c r="E104" s="230" t="str">
        <f>'World Cup'!$AS$50</f>
        <v>Belgium</v>
      </c>
      <c r="F104" s="232" t="str">
        <f>IF(AND('World Cup'!$AR$51&lt;&gt;"",'World Cup'!$AS$51&lt;&gt;""),'World Cup'!$AR$51,"")</f>
        <v/>
      </c>
      <c r="G104" s="233" t="str">
        <f>IF(AND('World Cup'!$AR$51&lt;&gt;"",'World Cup'!$AS$51&lt;&gt;""),'World Cup'!$AS$51,"")</f>
        <v/>
      </c>
      <c r="I104" s="229">
        <f t="shared" si="1482"/>
        <v>30</v>
      </c>
      <c r="J104" s="230" t="str">
        <f t="shared" si="1483"/>
        <v>Canada</v>
      </c>
      <c r="K104" s="231">
        <f t="shared" si="1484"/>
        <v>9</v>
      </c>
      <c r="L104" s="230" t="str">
        <f t="shared" si="1485"/>
        <v>Belgium</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30</v>
      </c>
      <c r="W104" s="230" t="str">
        <f t="shared" si="1488"/>
        <v>Canada</v>
      </c>
      <c r="X104" s="231">
        <f t="shared" si="1489"/>
        <v>9</v>
      </c>
      <c r="Y104" s="230" t="str">
        <f t="shared" si="1490"/>
        <v>Belgium</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30</v>
      </c>
      <c r="AJ104" s="230" t="str">
        <f t="shared" si="1493"/>
        <v>Canada</v>
      </c>
      <c r="AK104" s="231">
        <f t="shared" si="1494"/>
        <v>9</v>
      </c>
      <c r="AL104" s="230" t="str">
        <f t="shared" si="1495"/>
        <v>Belgium</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30</v>
      </c>
      <c r="AW104" s="230" t="str">
        <f t="shared" si="1498"/>
        <v>Canada</v>
      </c>
      <c r="AX104" s="231">
        <f t="shared" si="1499"/>
        <v>9</v>
      </c>
      <c r="AY104" s="230" t="str">
        <f t="shared" si="1500"/>
        <v>Belgium</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30</v>
      </c>
      <c r="BJ104" s="230" t="str">
        <f t="shared" si="1503"/>
        <v>Canada</v>
      </c>
      <c r="BK104" s="231">
        <f t="shared" si="1504"/>
        <v>9</v>
      </c>
      <c r="BL104" s="230" t="str">
        <f t="shared" si="1505"/>
        <v>Belgium</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30</v>
      </c>
      <c r="BW104" s="230" t="str">
        <f t="shared" si="1508"/>
        <v>Canada</v>
      </c>
      <c r="BX104" s="231">
        <f t="shared" si="1509"/>
        <v>9</v>
      </c>
      <c r="BY104" s="230" t="str">
        <f t="shared" si="1510"/>
        <v>Belgium</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30</v>
      </c>
      <c r="CJ104" s="230" t="str">
        <f t="shared" si="1513"/>
        <v>Canada</v>
      </c>
      <c r="CK104" s="231">
        <f t="shared" si="1514"/>
        <v>9</v>
      </c>
      <c r="CL104" s="230" t="str">
        <f t="shared" si="1515"/>
        <v>Belgium</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30</v>
      </c>
      <c r="CW104" s="230" t="str">
        <f t="shared" si="1518"/>
        <v>Canada</v>
      </c>
      <c r="CX104" s="231">
        <f t="shared" si="1519"/>
        <v>9</v>
      </c>
      <c r="CY104" s="230" t="str">
        <f t="shared" si="1520"/>
        <v>Belgium</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30</v>
      </c>
      <c r="DJ104" s="230" t="str">
        <f t="shared" si="1523"/>
        <v>Canada</v>
      </c>
      <c r="DK104" s="231">
        <f t="shared" si="1524"/>
        <v>9</v>
      </c>
      <c r="DL104" s="230" t="str">
        <f t="shared" si="1525"/>
        <v>Belgium</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30</v>
      </c>
      <c r="DW104" s="230" t="str">
        <f t="shared" si="1528"/>
        <v>Canada</v>
      </c>
      <c r="DX104" s="231">
        <f t="shared" si="1529"/>
        <v>9</v>
      </c>
      <c r="DY104" s="230" t="str">
        <f t="shared" si="1530"/>
        <v>Belgium</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30</v>
      </c>
      <c r="EJ104" s="230" t="str">
        <f t="shared" si="1533"/>
        <v>Canada</v>
      </c>
      <c r="EK104" s="231">
        <f t="shared" si="1534"/>
        <v>9</v>
      </c>
      <c r="EL104" s="230" t="str">
        <f t="shared" si="1535"/>
        <v>Belgium</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30</v>
      </c>
      <c r="EW104" s="230" t="str">
        <f t="shared" si="1538"/>
        <v>Canada</v>
      </c>
      <c r="EX104" s="231">
        <f t="shared" si="1539"/>
        <v>9</v>
      </c>
      <c r="EY104" s="230" t="str">
        <f t="shared" si="1540"/>
        <v>Belgium</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30</v>
      </c>
      <c r="FJ104" s="230" t="str">
        <f t="shared" si="1543"/>
        <v>Canada</v>
      </c>
      <c r="FK104" s="231">
        <f t="shared" si="1544"/>
        <v>9</v>
      </c>
      <c r="FL104" s="230" t="str">
        <f t="shared" si="1545"/>
        <v>Belgium</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30</v>
      </c>
      <c r="FW104" s="230" t="str">
        <f t="shared" si="1548"/>
        <v>Canada</v>
      </c>
      <c r="FX104" s="231">
        <f t="shared" si="1549"/>
        <v>9</v>
      </c>
      <c r="FY104" s="230" t="str">
        <f t="shared" si="1550"/>
        <v>Belgium</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30</v>
      </c>
      <c r="GJ104" s="230" t="str">
        <f t="shared" si="1553"/>
        <v>Canada</v>
      </c>
      <c r="GK104" s="231">
        <f t="shared" si="1554"/>
        <v>9</v>
      </c>
      <c r="GL104" s="230" t="str">
        <f t="shared" si="1555"/>
        <v>Belgium</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30</v>
      </c>
      <c r="GW104" s="230" t="str">
        <f t="shared" si="1558"/>
        <v>Canada</v>
      </c>
      <c r="GX104" s="231">
        <f t="shared" si="1559"/>
        <v>9</v>
      </c>
      <c r="GY104" s="230" t="str">
        <f t="shared" si="1560"/>
        <v>Belgium</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30</v>
      </c>
      <c r="HJ104" s="230" t="str">
        <f t="shared" si="1563"/>
        <v>Canada</v>
      </c>
      <c r="HK104" s="231">
        <f t="shared" si="1564"/>
        <v>9</v>
      </c>
      <c r="HL104" s="230" t="str">
        <f t="shared" si="1565"/>
        <v>Belgium</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30</v>
      </c>
      <c r="HW104" s="230" t="str">
        <f t="shared" si="1568"/>
        <v>Canada</v>
      </c>
      <c r="HX104" s="231">
        <f t="shared" si="1569"/>
        <v>9</v>
      </c>
      <c r="HY104" s="230" t="str">
        <f t="shared" si="1570"/>
        <v>Belgium</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30</v>
      </c>
      <c r="IJ104" s="230" t="str">
        <f t="shared" si="1573"/>
        <v>Canada</v>
      </c>
      <c r="IK104" s="231">
        <f t="shared" si="1574"/>
        <v>9</v>
      </c>
      <c r="IL104" s="230" t="str">
        <f t="shared" si="1575"/>
        <v>Belgium</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30</v>
      </c>
      <c r="IW104" s="230" t="str">
        <f t="shared" si="1578"/>
        <v>Canada</v>
      </c>
      <c r="IX104" s="231">
        <f t="shared" si="1579"/>
        <v>9</v>
      </c>
      <c r="IY104" s="230" t="str">
        <f t="shared" si="1580"/>
        <v>Belgium</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30</v>
      </c>
      <c r="JJ104" s="230" t="str">
        <f t="shared" si="1583"/>
        <v>Canada</v>
      </c>
      <c r="JK104" s="231">
        <f t="shared" si="1584"/>
        <v>9</v>
      </c>
      <c r="JL104" s="230" t="str">
        <f t="shared" si="1585"/>
        <v>Belgium</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30</v>
      </c>
      <c r="JW104" s="230" t="str">
        <f t="shared" si="1588"/>
        <v>Canada</v>
      </c>
      <c r="JX104" s="231">
        <f t="shared" si="1589"/>
        <v>9</v>
      </c>
      <c r="JY104" s="230" t="str">
        <f t="shared" si="1590"/>
        <v>Belgium</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30</v>
      </c>
      <c r="KJ104" s="230" t="str">
        <f t="shared" si="1593"/>
        <v>Canada</v>
      </c>
      <c r="KK104" s="231">
        <f t="shared" si="1594"/>
        <v>9</v>
      </c>
      <c r="KL104" s="230" t="str">
        <f t="shared" si="1595"/>
        <v>Belgium</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30</v>
      </c>
      <c r="KW104" s="230" t="str">
        <f t="shared" si="1598"/>
        <v>Canada</v>
      </c>
      <c r="KX104" s="231">
        <f t="shared" si="1599"/>
        <v>9</v>
      </c>
      <c r="KY104" s="230" t="str">
        <f t="shared" si="1600"/>
        <v>Belgium</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30</v>
      </c>
      <c r="LJ104" s="230" t="str">
        <f t="shared" si="1603"/>
        <v>Canada</v>
      </c>
      <c r="LK104" s="231">
        <f t="shared" si="1604"/>
        <v>9</v>
      </c>
      <c r="LL104" s="230" t="str">
        <f t="shared" si="1605"/>
        <v>Belgium</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30</v>
      </c>
      <c r="LW104" s="230" t="str">
        <f t="shared" si="1608"/>
        <v>Canada</v>
      </c>
      <c r="LX104" s="231">
        <f t="shared" si="1609"/>
        <v>9</v>
      </c>
      <c r="LY104" s="230" t="str">
        <f t="shared" si="1610"/>
        <v>Belgium</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Colombia</v>
      </c>
      <c r="D105" s="231">
        <f>IF(E105="","",INDEX(Groups!$C$7:$C$65,MATCH(E105,Groups!$D$7:$D$65,0)))</f>
        <v>40</v>
      </c>
      <c r="E105" s="230" t="str">
        <f>'World Cup'!$AV$50</f>
        <v>Paraguay</v>
      </c>
      <c r="F105" s="232" t="str">
        <f>IF(AND('World Cup'!$AU$51&lt;&gt;"",'World Cup'!$AV$51&lt;&gt;""),'World Cup'!$AU$51,"")</f>
        <v/>
      </c>
      <c r="G105" s="233" t="str">
        <f>IF(AND('World Cup'!$AU$51&lt;&gt;"",'World Cup'!$AV$51&lt;&gt;""),'World Cup'!$AV$51,"")</f>
        <v/>
      </c>
      <c r="I105" s="229">
        <f t="shared" si="1482"/>
        <v>13</v>
      </c>
      <c r="J105" s="230" t="str">
        <f t="shared" si="1483"/>
        <v>Colombia</v>
      </c>
      <c r="K105" s="231">
        <f t="shared" si="1484"/>
        <v>40</v>
      </c>
      <c r="L105" s="230" t="str">
        <f t="shared" si="1485"/>
        <v>Paraguay</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Colombia</v>
      </c>
      <c r="X105" s="231">
        <f t="shared" si="1489"/>
        <v>40</v>
      </c>
      <c r="Y105" s="230" t="str">
        <f t="shared" si="1490"/>
        <v>Paraguay</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Colombia</v>
      </c>
      <c r="AK105" s="231">
        <f t="shared" si="1494"/>
        <v>40</v>
      </c>
      <c r="AL105" s="230" t="str">
        <f t="shared" si="1495"/>
        <v>Paraguay</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Colombia</v>
      </c>
      <c r="AX105" s="231">
        <f t="shared" si="1499"/>
        <v>40</v>
      </c>
      <c r="AY105" s="230" t="str">
        <f t="shared" si="1500"/>
        <v>Paraguay</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Colombia</v>
      </c>
      <c r="BK105" s="231">
        <f t="shared" si="1504"/>
        <v>40</v>
      </c>
      <c r="BL105" s="230" t="str">
        <f t="shared" si="1505"/>
        <v>Paraguay</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Colombia</v>
      </c>
      <c r="BX105" s="231">
        <f t="shared" si="1509"/>
        <v>40</v>
      </c>
      <c r="BY105" s="230" t="str">
        <f t="shared" si="1510"/>
        <v>Paraguay</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Colombia</v>
      </c>
      <c r="CK105" s="231">
        <f t="shared" si="1514"/>
        <v>40</v>
      </c>
      <c r="CL105" s="230" t="str">
        <f t="shared" si="1515"/>
        <v>Paraguay</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Colombia</v>
      </c>
      <c r="CX105" s="231">
        <f t="shared" si="1519"/>
        <v>40</v>
      </c>
      <c r="CY105" s="230" t="str">
        <f t="shared" si="1520"/>
        <v>Paraguay</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Colombia</v>
      </c>
      <c r="DK105" s="231">
        <f t="shared" si="1524"/>
        <v>40</v>
      </c>
      <c r="DL105" s="230" t="str">
        <f t="shared" si="1525"/>
        <v>Paraguay</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Colombia</v>
      </c>
      <c r="DX105" s="231">
        <f t="shared" si="1529"/>
        <v>40</v>
      </c>
      <c r="DY105" s="230" t="str">
        <f t="shared" si="1530"/>
        <v>Paraguay</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Colombia</v>
      </c>
      <c r="EK105" s="231">
        <f t="shared" si="1534"/>
        <v>40</v>
      </c>
      <c r="EL105" s="230" t="str">
        <f t="shared" si="1535"/>
        <v>Paraguay</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Colombia</v>
      </c>
      <c r="EX105" s="231">
        <f t="shared" si="1539"/>
        <v>40</v>
      </c>
      <c r="EY105" s="230" t="str">
        <f t="shared" si="1540"/>
        <v>Paraguay</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Colombia</v>
      </c>
      <c r="FK105" s="231">
        <f t="shared" si="1544"/>
        <v>40</v>
      </c>
      <c r="FL105" s="230" t="str">
        <f t="shared" si="1545"/>
        <v>Paraguay</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Colombia</v>
      </c>
      <c r="FX105" s="231">
        <f t="shared" si="1549"/>
        <v>40</v>
      </c>
      <c r="FY105" s="230" t="str">
        <f t="shared" si="1550"/>
        <v>Paraguay</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Colombia</v>
      </c>
      <c r="GK105" s="231">
        <f t="shared" si="1554"/>
        <v>40</v>
      </c>
      <c r="GL105" s="230" t="str">
        <f t="shared" si="1555"/>
        <v>Paraguay</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Colombia</v>
      </c>
      <c r="GX105" s="231">
        <f t="shared" si="1559"/>
        <v>40</v>
      </c>
      <c r="GY105" s="230" t="str">
        <f t="shared" si="1560"/>
        <v>Paraguay</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Colombia</v>
      </c>
      <c r="HK105" s="231">
        <f t="shared" si="1564"/>
        <v>40</v>
      </c>
      <c r="HL105" s="230" t="str">
        <f t="shared" si="1565"/>
        <v>Paraguay</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Colombia</v>
      </c>
      <c r="HX105" s="231">
        <f t="shared" si="1569"/>
        <v>40</v>
      </c>
      <c r="HY105" s="230" t="str">
        <f t="shared" si="1570"/>
        <v>Paraguay</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Colombia</v>
      </c>
      <c r="IK105" s="231">
        <f t="shared" si="1574"/>
        <v>40</v>
      </c>
      <c r="IL105" s="230" t="str">
        <f t="shared" si="1575"/>
        <v>Paraguay</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Colombia</v>
      </c>
      <c r="IX105" s="231">
        <f t="shared" si="1579"/>
        <v>40</v>
      </c>
      <c r="IY105" s="230" t="str">
        <f t="shared" si="1580"/>
        <v>Paraguay</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Colombia</v>
      </c>
      <c r="JK105" s="231">
        <f t="shared" si="1584"/>
        <v>40</v>
      </c>
      <c r="JL105" s="230" t="str">
        <f t="shared" si="1585"/>
        <v>Paraguay</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Colombia</v>
      </c>
      <c r="JX105" s="231">
        <f t="shared" si="1589"/>
        <v>40</v>
      </c>
      <c r="JY105" s="230" t="str">
        <f t="shared" si="1590"/>
        <v>Paraguay</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Colombia</v>
      </c>
      <c r="KK105" s="231">
        <f t="shared" si="1594"/>
        <v>40</v>
      </c>
      <c r="KL105" s="230" t="str">
        <f t="shared" si="1595"/>
        <v>Paraguay</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Colombia</v>
      </c>
      <c r="KX105" s="231">
        <f t="shared" si="1599"/>
        <v>40</v>
      </c>
      <c r="KY105" s="230" t="str">
        <f t="shared" si="1600"/>
        <v>Paraguay</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Colombia</v>
      </c>
      <c r="LK105" s="231">
        <f t="shared" si="1604"/>
        <v>40</v>
      </c>
      <c r="LL105" s="230" t="str">
        <f t="shared" si="1605"/>
        <v>Paraguay</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Colombia</v>
      </c>
      <c r="LX105" s="231">
        <f t="shared" si="1609"/>
        <v>40</v>
      </c>
      <c r="LY105" s="230" t="str">
        <f t="shared" si="1610"/>
        <v>Paraguay</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54"/>
      <c r="R106" s="241"/>
      <c r="S106" s="241"/>
      <c r="T106" s="255"/>
      <c r="V106" s="238" t="str">
        <f t="shared" si="1405"/>
        <v>Round of 16</v>
      </c>
      <c r="W106" s="240"/>
      <c r="X106" s="240"/>
      <c r="Y106" s="241"/>
      <c r="Z106" s="270"/>
      <c r="AA106" s="271"/>
      <c r="AB106" s="242"/>
      <c r="AC106" s="254"/>
      <c r="AD106" s="254"/>
      <c r="AE106" s="241"/>
      <c r="AF106" s="241"/>
      <c r="AG106" s="255"/>
      <c r="AI106" s="238" t="str">
        <f t="shared" si="1406"/>
        <v>Round of 16</v>
      </c>
      <c r="AJ106" s="240"/>
      <c r="AK106" s="240"/>
      <c r="AL106" s="241"/>
      <c r="AM106" s="270"/>
      <c r="AN106" s="271"/>
      <c r="AO106" s="242"/>
      <c r="AP106" s="254"/>
      <c r="AQ106" s="254"/>
      <c r="AR106" s="241"/>
      <c r="AS106" s="241"/>
      <c r="AT106" s="255"/>
      <c r="AV106" s="238" t="str">
        <f t="shared" si="1407"/>
        <v>Round of 16</v>
      </c>
      <c r="AW106" s="240"/>
      <c r="AX106" s="240"/>
      <c r="AY106" s="241"/>
      <c r="AZ106" s="270"/>
      <c r="BA106" s="271"/>
      <c r="BB106" s="242"/>
      <c r="BC106" s="254"/>
      <c r="BD106" s="254"/>
      <c r="BE106" s="241"/>
      <c r="BF106" s="241"/>
      <c r="BG106" s="255"/>
      <c r="BI106" s="238" t="str">
        <f t="shared" si="1408"/>
        <v>Round of 16</v>
      </c>
      <c r="BJ106" s="240"/>
      <c r="BK106" s="240"/>
      <c r="BL106" s="241"/>
      <c r="BM106" s="270"/>
      <c r="BN106" s="271"/>
      <c r="BO106" s="242"/>
      <c r="BP106" s="254"/>
      <c r="BQ106" s="254"/>
      <c r="BR106" s="241"/>
      <c r="BS106" s="241"/>
      <c r="BT106" s="255"/>
      <c r="BV106" s="238" t="str">
        <f t="shared" si="1409"/>
        <v>Round of 16</v>
      </c>
      <c r="BW106" s="240"/>
      <c r="BX106" s="240"/>
      <c r="BY106" s="241"/>
      <c r="BZ106" s="270"/>
      <c r="CA106" s="271"/>
      <c r="CB106" s="242"/>
      <c r="CC106" s="254"/>
      <c r="CD106" s="254"/>
      <c r="CE106" s="241"/>
      <c r="CF106" s="241"/>
      <c r="CG106" s="255"/>
      <c r="CI106" s="238" t="str">
        <f t="shared" si="1410"/>
        <v>Round of 16</v>
      </c>
      <c r="CJ106" s="240"/>
      <c r="CK106" s="240"/>
      <c r="CL106" s="241"/>
      <c r="CM106" s="270"/>
      <c r="CN106" s="271"/>
      <c r="CO106" s="242"/>
      <c r="CP106" s="254"/>
      <c r="CQ106" s="254"/>
      <c r="CR106" s="241"/>
      <c r="CS106" s="241"/>
      <c r="CT106" s="255"/>
      <c r="CV106" s="238" t="str">
        <f t="shared" si="1411"/>
        <v>Round of 16</v>
      </c>
      <c r="CW106" s="240"/>
      <c r="CX106" s="240"/>
      <c r="CY106" s="241"/>
      <c r="CZ106" s="270"/>
      <c r="DA106" s="271"/>
      <c r="DB106" s="242"/>
      <c r="DC106" s="254"/>
      <c r="DD106" s="254"/>
      <c r="DE106" s="241"/>
      <c r="DF106" s="241"/>
      <c r="DG106" s="255"/>
      <c r="DI106" s="238" t="str">
        <f t="shared" si="1412"/>
        <v>Round of 16</v>
      </c>
      <c r="DJ106" s="240"/>
      <c r="DK106" s="240"/>
      <c r="DL106" s="241"/>
      <c r="DM106" s="270"/>
      <c r="DN106" s="271"/>
      <c r="DO106" s="242"/>
      <c r="DP106" s="254"/>
      <c r="DQ106" s="254"/>
      <c r="DR106" s="241"/>
      <c r="DS106" s="241"/>
      <c r="DT106" s="255"/>
      <c r="DV106" s="238" t="str">
        <f t="shared" si="1413"/>
        <v>Round of 16</v>
      </c>
      <c r="DW106" s="240"/>
      <c r="DX106" s="240"/>
      <c r="DY106" s="241"/>
      <c r="DZ106" s="270"/>
      <c r="EA106" s="271"/>
      <c r="EB106" s="242"/>
      <c r="EC106" s="254"/>
      <c r="ED106" s="254"/>
      <c r="EE106" s="241"/>
      <c r="EF106" s="241"/>
      <c r="EG106" s="255"/>
      <c r="EI106" s="238" t="str">
        <f t="shared" si="1414"/>
        <v>Round of 16</v>
      </c>
      <c r="EJ106" s="240"/>
      <c r="EK106" s="240"/>
      <c r="EL106" s="241"/>
      <c r="EM106" s="270"/>
      <c r="EN106" s="271"/>
      <c r="EO106" s="242"/>
      <c r="EP106" s="254"/>
      <c r="EQ106" s="254"/>
      <c r="ER106" s="241"/>
      <c r="ES106" s="241"/>
      <c r="ET106" s="255"/>
      <c r="EV106" s="238" t="str">
        <f t="shared" si="1415"/>
        <v>Round of 16</v>
      </c>
      <c r="EW106" s="240"/>
      <c r="EX106" s="240"/>
      <c r="EY106" s="241"/>
      <c r="EZ106" s="270"/>
      <c r="FA106" s="271"/>
      <c r="FB106" s="242"/>
      <c r="FC106" s="254"/>
      <c r="FD106" s="254"/>
      <c r="FE106" s="241"/>
      <c r="FF106" s="241"/>
      <c r="FG106" s="255"/>
      <c r="FI106" s="238" t="str">
        <f t="shared" si="1416"/>
        <v>Round of 16</v>
      </c>
      <c r="FJ106" s="240"/>
      <c r="FK106" s="240"/>
      <c r="FL106" s="241"/>
      <c r="FM106" s="270"/>
      <c r="FN106" s="271"/>
      <c r="FO106" s="242"/>
      <c r="FP106" s="254"/>
      <c r="FQ106" s="254"/>
      <c r="FR106" s="241"/>
      <c r="FS106" s="241"/>
      <c r="FT106" s="255"/>
      <c r="FV106" s="238" t="str">
        <f t="shared" si="1417"/>
        <v>Round of 16</v>
      </c>
      <c r="FW106" s="240"/>
      <c r="FX106" s="240"/>
      <c r="FY106" s="241"/>
      <c r="FZ106" s="270"/>
      <c r="GA106" s="271"/>
      <c r="GB106" s="242"/>
      <c r="GC106" s="254"/>
      <c r="GD106" s="254"/>
      <c r="GE106" s="241"/>
      <c r="GF106" s="241"/>
      <c r="GG106" s="255"/>
      <c r="GI106" s="238" t="str">
        <f t="shared" si="1418"/>
        <v>Round of 16</v>
      </c>
      <c r="GJ106" s="240"/>
      <c r="GK106" s="240"/>
      <c r="GL106" s="241"/>
      <c r="GM106" s="270"/>
      <c r="GN106" s="271"/>
      <c r="GO106" s="242"/>
      <c r="GP106" s="254"/>
      <c r="GQ106" s="254"/>
      <c r="GR106" s="241"/>
      <c r="GS106" s="241"/>
      <c r="GT106" s="255"/>
      <c r="GV106" s="238" t="str">
        <f t="shared" si="1419"/>
        <v>Round of 16</v>
      </c>
      <c r="GW106" s="240"/>
      <c r="GX106" s="240"/>
      <c r="GY106" s="241"/>
      <c r="GZ106" s="270"/>
      <c r="HA106" s="271"/>
      <c r="HB106" s="242"/>
      <c r="HC106" s="254"/>
      <c r="HD106" s="254"/>
      <c r="HE106" s="241"/>
      <c r="HF106" s="241"/>
      <c r="HG106" s="255"/>
      <c r="HI106" s="238" t="str">
        <f t="shared" si="1420"/>
        <v>Round of 16</v>
      </c>
      <c r="HJ106" s="240"/>
      <c r="HK106" s="240"/>
      <c r="HL106" s="241"/>
      <c r="HM106" s="270"/>
      <c r="HN106" s="271"/>
      <c r="HO106" s="242"/>
      <c r="HP106" s="254"/>
      <c r="HQ106" s="254"/>
      <c r="HR106" s="241"/>
      <c r="HS106" s="241"/>
      <c r="HT106" s="255"/>
      <c r="HV106" s="238" t="str">
        <f t="shared" si="1421"/>
        <v>Round of 16</v>
      </c>
      <c r="HW106" s="240"/>
      <c r="HX106" s="240"/>
      <c r="HY106" s="241"/>
      <c r="HZ106" s="270"/>
      <c r="IA106" s="271"/>
      <c r="IB106" s="242"/>
      <c r="IC106" s="254"/>
      <c r="ID106" s="254"/>
      <c r="IE106" s="241"/>
      <c r="IF106" s="241"/>
      <c r="IG106" s="255"/>
      <c r="II106" s="238" t="str">
        <f t="shared" si="1422"/>
        <v>Round of 16</v>
      </c>
      <c r="IJ106" s="240"/>
      <c r="IK106" s="240"/>
      <c r="IL106" s="241"/>
      <c r="IM106" s="270"/>
      <c r="IN106" s="271"/>
      <c r="IO106" s="242"/>
      <c r="IP106" s="254"/>
      <c r="IQ106" s="254"/>
      <c r="IR106" s="241"/>
      <c r="IS106" s="241"/>
      <c r="IT106" s="255"/>
      <c r="IV106" s="238" t="str">
        <f t="shared" si="1423"/>
        <v>Round of 16</v>
      </c>
      <c r="IW106" s="240"/>
      <c r="IX106" s="240"/>
      <c r="IY106" s="241"/>
      <c r="IZ106" s="270"/>
      <c r="JA106" s="271"/>
      <c r="JB106" s="242"/>
      <c r="JC106" s="254"/>
      <c r="JD106" s="254"/>
      <c r="JE106" s="241"/>
      <c r="JF106" s="241"/>
      <c r="JG106" s="255"/>
      <c r="JI106" s="238" t="str">
        <f t="shared" si="1424"/>
        <v>Round of 16</v>
      </c>
      <c r="JJ106" s="240"/>
      <c r="JK106" s="240"/>
      <c r="JL106" s="241"/>
      <c r="JM106" s="270"/>
      <c r="JN106" s="271"/>
      <c r="JO106" s="242"/>
      <c r="JP106" s="254"/>
      <c r="JQ106" s="254"/>
      <c r="JR106" s="241"/>
      <c r="JS106" s="241"/>
      <c r="JT106" s="255"/>
      <c r="JV106" s="238" t="str">
        <f t="shared" si="1425"/>
        <v>Round of 16</v>
      </c>
      <c r="JW106" s="240"/>
      <c r="JX106" s="240"/>
      <c r="JY106" s="241"/>
      <c r="JZ106" s="270"/>
      <c r="KA106" s="271"/>
      <c r="KB106" s="242"/>
      <c r="KC106" s="254"/>
      <c r="KD106" s="254"/>
      <c r="KE106" s="241"/>
      <c r="KF106" s="241"/>
      <c r="KG106" s="255"/>
      <c r="KI106" s="238" t="str">
        <f t="shared" si="1426"/>
        <v>Round of 16</v>
      </c>
      <c r="KJ106" s="240"/>
      <c r="KK106" s="240"/>
      <c r="KL106" s="241"/>
      <c r="KM106" s="270"/>
      <c r="KN106" s="271"/>
      <c r="KO106" s="242"/>
      <c r="KP106" s="254"/>
      <c r="KQ106" s="254"/>
      <c r="KR106" s="241"/>
      <c r="KS106" s="241"/>
      <c r="KT106" s="255"/>
      <c r="KV106" s="238" t="str">
        <f t="shared" si="1427"/>
        <v>Round of 16</v>
      </c>
      <c r="KW106" s="240"/>
      <c r="KX106" s="240"/>
      <c r="KY106" s="241"/>
      <c r="KZ106" s="270"/>
      <c r="LA106" s="271"/>
      <c r="LB106" s="242"/>
      <c r="LC106" s="254"/>
      <c r="LD106" s="254"/>
      <c r="LE106" s="241"/>
      <c r="LF106" s="241"/>
      <c r="LG106" s="255"/>
      <c r="LI106" s="238" t="str">
        <f t="shared" si="1428"/>
        <v>Round of 16</v>
      </c>
      <c r="LJ106" s="240"/>
      <c r="LK106" s="240"/>
      <c r="LL106" s="241"/>
      <c r="LM106" s="270"/>
      <c r="LN106" s="271"/>
      <c r="LO106" s="242"/>
      <c r="LP106" s="254"/>
      <c r="LQ106" s="254"/>
      <c r="LR106" s="241"/>
      <c r="LS106" s="241"/>
      <c r="LT106" s="255"/>
      <c r="LV106" s="238" t="str">
        <f t="shared" si="1429"/>
        <v>Round of 16</v>
      </c>
      <c r="LW106" s="240"/>
      <c r="LX106" s="240"/>
      <c r="LY106" s="241"/>
      <c r="LZ106" s="270"/>
      <c r="MA106" s="271"/>
      <c r="MB106" s="242"/>
      <c r="MC106" s="254"/>
      <c r="MD106" s="254"/>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f>
        <v/>
      </c>
      <c r="G107" s="233" t="str">
        <f>IF(AND('World Cup'!$B$61&lt;&gt;"",'World Cup'!$C$61&lt;&gt;""),'World Cup'!$C$61,"")</f>
        <v/>
      </c>
      <c r="I107" s="265"/>
      <c r="J107" s="230" t="str">
        <f>IF(I107="","",VLOOKUP(I107,Language!$D$5:$E$100,2,0))</f>
        <v/>
      </c>
      <c r="K107" s="266"/>
      <c r="L107" s="230" t="str">
        <f>IF(K107="","",VLOOKUP(K107,Language!$D$5:$E$100,2,0))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IF(V107="","",VLOOKUP(V107,Language!$D$5:$E$100,2,0))</f>
        <v/>
      </c>
      <c r="X107" s="266"/>
      <c r="Y107" s="230" t="str">
        <f>IF(X107="","",VLOOKUP(X107,Language!$D$5:$E$100,2,0))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IF(AI107="","",VLOOKUP(AI107,Language!$D$5:$E$100,2,0))</f>
        <v/>
      </c>
      <c r="AK107" s="266"/>
      <c r="AL107" s="230" t="str">
        <f>IF(AK107="","",VLOOKUP(AK107,Language!$D$5:$E$100,2,0))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IF(AV107="","",VLOOKUP(AV107,Language!$D$5:$E$100,2,0))</f>
        <v/>
      </c>
      <c r="AX107" s="266"/>
      <c r="AY107" s="230" t="str">
        <f>IF(AX107="","",VLOOKUP(AX107,Language!$D$5:$E$100,2,0))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IF(BI107="","",VLOOKUP(BI107,Language!$D$5:$E$100,2,0))</f>
        <v/>
      </c>
      <c r="BK107" s="266"/>
      <c r="BL107" s="230" t="str">
        <f>IF(BK107="","",VLOOKUP(BK107,Language!$D$5:$E$100,2,0))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IF(BV107="","",VLOOKUP(BV107,Language!$D$5:$E$100,2,0))</f>
        <v/>
      </c>
      <c r="BX107" s="266"/>
      <c r="BY107" s="230" t="str">
        <f>IF(BX107="","",VLOOKUP(BX107,Language!$D$5:$E$100,2,0))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IF(CI107="","",VLOOKUP(CI107,Language!$D$5:$E$100,2,0))</f>
        <v/>
      </c>
      <c r="CK107" s="266"/>
      <c r="CL107" s="230" t="str">
        <f>IF(CK107="","",VLOOKUP(CK107,Language!$D$5:$E$100,2,0))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IF(CV107="","",VLOOKUP(CV107,Language!$D$5:$E$100,2,0))</f>
        <v/>
      </c>
      <c r="CX107" s="266"/>
      <c r="CY107" s="230" t="str">
        <f>IF(CX107="","",VLOOKUP(CX107,Language!$D$5:$E$100,2,0))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IF(DI107="","",VLOOKUP(DI107,Language!$D$5:$E$100,2,0))</f>
        <v/>
      </c>
      <c r="DK107" s="266"/>
      <c r="DL107" s="230" t="str">
        <f>IF(DK107="","",VLOOKUP(DK107,Language!$D$5:$E$100,2,0))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IF(DV107="","",VLOOKUP(DV107,Language!$D$5:$E$100,2,0))</f>
        <v/>
      </c>
      <c r="DX107" s="266"/>
      <c r="DY107" s="230" t="str">
        <f>IF(DX107="","",VLOOKUP(DX107,Language!$D$5:$E$100,2,0))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IF(EI107="","",VLOOKUP(EI107,Language!$D$5:$E$100,2,0))</f>
        <v/>
      </c>
      <c r="EK107" s="266"/>
      <c r="EL107" s="230" t="str">
        <f>IF(EK107="","",VLOOKUP(EK107,Language!$D$5:$E$100,2,0))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IF(EV107="","",VLOOKUP(EV107,Language!$D$5:$E$100,2,0))</f>
        <v/>
      </c>
      <c r="EX107" s="266"/>
      <c r="EY107" s="230" t="str">
        <f>IF(EX107="","",VLOOKUP(EX107,Language!$D$5:$E$100,2,0))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IF(FI107="","",VLOOKUP(FI107,Language!$D$5:$E$100,2,0))</f>
        <v/>
      </c>
      <c r="FK107" s="266"/>
      <c r="FL107" s="230" t="str">
        <f>IF(FK107="","",VLOOKUP(FK107,Language!$D$5:$E$100,2,0))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IF(FV107="","",VLOOKUP(FV107,Language!$D$5:$E$100,2,0))</f>
        <v/>
      </c>
      <c r="FX107" s="266"/>
      <c r="FY107" s="230" t="str">
        <f>IF(FX107="","",VLOOKUP(FX107,Language!$D$5:$E$100,2,0))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IF(GI107="","",VLOOKUP(GI107,Language!$D$5:$E$100,2,0))</f>
        <v/>
      </c>
      <c r="GK107" s="266"/>
      <c r="GL107" s="230" t="str">
        <f>IF(GK107="","",VLOOKUP(GK107,Language!$D$5:$E$100,2,0))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IF(GV107="","",VLOOKUP(GV107,Language!$D$5:$E$100,2,0))</f>
        <v/>
      </c>
      <c r="GX107" s="266"/>
      <c r="GY107" s="230" t="str">
        <f>IF(GX107="","",VLOOKUP(GX107,Language!$D$5:$E$100,2,0))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IF(HI107="","",VLOOKUP(HI107,Language!$D$5:$E$100,2,0))</f>
        <v/>
      </c>
      <c r="HK107" s="266"/>
      <c r="HL107" s="230" t="str">
        <f>IF(HK107="","",VLOOKUP(HK107,Language!$D$5:$E$100,2,0))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IF(HV107="","",VLOOKUP(HV107,Language!$D$5:$E$100,2,0))</f>
        <v/>
      </c>
      <c r="HX107" s="266"/>
      <c r="HY107" s="230" t="str">
        <f>IF(HX107="","",VLOOKUP(HX107,Language!$D$5:$E$100,2,0))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IF(II107="","",VLOOKUP(II107,Language!$D$5:$E$100,2,0))</f>
        <v/>
      </c>
      <c r="IK107" s="266"/>
      <c r="IL107" s="230" t="str">
        <f>IF(IK107="","",VLOOKUP(IK107,Language!$D$5:$E$100,2,0))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IF(IV107="","",VLOOKUP(IV107,Language!$D$5:$E$100,2,0))</f>
        <v/>
      </c>
      <c r="IX107" s="266"/>
      <c r="IY107" s="230" t="str">
        <f>IF(IX107="","",VLOOKUP(IX107,Language!$D$5:$E$100,2,0))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IF(JI107="","",VLOOKUP(JI107,Language!$D$5:$E$100,2,0))</f>
        <v/>
      </c>
      <c r="JK107" s="266"/>
      <c r="JL107" s="230" t="str">
        <f>IF(JK107="","",VLOOKUP(JK107,Language!$D$5:$E$100,2,0))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IF(JV107="","",VLOOKUP(JV107,Language!$D$5:$E$100,2,0))</f>
        <v/>
      </c>
      <c r="JX107" s="266"/>
      <c r="JY107" s="230" t="str">
        <f>IF(JX107="","",VLOOKUP(JX107,Language!$D$5:$E$100,2,0))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IF(KI107="","",VLOOKUP(KI107,Language!$D$5:$E$100,2,0))</f>
        <v/>
      </c>
      <c r="KK107" s="266"/>
      <c r="KL107" s="230" t="str">
        <f>IF(KK107="","",VLOOKUP(KK107,Language!$D$5:$E$100,2,0))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IF(KV107="","",VLOOKUP(KV107,Language!$D$5:$E$100,2,0))</f>
        <v/>
      </c>
      <c r="KX107" s="266"/>
      <c r="KY107" s="230" t="str">
        <f>IF(KX107="","",VLOOKUP(KX107,Language!$D$5:$E$100,2,0))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IF(LI107="","",VLOOKUP(LI107,Language!$D$5:$E$100,2,0))</f>
        <v/>
      </c>
      <c r="LK107" s="266"/>
      <c r="LL107" s="230" t="str">
        <f>IF(LK107="","",VLOOKUP(LK107,Language!$D$5:$E$100,2,0))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IF(LV107="","",VLOOKUP(LV107,Language!$D$5:$E$100,2,0))</f>
        <v/>
      </c>
      <c r="LX107" s="266"/>
      <c r="LY107" s="230" t="str">
        <f>IF(LX107="","",VLOOKUP(LX107,Language!$D$5:$E$100,2,0))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f>
        <v/>
      </c>
      <c r="G108" s="233" t="str">
        <f>IF(AND('World Cup'!$E$61&lt;&gt;"",'World Cup'!$F$61&lt;&gt;""),'World Cup'!$F$61,"")</f>
        <v/>
      </c>
      <c r="I108" s="265"/>
      <c r="J108" s="230" t="str">
        <f>IF(I108="","",VLOOKUP(I108,Language!$D$5:$E$100,2,0))</f>
        <v/>
      </c>
      <c r="K108" s="266"/>
      <c r="L108" s="230" t="str">
        <f>IF(K108="","",VLOOKUP(K108,Language!$D$5:$E$100,2,0))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IF(V108="","",VLOOKUP(V108,Language!$D$5:$E$100,2,0))</f>
        <v/>
      </c>
      <c r="X108" s="266"/>
      <c r="Y108" s="230" t="str">
        <f>IF(X108="","",VLOOKUP(X108,Language!$D$5:$E$100,2,0))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IF(AI108="","",VLOOKUP(AI108,Language!$D$5:$E$100,2,0))</f>
        <v/>
      </c>
      <c r="AK108" s="266"/>
      <c r="AL108" s="230" t="str">
        <f>IF(AK108="","",VLOOKUP(AK108,Language!$D$5:$E$100,2,0))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IF(AV108="","",VLOOKUP(AV108,Language!$D$5:$E$100,2,0))</f>
        <v/>
      </c>
      <c r="AX108" s="266"/>
      <c r="AY108" s="230" t="str">
        <f>IF(AX108="","",VLOOKUP(AX108,Language!$D$5:$E$100,2,0))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IF(BI108="","",VLOOKUP(BI108,Language!$D$5:$E$100,2,0))</f>
        <v/>
      </c>
      <c r="BK108" s="266"/>
      <c r="BL108" s="230" t="str">
        <f>IF(BK108="","",VLOOKUP(BK108,Language!$D$5:$E$100,2,0))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IF(BV108="","",VLOOKUP(BV108,Language!$D$5:$E$100,2,0))</f>
        <v/>
      </c>
      <c r="BX108" s="266"/>
      <c r="BY108" s="230" t="str">
        <f>IF(BX108="","",VLOOKUP(BX108,Language!$D$5:$E$100,2,0))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IF(CI108="","",VLOOKUP(CI108,Language!$D$5:$E$100,2,0))</f>
        <v/>
      </c>
      <c r="CK108" s="266"/>
      <c r="CL108" s="230" t="str">
        <f>IF(CK108="","",VLOOKUP(CK108,Language!$D$5:$E$100,2,0))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IF(CV108="","",VLOOKUP(CV108,Language!$D$5:$E$100,2,0))</f>
        <v/>
      </c>
      <c r="CX108" s="266"/>
      <c r="CY108" s="230" t="str">
        <f>IF(CX108="","",VLOOKUP(CX108,Language!$D$5:$E$100,2,0))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IF(DI108="","",VLOOKUP(DI108,Language!$D$5:$E$100,2,0))</f>
        <v/>
      </c>
      <c r="DK108" s="266"/>
      <c r="DL108" s="230" t="str">
        <f>IF(DK108="","",VLOOKUP(DK108,Language!$D$5:$E$100,2,0))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IF(DV108="","",VLOOKUP(DV108,Language!$D$5:$E$100,2,0))</f>
        <v/>
      </c>
      <c r="DX108" s="266"/>
      <c r="DY108" s="230" t="str">
        <f>IF(DX108="","",VLOOKUP(DX108,Language!$D$5:$E$100,2,0))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IF(EI108="","",VLOOKUP(EI108,Language!$D$5:$E$100,2,0))</f>
        <v/>
      </c>
      <c r="EK108" s="266"/>
      <c r="EL108" s="230" t="str">
        <f>IF(EK108="","",VLOOKUP(EK108,Language!$D$5:$E$100,2,0))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IF(EV108="","",VLOOKUP(EV108,Language!$D$5:$E$100,2,0))</f>
        <v/>
      </c>
      <c r="EX108" s="266"/>
      <c r="EY108" s="230" t="str">
        <f>IF(EX108="","",VLOOKUP(EX108,Language!$D$5:$E$100,2,0))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IF(FI108="","",VLOOKUP(FI108,Language!$D$5:$E$100,2,0))</f>
        <v/>
      </c>
      <c r="FK108" s="266"/>
      <c r="FL108" s="230" t="str">
        <f>IF(FK108="","",VLOOKUP(FK108,Language!$D$5:$E$100,2,0))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IF(FV108="","",VLOOKUP(FV108,Language!$D$5:$E$100,2,0))</f>
        <v/>
      </c>
      <c r="FX108" s="266"/>
      <c r="FY108" s="230" t="str">
        <f>IF(FX108="","",VLOOKUP(FX108,Language!$D$5:$E$100,2,0))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IF(GI108="","",VLOOKUP(GI108,Language!$D$5:$E$100,2,0))</f>
        <v/>
      </c>
      <c r="GK108" s="266"/>
      <c r="GL108" s="230" t="str">
        <f>IF(GK108="","",VLOOKUP(GK108,Language!$D$5:$E$100,2,0))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IF(GV108="","",VLOOKUP(GV108,Language!$D$5:$E$100,2,0))</f>
        <v/>
      </c>
      <c r="GX108" s="266"/>
      <c r="GY108" s="230" t="str">
        <f>IF(GX108="","",VLOOKUP(GX108,Language!$D$5:$E$100,2,0))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IF(HI108="","",VLOOKUP(HI108,Language!$D$5:$E$100,2,0))</f>
        <v/>
      </c>
      <c r="HK108" s="266"/>
      <c r="HL108" s="230" t="str">
        <f>IF(HK108="","",VLOOKUP(HK108,Language!$D$5:$E$100,2,0))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IF(HV108="","",VLOOKUP(HV108,Language!$D$5:$E$100,2,0))</f>
        <v/>
      </c>
      <c r="HX108" s="266"/>
      <c r="HY108" s="230" t="str">
        <f>IF(HX108="","",VLOOKUP(HX108,Language!$D$5:$E$100,2,0))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IF(II108="","",VLOOKUP(II108,Language!$D$5:$E$100,2,0))</f>
        <v/>
      </c>
      <c r="IK108" s="266"/>
      <c r="IL108" s="230" t="str">
        <f>IF(IK108="","",VLOOKUP(IK108,Language!$D$5:$E$100,2,0))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IF(IV108="","",VLOOKUP(IV108,Language!$D$5:$E$100,2,0))</f>
        <v/>
      </c>
      <c r="IX108" s="266"/>
      <c r="IY108" s="230" t="str">
        <f>IF(IX108="","",VLOOKUP(IX108,Language!$D$5:$E$100,2,0))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IF(JI108="","",VLOOKUP(JI108,Language!$D$5:$E$100,2,0))</f>
        <v/>
      </c>
      <c r="JK108" s="266"/>
      <c r="JL108" s="230" t="str">
        <f>IF(JK108="","",VLOOKUP(JK108,Language!$D$5:$E$100,2,0))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IF(JV108="","",VLOOKUP(JV108,Language!$D$5:$E$100,2,0))</f>
        <v/>
      </c>
      <c r="JX108" s="266"/>
      <c r="JY108" s="230" t="str">
        <f>IF(JX108="","",VLOOKUP(JX108,Language!$D$5:$E$100,2,0))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IF(KI108="","",VLOOKUP(KI108,Language!$D$5:$E$100,2,0))</f>
        <v/>
      </c>
      <c r="KK108" s="266"/>
      <c r="KL108" s="230" t="str">
        <f>IF(KK108="","",VLOOKUP(KK108,Language!$D$5:$E$100,2,0))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IF(KV108="","",VLOOKUP(KV108,Language!$D$5:$E$100,2,0))</f>
        <v/>
      </c>
      <c r="KX108" s="266"/>
      <c r="KY108" s="230" t="str">
        <f>IF(KX108="","",VLOOKUP(KX108,Language!$D$5:$E$100,2,0))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IF(LI108="","",VLOOKUP(LI108,Language!$D$5:$E$100,2,0))</f>
        <v/>
      </c>
      <c r="LK108" s="266"/>
      <c r="LL108" s="230" t="str">
        <f>IF(LK108="","",VLOOKUP(LK108,Language!$D$5:$E$100,2,0))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IF(LV108="","",VLOOKUP(LV108,Language!$D$5:$E$100,2,0))</f>
        <v/>
      </c>
      <c r="LX108" s="266"/>
      <c r="LY108" s="230" t="str">
        <f>IF(LX108="","",VLOOKUP(LX108,Language!$D$5:$E$100,2,0))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f>
        <v/>
      </c>
      <c r="G109" s="233" t="str">
        <f>IF(AND('World Cup'!$H$61&lt;&gt;"",'World Cup'!$I$61&lt;&gt;""),'World Cup'!$I$61,"")</f>
        <v/>
      </c>
      <c r="I109" s="265"/>
      <c r="J109" s="230" t="str">
        <f>IF(I109="","",VLOOKUP(I109,Language!$D$5:$E$100,2,0))</f>
        <v/>
      </c>
      <c r="K109" s="266"/>
      <c r="L109" s="230" t="str">
        <f>IF(K109="","",VLOOKUP(K109,Language!$D$5:$E$100,2,0))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IF(V109="","",VLOOKUP(V109,Language!$D$5:$E$100,2,0))</f>
        <v/>
      </c>
      <c r="X109" s="266"/>
      <c r="Y109" s="230" t="str">
        <f>IF(X109="","",VLOOKUP(X109,Language!$D$5:$E$100,2,0))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IF(AI109="","",VLOOKUP(AI109,Language!$D$5:$E$100,2,0))</f>
        <v/>
      </c>
      <c r="AK109" s="266"/>
      <c r="AL109" s="230" t="str">
        <f>IF(AK109="","",VLOOKUP(AK109,Language!$D$5:$E$100,2,0))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IF(AV109="","",VLOOKUP(AV109,Language!$D$5:$E$100,2,0))</f>
        <v/>
      </c>
      <c r="AX109" s="266"/>
      <c r="AY109" s="230" t="str">
        <f>IF(AX109="","",VLOOKUP(AX109,Language!$D$5:$E$100,2,0))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IF(BI109="","",VLOOKUP(BI109,Language!$D$5:$E$100,2,0))</f>
        <v/>
      </c>
      <c r="BK109" s="266"/>
      <c r="BL109" s="230" t="str">
        <f>IF(BK109="","",VLOOKUP(BK109,Language!$D$5:$E$100,2,0))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IF(BV109="","",VLOOKUP(BV109,Language!$D$5:$E$100,2,0))</f>
        <v/>
      </c>
      <c r="BX109" s="266"/>
      <c r="BY109" s="230" t="str">
        <f>IF(BX109="","",VLOOKUP(BX109,Language!$D$5:$E$100,2,0))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IF(CI109="","",VLOOKUP(CI109,Language!$D$5:$E$100,2,0))</f>
        <v/>
      </c>
      <c r="CK109" s="266"/>
      <c r="CL109" s="230" t="str">
        <f>IF(CK109="","",VLOOKUP(CK109,Language!$D$5:$E$100,2,0))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IF(CV109="","",VLOOKUP(CV109,Language!$D$5:$E$100,2,0))</f>
        <v/>
      </c>
      <c r="CX109" s="266"/>
      <c r="CY109" s="230" t="str">
        <f>IF(CX109="","",VLOOKUP(CX109,Language!$D$5:$E$100,2,0))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IF(DI109="","",VLOOKUP(DI109,Language!$D$5:$E$100,2,0))</f>
        <v/>
      </c>
      <c r="DK109" s="266"/>
      <c r="DL109" s="230" t="str">
        <f>IF(DK109="","",VLOOKUP(DK109,Language!$D$5:$E$100,2,0))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IF(DV109="","",VLOOKUP(DV109,Language!$D$5:$E$100,2,0))</f>
        <v/>
      </c>
      <c r="DX109" s="266"/>
      <c r="DY109" s="230" t="str">
        <f>IF(DX109="","",VLOOKUP(DX109,Language!$D$5:$E$100,2,0))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IF(EI109="","",VLOOKUP(EI109,Language!$D$5:$E$100,2,0))</f>
        <v/>
      </c>
      <c r="EK109" s="266"/>
      <c r="EL109" s="230" t="str">
        <f>IF(EK109="","",VLOOKUP(EK109,Language!$D$5:$E$100,2,0))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IF(EV109="","",VLOOKUP(EV109,Language!$D$5:$E$100,2,0))</f>
        <v/>
      </c>
      <c r="EX109" s="266"/>
      <c r="EY109" s="230" t="str">
        <f>IF(EX109="","",VLOOKUP(EX109,Language!$D$5:$E$100,2,0))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IF(FI109="","",VLOOKUP(FI109,Language!$D$5:$E$100,2,0))</f>
        <v/>
      </c>
      <c r="FK109" s="266"/>
      <c r="FL109" s="230" t="str">
        <f>IF(FK109="","",VLOOKUP(FK109,Language!$D$5:$E$100,2,0))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IF(FV109="","",VLOOKUP(FV109,Language!$D$5:$E$100,2,0))</f>
        <v/>
      </c>
      <c r="FX109" s="266"/>
      <c r="FY109" s="230" t="str">
        <f>IF(FX109="","",VLOOKUP(FX109,Language!$D$5:$E$100,2,0))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IF(GI109="","",VLOOKUP(GI109,Language!$D$5:$E$100,2,0))</f>
        <v/>
      </c>
      <c r="GK109" s="266"/>
      <c r="GL109" s="230" t="str">
        <f>IF(GK109="","",VLOOKUP(GK109,Language!$D$5:$E$100,2,0))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IF(GV109="","",VLOOKUP(GV109,Language!$D$5:$E$100,2,0))</f>
        <v/>
      </c>
      <c r="GX109" s="266"/>
      <c r="GY109" s="230" t="str">
        <f>IF(GX109="","",VLOOKUP(GX109,Language!$D$5:$E$100,2,0))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IF(HI109="","",VLOOKUP(HI109,Language!$D$5:$E$100,2,0))</f>
        <v/>
      </c>
      <c r="HK109" s="266"/>
      <c r="HL109" s="230" t="str">
        <f>IF(HK109="","",VLOOKUP(HK109,Language!$D$5:$E$100,2,0))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IF(HV109="","",VLOOKUP(HV109,Language!$D$5:$E$100,2,0))</f>
        <v/>
      </c>
      <c r="HX109" s="266"/>
      <c r="HY109" s="230" t="str">
        <f>IF(HX109="","",VLOOKUP(HX109,Language!$D$5:$E$100,2,0))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IF(II109="","",VLOOKUP(II109,Language!$D$5:$E$100,2,0))</f>
        <v/>
      </c>
      <c r="IK109" s="266"/>
      <c r="IL109" s="230" t="str">
        <f>IF(IK109="","",VLOOKUP(IK109,Language!$D$5:$E$100,2,0))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IF(IV109="","",VLOOKUP(IV109,Language!$D$5:$E$100,2,0))</f>
        <v/>
      </c>
      <c r="IX109" s="266"/>
      <c r="IY109" s="230" t="str">
        <f>IF(IX109="","",VLOOKUP(IX109,Language!$D$5:$E$100,2,0))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IF(JI109="","",VLOOKUP(JI109,Language!$D$5:$E$100,2,0))</f>
        <v/>
      </c>
      <c r="JK109" s="266"/>
      <c r="JL109" s="230" t="str">
        <f>IF(JK109="","",VLOOKUP(JK109,Language!$D$5:$E$100,2,0))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IF(JV109="","",VLOOKUP(JV109,Language!$D$5:$E$100,2,0))</f>
        <v/>
      </c>
      <c r="JX109" s="266"/>
      <c r="JY109" s="230" t="str">
        <f>IF(JX109="","",VLOOKUP(JX109,Language!$D$5:$E$100,2,0))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IF(KI109="","",VLOOKUP(KI109,Language!$D$5:$E$100,2,0))</f>
        <v/>
      </c>
      <c r="KK109" s="266"/>
      <c r="KL109" s="230" t="str">
        <f>IF(KK109="","",VLOOKUP(KK109,Language!$D$5:$E$100,2,0))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IF(KV109="","",VLOOKUP(KV109,Language!$D$5:$E$100,2,0))</f>
        <v/>
      </c>
      <c r="KX109" s="266"/>
      <c r="KY109" s="230" t="str">
        <f>IF(KX109="","",VLOOKUP(KX109,Language!$D$5:$E$100,2,0))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IF(LI109="","",VLOOKUP(LI109,Language!$D$5:$E$100,2,0))</f>
        <v/>
      </c>
      <c r="LK109" s="266"/>
      <c r="LL109" s="230" t="str">
        <f>IF(LK109="","",VLOOKUP(LK109,Language!$D$5:$E$100,2,0))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IF(LV109="","",VLOOKUP(LV109,Language!$D$5:$E$100,2,0))</f>
        <v/>
      </c>
      <c r="LX109" s="266"/>
      <c r="LY109" s="230" t="str">
        <f>IF(LX109="","",VLOOKUP(LX109,Language!$D$5:$E$100,2,0))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f>
        <v/>
      </c>
      <c r="G110" s="233" t="str">
        <f>IF(AND('World Cup'!$K$61&lt;&gt;"",'World Cup'!$L$61&lt;&gt;""),'World Cup'!$L$61,"")</f>
        <v/>
      </c>
      <c r="I110" s="265"/>
      <c r="J110" s="230" t="str">
        <f>IF(I110="","",VLOOKUP(I110,Language!$D$5:$E$100,2,0))</f>
        <v/>
      </c>
      <c r="K110" s="266"/>
      <c r="L110" s="230" t="str">
        <f>IF(K110="","",VLOOKUP(K110,Language!$D$5:$E$100,2,0))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IF(V110="","",VLOOKUP(V110,Language!$D$5:$E$100,2,0))</f>
        <v/>
      </c>
      <c r="X110" s="266"/>
      <c r="Y110" s="230" t="str">
        <f>IF(X110="","",VLOOKUP(X110,Language!$D$5:$E$100,2,0))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IF(AI110="","",VLOOKUP(AI110,Language!$D$5:$E$100,2,0))</f>
        <v/>
      </c>
      <c r="AK110" s="266"/>
      <c r="AL110" s="230" t="str">
        <f>IF(AK110="","",VLOOKUP(AK110,Language!$D$5:$E$100,2,0))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IF(AV110="","",VLOOKUP(AV110,Language!$D$5:$E$100,2,0))</f>
        <v/>
      </c>
      <c r="AX110" s="266"/>
      <c r="AY110" s="230" t="str">
        <f>IF(AX110="","",VLOOKUP(AX110,Language!$D$5:$E$100,2,0))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IF(BI110="","",VLOOKUP(BI110,Language!$D$5:$E$100,2,0))</f>
        <v/>
      </c>
      <c r="BK110" s="266"/>
      <c r="BL110" s="230" t="str">
        <f>IF(BK110="","",VLOOKUP(BK110,Language!$D$5:$E$100,2,0))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IF(BV110="","",VLOOKUP(BV110,Language!$D$5:$E$100,2,0))</f>
        <v/>
      </c>
      <c r="BX110" s="266"/>
      <c r="BY110" s="230" t="str">
        <f>IF(BX110="","",VLOOKUP(BX110,Language!$D$5:$E$100,2,0))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IF(CI110="","",VLOOKUP(CI110,Language!$D$5:$E$100,2,0))</f>
        <v/>
      </c>
      <c r="CK110" s="266"/>
      <c r="CL110" s="230" t="str">
        <f>IF(CK110="","",VLOOKUP(CK110,Language!$D$5:$E$100,2,0))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IF(CV110="","",VLOOKUP(CV110,Language!$D$5:$E$100,2,0))</f>
        <v/>
      </c>
      <c r="CX110" s="266"/>
      <c r="CY110" s="230" t="str">
        <f>IF(CX110="","",VLOOKUP(CX110,Language!$D$5:$E$100,2,0))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IF(DI110="","",VLOOKUP(DI110,Language!$D$5:$E$100,2,0))</f>
        <v/>
      </c>
      <c r="DK110" s="266"/>
      <c r="DL110" s="230" t="str">
        <f>IF(DK110="","",VLOOKUP(DK110,Language!$D$5:$E$100,2,0))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IF(DV110="","",VLOOKUP(DV110,Language!$D$5:$E$100,2,0))</f>
        <v/>
      </c>
      <c r="DX110" s="266"/>
      <c r="DY110" s="230" t="str">
        <f>IF(DX110="","",VLOOKUP(DX110,Language!$D$5:$E$100,2,0))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IF(EI110="","",VLOOKUP(EI110,Language!$D$5:$E$100,2,0))</f>
        <v/>
      </c>
      <c r="EK110" s="266"/>
      <c r="EL110" s="230" t="str">
        <f>IF(EK110="","",VLOOKUP(EK110,Language!$D$5:$E$100,2,0))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IF(EV110="","",VLOOKUP(EV110,Language!$D$5:$E$100,2,0))</f>
        <v/>
      </c>
      <c r="EX110" s="266"/>
      <c r="EY110" s="230" t="str">
        <f>IF(EX110="","",VLOOKUP(EX110,Language!$D$5:$E$100,2,0))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IF(FI110="","",VLOOKUP(FI110,Language!$D$5:$E$100,2,0))</f>
        <v/>
      </c>
      <c r="FK110" s="266"/>
      <c r="FL110" s="230" t="str">
        <f>IF(FK110="","",VLOOKUP(FK110,Language!$D$5:$E$100,2,0))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IF(FV110="","",VLOOKUP(FV110,Language!$D$5:$E$100,2,0))</f>
        <v/>
      </c>
      <c r="FX110" s="266"/>
      <c r="FY110" s="230" t="str">
        <f>IF(FX110="","",VLOOKUP(FX110,Language!$D$5:$E$100,2,0))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IF(GI110="","",VLOOKUP(GI110,Language!$D$5:$E$100,2,0))</f>
        <v/>
      </c>
      <c r="GK110" s="266"/>
      <c r="GL110" s="230" t="str">
        <f>IF(GK110="","",VLOOKUP(GK110,Language!$D$5:$E$100,2,0))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IF(GV110="","",VLOOKUP(GV110,Language!$D$5:$E$100,2,0))</f>
        <v/>
      </c>
      <c r="GX110" s="266"/>
      <c r="GY110" s="230" t="str">
        <f>IF(GX110="","",VLOOKUP(GX110,Language!$D$5:$E$100,2,0))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IF(HI110="","",VLOOKUP(HI110,Language!$D$5:$E$100,2,0))</f>
        <v/>
      </c>
      <c r="HK110" s="266"/>
      <c r="HL110" s="230" t="str">
        <f>IF(HK110="","",VLOOKUP(HK110,Language!$D$5:$E$100,2,0))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IF(HV110="","",VLOOKUP(HV110,Language!$D$5:$E$100,2,0))</f>
        <v/>
      </c>
      <c r="HX110" s="266"/>
      <c r="HY110" s="230" t="str">
        <f>IF(HX110="","",VLOOKUP(HX110,Language!$D$5:$E$100,2,0))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IF(II110="","",VLOOKUP(II110,Language!$D$5:$E$100,2,0))</f>
        <v/>
      </c>
      <c r="IK110" s="266"/>
      <c r="IL110" s="230" t="str">
        <f>IF(IK110="","",VLOOKUP(IK110,Language!$D$5:$E$100,2,0))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IF(IV110="","",VLOOKUP(IV110,Language!$D$5:$E$100,2,0))</f>
        <v/>
      </c>
      <c r="IX110" s="266"/>
      <c r="IY110" s="230" t="str">
        <f>IF(IX110="","",VLOOKUP(IX110,Language!$D$5:$E$100,2,0))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IF(JI110="","",VLOOKUP(JI110,Language!$D$5:$E$100,2,0))</f>
        <v/>
      </c>
      <c r="JK110" s="266"/>
      <c r="JL110" s="230" t="str">
        <f>IF(JK110="","",VLOOKUP(JK110,Language!$D$5:$E$100,2,0))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IF(JV110="","",VLOOKUP(JV110,Language!$D$5:$E$100,2,0))</f>
        <v/>
      </c>
      <c r="JX110" s="266"/>
      <c r="JY110" s="230" t="str">
        <f>IF(JX110="","",VLOOKUP(JX110,Language!$D$5:$E$100,2,0))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IF(KI110="","",VLOOKUP(KI110,Language!$D$5:$E$100,2,0))</f>
        <v/>
      </c>
      <c r="KK110" s="266"/>
      <c r="KL110" s="230" t="str">
        <f>IF(KK110="","",VLOOKUP(KK110,Language!$D$5:$E$100,2,0))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IF(KV110="","",VLOOKUP(KV110,Language!$D$5:$E$100,2,0))</f>
        <v/>
      </c>
      <c r="KX110" s="266"/>
      <c r="KY110" s="230" t="str">
        <f>IF(KX110="","",VLOOKUP(KX110,Language!$D$5:$E$100,2,0))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IF(LI110="","",VLOOKUP(LI110,Language!$D$5:$E$100,2,0))</f>
        <v/>
      </c>
      <c r="LK110" s="266"/>
      <c r="LL110" s="230" t="str">
        <f>IF(LK110="","",VLOOKUP(LK110,Language!$D$5:$E$100,2,0))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IF(LV110="","",VLOOKUP(LV110,Language!$D$5:$E$100,2,0))</f>
        <v/>
      </c>
      <c r="LX110" s="266"/>
      <c r="LY110" s="230" t="str">
        <f>IF(LX110="","",VLOOKUP(LX110,Language!$D$5:$E$100,2,0))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f>
        <v/>
      </c>
      <c r="G111" s="233" t="str">
        <f>IF(AND('World Cup'!$N$61&lt;&gt;"",'World Cup'!$O$61&lt;&gt;""),'World Cup'!$O$61,"")</f>
        <v/>
      </c>
      <c r="I111" s="265"/>
      <c r="J111" s="230" t="str">
        <f>IF(I111="","",VLOOKUP(I111,Language!$D$5:$E$100,2,0))</f>
        <v/>
      </c>
      <c r="K111" s="266"/>
      <c r="L111" s="230" t="str">
        <f>IF(K111="","",VLOOKUP(K111,Language!$D$5:$E$100,2,0))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IF(V111="","",VLOOKUP(V111,Language!$D$5:$E$100,2,0))</f>
        <v/>
      </c>
      <c r="X111" s="266"/>
      <c r="Y111" s="230" t="str">
        <f>IF(X111="","",VLOOKUP(X111,Language!$D$5:$E$100,2,0))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IF(AI111="","",VLOOKUP(AI111,Language!$D$5:$E$100,2,0))</f>
        <v/>
      </c>
      <c r="AK111" s="266"/>
      <c r="AL111" s="230" t="str">
        <f>IF(AK111="","",VLOOKUP(AK111,Language!$D$5:$E$100,2,0))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IF(AV111="","",VLOOKUP(AV111,Language!$D$5:$E$100,2,0))</f>
        <v/>
      </c>
      <c r="AX111" s="266"/>
      <c r="AY111" s="230" t="str">
        <f>IF(AX111="","",VLOOKUP(AX111,Language!$D$5:$E$100,2,0))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IF(BI111="","",VLOOKUP(BI111,Language!$D$5:$E$100,2,0))</f>
        <v/>
      </c>
      <c r="BK111" s="266"/>
      <c r="BL111" s="230" t="str">
        <f>IF(BK111="","",VLOOKUP(BK111,Language!$D$5:$E$100,2,0))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IF(BV111="","",VLOOKUP(BV111,Language!$D$5:$E$100,2,0))</f>
        <v/>
      </c>
      <c r="BX111" s="266"/>
      <c r="BY111" s="230" t="str">
        <f>IF(BX111="","",VLOOKUP(BX111,Language!$D$5:$E$100,2,0))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IF(CI111="","",VLOOKUP(CI111,Language!$D$5:$E$100,2,0))</f>
        <v/>
      </c>
      <c r="CK111" s="266"/>
      <c r="CL111" s="230" t="str">
        <f>IF(CK111="","",VLOOKUP(CK111,Language!$D$5:$E$100,2,0))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IF(CV111="","",VLOOKUP(CV111,Language!$D$5:$E$100,2,0))</f>
        <v/>
      </c>
      <c r="CX111" s="266"/>
      <c r="CY111" s="230" t="str">
        <f>IF(CX111="","",VLOOKUP(CX111,Language!$D$5:$E$100,2,0))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IF(DI111="","",VLOOKUP(DI111,Language!$D$5:$E$100,2,0))</f>
        <v/>
      </c>
      <c r="DK111" s="266"/>
      <c r="DL111" s="230" t="str">
        <f>IF(DK111="","",VLOOKUP(DK111,Language!$D$5:$E$100,2,0))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IF(DV111="","",VLOOKUP(DV111,Language!$D$5:$E$100,2,0))</f>
        <v/>
      </c>
      <c r="DX111" s="266"/>
      <c r="DY111" s="230" t="str">
        <f>IF(DX111="","",VLOOKUP(DX111,Language!$D$5:$E$100,2,0))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IF(EI111="","",VLOOKUP(EI111,Language!$D$5:$E$100,2,0))</f>
        <v/>
      </c>
      <c r="EK111" s="266"/>
      <c r="EL111" s="230" t="str">
        <f>IF(EK111="","",VLOOKUP(EK111,Language!$D$5:$E$100,2,0))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IF(EV111="","",VLOOKUP(EV111,Language!$D$5:$E$100,2,0))</f>
        <v/>
      </c>
      <c r="EX111" s="266"/>
      <c r="EY111" s="230" t="str">
        <f>IF(EX111="","",VLOOKUP(EX111,Language!$D$5:$E$100,2,0))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IF(FI111="","",VLOOKUP(FI111,Language!$D$5:$E$100,2,0))</f>
        <v/>
      </c>
      <c r="FK111" s="266"/>
      <c r="FL111" s="230" t="str">
        <f>IF(FK111="","",VLOOKUP(FK111,Language!$D$5:$E$100,2,0))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IF(FV111="","",VLOOKUP(FV111,Language!$D$5:$E$100,2,0))</f>
        <v/>
      </c>
      <c r="FX111" s="266"/>
      <c r="FY111" s="230" t="str">
        <f>IF(FX111="","",VLOOKUP(FX111,Language!$D$5:$E$100,2,0))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IF(GI111="","",VLOOKUP(GI111,Language!$D$5:$E$100,2,0))</f>
        <v/>
      </c>
      <c r="GK111" s="266"/>
      <c r="GL111" s="230" t="str">
        <f>IF(GK111="","",VLOOKUP(GK111,Language!$D$5:$E$100,2,0))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IF(GV111="","",VLOOKUP(GV111,Language!$D$5:$E$100,2,0))</f>
        <v/>
      </c>
      <c r="GX111" s="266"/>
      <c r="GY111" s="230" t="str">
        <f>IF(GX111="","",VLOOKUP(GX111,Language!$D$5:$E$100,2,0))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IF(HI111="","",VLOOKUP(HI111,Language!$D$5:$E$100,2,0))</f>
        <v/>
      </c>
      <c r="HK111" s="266"/>
      <c r="HL111" s="230" t="str">
        <f>IF(HK111="","",VLOOKUP(HK111,Language!$D$5:$E$100,2,0))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IF(HV111="","",VLOOKUP(HV111,Language!$D$5:$E$100,2,0))</f>
        <v/>
      </c>
      <c r="HX111" s="266"/>
      <c r="HY111" s="230" t="str">
        <f>IF(HX111="","",VLOOKUP(HX111,Language!$D$5:$E$100,2,0))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IF(II111="","",VLOOKUP(II111,Language!$D$5:$E$100,2,0))</f>
        <v/>
      </c>
      <c r="IK111" s="266"/>
      <c r="IL111" s="230" t="str">
        <f>IF(IK111="","",VLOOKUP(IK111,Language!$D$5:$E$100,2,0))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IF(IV111="","",VLOOKUP(IV111,Language!$D$5:$E$100,2,0))</f>
        <v/>
      </c>
      <c r="IX111" s="266"/>
      <c r="IY111" s="230" t="str">
        <f>IF(IX111="","",VLOOKUP(IX111,Language!$D$5:$E$100,2,0))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IF(JI111="","",VLOOKUP(JI111,Language!$D$5:$E$100,2,0))</f>
        <v/>
      </c>
      <c r="JK111" s="266"/>
      <c r="JL111" s="230" t="str">
        <f>IF(JK111="","",VLOOKUP(JK111,Language!$D$5:$E$100,2,0))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IF(JV111="","",VLOOKUP(JV111,Language!$D$5:$E$100,2,0))</f>
        <v/>
      </c>
      <c r="JX111" s="266"/>
      <c r="JY111" s="230" t="str">
        <f>IF(JX111="","",VLOOKUP(JX111,Language!$D$5:$E$100,2,0))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IF(KI111="","",VLOOKUP(KI111,Language!$D$5:$E$100,2,0))</f>
        <v/>
      </c>
      <c r="KK111" s="266"/>
      <c r="KL111" s="230" t="str">
        <f>IF(KK111="","",VLOOKUP(KK111,Language!$D$5:$E$100,2,0))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IF(KV111="","",VLOOKUP(KV111,Language!$D$5:$E$100,2,0))</f>
        <v/>
      </c>
      <c r="KX111" s="266"/>
      <c r="KY111" s="230" t="str">
        <f>IF(KX111="","",VLOOKUP(KX111,Language!$D$5:$E$100,2,0))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IF(LI111="","",VLOOKUP(LI111,Language!$D$5:$E$100,2,0))</f>
        <v/>
      </c>
      <c r="LK111" s="266"/>
      <c r="LL111" s="230" t="str">
        <f>IF(LK111="","",VLOOKUP(LK111,Language!$D$5:$E$100,2,0))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IF(LV111="","",VLOOKUP(LV111,Language!$D$5:$E$100,2,0))</f>
        <v/>
      </c>
      <c r="LX111" s="266"/>
      <c r="LY111" s="230" t="str">
        <f>IF(LX111="","",VLOOKUP(LX111,Language!$D$5:$E$100,2,0))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f>
        <v/>
      </c>
      <c r="G112" s="233" t="str">
        <f>IF(AND('World Cup'!$Q$61&lt;&gt;"",'World Cup'!$R$61&lt;&gt;""),'World Cup'!$R$61,"")</f>
        <v/>
      </c>
      <c r="I112" s="265"/>
      <c r="J112" s="230" t="str">
        <f>IF(I112="","",VLOOKUP(I112,Language!$D$5:$E$100,2,0))</f>
        <v/>
      </c>
      <c r="K112" s="266"/>
      <c r="L112" s="230" t="str">
        <f>IF(K112="","",VLOOKUP(K112,Language!$D$5:$E$100,2,0))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IF(V112="","",VLOOKUP(V112,Language!$D$5:$E$100,2,0))</f>
        <v/>
      </c>
      <c r="X112" s="266"/>
      <c r="Y112" s="230" t="str">
        <f>IF(X112="","",VLOOKUP(X112,Language!$D$5:$E$100,2,0))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IF(AI112="","",VLOOKUP(AI112,Language!$D$5:$E$100,2,0))</f>
        <v/>
      </c>
      <c r="AK112" s="266"/>
      <c r="AL112" s="230" t="str">
        <f>IF(AK112="","",VLOOKUP(AK112,Language!$D$5:$E$100,2,0))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IF(AV112="","",VLOOKUP(AV112,Language!$D$5:$E$100,2,0))</f>
        <v/>
      </c>
      <c r="AX112" s="266"/>
      <c r="AY112" s="230" t="str">
        <f>IF(AX112="","",VLOOKUP(AX112,Language!$D$5:$E$100,2,0))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IF(BI112="","",VLOOKUP(BI112,Language!$D$5:$E$100,2,0))</f>
        <v/>
      </c>
      <c r="BK112" s="266"/>
      <c r="BL112" s="230" t="str">
        <f>IF(BK112="","",VLOOKUP(BK112,Language!$D$5:$E$100,2,0))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IF(BV112="","",VLOOKUP(BV112,Language!$D$5:$E$100,2,0))</f>
        <v/>
      </c>
      <c r="BX112" s="266"/>
      <c r="BY112" s="230" t="str">
        <f>IF(BX112="","",VLOOKUP(BX112,Language!$D$5:$E$100,2,0))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IF(CI112="","",VLOOKUP(CI112,Language!$D$5:$E$100,2,0))</f>
        <v/>
      </c>
      <c r="CK112" s="266"/>
      <c r="CL112" s="230" t="str">
        <f>IF(CK112="","",VLOOKUP(CK112,Language!$D$5:$E$100,2,0))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IF(CV112="","",VLOOKUP(CV112,Language!$D$5:$E$100,2,0))</f>
        <v/>
      </c>
      <c r="CX112" s="266"/>
      <c r="CY112" s="230" t="str">
        <f>IF(CX112="","",VLOOKUP(CX112,Language!$D$5:$E$100,2,0))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IF(DI112="","",VLOOKUP(DI112,Language!$D$5:$E$100,2,0))</f>
        <v/>
      </c>
      <c r="DK112" s="266"/>
      <c r="DL112" s="230" t="str">
        <f>IF(DK112="","",VLOOKUP(DK112,Language!$D$5:$E$100,2,0))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IF(DV112="","",VLOOKUP(DV112,Language!$D$5:$E$100,2,0))</f>
        <v/>
      </c>
      <c r="DX112" s="266"/>
      <c r="DY112" s="230" t="str">
        <f>IF(DX112="","",VLOOKUP(DX112,Language!$D$5:$E$100,2,0))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IF(EI112="","",VLOOKUP(EI112,Language!$D$5:$E$100,2,0))</f>
        <v/>
      </c>
      <c r="EK112" s="266"/>
      <c r="EL112" s="230" t="str">
        <f>IF(EK112="","",VLOOKUP(EK112,Language!$D$5:$E$100,2,0))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IF(EV112="","",VLOOKUP(EV112,Language!$D$5:$E$100,2,0))</f>
        <v/>
      </c>
      <c r="EX112" s="266"/>
      <c r="EY112" s="230" t="str">
        <f>IF(EX112="","",VLOOKUP(EX112,Language!$D$5:$E$100,2,0))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IF(FI112="","",VLOOKUP(FI112,Language!$D$5:$E$100,2,0))</f>
        <v/>
      </c>
      <c r="FK112" s="266"/>
      <c r="FL112" s="230" t="str">
        <f>IF(FK112="","",VLOOKUP(FK112,Language!$D$5:$E$100,2,0))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IF(FV112="","",VLOOKUP(FV112,Language!$D$5:$E$100,2,0))</f>
        <v/>
      </c>
      <c r="FX112" s="266"/>
      <c r="FY112" s="230" t="str">
        <f>IF(FX112="","",VLOOKUP(FX112,Language!$D$5:$E$100,2,0))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IF(GI112="","",VLOOKUP(GI112,Language!$D$5:$E$100,2,0))</f>
        <v/>
      </c>
      <c r="GK112" s="266"/>
      <c r="GL112" s="230" t="str">
        <f>IF(GK112="","",VLOOKUP(GK112,Language!$D$5:$E$100,2,0))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IF(GV112="","",VLOOKUP(GV112,Language!$D$5:$E$100,2,0))</f>
        <v/>
      </c>
      <c r="GX112" s="266"/>
      <c r="GY112" s="230" t="str">
        <f>IF(GX112="","",VLOOKUP(GX112,Language!$D$5:$E$100,2,0))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IF(HI112="","",VLOOKUP(HI112,Language!$D$5:$E$100,2,0))</f>
        <v/>
      </c>
      <c r="HK112" s="266"/>
      <c r="HL112" s="230" t="str">
        <f>IF(HK112="","",VLOOKUP(HK112,Language!$D$5:$E$100,2,0))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IF(HV112="","",VLOOKUP(HV112,Language!$D$5:$E$100,2,0))</f>
        <v/>
      </c>
      <c r="HX112" s="266"/>
      <c r="HY112" s="230" t="str">
        <f>IF(HX112="","",VLOOKUP(HX112,Language!$D$5:$E$100,2,0))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IF(II112="","",VLOOKUP(II112,Language!$D$5:$E$100,2,0))</f>
        <v/>
      </c>
      <c r="IK112" s="266"/>
      <c r="IL112" s="230" t="str">
        <f>IF(IK112="","",VLOOKUP(IK112,Language!$D$5:$E$100,2,0))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IF(IV112="","",VLOOKUP(IV112,Language!$D$5:$E$100,2,0))</f>
        <v/>
      </c>
      <c r="IX112" s="266"/>
      <c r="IY112" s="230" t="str">
        <f>IF(IX112="","",VLOOKUP(IX112,Language!$D$5:$E$100,2,0))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IF(JI112="","",VLOOKUP(JI112,Language!$D$5:$E$100,2,0))</f>
        <v/>
      </c>
      <c r="JK112" s="266"/>
      <c r="JL112" s="230" t="str">
        <f>IF(JK112="","",VLOOKUP(JK112,Language!$D$5:$E$100,2,0))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IF(JV112="","",VLOOKUP(JV112,Language!$D$5:$E$100,2,0))</f>
        <v/>
      </c>
      <c r="JX112" s="266"/>
      <c r="JY112" s="230" t="str">
        <f>IF(JX112="","",VLOOKUP(JX112,Language!$D$5:$E$100,2,0))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IF(KI112="","",VLOOKUP(KI112,Language!$D$5:$E$100,2,0))</f>
        <v/>
      </c>
      <c r="KK112" s="266"/>
      <c r="KL112" s="230" t="str">
        <f>IF(KK112="","",VLOOKUP(KK112,Language!$D$5:$E$100,2,0))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IF(KV112="","",VLOOKUP(KV112,Language!$D$5:$E$100,2,0))</f>
        <v/>
      </c>
      <c r="KX112" s="266"/>
      <c r="KY112" s="230" t="str">
        <f>IF(KX112="","",VLOOKUP(KX112,Language!$D$5:$E$100,2,0))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IF(LI112="","",VLOOKUP(LI112,Language!$D$5:$E$100,2,0))</f>
        <v/>
      </c>
      <c r="LK112" s="266"/>
      <c r="LL112" s="230" t="str">
        <f>IF(LK112="","",VLOOKUP(LK112,Language!$D$5:$E$100,2,0))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IF(LV112="","",VLOOKUP(LV112,Language!$D$5:$E$100,2,0))</f>
        <v/>
      </c>
      <c r="LX112" s="266"/>
      <c r="LY112" s="230" t="str">
        <f>IF(LX112="","",VLOOKUP(LX112,Language!$D$5:$E$100,2,0))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f>
        <v/>
      </c>
      <c r="G113" s="233" t="str">
        <f>IF(AND('World Cup'!$T$61&lt;&gt;"",'World Cup'!$U$61&lt;&gt;""),'World Cup'!$U$61,"")</f>
        <v/>
      </c>
      <c r="I113" s="265"/>
      <c r="J113" s="230" t="str">
        <f>IF(I113="","",VLOOKUP(I113,Language!$D$5:$E$100,2,0))</f>
        <v/>
      </c>
      <c r="K113" s="266"/>
      <c r="L113" s="230" t="str">
        <f>IF(K113="","",VLOOKUP(K113,Language!$D$5:$E$100,2,0))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IF(V113="","",VLOOKUP(V113,Language!$D$5:$E$100,2,0))</f>
        <v/>
      </c>
      <c r="X113" s="266"/>
      <c r="Y113" s="230" t="str">
        <f>IF(X113="","",VLOOKUP(X113,Language!$D$5:$E$100,2,0))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IF(AI113="","",VLOOKUP(AI113,Language!$D$5:$E$100,2,0))</f>
        <v/>
      </c>
      <c r="AK113" s="266"/>
      <c r="AL113" s="230" t="str">
        <f>IF(AK113="","",VLOOKUP(AK113,Language!$D$5:$E$100,2,0))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IF(AV113="","",VLOOKUP(AV113,Language!$D$5:$E$100,2,0))</f>
        <v/>
      </c>
      <c r="AX113" s="266"/>
      <c r="AY113" s="230" t="str">
        <f>IF(AX113="","",VLOOKUP(AX113,Language!$D$5:$E$100,2,0))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IF(BI113="","",VLOOKUP(BI113,Language!$D$5:$E$100,2,0))</f>
        <v/>
      </c>
      <c r="BK113" s="266"/>
      <c r="BL113" s="230" t="str">
        <f>IF(BK113="","",VLOOKUP(BK113,Language!$D$5:$E$100,2,0))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IF(BV113="","",VLOOKUP(BV113,Language!$D$5:$E$100,2,0))</f>
        <v/>
      </c>
      <c r="BX113" s="266"/>
      <c r="BY113" s="230" t="str">
        <f>IF(BX113="","",VLOOKUP(BX113,Language!$D$5:$E$100,2,0))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IF(CI113="","",VLOOKUP(CI113,Language!$D$5:$E$100,2,0))</f>
        <v/>
      </c>
      <c r="CK113" s="266"/>
      <c r="CL113" s="230" t="str">
        <f>IF(CK113="","",VLOOKUP(CK113,Language!$D$5:$E$100,2,0))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IF(CV113="","",VLOOKUP(CV113,Language!$D$5:$E$100,2,0))</f>
        <v/>
      </c>
      <c r="CX113" s="266"/>
      <c r="CY113" s="230" t="str">
        <f>IF(CX113="","",VLOOKUP(CX113,Language!$D$5:$E$100,2,0))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IF(DI113="","",VLOOKUP(DI113,Language!$D$5:$E$100,2,0))</f>
        <v/>
      </c>
      <c r="DK113" s="266"/>
      <c r="DL113" s="230" t="str">
        <f>IF(DK113="","",VLOOKUP(DK113,Language!$D$5:$E$100,2,0))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IF(DV113="","",VLOOKUP(DV113,Language!$D$5:$E$100,2,0))</f>
        <v/>
      </c>
      <c r="DX113" s="266"/>
      <c r="DY113" s="230" t="str">
        <f>IF(DX113="","",VLOOKUP(DX113,Language!$D$5:$E$100,2,0))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IF(EI113="","",VLOOKUP(EI113,Language!$D$5:$E$100,2,0))</f>
        <v/>
      </c>
      <c r="EK113" s="266"/>
      <c r="EL113" s="230" t="str">
        <f>IF(EK113="","",VLOOKUP(EK113,Language!$D$5:$E$100,2,0))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IF(EV113="","",VLOOKUP(EV113,Language!$D$5:$E$100,2,0))</f>
        <v/>
      </c>
      <c r="EX113" s="266"/>
      <c r="EY113" s="230" t="str">
        <f>IF(EX113="","",VLOOKUP(EX113,Language!$D$5:$E$100,2,0))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IF(FI113="","",VLOOKUP(FI113,Language!$D$5:$E$100,2,0))</f>
        <v/>
      </c>
      <c r="FK113" s="266"/>
      <c r="FL113" s="230" t="str">
        <f>IF(FK113="","",VLOOKUP(FK113,Language!$D$5:$E$100,2,0))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IF(FV113="","",VLOOKUP(FV113,Language!$D$5:$E$100,2,0))</f>
        <v/>
      </c>
      <c r="FX113" s="266"/>
      <c r="FY113" s="230" t="str">
        <f>IF(FX113="","",VLOOKUP(FX113,Language!$D$5:$E$100,2,0))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IF(GI113="","",VLOOKUP(GI113,Language!$D$5:$E$100,2,0))</f>
        <v/>
      </c>
      <c r="GK113" s="266"/>
      <c r="GL113" s="230" t="str">
        <f>IF(GK113="","",VLOOKUP(GK113,Language!$D$5:$E$100,2,0))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IF(GV113="","",VLOOKUP(GV113,Language!$D$5:$E$100,2,0))</f>
        <v/>
      </c>
      <c r="GX113" s="266"/>
      <c r="GY113" s="230" t="str">
        <f>IF(GX113="","",VLOOKUP(GX113,Language!$D$5:$E$100,2,0))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IF(HI113="","",VLOOKUP(HI113,Language!$D$5:$E$100,2,0))</f>
        <v/>
      </c>
      <c r="HK113" s="266"/>
      <c r="HL113" s="230" t="str">
        <f>IF(HK113="","",VLOOKUP(HK113,Language!$D$5:$E$100,2,0))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IF(HV113="","",VLOOKUP(HV113,Language!$D$5:$E$100,2,0))</f>
        <v/>
      </c>
      <c r="HX113" s="266"/>
      <c r="HY113" s="230" t="str">
        <f>IF(HX113="","",VLOOKUP(HX113,Language!$D$5:$E$100,2,0))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IF(II113="","",VLOOKUP(II113,Language!$D$5:$E$100,2,0))</f>
        <v/>
      </c>
      <c r="IK113" s="266"/>
      <c r="IL113" s="230" t="str">
        <f>IF(IK113="","",VLOOKUP(IK113,Language!$D$5:$E$100,2,0))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IF(IV113="","",VLOOKUP(IV113,Language!$D$5:$E$100,2,0))</f>
        <v/>
      </c>
      <c r="IX113" s="266"/>
      <c r="IY113" s="230" t="str">
        <f>IF(IX113="","",VLOOKUP(IX113,Language!$D$5:$E$100,2,0))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IF(JI113="","",VLOOKUP(JI113,Language!$D$5:$E$100,2,0))</f>
        <v/>
      </c>
      <c r="JK113" s="266"/>
      <c r="JL113" s="230" t="str">
        <f>IF(JK113="","",VLOOKUP(JK113,Language!$D$5:$E$100,2,0))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IF(JV113="","",VLOOKUP(JV113,Language!$D$5:$E$100,2,0))</f>
        <v/>
      </c>
      <c r="JX113" s="266"/>
      <c r="JY113" s="230" t="str">
        <f>IF(JX113="","",VLOOKUP(JX113,Language!$D$5:$E$100,2,0))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IF(KI113="","",VLOOKUP(KI113,Language!$D$5:$E$100,2,0))</f>
        <v/>
      </c>
      <c r="KK113" s="266"/>
      <c r="KL113" s="230" t="str">
        <f>IF(KK113="","",VLOOKUP(KK113,Language!$D$5:$E$100,2,0))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IF(KV113="","",VLOOKUP(KV113,Language!$D$5:$E$100,2,0))</f>
        <v/>
      </c>
      <c r="KX113" s="266"/>
      <c r="KY113" s="230" t="str">
        <f>IF(KX113="","",VLOOKUP(KX113,Language!$D$5:$E$100,2,0))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IF(LI113="","",VLOOKUP(LI113,Language!$D$5:$E$100,2,0))</f>
        <v/>
      </c>
      <c r="LK113" s="266"/>
      <c r="LL113" s="230" t="str">
        <f>IF(LK113="","",VLOOKUP(LK113,Language!$D$5:$E$100,2,0))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IF(LV113="","",VLOOKUP(LV113,Language!$D$5:$E$100,2,0))</f>
        <v/>
      </c>
      <c r="LX113" s="266"/>
      <c r="LY113" s="230" t="str">
        <f>IF(LX113="","",VLOOKUP(LX113,Language!$D$5:$E$100,2,0))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f>
        <v/>
      </c>
      <c r="G114" s="233" t="str">
        <f>IF(AND('World Cup'!$W$61&lt;&gt;"",'World Cup'!$X$61&lt;&gt;""),'World Cup'!$X$61,"")</f>
        <v/>
      </c>
      <c r="I114" s="265"/>
      <c r="J114" s="230" t="str">
        <f>IF(I114="","",VLOOKUP(I114,Language!$D$5:$E$100,2,0))</f>
        <v/>
      </c>
      <c r="K114" s="266"/>
      <c r="L114" s="230" t="str">
        <f>IF(K114="","",VLOOKUP(K114,Language!$D$5:$E$100,2,0))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IF(V114="","",VLOOKUP(V114,Language!$D$5:$E$100,2,0))</f>
        <v/>
      </c>
      <c r="X114" s="266"/>
      <c r="Y114" s="230" t="str">
        <f>IF(X114="","",VLOOKUP(X114,Language!$D$5:$E$100,2,0))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IF(AI114="","",VLOOKUP(AI114,Language!$D$5:$E$100,2,0))</f>
        <v/>
      </c>
      <c r="AK114" s="266"/>
      <c r="AL114" s="230" t="str">
        <f>IF(AK114="","",VLOOKUP(AK114,Language!$D$5:$E$100,2,0))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IF(AV114="","",VLOOKUP(AV114,Language!$D$5:$E$100,2,0))</f>
        <v/>
      </c>
      <c r="AX114" s="266"/>
      <c r="AY114" s="230" t="str">
        <f>IF(AX114="","",VLOOKUP(AX114,Language!$D$5:$E$100,2,0))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IF(BI114="","",VLOOKUP(BI114,Language!$D$5:$E$100,2,0))</f>
        <v/>
      </c>
      <c r="BK114" s="266"/>
      <c r="BL114" s="230" t="str">
        <f>IF(BK114="","",VLOOKUP(BK114,Language!$D$5:$E$100,2,0))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IF(BV114="","",VLOOKUP(BV114,Language!$D$5:$E$100,2,0))</f>
        <v/>
      </c>
      <c r="BX114" s="266"/>
      <c r="BY114" s="230" t="str">
        <f>IF(BX114="","",VLOOKUP(BX114,Language!$D$5:$E$100,2,0))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IF(CI114="","",VLOOKUP(CI114,Language!$D$5:$E$100,2,0))</f>
        <v/>
      </c>
      <c r="CK114" s="266"/>
      <c r="CL114" s="230" t="str">
        <f>IF(CK114="","",VLOOKUP(CK114,Language!$D$5:$E$100,2,0))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IF(CV114="","",VLOOKUP(CV114,Language!$D$5:$E$100,2,0))</f>
        <v/>
      </c>
      <c r="CX114" s="266"/>
      <c r="CY114" s="230" t="str">
        <f>IF(CX114="","",VLOOKUP(CX114,Language!$D$5:$E$100,2,0))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IF(DI114="","",VLOOKUP(DI114,Language!$D$5:$E$100,2,0))</f>
        <v/>
      </c>
      <c r="DK114" s="266"/>
      <c r="DL114" s="230" t="str">
        <f>IF(DK114="","",VLOOKUP(DK114,Language!$D$5:$E$100,2,0))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IF(DV114="","",VLOOKUP(DV114,Language!$D$5:$E$100,2,0))</f>
        <v/>
      </c>
      <c r="DX114" s="266"/>
      <c r="DY114" s="230" t="str">
        <f>IF(DX114="","",VLOOKUP(DX114,Language!$D$5:$E$100,2,0))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IF(EI114="","",VLOOKUP(EI114,Language!$D$5:$E$100,2,0))</f>
        <v/>
      </c>
      <c r="EK114" s="266"/>
      <c r="EL114" s="230" t="str">
        <f>IF(EK114="","",VLOOKUP(EK114,Language!$D$5:$E$100,2,0))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IF(EV114="","",VLOOKUP(EV114,Language!$D$5:$E$100,2,0))</f>
        <v/>
      </c>
      <c r="EX114" s="266"/>
      <c r="EY114" s="230" t="str">
        <f>IF(EX114="","",VLOOKUP(EX114,Language!$D$5:$E$100,2,0))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IF(FI114="","",VLOOKUP(FI114,Language!$D$5:$E$100,2,0))</f>
        <v/>
      </c>
      <c r="FK114" s="266"/>
      <c r="FL114" s="230" t="str">
        <f>IF(FK114="","",VLOOKUP(FK114,Language!$D$5:$E$100,2,0))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IF(FV114="","",VLOOKUP(FV114,Language!$D$5:$E$100,2,0))</f>
        <v/>
      </c>
      <c r="FX114" s="266"/>
      <c r="FY114" s="230" t="str">
        <f>IF(FX114="","",VLOOKUP(FX114,Language!$D$5:$E$100,2,0))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IF(GI114="","",VLOOKUP(GI114,Language!$D$5:$E$100,2,0))</f>
        <v/>
      </c>
      <c r="GK114" s="266"/>
      <c r="GL114" s="230" t="str">
        <f>IF(GK114="","",VLOOKUP(GK114,Language!$D$5:$E$100,2,0))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IF(GV114="","",VLOOKUP(GV114,Language!$D$5:$E$100,2,0))</f>
        <v/>
      </c>
      <c r="GX114" s="266"/>
      <c r="GY114" s="230" t="str">
        <f>IF(GX114="","",VLOOKUP(GX114,Language!$D$5:$E$100,2,0))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IF(HI114="","",VLOOKUP(HI114,Language!$D$5:$E$100,2,0))</f>
        <v/>
      </c>
      <c r="HK114" s="266"/>
      <c r="HL114" s="230" t="str">
        <f>IF(HK114="","",VLOOKUP(HK114,Language!$D$5:$E$100,2,0))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IF(HV114="","",VLOOKUP(HV114,Language!$D$5:$E$100,2,0))</f>
        <v/>
      </c>
      <c r="HX114" s="266"/>
      <c r="HY114" s="230" t="str">
        <f>IF(HX114="","",VLOOKUP(HX114,Language!$D$5:$E$100,2,0))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IF(II114="","",VLOOKUP(II114,Language!$D$5:$E$100,2,0))</f>
        <v/>
      </c>
      <c r="IK114" s="266"/>
      <c r="IL114" s="230" t="str">
        <f>IF(IK114="","",VLOOKUP(IK114,Language!$D$5:$E$100,2,0))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IF(IV114="","",VLOOKUP(IV114,Language!$D$5:$E$100,2,0))</f>
        <v/>
      </c>
      <c r="IX114" s="266"/>
      <c r="IY114" s="230" t="str">
        <f>IF(IX114="","",VLOOKUP(IX114,Language!$D$5:$E$100,2,0))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IF(JI114="","",VLOOKUP(JI114,Language!$D$5:$E$100,2,0))</f>
        <v/>
      </c>
      <c r="JK114" s="266"/>
      <c r="JL114" s="230" t="str">
        <f>IF(JK114="","",VLOOKUP(JK114,Language!$D$5:$E$100,2,0))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IF(JV114="","",VLOOKUP(JV114,Language!$D$5:$E$100,2,0))</f>
        <v/>
      </c>
      <c r="JX114" s="266"/>
      <c r="JY114" s="230" t="str">
        <f>IF(JX114="","",VLOOKUP(JX114,Language!$D$5:$E$100,2,0))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IF(KI114="","",VLOOKUP(KI114,Language!$D$5:$E$100,2,0))</f>
        <v/>
      </c>
      <c r="KK114" s="266"/>
      <c r="KL114" s="230" t="str">
        <f>IF(KK114="","",VLOOKUP(KK114,Language!$D$5:$E$100,2,0))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IF(KV114="","",VLOOKUP(KV114,Language!$D$5:$E$100,2,0))</f>
        <v/>
      </c>
      <c r="KX114" s="266"/>
      <c r="KY114" s="230" t="str">
        <f>IF(KX114="","",VLOOKUP(KX114,Language!$D$5:$E$100,2,0))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IF(LI114="","",VLOOKUP(LI114,Language!$D$5:$E$100,2,0))</f>
        <v/>
      </c>
      <c r="LK114" s="266"/>
      <c r="LL114" s="230" t="str">
        <f>IF(LK114="","",VLOOKUP(LK114,Language!$D$5:$E$100,2,0))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IF(LV114="","",VLOOKUP(LV114,Language!$D$5:$E$100,2,0))</f>
        <v/>
      </c>
      <c r="LX114" s="266"/>
      <c r="LY114" s="230" t="str">
        <f>IF(LX114="","",VLOOKUP(LX114,Language!$D$5:$E$100,2,0))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42"/>
      <c r="Q115" s="254"/>
      <c r="R115" s="241"/>
      <c r="S115" s="241"/>
      <c r="T115" s="255"/>
      <c r="V115" s="238" t="str">
        <f>$B115</f>
        <v>Quarter final</v>
      </c>
      <c r="W115" s="240"/>
      <c r="X115" s="240"/>
      <c r="Y115" s="241"/>
      <c r="Z115" s="270"/>
      <c r="AA115" s="271"/>
      <c r="AB115" s="242"/>
      <c r="AC115" s="242"/>
      <c r="AD115" s="254"/>
      <c r="AE115" s="241"/>
      <c r="AF115" s="241"/>
      <c r="AG115" s="255"/>
      <c r="AI115" s="238" t="str">
        <f>$B115</f>
        <v>Quarter final</v>
      </c>
      <c r="AJ115" s="240"/>
      <c r="AK115" s="240"/>
      <c r="AL115" s="241"/>
      <c r="AM115" s="270"/>
      <c r="AN115" s="271"/>
      <c r="AO115" s="242"/>
      <c r="AP115" s="242"/>
      <c r="AQ115" s="254"/>
      <c r="AR115" s="241"/>
      <c r="AS115" s="241"/>
      <c r="AT115" s="255"/>
      <c r="AV115" s="238" t="str">
        <f>$B115</f>
        <v>Quarter final</v>
      </c>
      <c r="AW115" s="240"/>
      <c r="AX115" s="240"/>
      <c r="AY115" s="241"/>
      <c r="AZ115" s="270"/>
      <c r="BA115" s="271"/>
      <c r="BB115" s="242"/>
      <c r="BC115" s="242"/>
      <c r="BD115" s="254"/>
      <c r="BE115" s="241"/>
      <c r="BF115" s="241"/>
      <c r="BG115" s="255"/>
      <c r="BI115" s="238" t="str">
        <f>$B115</f>
        <v>Quarter final</v>
      </c>
      <c r="BJ115" s="240"/>
      <c r="BK115" s="240"/>
      <c r="BL115" s="241"/>
      <c r="BM115" s="270"/>
      <c r="BN115" s="271"/>
      <c r="BO115" s="242"/>
      <c r="BP115" s="242"/>
      <c r="BQ115" s="254"/>
      <c r="BR115" s="241"/>
      <c r="BS115" s="241"/>
      <c r="BT115" s="255"/>
      <c r="BV115" s="238" t="str">
        <f>$B115</f>
        <v>Quarter final</v>
      </c>
      <c r="BW115" s="240"/>
      <c r="BX115" s="240"/>
      <c r="BY115" s="241"/>
      <c r="BZ115" s="270"/>
      <c r="CA115" s="271"/>
      <c r="CB115" s="242"/>
      <c r="CC115" s="242"/>
      <c r="CD115" s="254"/>
      <c r="CE115" s="241"/>
      <c r="CF115" s="241"/>
      <c r="CG115" s="255"/>
      <c r="CI115" s="238" t="str">
        <f>$B115</f>
        <v>Quarter final</v>
      </c>
      <c r="CJ115" s="240"/>
      <c r="CK115" s="240"/>
      <c r="CL115" s="241"/>
      <c r="CM115" s="270"/>
      <c r="CN115" s="271"/>
      <c r="CO115" s="242"/>
      <c r="CP115" s="242"/>
      <c r="CQ115" s="254"/>
      <c r="CR115" s="241"/>
      <c r="CS115" s="241"/>
      <c r="CT115" s="255"/>
      <c r="CV115" s="238" t="str">
        <f>$B115</f>
        <v>Quarter final</v>
      </c>
      <c r="CW115" s="240"/>
      <c r="CX115" s="240"/>
      <c r="CY115" s="241"/>
      <c r="CZ115" s="270"/>
      <c r="DA115" s="271"/>
      <c r="DB115" s="242"/>
      <c r="DC115" s="242"/>
      <c r="DD115" s="254"/>
      <c r="DE115" s="241"/>
      <c r="DF115" s="241"/>
      <c r="DG115" s="255"/>
      <c r="DI115" s="238" t="str">
        <f>$B115</f>
        <v>Quarter final</v>
      </c>
      <c r="DJ115" s="240"/>
      <c r="DK115" s="240"/>
      <c r="DL115" s="241"/>
      <c r="DM115" s="270"/>
      <c r="DN115" s="271"/>
      <c r="DO115" s="242"/>
      <c r="DP115" s="242"/>
      <c r="DQ115" s="254"/>
      <c r="DR115" s="241"/>
      <c r="DS115" s="241"/>
      <c r="DT115" s="255"/>
      <c r="DV115" s="238" t="str">
        <f>$B115</f>
        <v>Quarter final</v>
      </c>
      <c r="DW115" s="240"/>
      <c r="DX115" s="240"/>
      <c r="DY115" s="241"/>
      <c r="DZ115" s="270"/>
      <c r="EA115" s="271"/>
      <c r="EB115" s="242"/>
      <c r="EC115" s="242"/>
      <c r="ED115" s="254"/>
      <c r="EE115" s="241"/>
      <c r="EF115" s="241"/>
      <c r="EG115" s="255"/>
      <c r="EI115" s="238" t="str">
        <f>$B115</f>
        <v>Quarter final</v>
      </c>
      <c r="EJ115" s="240"/>
      <c r="EK115" s="240"/>
      <c r="EL115" s="241"/>
      <c r="EM115" s="270"/>
      <c r="EN115" s="271"/>
      <c r="EO115" s="242"/>
      <c r="EP115" s="242"/>
      <c r="EQ115" s="254"/>
      <c r="ER115" s="241"/>
      <c r="ES115" s="241"/>
      <c r="ET115" s="255"/>
      <c r="EV115" s="238" t="str">
        <f>$B115</f>
        <v>Quarter final</v>
      </c>
      <c r="EW115" s="240"/>
      <c r="EX115" s="240"/>
      <c r="EY115" s="241"/>
      <c r="EZ115" s="270"/>
      <c r="FA115" s="271"/>
      <c r="FB115" s="242"/>
      <c r="FC115" s="242"/>
      <c r="FD115" s="254"/>
      <c r="FE115" s="241"/>
      <c r="FF115" s="241"/>
      <c r="FG115" s="255"/>
      <c r="FI115" s="238" t="str">
        <f>$B115</f>
        <v>Quarter final</v>
      </c>
      <c r="FJ115" s="240"/>
      <c r="FK115" s="240"/>
      <c r="FL115" s="241"/>
      <c r="FM115" s="270"/>
      <c r="FN115" s="271"/>
      <c r="FO115" s="242"/>
      <c r="FP115" s="242"/>
      <c r="FQ115" s="254"/>
      <c r="FR115" s="241"/>
      <c r="FS115" s="241"/>
      <c r="FT115" s="255"/>
      <c r="FV115" s="238" t="str">
        <f>$B115</f>
        <v>Quarter final</v>
      </c>
      <c r="FW115" s="240"/>
      <c r="FX115" s="240"/>
      <c r="FY115" s="241"/>
      <c r="FZ115" s="270"/>
      <c r="GA115" s="271"/>
      <c r="GB115" s="242"/>
      <c r="GC115" s="242"/>
      <c r="GD115" s="254"/>
      <c r="GE115" s="241"/>
      <c r="GF115" s="241"/>
      <c r="GG115" s="255"/>
      <c r="GI115" s="238" t="str">
        <f>$B115</f>
        <v>Quarter final</v>
      </c>
      <c r="GJ115" s="240"/>
      <c r="GK115" s="240"/>
      <c r="GL115" s="241"/>
      <c r="GM115" s="270"/>
      <c r="GN115" s="271"/>
      <c r="GO115" s="242"/>
      <c r="GP115" s="242"/>
      <c r="GQ115" s="254"/>
      <c r="GR115" s="241"/>
      <c r="GS115" s="241"/>
      <c r="GT115" s="255"/>
      <c r="GV115" s="238" t="str">
        <f>$B115</f>
        <v>Quarter final</v>
      </c>
      <c r="GW115" s="240"/>
      <c r="GX115" s="240"/>
      <c r="GY115" s="241"/>
      <c r="GZ115" s="270"/>
      <c r="HA115" s="271"/>
      <c r="HB115" s="242"/>
      <c r="HC115" s="242"/>
      <c r="HD115" s="254"/>
      <c r="HE115" s="241"/>
      <c r="HF115" s="241"/>
      <c r="HG115" s="255"/>
      <c r="HI115" s="238" t="str">
        <f>$B115</f>
        <v>Quarter final</v>
      </c>
      <c r="HJ115" s="240"/>
      <c r="HK115" s="240"/>
      <c r="HL115" s="241"/>
      <c r="HM115" s="270"/>
      <c r="HN115" s="271"/>
      <c r="HO115" s="242"/>
      <c r="HP115" s="242"/>
      <c r="HQ115" s="254"/>
      <c r="HR115" s="241"/>
      <c r="HS115" s="241"/>
      <c r="HT115" s="255"/>
      <c r="HV115" s="238" t="str">
        <f>$B115</f>
        <v>Quarter final</v>
      </c>
      <c r="HW115" s="240"/>
      <c r="HX115" s="240"/>
      <c r="HY115" s="241"/>
      <c r="HZ115" s="270"/>
      <c r="IA115" s="271"/>
      <c r="IB115" s="242"/>
      <c r="IC115" s="242"/>
      <c r="ID115" s="254"/>
      <c r="IE115" s="241"/>
      <c r="IF115" s="241"/>
      <c r="IG115" s="255"/>
      <c r="II115" s="238" t="str">
        <f>$B115</f>
        <v>Quarter final</v>
      </c>
      <c r="IJ115" s="240"/>
      <c r="IK115" s="240"/>
      <c r="IL115" s="241"/>
      <c r="IM115" s="270"/>
      <c r="IN115" s="271"/>
      <c r="IO115" s="242"/>
      <c r="IP115" s="242"/>
      <c r="IQ115" s="254"/>
      <c r="IR115" s="241"/>
      <c r="IS115" s="241"/>
      <c r="IT115" s="255"/>
      <c r="IV115" s="238" t="str">
        <f>$B115</f>
        <v>Quarter final</v>
      </c>
      <c r="IW115" s="240"/>
      <c r="IX115" s="240"/>
      <c r="IY115" s="241"/>
      <c r="IZ115" s="270"/>
      <c r="JA115" s="271"/>
      <c r="JB115" s="242"/>
      <c r="JC115" s="242"/>
      <c r="JD115" s="254"/>
      <c r="JE115" s="241"/>
      <c r="JF115" s="241"/>
      <c r="JG115" s="255"/>
      <c r="JI115" s="238" t="str">
        <f>$B115</f>
        <v>Quarter final</v>
      </c>
      <c r="JJ115" s="240"/>
      <c r="JK115" s="240"/>
      <c r="JL115" s="241"/>
      <c r="JM115" s="270"/>
      <c r="JN115" s="271"/>
      <c r="JO115" s="242"/>
      <c r="JP115" s="242"/>
      <c r="JQ115" s="254"/>
      <c r="JR115" s="241"/>
      <c r="JS115" s="241"/>
      <c r="JT115" s="255"/>
      <c r="JV115" s="238" t="str">
        <f>$B115</f>
        <v>Quarter final</v>
      </c>
      <c r="JW115" s="240"/>
      <c r="JX115" s="240"/>
      <c r="JY115" s="241"/>
      <c r="JZ115" s="270"/>
      <c r="KA115" s="271"/>
      <c r="KB115" s="242"/>
      <c r="KC115" s="242"/>
      <c r="KD115" s="254"/>
      <c r="KE115" s="241"/>
      <c r="KF115" s="241"/>
      <c r="KG115" s="255"/>
      <c r="KI115" s="238" t="str">
        <f>$B115</f>
        <v>Quarter final</v>
      </c>
      <c r="KJ115" s="240"/>
      <c r="KK115" s="240"/>
      <c r="KL115" s="241"/>
      <c r="KM115" s="270"/>
      <c r="KN115" s="271"/>
      <c r="KO115" s="242"/>
      <c r="KP115" s="242"/>
      <c r="KQ115" s="254"/>
      <c r="KR115" s="241"/>
      <c r="KS115" s="241"/>
      <c r="KT115" s="255"/>
      <c r="KV115" s="238" t="str">
        <f>$B115</f>
        <v>Quarter final</v>
      </c>
      <c r="KW115" s="240"/>
      <c r="KX115" s="240"/>
      <c r="KY115" s="241"/>
      <c r="KZ115" s="270"/>
      <c r="LA115" s="271"/>
      <c r="LB115" s="242"/>
      <c r="LC115" s="242"/>
      <c r="LD115" s="254"/>
      <c r="LE115" s="241"/>
      <c r="LF115" s="241"/>
      <c r="LG115" s="255"/>
      <c r="LI115" s="238" t="str">
        <f>$B115</f>
        <v>Quarter final</v>
      </c>
      <c r="LJ115" s="240"/>
      <c r="LK115" s="240"/>
      <c r="LL115" s="241"/>
      <c r="LM115" s="270"/>
      <c r="LN115" s="271"/>
      <c r="LO115" s="242"/>
      <c r="LP115" s="242"/>
      <c r="LQ115" s="254"/>
      <c r="LR115" s="241"/>
      <c r="LS115" s="241"/>
      <c r="LT115" s="255"/>
      <c r="LV115" s="238" t="str">
        <f>$B115</f>
        <v>Quarter final</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IF(I116="","",VLOOKUP(I116,Language!$D$5:$E$100,2,0))</f>
        <v/>
      </c>
      <c r="K116" s="266"/>
      <c r="L116" s="230" t="str">
        <f>IF(K116="","",VLOOKUP(K116,Language!$D$5:$E$100,2,0))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IF(V116="","",VLOOKUP(V116,Language!$D$5:$E$100,2,0))</f>
        <v/>
      </c>
      <c r="X116" s="266"/>
      <c r="Y116" s="230" t="str">
        <f>IF(X116="","",VLOOKUP(X116,Language!$D$5:$E$100,2,0))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IF(AI116="","",VLOOKUP(AI116,Language!$D$5:$E$100,2,0))</f>
        <v/>
      </c>
      <c r="AK116" s="266"/>
      <c r="AL116" s="230" t="str">
        <f>IF(AK116="","",VLOOKUP(AK116,Language!$D$5:$E$100,2,0))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IF(AV116="","",VLOOKUP(AV116,Language!$D$5:$E$100,2,0))</f>
        <v/>
      </c>
      <c r="AX116" s="266"/>
      <c r="AY116" s="230" t="str">
        <f>IF(AX116="","",VLOOKUP(AX116,Language!$D$5:$E$100,2,0))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IF(BI116="","",VLOOKUP(BI116,Language!$D$5:$E$100,2,0))</f>
        <v/>
      </c>
      <c r="BK116" s="266"/>
      <c r="BL116" s="230" t="str">
        <f>IF(BK116="","",VLOOKUP(BK116,Language!$D$5:$E$100,2,0))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IF(BV116="","",VLOOKUP(BV116,Language!$D$5:$E$100,2,0))</f>
        <v/>
      </c>
      <c r="BX116" s="266"/>
      <c r="BY116" s="230" t="str">
        <f>IF(BX116="","",VLOOKUP(BX116,Language!$D$5:$E$100,2,0))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IF(CI116="","",VLOOKUP(CI116,Language!$D$5:$E$100,2,0))</f>
        <v/>
      </c>
      <c r="CK116" s="266"/>
      <c r="CL116" s="230" t="str">
        <f>IF(CK116="","",VLOOKUP(CK116,Language!$D$5:$E$100,2,0))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IF(CV116="","",VLOOKUP(CV116,Language!$D$5:$E$100,2,0))</f>
        <v/>
      </c>
      <c r="CX116" s="266"/>
      <c r="CY116" s="230" t="str">
        <f>IF(CX116="","",VLOOKUP(CX116,Language!$D$5:$E$100,2,0))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IF(DI116="","",VLOOKUP(DI116,Language!$D$5:$E$100,2,0))</f>
        <v/>
      </c>
      <c r="DK116" s="266"/>
      <c r="DL116" s="230" t="str">
        <f>IF(DK116="","",VLOOKUP(DK116,Language!$D$5:$E$100,2,0))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IF(DV116="","",VLOOKUP(DV116,Language!$D$5:$E$100,2,0))</f>
        <v/>
      </c>
      <c r="DX116" s="266"/>
      <c r="DY116" s="230" t="str">
        <f>IF(DX116="","",VLOOKUP(DX116,Language!$D$5:$E$100,2,0))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IF(EI116="","",VLOOKUP(EI116,Language!$D$5:$E$100,2,0))</f>
        <v/>
      </c>
      <c r="EK116" s="266"/>
      <c r="EL116" s="230" t="str">
        <f>IF(EK116="","",VLOOKUP(EK116,Language!$D$5:$E$100,2,0))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IF(EV116="","",VLOOKUP(EV116,Language!$D$5:$E$100,2,0))</f>
        <v/>
      </c>
      <c r="EX116" s="266"/>
      <c r="EY116" s="230" t="str">
        <f>IF(EX116="","",VLOOKUP(EX116,Language!$D$5:$E$100,2,0))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IF(FI116="","",VLOOKUP(FI116,Language!$D$5:$E$100,2,0))</f>
        <v/>
      </c>
      <c r="FK116" s="266"/>
      <c r="FL116" s="230" t="str">
        <f>IF(FK116="","",VLOOKUP(FK116,Language!$D$5:$E$100,2,0))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IF(FV116="","",VLOOKUP(FV116,Language!$D$5:$E$100,2,0))</f>
        <v/>
      </c>
      <c r="FX116" s="266"/>
      <c r="FY116" s="230" t="str">
        <f>IF(FX116="","",VLOOKUP(FX116,Language!$D$5:$E$100,2,0))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IF(GI116="","",VLOOKUP(GI116,Language!$D$5:$E$100,2,0))</f>
        <v/>
      </c>
      <c r="GK116" s="266"/>
      <c r="GL116" s="230" t="str">
        <f>IF(GK116="","",VLOOKUP(GK116,Language!$D$5:$E$100,2,0))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IF(GV116="","",VLOOKUP(GV116,Language!$D$5:$E$100,2,0))</f>
        <v/>
      </c>
      <c r="GX116" s="266"/>
      <c r="GY116" s="230" t="str">
        <f>IF(GX116="","",VLOOKUP(GX116,Language!$D$5:$E$100,2,0))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IF(HI116="","",VLOOKUP(HI116,Language!$D$5:$E$100,2,0))</f>
        <v/>
      </c>
      <c r="HK116" s="266"/>
      <c r="HL116" s="230" t="str">
        <f>IF(HK116="","",VLOOKUP(HK116,Language!$D$5:$E$100,2,0))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IF(HV116="","",VLOOKUP(HV116,Language!$D$5:$E$100,2,0))</f>
        <v/>
      </c>
      <c r="HX116" s="266"/>
      <c r="HY116" s="230" t="str">
        <f>IF(HX116="","",VLOOKUP(HX116,Language!$D$5:$E$100,2,0))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IF(II116="","",VLOOKUP(II116,Language!$D$5:$E$100,2,0))</f>
        <v/>
      </c>
      <c r="IK116" s="266"/>
      <c r="IL116" s="230" t="str">
        <f>IF(IK116="","",VLOOKUP(IK116,Language!$D$5:$E$100,2,0))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IF(IV116="","",VLOOKUP(IV116,Language!$D$5:$E$100,2,0))</f>
        <v/>
      </c>
      <c r="IX116" s="266"/>
      <c r="IY116" s="230" t="str">
        <f>IF(IX116="","",VLOOKUP(IX116,Language!$D$5:$E$100,2,0))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IF(JI116="","",VLOOKUP(JI116,Language!$D$5:$E$100,2,0))</f>
        <v/>
      </c>
      <c r="JK116" s="266"/>
      <c r="JL116" s="230" t="str">
        <f>IF(JK116="","",VLOOKUP(JK116,Language!$D$5:$E$100,2,0))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IF(JV116="","",VLOOKUP(JV116,Language!$D$5:$E$100,2,0))</f>
        <v/>
      </c>
      <c r="JX116" s="266"/>
      <c r="JY116" s="230" t="str">
        <f>IF(JX116="","",VLOOKUP(JX116,Language!$D$5:$E$100,2,0))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IF(KI116="","",VLOOKUP(KI116,Language!$D$5:$E$100,2,0))</f>
        <v/>
      </c>
      <c r="KK116" s="266"/>
      <c r="KL116" s="230" t="str">
        <f>IF(KK116="","",VLOOKUP(KK116,Language!$D$5:$E$100,2,0))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IF(KV116="","",VLOOKUP(KV116,Language!$D$5:$E$100,2,0))</f>
        <v/>
      </c>
      <c r="KX116" s="266"/>
      <c r="KY116" s="230" t="str">
        <f>IF(KX116="","",VLOOKUP(KX116,Language!$D$5:$E$100,2,0))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IF(LI116="","",VLOOKUP(LI116,Language!$D$5:$E$100,2,0))</f>
        <v/>
      </c>
      <c r="LK116" s="266"/>
      <c r="LL116" s="230" t="str">
        <f>IF(LK116="","",VLOOKUP(LK116,Language!$D$5:$E$100,2,0))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IF(LV116="","",VLOOKUP(LV116,Language!$D$5:$E$100,2,0))</f>
        <v/>
      </c>
      <c r="LX116" s="266"/>
      <c r="LY116" s="230" t="str">
        <f>IF(LX116="","",VLOOKUP(LX116,Language!$D$5:$E$100,2,0))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IF(I117="","",VLOOKUP(I117,Language!$D$5:$E$100,2,0))</f>
        <v/>
      </c>
      <c r="K117" s="266"/>
      <c r="L117" s="230" t="str">
        <f>IF(K117="","",VLOOKUP(K117,Language!$D$5:$E$100,2,0))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IF(V117="","",VLOOKUP(V117,Language!$D$5:$E$100,2,0))</f>
        <v/>
      </c>
      <c r="X117" s="266"/>
      <c r="Y117" s="230" t="str">
        <f>IF(X117="","",VLOOKUP(X117,Language!$D$5:$E$100,2,0))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IF(AI117="","",VLOOKUP(AI117,Language!$D$5:$E$100,2,0))</f>
        <v/>
      </c>
      <c r="AK117" s="266"/>
      <c r="AL117" s="230" t="str">
        <f>IF(AK117="","",VLOOKUP(AK117,Language!$D$5:$E$100,2,0))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IF(AV117="","",VLOOKUP(AV117,Language!$D$5:$E$100,2,0))</f>
        <v/>
      </c>
      <c r="AX117" s="266"/>
      <c r="AY117" s="230" t="str">
        <f>IF(AX117="","",VLOOKUP(AX117,Language!$D$5:$E$100,2,0))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IF(BI117="","",VLOOKUP(BI117,Language!$D$5:$E$100,2,0))</f>
        <v/>
      </c>
      <c r="BK117" s="266"/>
      <c r="BL117" s="230" t="str">
        <f>IF(BK117="","",VLOOKUP(BK117,Language!$D$5:$E$100,2,0))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IF(BV117="","",VLOOKUP(BV117,Language!$D$5:$E$100,2,0))</f>
        <v/>
      </c>
      <c r="BX117" s="266"/>
      <c r="BY117" s="230" t="str">
        <f>IF(BX117="","",VLOOKUP(BX117,Language!$D$5:$E$100,2,0))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IF(CI117="","",VLOOKUP(CI117,Language!$D$5:$E$100,2,0))</f>
        <v/>
      </c>
      <c r="CK117" s="266"/>
      <c r="CL117" s="230" t="str">
        <f>IF(CK117="","",VLOOKUP(CK117,Language!$D$5:$E$100,2,0))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IF(CV117="","",VLOOKUP(CV117,Language!$D$5:$E$100,2,0))</f>
        <v/>
      </c>
      <c r="CX117" s="266"/>
      <c r="CY117" s="230" t="str">
        <f>IF(CX117="","",VLOOKUP(CX117,Language!$D$5:$E$100,2,0))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IF(DI117="","",VLOOKUP(DI117,Language!$D$5:$E$100,2,0))</f>
        <v/>
      </c>
      <c r="DK117" s="266"/>
      <c r="DL117" s="230" t="str">
        <f>IF(DK117="","",VLOOKUP(DK117,Language!$D$5:$E$100,2,0))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IF(DV117="","",VLOOKUP(DV117,Language!$D$5:$E$100,2,0))</f>
        <v/>
      </c>
      <c r="DX117" s="266"/>
      <c r="DY117" s="230" t="str">
        <f>IF(DX117="","",VLOOKUP(DX117,Language!$D$5:$E$100,2,0))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IF(EI117="","",VLOOKUP(EI117,Language!$D$5:$E$100,2,0))</f>
        <v/>
      </c>
      <c r="EK117" s="266"/>
      <c r="EL117" s="230" t="str">
        <f>IF(EK117="","",VLOOKUP(EK117,Language!$D$5:$E$100,2,0))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IF(EV117="","",VLOOKUP(EV117,Language!$D$5:$E$100,2,0))</f>
        <v/>
      </c>
      <c r="EX117" s="266"/>
      <c r="EY117" s="230" t="str">
        <f>IF(EX117="","",VLOOKUP(EX117,Language!$D$5:$E$100,2,0))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IF(FI117="","",VLOOKUP(FI117,Language!$D$5:$E$100,2,0))</f>
        <v/>
      </c>
      <c r="FK117" s="266"/>
      <c r="FL117" s="230" t="str">
        <f>IF(FK117="","",VLOOKUP(FK117,Language!$D$5:$E$100,2,0))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IF(FV117="","",VLOOKUP(FV117,Language!$D$5:$E$100,2,0))</f>
        <v/>
      </c>
      <c r="FX117" s="266"/>
      <c r="FY117" s="230" t="str">
        <f>IF(FX117="","",VLOOKUP(FX117,Language!$D$5:$E$100,2,0))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IF(GI117="","",VLOOKUP(GI117,Language!$D$5:$E$100,2,0))</f>
        <v/>
      </c>
      <c r="GK117" s="266"/>
      <c r="GL117" s="230" t="str">
        <f>IF(GK117="","",VLOOKUP(GK117,Language!$D$5:$E$100,2,0))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IF(GV117="","",VLOOKUP(GV117,Language!$D$5:$E$100,2,0))</f>
        <v/>
      </c>
      <c r="GX117" s="266"/>
      <c r="GY117" s="230" t="str">
        <f>IF(GX117="","",VLOOKUP(GX117,Language!$D$5:$E$100,2,0))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IF(HI117="","",VLOOKUP(HI117,Language!$D$5:$E$100,2,0))</f>
        <v/>
      </c>
      <c r="HK117" s="266"/>
      <c r="HL117" s="230" t="str">
        <f>IF(HK117="","",VLOOKUP(HK117,Language!$D$5:$E$100,2,0))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IF(HV117="","",VLOOKUP(HV117,Language!$D$5:$E$100,2,0))</f>
        <v/>
      </c>
      <c r="HX117" s="266"/>
      <c r="HY117" s="230" t="str">
        <f>IF(HX117="","",VLOOKUP(HX117,Language!$D$5:$E$100,2,0))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IF(II117="","",VLOOKUP(II117,Language!$D$5:$E$100,2,0))</f>
        <v/>
      </c>
      <c r="IK117" s="266"/>
      <c r="IL117" s="230" t="str">
        <f>IF(IK117="","",VLOOKUP(IK117,Language!$D$5:$E$100,2,0))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IF(IV117="","",VLOOKUP(IV117,Language!$D$5:$E$100,2,0))</f>
        <v/>
      </c>
      <c r="IX117" s="266"/>
      <c r="IY117" s="230" t="str">
        <f>IF(IX117="","",VLOOKUP(IX117,Language!$D$5:$E$100,2,0))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IF(JI117="","",VLOOKUP(JI117,Language!$D$5:$E$100,2,0))</f>
        <v/>
      </c>
      <c r="JK117" s="266"/>
      <c r="JL117" s="230" t="str">
        <f>IF(JK117="","",VLOOKUP(JK117,Language!$D$5:$E$100,2,0))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IF(JV117="","",VLOOKUP(JV117,Language!$D$5:$E$100,2,0))</f>
        <v/>
      </c>
      <c r="JX117" s="266"/>
      <c r="JY117" s="230" t="str">
        <f>IF(JX117="","",VLOOKUP(JX117,Language!$D$5:$E$100,2,0))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IF(KI117="","",VLOOKUP(KI117,Language!$D$5:$E$100,2,0))</f>
        <v/>
      </c>
      <c r="KK117" s="266"/>
      <c r="KL117" s="230" t="str">
        <f>IF(KK117="","",VLOOKUP(KK117,Language!$D$5:$E$100,2,0))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IF(KV117="","",VLOOKUP(KV117,Language!$D$5:$E$100,2,0))</f>
        <v/>
      </c>
      <c r="KX117" s="266"/>
      <c r="KY117" s="230" t="str">
        <f>IF(KX117="","",VLOOKUP(KX117,Language!$D$5:$E$100,2,0))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IF(LI117="","",VLOOKUP(LI117,Language!$D$5:$E$100,2,0))</f>
        <v/>
      </c>
      <c r="LK117" s="266"/>
      <c r="LL117" s="230" t="str">
        <f>IF(LK117="","",VLOOKUP(LK117,Language!$D$5:$E$100,2,0))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IF(LV117="","",VLOOKUP(LV117,Language!$D$5:$E$100,2,0))</f>
        <v/>
      </c>
      <c r="LX117" s="266"/>
      <c r="LY117" s="230" t="str">
        <f>IF(LX117="","",VLOOKUP(LX117,Language!$D$5:$E$100,2,0))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IF(I118="","",VLOOKUP(I118,Language!$D$5:$E$100,2,0))</f>
        <v/>
      </c>
      <c r="K118" s="266"/>
      <c r="L118" s="230" t="str">
        <f>IF(K118="","",VLOOKUP(K118,Language!$D$5:$E$100,2,0))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IF(V118="","",VLOOKUP(V118,Language!$D$5:$E$100,2,0))</f>
        <v/>
      </c>
      <c r="X118" s="266"/>
      <c r="Y118" s="230" t="str">
        <f>IF(X118="","",VLOOKUP(X118,Language!$D$5:$E$100,2,0))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IF(AI118="","",VLOOKUP(AI118,Language!$D$5:$E$100,2,0))</f>
        <v/>
      </c>
      <c r="AK118" s="266"/>
      <c r="AL118" s="230" t="str">
        <f>IF(AK118="","",VLOOKUP(AK118,Language!$D$5:$E$100,2,0))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IF(AV118="","",VLOOKUP(AV118,Language!$D$5:$E$100,2,0))</f>
        <v/>
      </c>
      <c r="AX118" s="266"/>
      <c r="AY118" s="230" t="str">
        <f>IF(AX118="","",VLOOKUP(AX118,Language!$D$5:$E$100,2,0))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IF(BI118="","",VLOOKUP(BI118,Language!$D$5:$E$100,2,0))</f>
        <v/>
      </c>
      <c r="BK118" s="266"/>
      <c r="BL118" s="230" t="str">
        <f>IF(BK118="","",VLOOKUP(BK118,Language!$D$5:$E$100,2,0))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IF(BV118="","",VLOOKUP(BV118,Language!$D$5:$E$100,2,0))</f>
        <v/>
      </c>
      <c r="BX118" s="266"/>
      <c r="BY118" s="230" t="str">
        <f>IF(BX118="","",VLOOKUP(BX118,Language!$D$5:$E$100,2,0))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IF(CI118="","",VLOOKUP(CI118,Language!$D$5:$E$100,2,0))</f>
        <v/>
      </c>
      <c r="CK118" s="266"/>
      <c r="CL118" s="230" t="str">
        <f>IF(CK118="","",VLOOKUP(CK118,Language!$D$5:$E$100,2,0))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IF(CV118="","",VLOOKUP(CV118,Language!$D$5:$E$100,2,0))</f>
        <v/>
      </c>
      <c r="CX118" s="266"/>
      <c r="CY118" s="230" t="str">
        <f>IF(CX118="","",VLOOKUP(CX118,Language!$D$5:$E$100,2,0))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IF(DI118="","",VLOOKUP(DI118,Language!$D$5:$E$100,2,0))</f>
        <v/>
      </c>
      <c r="DK118" s="266"/>
      <c r="DL118" s="230" t="str">
        <f>IF(DK118="","",VLOOKUP(DK118,Language!$D$5:$E$100,2,0))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IF(DV118="","",VLOOKUP(DV118,Language!$D$5:$E$100,2,0))</f>
        <v/>
      </c>
      <c r="DX118" s="266"/>
      <c r="DY118" s="230" t="str">
        <f>IF(DX118="","",VLOOKUP(DX118,Language!$D$5:$E$100,2,0))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IF(EI118="","",VLOOKUP(EI118,Language!$D$5:$E$100,2,0))</f>
        <v/>
      </c>
      <c r="EK118" s="266"/>
      <c r="EL118" s="230" t="str">
        <f>IF(EK118="","",VLOOKUP(EK118,Language!$D$5:$E$100,2,0))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IF(EV118="","",VLOOKUP(EV118,Language!$D$5:$E$100,2,0))</f>
        <v/>
      </c>
      <c r="EX118" s="266"/>
      <c r="EY118" s="230" t="str">
        <f>IF(EX118="","",VLOOKUP(EX118,Language!$D$5:$E$100,2,0))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IF(FI118="","",VLOOKUP(FI118,Language!$D$5:$E$100,2,0))</f>
        <v/>
      </c>
      <c r="FK118" s="266"/>
      <c r="FL118" s="230" t="str">
        <f>IF(FK118="","",VLOOKUP(FK118,Language!$D$5:$E$100,2,0))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IF(FV118="","",VLOOKUP(FV118,Language!$D$5:$E$100,2,0))</f>
        <v/>
      </c>
      <c r="FX118" s="266"/>
      <c r="FY118" s="230" t="str">
        <f>IF(FX118="","",VLOOKUP(FX118,Language!$D$5:$E$100,2,0))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IF(GI118="","",VLOOKUP(GI118,Language!$D$5:$E$100,2,0))</f>
        <v/>
      </c>
      <c r="GK118" s="266"/>
      <c r="GL118" s="230" t="str">
        <f>IF(GK118="","",VLOOKUP(GK118,Language!$D$5:$E$100,2,0))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IF(GV118="","",VLOOKUP(GV118,Language!$D$5:$E$100,2,0))</f>
        <v/>
      </c>
      <c r="GX118" s="266"/>
      <c r="GY118" s="230" t="str">
        <f>IF(GX118="","",VLOOKUP(GX118,Language!$D$5:$E$100,2,0))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IF(HI118="","",VLOOKUP(HI118,Language!$D$5:$E$100,2,0))</f>
        <v/>
      </c>
      <c r="HK118" s="266"/>
      <c r="HL118" s="230" t="str">
        <f>IF(HK118="","",VLOOKUP(HK118,Language!$D$5:$E$100,2,0))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IF(HV118="","",VLOOKUP(HV118,Language!$D$5:$E$100,2,0))</f>
        <v/>
      </c>
      <c r="HX118" s="266"/>
      <c r="HY118" s="230" t="str">
        <f>IF(HX118="","",VLOOKUP(HX118,Language!$D$5:$E$100,2,0))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IF(II118="","",VLOOKUP(II118,Language!$D$5:$E$100,2,0))</f>
        <v/>
      </c>
      <c r="IK118" s="266"/>
      <c r="IL118" s="230" t="str">
        <f>IF(IK118="","",VLOOKUP(IK118,Language!$D$5:$E$100,2,0))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IF(IV118="","",VLOOKUP(IV118,Language!$D$5:$E$100,2,0))</f>
        <v/>
      </c>
      <c r="IX118" s="266"/>
      <c r="IY118" s="230" t="str">
        <f>IF(IX118="","",VLOOKUP(IX118,Language!$D$5:$E$100,2,0))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IF(JI118="","",VLOOKUP(JI118,Language!$D$5:$E$100,2,0))</f>
        <v/>
      </c>
      <c r="JK118" s="266"/>
      <c r="JL118" s="230" t="str">
        <f>IF(JK118="","",VLOOKUP(JK118,Language!$D$5:$E$100,2,0))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IF(JV118="","",VLOOKUP(JV118,Language!$D$5:$E$100,2,0))</f>
        <v/>
      </c>
      <c r="JX118" s="266"/>
      <c r="JY118" s="230" t="str">
        <f>IF(JX118="","",VLOOKUP(JX118,Language!$D$5:$E$100,2,0))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IF(KI118="","",VLOOKUP(KI118,Language!$D$5:$E$100,2,0))</f>
        <v/>
      </c>
      <c r="KK118" s="266"/>
      <c r="KL118" s="230" t="str">
        <f>IF(KK118="","",VLOOKUP(KK118,Language!$D$5:$E$100,2,0))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IF(KV118="","",VLOOKUP(KV118,Language!$D$5:$E$100,2,0))</f>
        <v/>
      </c>
      <c r="KX118" s="266"/>
      <c r="KY118" s="230" t="str">
        <f>IF(KX118="","",VLOOKUP(KX118,Language!$D$5:$E$100,2,0))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IF(LI118="","",VLOOKUP(LI118,Language!$D$5:$E$100,2,0))</f>
        <v/>
      </c>
      <c r="LK118" s="266"/>
      <c r="LL118" s="230" t="str">
        <f>IF(LK118="","",VLOOKUP(LK118,Language!$D$5:$E$100,2,0))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IF(LV118="","",VLOOKUP(LV118,Language!$D$5:$E$100,2,0))</f>
        <v/>
      </c>
      <c r="LX118" s="266"/>
      <c r="LY118" s="230" t="str">
        <f>IF(LX118="","",VLOOKUP(LX118,Language!$D$5:$E$100,2,0))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IF(I119="","",VLOOKUP(I119,Language!$D$5:$E$100,2,0))</f>
        <v/>
      </c>
      <c r="K119" s="266"/>
      <c r="L119" s="230" t="str">
        <f>IF(K119="","",VLOOKUP(K119,Language!$D$5:$E$100,2,0))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IF(V119="","",VLOOKUP(V119,Language!$D$5:$E$100,2,0))</f>
        <v/>
      </c>
      <c r="X119" s="266"/>
      <c r="Y119" s="230" t="str">
        <f>IF(X119="","",VLOOKUP(X119,Language!$D$5:$E$100,2,0))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IF(AI119="","",VLOOKUP(AI119,Language!$D$5:$E$100,2,0))</f>
        <v/>
      </c>
      <c r="AK119" s="266"/>
      <c r="AL119" s="230" t="str">
        <f>IF(AK119="","",VLOOKUP(AK119,Language!$D$5:$E$100,2,0))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IF(AV119="","",VLOOKUP(AV119,Language!$D$5:$E$100,2,0))</f>
        <v/>
      </c>
      <c r="AX119" s="266"/>
      <c r="AY119" s="230" t="str">
        <f>IF(AX119="","",VLOOKUP(AX119,Language!$D$5:$E$100,2,0))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IF(BI119="","",VLOOKUP(BI119,Language!$D$5:$E$100,2,0))</f>
        <v/>
      </c>
      <c r="BK119" s="266"/>
      <c r="BL119" s="230" t="str">
        <f>IF(BK119="","",VLOOKUP(BK119,Language!$D$5:$E$100,2,0))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IF(BV119="","",VLOOKUP(BV119,Language!$D$5:$E$100,2,0))</f>
        <v/>
      </c>
      <c r="BX119" s="266"/>
      <c r="BY119" s="230" t="str">
        <f>IF(BX119="","",VLOOKUP(BX119,Language!$D$5:$E$100,2,0))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IF(CI119="","",VLOOKUP(CI119,Language!$D$5:$E$100,2,0))</f>
        <v/>
      </c>
      <c r="CK119" s="266"/>
      <c r="CL119" s="230" t="str">
        <f>IF(CK119="","",VLOOKUP(CK119,Language!$D$5:$E$100,2,0))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IF(CV119="","",VLOOKUP(CV119,Language!$D$5:$E$100,2,0))</f>
        <v/>
      </c>
      <c r="CX119" s="266"/>
      <c r="CY119" s="230" t="str">
        <f>IF(CX119="","",VLOOKUP(CX119,Language!$D$5:$E$100,2,0))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IF(DI119="","",VLOOKUP(DI119,Language!$D$5:$E$100,2,0))</f>
        <v/>
      </c>
      <c r="DK119" s="266"/>
      <c r="DL119" s="230" t="str">
        <f>IF(DK119="","",VLOOKUP(DK119,Language!$D$5:$E$100,2,0))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IF(DV119="","",VLOOKUP(DV119,Language!$D$5:$E$100,2,0))</f>
        <v/>
      </c>
      <c r="DX119" s="266"/>
      <c r="DY119" s="230" t="str">
        <f>IF(DX119="","",VLOOKUP(DX119,Language!$D$5:$E$100,2,0))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IF(EI119="","",VLOOKUP(EI119,Language!$D$5:$E$100,2,0))</f>
        <v/>
      </c>
      <c r="EK119" s="266"/>
      <c r="EL119" s="230" t="str">
        <f>IF(EK119="","",VLOOKUP(EK119,Language!$D$5:$E$100,2,0))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IF(EV119="","",VLOOKUP(EV119,Language!$D$5:$E$100,2,0))</f>
        <v/>
      </c>
      <c r="EX119" s="266"/>
      <c r="EY119" s="230" t="str">
        <f>IF(EX119="","",VLOOKUP(EX119,Language!$D$5:$E$100,2,0))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IF(FI119="","",VLOOKUP(FI119,Language!$D$5:$E$100,2,0))</f>
        <v/>
      </c>
      <c r="FK119" s="266"/>
      <c r="FL119" s="230" t="str">
        <f>IF(FK119="","",VLOOKUP(FK119,Language!$D$5:$E$100,2,0))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IF(FV119="","",VLOOKUP(FV119,Language!$D$5:$E$100,2,0))</f>
        <v/>
      </c>
      <c r="FX119" s="266"/>
      <c r="FY119" s="230" t="str">
        <f>IF(FX119="","",VLOOKUP(FX119,Language!$D$5:$E$100,2,0))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IF(GI119="","",VLOOKUP(GI119,Language!$D$5:$E$100,2,0))</f>
        <v/>
      </c>
      <c r="GK119" s="266"/>
      <c r="GL119" s="230" t="str">
        <f>IF(GK119="","",VLOOKUP(GK119,Language!$D$5:$E$100,2,0))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IF(GV119="","",VLOOKUP(GV119,Language!$D$5:$E$100,2,0))</f>
        <v/>
      </c>
      <c r="GX119" s="266"/>
      <c r="GY119" s="230" t="str">
        <f>IF(GX119="","",VLOOKUP(GX119,Language!$D$5:$E$100,2,0))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IF(HI119="","",VLOOKUP(HI119,Language!$D$5:$E$100,2,0))</f>
        <v/>
      </c>
      <c r="HK119" s="266"/>
      <c r="HL119" s="230" t="str">
        <f>IF(HK119="","",VLOOKUP(HK119,Language!$D$5:$E$100,2,0))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IF(HV119="","",VLOOKUP(HV119,Language!$D$5:$E$100,2,0))</f>
        <v/>
      </c>
      <c r="HX119" s="266"/>
      <c r="HY119" s="230" t="str">
        <f>IF(HX119="","",VLOOKUP(HX119,Language!$D$5:$E$100,2,0))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IF(II119="","",VLOOKUP(II119,Language!$D$5:$E$100,2,0))</f>
        <v/>
      </c>
      <c r="IK119" s="266"/>
      <c r="IL119" s="230" t="str">
        <f>IF(IK119="","",VLOOKUP(IK119,Language!$D$5:$E$100,2,0))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IF(IV119="","",VLOOKUP(IV119,Language!$D$5:$E$100,2,0))</f>
        <v/>
      </c>
      <c r="IX119" s="266"/>
      <c r="IY119" s="230" t="str">
        <f>IF(IX119="","",VLOOKUP(IX119,Language!$D$5:$E$100,2,0))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IF(JI119="","",VLOOKUP(JI119,Language!$D$5:$E$100,2,0))</f>
        <v/>
      </c>
      <c r="JK119" s="266"/>
      <c r="JL119" s="230" t="str">
        <f>IF(JK119="","",VLOOKUP(JK119,Language!$D$5:$E$100,2,0))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IF(JV119="","",VLOOKUP(JV119,Language!$D$5:$E$100,2,0))</f>
        <v/>
      </c>
      <c r="JX119" s="266"/>
      <c r="JY119" s="230" t="str">
        <f>IF(JX119="","",VLOOKUP(JX119,Language!$D$5:$E$100,2,0))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IF(KI119="","",VLOOKUP(KI119,Language!$D$5:$E$100,2,0))</f>
        <v/>
      </c>
      <c r="KK119" s="266"/>
      <c r="KL119" s="230" t="str">
        <f>IF(KK119="","",VLOOKUP(KK119,Language!$D$5:$E$100,2,0))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IF(KV119="","",VLOOKUP(KV119,Language!$D$5:$E$100,2,0))</f>
        <v/>
      </c>
      <c r="KX119" s="266"/>
      <c r="KY119" s="230" t="str">
        <f>IF(KX119="","",VLOOKUP(KX119,Language!$D$5:$E$100,2,0))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IF(LI119="","",VLOOKUP(LI119,Language!$D$5:$E$100,2,0))</f>
        <v/>
      </c>
      <c r="LK119" s="266"/>
      <c r="LL119" s="230" t="str">
        <f>IF(LK119="","",VLOOKUP(LK119,Language!$D$5:$E$100,2,0))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IF(LV119="","",VLOOKUP(LV119,Language!$D$5:$E$100,2,0))</f>
        <v/>
      </c>
      <c r="LX119" s="266"/>
      <c r="LY119" s="230" t="str">
        <f>IF(LX119="","",VLOOKUP(LX119,Language!$D$5:$E$100,2,0))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42"/>
      <c r="Q120" s="254"/>
      <c r="R120" s="241"/>
      <c r="S120" s="241"/>
      <c r="T120" s="255"/>
      <c r="V120" s="238" t="str">
        <f>$B120</f>
        <v>Semi-Final</v>
      </c>
      <c r="W120" s="240"/>
      <c r="X120" s="240"/>
      <c r="Y120" s="241"/>
      <c r="Z120" s="270"/>
      <c r="AA120" s="271"/>
      <c r="AB120" s="242"/>
      <c r="AC120" s="242"/>
      <c r="AD120" s="254"/>
      <c r="AE120" s="241"/>
      <c r="AF120" s="241"/>
      <c r="AG120" s="255"/>
      <c r="AI120" s="238" t="str">
        <f>$B120</f>
        <v>Semi-Final</v>
      </c>
      <c r="AJ120" s="240"/>
      <c r="AK120" s="240"/>
      <c r="AL120" s="241"/>
      <c r="AM120" s="270"/>
      <c r="AN120" s="271"/>
      <c r="AO120" s="242"/>
      <c r="AP120" s="242"/>
      <c r="AQ120" s="254"/>
      <c r="AR120" s="241"/>
      <c r="AS120" s="241"/>
      <c r="AT120" s="255"/>
      <c r="AV120" s="238" t="str">
        <f>$B120</f>
        <v>Semi-Final</v>
      </c>
      <c r="AW120" s="240"/>
      <c r="AX120" s="240"/>
      <c r="AY120" s="241"/>
      <c r="AZ120" s="270"/>
      <c r="BA120" s="271"/>
      <c r="BB120" s="242"/>
      <c r="BC120" s="242"/>
      <c r="BD120" s="254"/>
      <c r="BE120" s="241"/>
      <c r="BF120" s="241"/>
      <c r="BG120" s="255"/>
      <c r="BI120" s="238" t="str">
        <f>$B120</f>
        <v>Semi-Final</v>
      </c>
      <c r="BJ120" s="240"/>
      <c r="BK120" s="240"/>
      <c r="BL120" s="241"/>
      <c r="BM120" s="270"/>
      <c r="BN120" s="271"/>
      <c r="BO120" s="242"/>
      <c r="BP120" s="242"/>
      <c r="BQ120" s="254"/>
      <c r="BR120" s="241"/>
      <c r="BS120" s="241"/>
      <c r="BT120" s="255"/>
      <c r="BV120" s="238" t="str">
        <f>$B120</f>
        <v>Semi-Final</v>
      </c>
      <c r="BW120" s="240"/>
      <c r="BX120" s="240"/>
      <c r="BY120" s="241"/>
      <c r="BZ120" s="270"/>
      <c r="CA120" s="271"/>
      <c r="CB120" s="242"/>
      <c r="CC120" s="242"/>
      <c r="CD120" s="254"/>
      <c r="CE120" s="241"/>
      <c r="CF120" s="241"/>
      <c r="CG120" s="255"/>
      <c r="CI120" s="238" t="str">
        <f>$B120</f>
        <v>Semi-Final</v>
      </c>
      <c r="CJ120" s="240"/>
      <c r="CK120" s="240"/>
      <c r="CL120" s="241"/>
      <c r="CM120" s="270"/>
      <c r="CN120" s="271"/>
      <c r="CO120" s="242"/>
      <c r="CP120" s="242"/>
      <c r="CQ120" s="254"/>
      <c r="CR120" s="241"/>
      <c r="CS120" s="241"/>
      <c r="CT120" s="255"/>
      <c r="CV120" s="238" t="str">
        <f>$B120</f>
        <v>Semi-Final</v>
      </c>
      <c r="CW120" s="240"/>
      <c r="CX120" s="240"/>
      <c r="CY120" s="241"/>
      <c r="CZ120" s="270"/>
      <c r="DA120" s="271"/>
      <c r="DB120" s="242"/>
      <c r="DC120" s="242"/>
      <c r="DD120" s="254"/>
      <c r="DE120" s="241"/>
      <c r="DF120" s="241"/>
      <c r="DG120" s="255"/>
      <c r="DI120" s="238" t="str">
        <f>$B120</f>
        <v>Semi-Final</v>
      </c>
      <c r="DJ120" s="240"/>
      <c r="DK120" s="240"/>
      <c r="DL120" s="241"/>
      <c r="DM120" s="270"/>
      <c r="DN120" s="271"/>
      <c r="DO120" s="242"/>
      <c r="DP120" s="242"/>
      <c r="DQ120" s="254"/>
      <c r="DR120" s="241"/>
      <c r="DS120" s="241"/>
      <c r="DT120" s="255"/>
      <c r="DV120" s="238" t="str">
        <f>$B120</f>
        <v>Semi-Final</v>
      </c>
      <c r="DW120" s="240"/>
      <c r="DX120" s="240"/>
      <c r="DY120" s="241"/>
      <c r="DZ120" s="270"/>
      <c r="EA120" s="271"/>
      <c r="EB120" s="242"/>
      <c r="EC120" s="242"/>
      <c r="ED120" s="254"/>
      <c r="EE120" s="241"/>
      <c r="EF120" s="241"/>
      <c r="EG120" s="255"/>
      <c r="EI120" s="238" t="str">
        <f>$B120</f>
        <v>Semi-Final</v>
      </c>
      <c r="EJ120" s="240"/>
      <c r="EK120" s="240"/>
      <c r="EL120" s="241"/>
      <c r="EM120" s="270"/>
      <c r="EN120" s="271"/>
      <c r="EO120" s="242"/>
      <c r="EP120" s="242"/>
      <c r="EQ120" s="254"/>
      <c r="ER120" s="241"/>
      <c r="ES120" s="241"/>
      <c r="ET120" s="255"/>
      <c r="EV120" s="238" t="str">
        <f>$B120</f>
        <v>Semi-Final</v>
      </c>
      <c r="EW120" s="240"/>
      <c r="EX120" s="240"/>
      <c r="EY120" s="241"/>
      <c r="EZ120" s="270"/>
      <c r="FA120" s="271"/>
      <c r="FB120" s="242"/>
      <c r="FC120" s="242"/>
      <c r="FD120" s="254"/>
      <c r="FE120" s="241"/>
      <c r="FF120" s="241"/>
      <c r="FG120" s="255"/>
      <c r="FI120" s="238" t="str">
        <f>$B120</f>
        <v>Semi-Final</v>
      </c>
      <c r="FJ120" s="240"/>
      <c r="FK120" s="240"/>
      <c r="FL120" s="241"/>
      <c r="FM120" s="270"/>
      <c r="FN120" s="271"/>
      <c r="FO120" s="242"/>
      <c r="FP120" s="242"/>
      <c r="FQ120" s="254"/>
      <c r="FR120" s="241"/>
      <c r="FS120" s="241"/>
      <c r="FT120" s="255"/>
      <c r="FV120" s="238" t="str">
        <f>$B120</f>
        <v>Semi-Final</v>
      </c>
      <c r="FW120" s="240"/>
      <c r="FX120" s="240"/>
      <c r="FY120" s="241"/>
      <c r="FZ120" s="270"/>
      <c r="GA120" s="271"/>
      <c r="GB120" s="242"/>
      <c r="GC120" s="242"/>
      <c r="GD120" s="254"/>
      <c r="GE120" s="241"/>
      <c r="GF120" s="241"/>
      <c r="GG120" s="255"/>
      <c r="GI120" s="238" t="str">
        <f>$B120</f>
        <v>Semi-Final</v>
      </c>
      <c r="GJ120" s="240"/>
      <c r="GK120" s="240"/>
      <c r="GL120" s="241"/>
      <c r="GM120" s="270"/>
      <c r="GN120" s="271"/>
      <c r="GO120" s="242"/>
      <c r="GP120" s="242"/>
      <c r="GQ120" s="254"/>
      <c r="GR120" s="241"/>
      <c r="GS120" s="241"/>
      <c r="GT120" s="255"/>
      <c r="GV120" s="238" t="str">
        <f>$B120</f>
        <v>Semi-Final</v>
      </c>
      <c r="GW120" s="240"/>
      <c r="GX120" s="240"/>
      <c r="GY120" s="241"/>
      <c r="GZ120" s="270"/>
      <c r="HA120" s="271"/>
      <c r="HB120" s="242"/>
      <c r="HC120" s="242"/>
      <c r="HD120" s="254"/>
      <c r="HE120" s="241"/>
      <c r="HF120" s="241"/>
      <c r="HG120" s="255"/>
      <c r="HI120" s="238" t="str">
        <f>$B120</f>
        <v>Semi-Final</v>
      </c>
      <c r="HJ120" s="240"/>
      <c r="HK120" s="240"/>
      <c r="HL120" s="241"/>
      <c r="HM120" s="270"/>
      <c r="HN120" s="271"/>
      <c r="HO120" s="242"/>
      <c r="HP120" s="242"/>
      <c r="HQ120" s="254"/>
      <c r="HR120" s="241"/>
      <c r="HS120" s="241"/>
      <c r="HT120" s="255"/>
      <c r="HV120" s="238" t="str">
        <f>$B120</f>
        <v>Semi-Final</v>
      </c>
      <c r="HW120" s="240"/>
      <c r="HX120" s="240"/>
      <c r="HY120" s="241"/>
      <c r="HZ120" s="270"/>
      <c r="IA120" s="271"/>
      <c r="IB120" s="242"/>
      <c r="IC120" s="242"/>
      <c r="ID120" s="254"/>
      <c r="IE120" s="241"/>
      <c r="IF120" s="241"/>
      <c r="IG120" s="255"/>
      <c r="II120" s="238" t="str">
        <f>$B120</f>
        <v>Semi-Final</v>
      </c>
      <c r="IJ120" s="240"/>
      <c r="IK120" s="240"/>
      <c r="IL120" s="241"/>
      <c r="IM120" s="270"/>
      <c r="IN120" s="271"/>
      <c r="IO120" s="242"/>
      <c r="IP120" s="242"/>
      <c r="IQ120" s="254"/>
      <c r="IR120" s="241"/>
      <c r="IS120" s="241"/>
      <c r="IT120" s="255"/>
      <c r="IV120" s="238" t="str">
        <f>$B120</f>
        <v>Semi-Final</v>
      </c>
      <c r="IW120" s="240"/>
      <c r="IX120" s="240"/>
      <c r="IY120" s="241"/>
      <c r="IZ120" s="270"/>
      <c r="JA120" s="271"/>
      <c r="JB120" s="242"/>
      <c r="JC120" s="242"/>
      <c r="JD120" s="254"/>
      <c r="JE120" s="241"/>
      <c r="JF120" s="241"/>
      <c r="JG120" s="255"/>
      <c r="JI120" s="238" t="str">
        <f>$B120</f>
        <v>Semi-Final</v>
      </c>
      <c r="JJ120" s="240"/>
      <c r="JK120" s="240"/>
      <c r="JL120" s="241"/>
      <c r="JM120" s="270"/>
      <c r="JN120" s="271"/>
      <c r="JO120" s="242"/>
      <c r="JP120" s="242"/>
      <c r="JQ120" s="254"/>
      <c r="JR120" s="241"/>
      <c r="JS120" s="241"/>
      <c r="JT120" s="255"/>
      <c r="JV120" s="238" t="str">
        <f>$B120</f>
        <v>Semi-Final</v>
      </c>
      <c r="JW120" s="240"/>
      <c r="JX120" s="240"/>
      <c r="JY120" s="241"/>
      <c r="JZ120" s="270"/>
      <c r="KA120" s="271"/>
      <c r="KB120" s="242"/>
      <c r="KC120" s="242"/>
      <c r="KD120" s="254"/>
      <c r="KE120" s="241"/>
      <c r="KF120" s="241"/>
      <c r="KG120" s="255"/>
      <c r="KI120" s="238" t="str">
        <f>$B120</f>
        <v>Semi-Final</v>
      </c>
      <c r="KJ120" s="240"/>
      <c r="KK120" s="240"/>
      <c r="KL120" s="241"/>
      <c r="KM120" s="270"/>
      <c r="KN120" s="271"/>
      <c r="KO120" s="242"/>
      <c r="KP120" s="242"/>
      <c r="KQ120" s="254"/>
      <c r="KR120" s="241"/>
      <c r="KS120" s="241"/>
      <c r="KT120" s="255"/>
      <c r="KV120" s="238" t="str">
        <f>$B120</f>
        <v>Semi-Final</v>
      </c>
      <c r="KW120" s="240"/>
      <c r="KX120" s="240"/>
      <c r="KY120" s="241"/>
      <c r="KZ120" s="270"/>
      <c r="LA120" s="271"/>
      <c r="LB120" s="242"/>
      <c r="LC120" s="242"/>
      <c r="LD120" s="254"/>
      <c r="LE120" s="241"/>
      <c r="LF120" s="241"/>
      <c r="LG120" s="255"/>
      <c r="LI120" s="238" t="str">
        <f>$B120</f>
        <v>Semi-Final</v>
      </c>
      <c r="LJ120" s="240"/>
      <c r="LK120" s="240"/>
      <c r="LL120" s="241"/>
      <c r="LM120" s="270"/>
      <c r="LN120" s="271"/>
      <c r="LO120" s="242"/>
      <c r="LP120" s="242"/>
      <c r="LQ120" s="254"/>
      <c r="LR120" s="241"/>
      <c r="LS120" s="241"/>
      <c r="LT120" s="255"/>
      <c r="LV120" s="238" t="str">
        <f>$B120</f>
        <v>Semi-Final</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IF(I121="","",VLOOKUP(I121,Language!$D$5:$E$100,2,0))</f>
        <v/>
      </c>
      <c r="K121" s="266"/>
      <c r="L121" s="230" t="str">
        <f>IF(K121="","",VLOOKUP(K121,Language!$D$5:$E$100,2,0))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IF(V121="","",VLOOKUP(V121,Language!$D$5:$E$100,2,0))</f>
        <v/>
      </c>
      <c r="X121" s="266"/>
      <c r="Y121" s="230" t="str">
        <f>IF(X121="","",VLOOKUP(X121,Language!$D$5:$E$100,2,0))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IF(AI121="","",VLOOKUP(AI121,Language!$D$5:$E$100,2,0))</f>
        <v/>
      </c>
      <c r="AK121" s="266"/>
      <c r="AL121" s="230" t="str">
        <f>IF(AK121="","",VLOOKUP(AK121,Language!$D$5:$E$100,2,0))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IF(AV121="","",VLOOKUP(AV121,Language!$D$5:$E$100,2,0))</f>
        <v/>
      </c>
      <c r="AX121" s="266"/>
      <c r="AY121" s="230" t="str">
        <f>IF(AX121="","",VLOOKUP(AX121,Language!$D$5:$E$100,2,0))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IF(BI121="","",VLOOKUP(BI121,Language!$D$5:$E$100,2,0))</f>
        <v/>
      </c>
      <c r="BK121" s="266"/>
      <c r="BL121" s="230" t="str">
        <f>IF(BK121="","",VLOOKUP(BK121,Language!$D$5:$E$100,2,0))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IF(BV121="","",VLOOKUP(BV121,Language!$D$5:$E$100,2,0))</f>
        <v/>
      </c>
      <c r="BX121" s="266"/>
      <c r="BY121" s="230" t="str">
        <f>IF(BX121="","",VLOOKUP(BX121,Language!$D$5:$E$100,2,0))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IF(CI121="","",VLOOKUP(CI121,Language!$D$5:$E$100,2,0))</f>
        <v/>
      </c>
      <c r="CK121" s="266"/>
      <c r="CL121" s="230" t="str">
        <f>IF(CK121="","",VLOOKUP(CK121,Language!$D$5:$E$100,2,0))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IF(CV121="","",VLOOKUP(CV121,Language!$D$5:$E$100,2,0))</f>
        <v/>
      </c>
      <c r="CX121" s="266"/>
      <c r="CY121" s="230" t="str">
        <f>IF(CX121="","",VLOOKUP(CX121,Language!$D$5:$E$100,2,0))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IF(DI121="","",VLOOKUP(DI121,Language!$D$5:$E$100,2,0))</f>
        <v/>
      </c>
      <c r="DK121" s="266"/>
      <c r="DL121" s="230" t="str">
        <f>IF(DK121="","",VLOOKUP(DK121,Language!$D$5:$E$100,2,0))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IF(DV121="","",VLOOKUP(DV121,Language!$D$5:$E$100,2,0))</f>
        <v/>
      </c>
      <c r="DX121" s="266"/>
      <c r="DY121" s="230" t="str">
        <f>IF(DX121="","",VLOOKUP(DX121,Language!$D$5:$E$100,2,0))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IF(EI121="","",VLOOKUP(EI121,Language!$D$5:$E$100,2,0))</f>
        <v/>
      </c>
      <c r="EK121" s="266"/>
      <c r="EL121" s="230" t="str">
        <f>IF(EK121="","",VLOOKUP(EK121,Language!$D$5:$E$100,2,0))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IF(EV121="","",VLOOKUP(EV121,Language!$D$5:$E$100,2,0))</f>
        <v/>
      </c>
      <c r="EX121" s="266"/>
      <c r="EY121" s="230" t="str">
        <f>IF(EX121="","",VLOOKUP(EX121,Language!$D$5:$E$100,2,0))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IF(FI121="","",VLOOKUP(FI121,Language!$D$5:$E$100,2,0))</f>
        <v/>
      </c>
      <c r="FK121" s="266"/>
      <c r="FL121" s="230" t="str">
        <f>IF(FK121="","",VLOOKUP(FK121,Language!$D$5:$E$100,2,0))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IF(FV121="","",VLOOKUP(FV121,Language!$D$5:$E$100,2,0))</f>
        <v/>
      </c>
      <c r="FX121" s="266"/>
      <c r="FY121" s="230" t="str">
        <f>IF(FX121="","",VLOOKUP(FX121,Language!$D$5:$E$100,2,0))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IF(GI121="","",VLOOKUP(GI121,Language!$D$5:$E$100,2,0))</f>
        <v/>
      </c>
      <c r="GK121" s="266"/>
      <c r="GL121" s="230" t="str">
        <f>IF(GK121="","",VLOOKUP(GK121,Language!$D$5:$E$100,2,0))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IF(GV121="","",VLOOKUP(GV121,Language!$D$5:$E$100,2,0))</f>
        <v/>
      </c>
      <c r="GX121" s="266"/>
      <c r="GY121" s="230" t="str">
        <f>IF(GX121="","",VLOOKUP(GX121,Language!$D$5:$E$100,2,0))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IF(HI121="","",VLOOKUP(HI121,Language!$D$5:$E$100,2,0))</f>
        <v/>
      </c>
      <c r="HK121" s="266"/>
      <c r="HL121" s="230" t="str">
        <f>IF(HK121="","",VLOOKUP(HK121,Language!$D$5:$E$100,2,0))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IF(HV121="","",VLOOKUP(HV121,Language!$D$5:$E$100,2,0))</f>
        <v/>
      </c>
      <c r="HX121" s="266"/>
      <c r="HY121" s="230" t="str">
        <f>IF(HX121="","",VLOOKUP(HX121,Language!$D$5:$E$100,2,0))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IF(II121="","",VLOOKUP(II121,Language!$D$5:$E$100,2,0))</f>
        <v/>
      </c>
      <c r="IK121" s="266"/>
      <c r="IL121" s="230" t="str">
        <f>IF(IK121="","",VLOOKUP(IK121,Language!$D$5:$E$100,2,0))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IF(IV121="","",VLOOKUP(IV121,Language!$D$5:$E$100,2,0))</f>
        <v/>
      </c>
      <c r="IX121" s="266"/>
      <c r="IY121" s="230" t="str">
        <f>IF(IX121="","",VLOOKUP(IX121,Language!$D$5:$E$100,2,0))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IF(JI121="","",VLOOKUP(JI121,Language!$D$5:$E$100,2,0))</f>
        <v/>
      </c>
      <c r="JK121" s="266"/>
      <c r="JL121" s="230" t="str">
        <f>IF(JK121="","",VLOOKUP(JK121,Language!$D$5:$E$100,2,0))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IF(JV121="","",VLOOKUP(JV121,Language!$D$5:$E$100,2,0))</f>
        <v/>
      </c>
      <c r="JX121" s="266"/>
      <c r="JY121" s="230" t="str">
        <f>IF(JX121="","",VLOOKUP(JX121,Language!$D$5:$E$100,2,0))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IF(KI121="","",VLOOKUP(KI121,Language!$D$5:$E$100,2,0))</f>
        <v/>
      </c>
      <c r="KK121" s="266"/>
      <c r="KL121" s="230" t="str">
        <f>IF(KK121="","",VLOOKUP(KK121,Language!$D$5:$E$100,2,0))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IF(KV121="","",VLOOKUP(KV121,Language!$D$5:$E$100,2,0))</f>
        <v/>
      </c>
      <c r="KX121" s="266"/>
      <c r="KY121" s="230" t="str">
        <f>IF(KX121="","",VLOOKUP(KX121,Language!$D$5:$E$100,2,0))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IF(LI121="","",VLOOKUP(LI121,Language!$D$5:$E$100,2,0))</f>
        <v/>
      </c>
      <c r="LK121" s="266"/>
      <c r="LL121" s="230" t="str">
        <f>IF(LK121="","",VLOOKUP(LK121,Language!$D$5:$E$100,2,0))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IF(LV121="","",VLOOKUP(LV121,Language!$D$5:$E$100,2,0))</f>
        <v/>
      </c>
      <c r="LX121" s="266"/>
      <c r="LY121" s="230" t="str">
        <f>IF(LX121="","",VLOOKUP(LX121,Language!$D$5:$E$100,2,0))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IF(I122="","",VLOOKUP(I122,Language!$D$5:$E$100,2,0))</f>
        <v/>
      </c>
      <c r="K122" s="266"/>
      <c r="L122" s="230" t="str">
        <f>IF(K122="","",VLOOKUP(K122,Language!$D$5:$E$100,2,0))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IF(V122="","",VLOOKUP(V122,Language!$D$5:$E$100,2,0))</f>
        <v/>
      </c>
      <c r="X122" s="266"/>
      <c r="Y122" s="230" t="str">
        <f>IF(X122="","",VLOOKUP(X122,Language!$D$5:$E$100,2,0))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IF(AI122="","",VLOOKUP(AI122,Language!$D$5:$E$100,2,0))</f>
        <v/>
      </c>
      <c r="AK122" s="266"/>
      <c r="AL122" s="230" t="str">
        <f>IF(AK122="","",VLOOKUP(AK122,Language!$D$5:$E$100,2,0))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IF(AV122="","",VLOOKUP(AV122,Language!$D$5:$E$100,2,0))</f>
        <v/>
      </c>
      <c r="AX122" s="266"/>
      <c r="AY122" s="230" t="str">
        <f>IF(AX122="","",VLOOKUP(AX122,Language!$D$5:$E$100,2,0))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IF(BI122="","",VLOOKUP(BI122,Language!$D$5:$E$100,2,0))</f>
        <v/>
      </c>
      <c r="BK122" s="266"/>
      <c r="BL122" s="230" t="str">
        <f>IF(BK122="","",VLOOKUP(BK122,Language!$D$5:$E$100,2,0))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IF(BV122="","",VLOOKUP(BV122,Language!$D$5:$E$100,2,0))</f>
        <v/>
      </c>
      <c r="BX122" s="266"/>
      <c r="BY122" s="230" t="str">
        <f>IF(BX122="","",VLOOKUP(BX122,Language!$D$5:$E$100,2,0))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IF(CI122="","",VLOOKUP(CI122,Language!$D$5:$E$100,2,0))</f>
        <v/>
      </c>
      <c r="CK122" s="266"/>
      <c r="CL122" s="230" t="str">
        <f>IF(CK122="","",VLOOKUP(CK122,Language!$D$5:$E$100,2,0))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IF(CV122="","",VLOOKUP(CV122,Language!$D$5:$E$100,2,0))</f>
        <v/>
      </c>
      <c r="CX122" s="266"/>
      <c r="CY122" s="230" t="str">
        <f>IF(CX122="","",VLOOKUP(CX122,Language!$D$5:$E$100,2,0))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IF(DI122="","",VLOOKUP(DI122,Language!$D$5:$E$100,2,0))</f>
        <v/>
      </c>
      <c r="DK122" s="266"/>
      <c r="DL122" s="230" t="str">
        <f>IF(DK122="","",VLOOKUP(DK122,Language!$D$5:$E$100,2,0))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IF(DV122="","",VLOOKUP(DV122,Language!$D$5:$E$100,2,0))</f>
        <v/>
      </c>
      <c r="DX122" s="266"/>
      <c r="DY122" s="230" t="str">
        <f>IF(DX122="","",VLOOKUP(DX122,Language!$D$5:$E$100,2,0))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IF(EI122="","",VLOOKUP(EI122,Language!$D$5:$E$100,2,0))</f>
        <v/>
      </c>
      <c r="EK122" s="266"/>
      <c r="EL122" s="230" t="str">
        <f>IF(EK122="","",VLOOKUP(EK122,Language!$D$5:$E$100,2,0))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IF(EV122="","",VLOOKUP(EV122,Language!$D$5:$E$100,2,0))</f>
        <v/>
      </c>
      <c r="EX122" s="266"/>
      <c r="EY122" s="230" t="str">
        <f>IF(EX122="","",VLOOKUP(EX122,Language!$D$5:$E$100,2,0))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IF(FI122="","",VLOOKUP(FI122,Language!$D$5:$E$100,2,0))</f>
        <v/>
      </c>
      <c r="FK122" s="266"/>
      <c r="FL122" s="230" t="str">
        <f>IF(FK122="","",VLOOKUP(FK122,Language!$D$5:$E$100,2,0))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IF(FV122="","",VLOOKUP(FV122,Language!$D$5:$E$100,2,0))</f>
        <v/>
      </c>
      <c r="FX122" s="266"/>
      <c r="FY122" s="230" t="str">
        <f>IF(FX122="","",VLOOKUP(FX122,Language!$D$5:$E$100,2,0))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IF(GI122="","",VLOOKUP(GI122,Language!$D$5:$E$100,2,0))</f>
        <v/>
      </c>
      <c r="GK122" s="266"/>
      <c r="GL122" s="230" t="str">
        <f>IF(GK122="","",VLOOKUP(GK122,Language!$D$5:$E$100,2,0))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IF(GV122="","",VLOOKUP(GV122,Language!$D$5:$E$100,2,0))</f>
        <v/>
      </c>
      <c r="GX122" s="266"/>
      <c r="GY122" s="230" t="str">
        <f>IF(GX122="","",VLOOKUP(GX122,Language!$D$5:$E$100,2,0))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IF(HI122="","",VLOOKUP(HI122,Language!$D$5:$E$100,2,0))</f>
        <v/>
      </c>
      <c r="HK122" s="266"/>
      <c r="HL122" s="230" t="str">
        <f>IF(HK122="","",VLOOKUP(HK122,Language!$D$5:$E$100,2,0))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IF(HV122="","",VLOOKUP(HV122,Language!$D$5:$E$100,2,0))</f>
        <v/>
      </c>
      <c r="HX122" s="266"/>
      <c r="HY122" s="230" t="str">
        <f>IF(HX122="","",VLOOKUP(HX122,Language!$D$5:$E$100,2,0))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IF(II122="","",VLOOKUP(II122,Language!$D$5:$E$100,2,0))</f>
        <v/>
      </c>
      <c r="IK122" s="266"/>
      <c r="IL122" s="230" t="str">
        <f>IF(IK122="","",VLOOKUP(IK122,Language!$D$5:$E$100,2,0))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IF(IV122="","",VLOOKUP(IV122,Language!$D$5:$E$100,2,0))</f>
        <v/>
      </c>
      <c r="IX122" s="266"/>
      <c r="IY122" s="230" t="str">
        <f>IF(IX122="","",VLOOKUP(IX122,Language!$D$5:$E$100,2,0))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IF(JI122="","",VLOOKUP(JI122,Language!$D$5:$E$100,2,0))</f>
        <v/>
      </c>
      <c r="JK122" s="266"/>
      <c r="JL122" s="230" t="str">
        <f>IF(JK122="","",VLOOKUP(JK122,Language!$D$5:$E$100,2,0))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IF(JV122="","",VLOOKUP(JV122,Language!$D$5:$E$100,2,0))</f>
        <v/>
      </c>
      <c r="JX122" s="266"/>
      <c r="JY122" s="230" t="str">
        <f>IF(JX122="","",VLOOKUP(JX122,Language!$D$5:$E$100,2,0))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IF(KI122="","",VLOOKUP(KI122,Language!$D$5:$E$100,2,0))</f>
        <v/>
      </c>
      <c r="KK122" s="266"/>
      <c r="KL122" s="230" t="str">
        <f>IF(KK122="","",VLOOKUP(KK122,Language!$D$5:$E$100,2,0))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IF(KV122="","",VLOOKUP(KV122,Language!$D$5:$E$100,2,0))</f>
        <v/>
      </c>
      <c r="KX122" s="266"/>
      <c r="KY122" s="230" t="str">
        <f>IF(KX122="","",VLOOKUP(KX122,Language!$D$5:$E$100,2,0))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IF(LI122="","",VLOOKUP(LI122,Language!$D$5:$E$100,2,0))</f>
        <v/>
      </c>
      <c r="LK122" s="266"/>
      <c r="LL122" s="230" t="str">
        <f>IF(LK122="","",VLOOKUP(LK122,Language!$D$5:$E$100,2,0))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IF(LV122="","",VLOOKUP(LV122,Language!$D$5:$E$100,2,0))</f>
        <v/>
      </c>
      <c r="LX122" s="266"/>
      <c r="LY122" s="230" t="str">
        <f>IF(LX122="","",VLOOKUP(LX122,Language!$D$5:$E$100,2,0))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Language!$E$224</f>
        <v>Third place</v>
      </c>
      <c r="C123" s="239"/>
      <c r="D123" s="244"/>
      <c r="E123" s="241"/>
      <c r="F123" s="245"/>
      <c r="G123" s="246"/>
      <c r="H123" s="227"/>
      <c r="I123" s="238" t="str">
        <f>$B123</f>
        <v>Third place</v>
      </c>
      <c r="J123" s="240"/>
      <c r="K123" s="240"/>
      <c r="L123" s="241"/>
      <c r="M123" s="270"/>
      <c r="N123" s="271"/>
      <c r="O123" s="242"/>
      <c r="P123" s="242"/>
      <c r="Q123" s="254"/>
      <c r="R123" s="241"/>
      <c r="S123" s="241"/>
      <c r="T123" s="255"/>
      <c r="V123" s="238" t="str">
        <f>$B123</f>
        <v>Third place</v>
      </c>
      <c r="W123" s="240"/>
      <c r="X123" s="240"/>
      <c r="Y123" s="241"/>
      <c r="Z123" s="270"/>
      <c r="AA123" s="271"/>
      <c r="AB123" s="242"/>
      <c r="AC123" s="242"/>
      <c r="AD123" s="254"/>
      <c r="AE123" s="241"/>
      <c r="AF123" s="241"/>
      <c r="AG123" s="255"/>
      <c r="AI123" s="238" t="str">
        <f>$B123</f>
        <v>Third place</v>
      </c>
      <c r="AJ123" s="240"/>
      <c r="AK123" s="240"/>
      <c r="AL123" s="241"/>
      <c r="AM123" s="270"/>
      <c r="AN123" s="271"/>
      <c r="AO123" s="242"/>
      <c r="AP123" s="242"/>
      <c r="AQ123" s="254"/>
      <c r="AR123" s="241"/>
      <c r="AS123" s="241"/>
      <c r="AT123" s="255"/>
      <c r="AV123" s="238" t="str">
        <f>$B123</f>
        <v>Third place</v>
      </c>
      <c r="AW123" s="240"/>
      <c r="AX123" s="240"/>
      <c r="AY123" s="241"/>
      <c r="AZ123" s="270"/>
      <c r="BA123" s="271"/>
      <c r="BB123" s="242"/>
      <c r="BC123" s="242"/>
      <c r="BD123" s="254"/>
      <c r="BE123" s="241"/>
      <c r="BF123" s="241"/>
      <c r="BG123" s="255"/>
      <c r="BI123" s="238" t="str">
        <f>$B123</f>
        <v>Third place</v>
      </c>
      <c r="BJ123" s="240"/>
      <c r="BK123" s="240"/>
      <c r="BL123" s="241"/>
      <c r="BM123" s="270"/>
      <c r="BN123" s="271"/>
      <c r="BO123" s="242"/>
      <c r="BP123" s="242"/>
      <c r="BQ123" s="254"/>
      <c r="BR123" s="241"/>
      <c r="BS123" s="241"/>
      <c r="BT123" s="255"/>
      <c r="BV123" s="238" t="str">
        <f>$B123</f>
        <v>Third place</v>
      </c>
      <c r="BW123" s="240"/>
      <c r="BX123" s="240"/>
      <c r="BY123" s="241"/>
      <c r="BZ123" s="270"/>
      <c r="CA123" s="271"/>
      <c r="CB123" s="242"/>
      <c r="CC123" s="242"/>
      <c r="CD123" s="254"/>
      <c r="CE123" s="241"/>
      <c r="CF123" s="241"/>
      <c r="CG123" s="255"/>
      <c r="CI123" s="238" t="str">
        <f>$B123</f>
        <v>Third place</v>
      </c>
      <c r="CJ123" s="240"/>
      <c r="CK123" s="240"/>
      <c r="CL123" s="241"/>
      <c r="CM123" s="270"/>
      <c r="CN123" s="271"/>
      <c r="CO123" s="242"/>
      <c r="CP123" s="242"/>
      <c r="CQ123" s="254"/>
      <c r="CR123" s="241"/>
      <c r="CS123" s="241"/>
      <c r="CT123" s="255"/>
      <c r="CV123" s="238" t="str">
        <f>$B123</f>
        <v>Third place</v>
      </c>
      <c r="CW123" s="240"/>
      <c r="CX123" s="240"/>
      <c r="CY123" s="241"/>
      <c r="CZ123" s="270"/>
      <c r="DA123" s="271"/>
      <c r="DB123" s="242"/>
      <c r="DC123" s="242"/>
      <c r="DD123" s="254"/>
      <c r="DE123" s="241"/>
      <c r="DF123" s="241"/>
      <c r="DG123" s="255"/>
      <c r="DI123" s="238" t="str">
        <f>$B123</f>
        <v>Third place</v>
      </c>
      <c r="DJ123" s="240"/>
      <c r="DK123" s="240"/>
      <c r="DL123" s="241"/>
      <c r="DM123" s="270"/>
      <c r="DN123" s="271"/>
      <c r="DO123" s="242"/>
      <c r="DP123" s="242"/>
      <c r="DQ123" s="254"/>
      <c r="DR123" s="241"/>
      <c r="DS123" s="241"/>
      <c r="DT123" s="255"/>
      <c r="DV123" s="238" t="str">
        <f>$B123</f>
        <v>Third place</v>
      </c>
      <c r="DW123" s="240"/>
      <c r="DX123" s="240"/>
      <c r="DY123" s="241"/>
      <c r="DZ123" s="270"/>
      <c r="EA123" s="271"/>
      <c r="EB123" s="242"/>
      <c r="EC123" s="242"/>
      <c r="ED123" s="254"/>
      <c r="EE123" s="241"/>
      <c r="EF123" s="241"/>
      <c r="EG123" s="255"/>
      <c r="EI123" s="238" t="str">
        <f>$B123</f>
        <v>Third place</v>
      </c>
      <c r="EJ123" s="240"/>
      <c r="EK123" s="240"/>
      <c r="EL123" s="241"/>
      <c r="EM123" s="270"/>
      <c r="EN123" s="271"/>
      <c r="EO123" s="242"/>
      <c r="EP123" s="242"/>
      <c r="EQ123" s="254"/>
      <c r="ER123" s="241"/>
      <c r="ES123" s="241"/>
      <c r="ET123" s="255"/>
      <c r="EV123" s="238" t="str">
        <f>$B123</f>
        <v>Third place</v>
      </c>
      <c r="EW123" s="240"/>
      <c r="EX123" s="240"/>
      <c r="EY123" s="241"/>
      <c r="EZ123" s="270"/>
      <c r="FA123" s="271"/>
      <c r="FB123" s="242"/>
      <c r="FC123" s="242"/>
      <c r="FD123" s="254"/>
      <c r="FE123" s="241"/>
      <c r="FF123" s="241"/>
      <c r="FG123" s="255"/>
      <c r="FI123" s="238" t="str">
        <f>$B123</f>
        <v>Third place</v>
      </c>
      <c r="FJ123" s="240"/>
      <c r="FK123" s="240"/>
      <c r="FL123" s="241"/>
      <c r="FM123" s="270"/>
      <c r="FN123" s="271"/>
      <c r="FO123" s="242"/>
      <c r="FP123" s="242"/>
      <c r="FQ123" s="254"/>
      <c r="FR123" s="241"/>
      <c r="FS123" s="241"/>
      <c r="FT123" s="255"/>
      <c r="FV123" s="238" t="str">
        <f>$B123</f>
        <v>Third place</v>
      </c>
      <c r="FW123" s="240"/>
      <c r="FX123" s="240"/>
      <c r="FY123" s="241"/>
      <c r="FZ123" s="270"/>
      <c r="GA123" s="271"/>
      <c r="GB123" s="242"/>
      <c r="GC123" s="242"/>
      <c r="GD123" s="254"/>
      <c r="GE123" s="241"/>
      <c r="GF123" s="241"/>
      <c r="GG123" s="255"/>
      <c r="GI123" s="238" t="str">
        <f>$B123</f>
        <v>Third place</v>
      </c>
      <c r="GJ123" s="240"/>
      <c r="GK123" s="240"/>
      <c r="GL123" s="241"/>
      <c r="GM123" s="270"/>
      <c r="GN123" s="271"/>
      <c r="GO123" s="242"/>
      <c r="GP123" s="242"/>
      <c r="GQ123" s="254"/>
      <c r="GR123" s="241"/>
      <c r="GS123" s="241"/>
      <c r="GT123" s="255"/>
      <c r="GV123" s="238" t="str">
        <f>$B123</f>
        <v>Third place</v>
      </c>
      <c r="GW123" s="240"/>
      <c r="GX123" s="240"/>
      <c r="GY123" s="241"/>
      <c r="GZ123" s="270"/>
      <c r="HA123" s="271"/>
      <c r="HB123" s="242"/>
      <c r="HC123" s="242"/>
      <c r="HD123" s="254"/>
      <c r="HE123" s="241"/>
      <c r="HF123" s="241"/>
      <c r="HG123" s="255"/>
      <c r="HI123" s="238" t="str">
        <f>$B123</f>
        <v>Third place</v>
      </c>
      <c r="HJ123" s="240"/>
      <c r="HK123" s="240"/>
      <c r="HL123" s="241"/>
      <c r="HM123" s="270"/>
      <c r="HN123" s="271"/>
      <c r="HO123" s="242"/>
      <c r="HP123" s="242"/>
      <c r="HQ123" s="254"/>
      <c r="HR123" s="241"/>
      <c r="HS123" s="241"/>
      <c r="HT123" s="255"/>
      <c r="HV123" s="238" t="str">
        <f>$B123</f>
        <v>Third place</v>
      </c>
      <c r="HW123" s="240"/>
      <c r="HX123" s="240"/>
      <c r="HY123" s="241"/>
      <c r="HZ123" s="270"/>
      <c r="IA123" s="271"/>
      <c r="IB123" s="242"/>
      <c r="IC123" s="242"/>
      <c r="ID123" s="254"/>
      <c r="IE123" s="241"/>
      <c r="IF123" s="241"/>
      <c r="IG123" s="255"/>
      <c r="II123" s="238" t="str">
        <f>$B123</f>
        <v>Third place</v>
      </c>
      <c r="IJ123" s="240"/>
      <c r="IK123" s="240"/>
      <c r="IL123" s="241"/>
      <c r="IM123" s="270"/>
      <c r="IN123" s="271"/>
      <c r="IO123" s="242"/>
      <c r="IP123" s="242"/>
      <c r="IQ123" s="254"/>
      <c r="IR123" s="241"/>
      <c r="IS123" s="241"/>
      <c r="IT123" s="255"/>
      <c r="IV123" s="238" t="str">
        <f>$B123</f>
        <v>Third place</v>
      </c>
      <c r="IW123" s="240"/>
      <c r="IX123" s="240"/>
      <c r="IY123" s="241"/>
      <c r="IZ123" s="270"/>
      <c r="JA123" s="271"/>
      <c r="JB123" s="242"/>
      <c r="JC123" s="242"/>
      <c r="JD123" s="254"/>
      <c r="JE123" s="241"/>
      <c r="JF123" s="241"/>
      <c r="JG123" s="255"/>
      <c r="JI123" s="238" t="str">
        <f>$B123</f>
        <v>Third place</v>
      </c>
      <c r="JJ123" s="240"/>
      <c r="JK123" s="240"/>
      <c r="JL123" s="241"/>
      <c r="JM123" s="270"/>
      <c r="JN123" s="271"/>
      <c r="JO123" s="242"/>
      <c r="JP123" s="242"/>
      <c r="JQ123" s="254"/>
      <c r="JR123" s="241"/>
      <c r="JS123" s="241"/>
      <c r="JT123" s="255"/>
      <c r="JV123" s="238" t="str">
        <f>$B123</f>
        <v>Third place</v>
      </c>
      <c r="JW123" s="240"/>
      <c r="JX123" s="240"/>
      <c r="JY123" s="241"/>
      <c r="JZ123" s="270"/>
      <c r="KA123" s="271"/>
      <c r="KB123" s="242"/>
      <c r="KC123" s="242"/>
      <c r="KD123" s="254"/>
      <c r="KE123" s="241"/>
      <c r="KF123" s="241"/>
      <c r="KG123" s="255"/>
      <c r="KI123" s="238" t="str">
        <f>$B123</f>
        <v>Third place</v>
      </c>
      <c r="KJ123" s="240"/>
      <c r="KK123" s="240"/>
      <c r="KL123" s="241"/>
      <c r="KM123" s="270"/>
      <c r="KN123" s="271"/>
      <c r="KO123" s="242"/>
      <c r="KP123" s="242"/>
      <c r="KQ123" s="254"/>
      <c r="KR123" s="241"/>
      <c r="KS123" s="241"/>
      <c r="KT123" s="255"/>
      <c r="KV123" s="238" t="str">
        <f>$B123</f>
        <v>Third place</v>
      </c>
      <c r="KW123" s="240"/>
      <c r="KX123" s="240"/>
      <c r="KY123" s="241"/>
      <c r="KZ123" s="270"/>
      <c r="LA123" s="271"/>
      <c r="LB123" s="242"/>
      <c r="LC123" s="242"/>
      <c r="LD123" s="254"/>
      <c r="LE123" s="241"/>
      <c r="LF123" s="241"/>
      <c r="LG123" s="255"/>
      <c r="LI123" s="238" t="str">
        <f>$B123</f>
        <v>Third place</v>
      </c>
      <c r="LJ123" s="240"/>
      <c r="LK123" s="240"/>
      <c r="LL123" s="241"/>
      <c r="LM123" s="270"/>
      <c r="LN123" s="271"/>
      <c r="LO123" s="242"/>
      <c r="LP123" s="242"/>
      <c r="LQ123" s="254"/>
      <c r="LR123" s="241"/>
      <c r="LS123" s="241"/>
      <c r="LT123" s="255"/>
      <c r="LV123" s="238" t="str">
        <f>$B123</f>
        <v>Third place</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IF(V124="","",VLOOKUP(V124,Language!$D$5:$E$100,2,0))</f>
        <v/>
      </c>
      <c r="X124" s="267"/>
      <c r="Y124" s="230" t="str">
        <f>IF(X124="","",VLOOKUP(X124,Language!$D$5:$E$100,2,0))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IF(AI124="","",VLOOKUP(AI124,Language!$D$5:$E$100,2,0))</f>
        <v/>
      </c>
      <c r="AK124" s="267"/>
      <c r="AL124" s="230" t="str">
        <f>IF(AK124="","",VLOOKUP(AK124,Language!$D$5:$E$100,2,0))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IF(AV124="","",VLOOKUP(AV124,Language!$D$5:$E$100,2,0))</f>
        <v/>
      </c>
      <c r="AX124" s="267"/>
      <c r="AY124" s="230" t="str">
        <f>IF(AX124="","",VLOOKUP(AX124,Language!$D$5:$E$100,2,0))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IF(BI124="","",VLOOKUP(BI124,Language!$D$5:$E$100,2,0))</f>
        <v/>
      </c>
      <c r="BK124" s="267"/>
      <c r="BL124" s="230" t="str">
        <f>IF(BK124="","",VLOOKUP(BK124,Language!$D$5:$E$100,2,0))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IF(BV124="","",VLOOKUP(BV124,Language!$D$5:$E$100,2,0))</f>
        <v/>
      </c>
      <c r="BX124" s="267"/>
      <c r="BY124" s="230" t="str">
        <f>IF(BX124="","",VLOOKUP(BX124,Language!$D$5:$E$100,2,0))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IF(CI124="","",VLOOKUP(CI124,Language!$D$5:$E$100,2,0))</f>
        <v/>
      </c>
      <c r="CK124" s="267"/>
      <c r="CL124" s="230" t="str">
        <f>IF(CK124="","",VLOOKUP(CK124,Language!$D$5:$E$100,2,0))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IF(CV124="","",VLOOKUP(CV124,Language!$D$5:$E$100,2,0))</f>
        <v/>
      </c>
      <c r="CX124" s="267"/>
      <c r="CY124" s="230" t="str">
        <f>IF(CX124="","",VLOOKUP(CX124,Language!$D$5:$E$100,2,0))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IF(DI124="","",VLOOKUP(DI124,Language!$D$5:$E$100,2,0))</f>
        <v/>
      </c>
      <c r="DK124" s="267"/>
      <c r="DL124" s="230" t="str">
        <f>IF(DK124="","",VLOOKUP(DK124,Language!$D$5:$E$100,2,0))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IF(DV124="","",VLOOKUP(DV124,Language!$D$5:$E$100,2,0))</f>
        <v/>
      </c>
      <c r="DX124" s="267"/>
      <c r="DY124" s="230" t="str">
        <f>IF(DX124="","",VLOOKUP(DX124,Language!$D$5:$E$100,2,0))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IF(EI124="","",VLOOKUP(EI124,Language!$D$5:$E$100,2,0))</f>
        <v/>
      </c>
      <c r="EK124" s="267"/>
      <c r="EL124" s="230" t="str">
        <f>IF(EK124="","",VLOOKUP(EK124,Language!$D$5:$E$100,2,0))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IF(EV124="","",VLOOKUP(EV124,Language!$D$5:$E$100,2,0))</f>
        <v/>
      </c>
      <c r="EX124" s="267"/>
      <c r="EY124" s="230" t="str">
        <f>IF(EX124="","",VLOOKUP(EX124,Language!$D$5:$E$100,2,0))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IF(FI124="","",VLOOKUP(FI124,Language!$D$5:$E$100,2,0))</f>
        <v/>
      </c>
      <c r="FK124" s="267"/>
      <c r="FL124" s="230" t="str">
        <f>IF(FK124="","",VLOOKUP(FK124,Language!$D$5:$E$100,2,0))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IF(FV124="","",VLOOKUP(FV124,Language!$D$5:$E$100,2,0))</f>
        <v/>
      </c>
      <c r="FX124" s="267"/>
      <c r="FY124" s="230" t="str">
        <f>IF(FX124="","",VLOOKUP(FX124,Language!$D$5:$E$100,2,0))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IF(GI124="","",VLOOKUP(GI124,Language!$D$5:$E$100,2,0))</f>
        <v/>
      </c>
      <c r="GK124" s="267"/>
      <c r="GL124" s="230" t="str">
        <f>IF(GK124="","",VLOOKUP(GK124,Language!$D$5:$E$100,2,0))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IF(GV124="","",VLOOKUP(GV124,Language!$D$5:$E$100,2,0))</f>
        <v/>
      </c>
      <c r="GX124" s="267"/>
      <c r="GY124" s="230" t="str">
        <f>IF(GX124="","",VLOOKUP(GX124,Language!$D$5:$E$100,2,0))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IF(HI124="","",VLOOKUP(HI124,Language!$D$5:$E$100,2,0))</f>
        <v/>
      </c>
      <c r="HK124" s="267"/>
      <c r="HL124" s="230" t="str">
        <f>IF(HK124="","",VLOOKUP(HK124,Language!$D$5:$E$100,2,0))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IF(HV124="","",VLOOKUP(HV124,Language!$D$5:$E$100,2,0))</f>
        <v/>
      </c>
      <c r="HX124" s="267"/>
      <c r="HY124" s="230" t="str">
        <f>IF(HX124="","",VLOOKUP(HX124,Language!$D$5:$E$100,2,0))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IF(II124="","",VLOOKUP(II124,Language!$D$5:$E$100,2,0))</f>
        <v/>
      </c>
      <c r="IK124" s="267"/>
      <c r="IL124" s="230" t="str">
        <f>IF(IK124="","",VLOOKUP(IK124,Language!$D$5:$E$100,2,0))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IF(IV124="","",VLOOKUP(IV124,Language!$D$5:$E$100,2,0))</f>
        <v/>
      </c>
      <c r="IX124" s="267"/>
      <c r="IY124" s="230" t="str">
        <f>IF(IX124="","",VLOOKUP(IX124,Language!$D$5:$E$100,2,0))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IF(JI124="","",VLOOKUP(JI124,Language!$D$5:$E$100,2,0))</f>
        <v/>
      </c>
      <c r="JK124" s="267"/>
      <c r="JL124" s="230" t="str">
        <f>IF(JK124="","",VLOOKUP(JK124,Language!$D$5:$E$100,2,0))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IF(JV124="","",VLOOKUP(JV124,Language!$D$5:$E$100,2,0))</f>
        <v/>
      </c>
      <c r="JX124" s="267"/>
      <c r="JY124" s="230" t="str">
        <f>IF(JX124="","",VLOOKUP(JX124,Language!$D$5:$E$100,2,0))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IF(KI124="","",VLOOKUP(KI124,Language!$D$5:$E$100,2,0))</f>
        <v/>
      </c>
      <c r="KK124" s="267"/>
      <c r="KL124" s="230" t="str">
        <f>IF(KK124="","",VLOOKUP(KK124,Language!$D$5:$E$100,2,0))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IF(KV124="","",VLOOKUP(KV124,Language!$D$5:$E$100,2,0))</f>
        <v/>
      </c>
      <c r="KX124" s="267"/>
      <c r="KY124" s="230" t="str">
        <f>IF(KX124="","",VLOOKUP(KX124,Language!$D$5:$E$100,2,0))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IF(LI124="","",VLOOKUP(LI124,Language!$D$5:$E$100,2,0))</f>
        <v/>
      </c>
      <c r="LK124" s="267"/>
      <c r="LL124" s="230" t="str">
        <f>IF(LK124="","",VLOOKUP(LK124,Language!$D$5:$E$100,2,0))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IF(LV124="","",VLOOKUP(LV124,Language!$D$5:$E$100,2,0))</f>
        <v/>
      </c>
      <c r="LX124" s="267"/>
      <c r="LY124" s="230" t="str">
        <f>IF(LX124="","",VLOOKUP(LX124,Language!$D$5:$E$100,2,0))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Language!$E$225</f>
        <v>Final</v>
      </c>
      <c r="C125" s="239"/>
      <c r="D125" s="244"/>
      <c r="E125" s="241"/>
      <c r="F125" s="245"/>
      <c r="G125" s="246"/>
      <c r="I125" s="238" t="str">
        <f>$B125</f>
        <v>Final</v>
      </c>
      <c r="J125" s="240"/>
      <c r="K125" s="240"/>
      <c r="L125" s="241"/>
      <c r="M125" s="270"/>
      <c r="N125" s="271"/>
      <c r="O125" s="242"/>
      <c r="P125" s="242"/>
      <c r="Q125" s="254"/>
      <c r="R125" s="241"/>
      <c r="S125" s="241"/>
      <c r="T125" s="255"/>
      <c r="V125" s="238" t="str">
        <f>$B125</f>
        <v>Final</v>
      </c>
      <c r="W125" s="240"/>
      <c r="X125" s="240"/>
      <c r="Y125" s="241"/>
      <c r="Z125" s="270"/>
      <c r="AA125" s="271"/>
      <c r="AB125" s="242"/>
      <c r="AC125" s="242"/>
      <c r="AD125" s="254"/>
      <c r="AE125" s="241"/>
      <c r="AF125" s="241"/>
      <c r="AG125" s="255"/>
      <c r="AI125" s="238" t="str">
        <f>$B125</f>
        <v>Final</v>
      </c>
      <c r="AJ125" s="240"/>
      <c r="AK125" s="240"/>
      <c r="AL125" s="241"/>
      <c r="AM125" s="270"/>
      <c r="AN125" s="271"/>
      <c r="AO125" s="242"/>
      <c r="AP125" s="242"/>
      <c r="AQ125" s="254"/>
      <c r="AR125" s="241"/>
      <c r="AS125" s="241"/>
      <c r="AT125" s="255"/>
      <c r="AV125" s="238" t="str">
        <f>$B125</f>
        <v>Final</v>
      </c>
      <c r="AW125" s="240"/>
      <c r="AX125" s="240"/>
      <c r="AY125" s="241"/>
      <c r="AZ125" s="270"/>
      <c r="BA125" s="271"/>
      <c r="BB125" s="242"/>
      <c r="BC125" s="242"/>
      <c r="BD125" s="254"/>
      <c r="BE125" s="241"/>
      <c r="BF125" s="241"/>
      <c r="BG125" s="255"/>
      <c r="BI125" s="238" t="str">
        <f>$B125</f>
        <v>Final</v>
      </c>
      <c r="BJ125" s="240"/>
      <c r="BK125" s="240"/>
      <c r="BL125" s="241"/>
      <c r="BM125" s="270"/>
      <c r="BN125" s="271"/>
      <c r="BO125" s="242"/>
      <c r="BP125" s="242"/>
      <c r="BQ125" s="254"/>
      <c r="BR125" s="241"/>
      <c r="BS125" s="241"/>
      <c r="BT125" s="255"/>
      <c r="BV125" s="238" t="str">
        <f>$B125</f>
        <v>Final</v>
      </c>
      <c r="BW125" s="240"/>
      <c r="BX125" s="240"/>
      <c r="BY125" s="241"/>
      <c r="BZ125" s="270"/>
      <c r="CA125" s="271"/>
      <c r="CB125" s="242"/>
      <c r="CC125" s="242"/>
      <c r="CD125" s="254"/>
      <c r="CE125" s="241"/>
      <c r="CF125" s="241"/>
      <c r="CG125" s="255"/>
      <c r="CI125" s="238" t="str">
        <f>$B125</f>
        <v>Final</v>
      </c>
      <c r="CJ125" s="240"/>
      <c r="CK125" s="240"/>
      <c r="CL125" s="241"/>
      <c r="CM125" s="270"/>
      <c r="CN125" s="271"/>
      <c r="CO125" s="242"/>
      <c r="CP125" s="242"/>
      <c r="CQ125" s="254"/>
      <c r="CR125" s="241"/>
      <c r="CS125" s="241"/>
      <c r="CT125" s="255"/>
      <c r="CV125" s="238" t="str">
        <f>$B125</f>
        <v>Final</v>
      </c>
      <c r="CW125" s="240"/>
      <c r="CX125" s="240"/>
      <c r="CY125" s="241"/>
      <c r="CZ125" s="270"/>
      <c r="DA125" s="271"/>
      <c r="DB125" s="242"/>
      <c r="DC125" s="242"/>
      <c r="DD125" s="254"/>
      <c r="DE125" s="241"/>
      <c r="DF125" s="241"/>
      <c r="DG125" s="255"/>
      <c r="DI125" s="238" t="str">
        <f>$B125</f>
        <v>Final</v>
      </c>
      <c r="DJ125" s="240"/>
      <c r="DK125" s="240"/>
      <c r="DL125" s="241"/>
      <c r="DM125" s="270"/>
      <c r="DN125" s="271"/>
      <c r="DO125" s="242"/>
      <c r="DP125" s="242"/>
      <c r="DQ125" s="254"/>
      <c r="DR125" s="241"/>
      <c r="DS125" s="241"/>
      <c r="DT125" s="255"/>
      <c r="DV125" s="238" t="str">
        <f>$B125</f>
        <v>Final</v>
      </c>
      <c r="DW125" s="240"/>
      <c r="DX125" s="240"/>
      <c r="DY125" s="241"/>
      <c r="DZ125" s="270"/>
      <c r="EA125" s="271"/>
      <c r="EB125" s="242"/>
      <c r="EC125" s="242"/>
      <c r="ED125" s="254"/>
      <c r="EE125" s="241"/>
      <c r="EF125" s="241"/>
      <c r="EG125" s="255"/>
      <c r="EI125" s="238" t="str">
        <f>$B125</f>
        <v>Final</v>
      </c>
      <c r="EJ125" s="240"/>
      <c r="EK125" s="240"/>
      <c r="EL125" s="241"/>
      <c r="EM125" s="270"/>
      <c r="EN125" s="271"/>
      <c r="EO125" s="242"/>
      <c r="EP125" s="242"/>
      <c r="EQ125" s="254"/>
      <c r="ER125" s="241"/>
      <c r="ES125" s="241"/>
      <c r="ET125" s="255"/>
      <c r="EV125" s="238" t="str">
        <f>$B125</f>
        <v>Final</v>
      </c>
      <c r="EW125" s="240"/>
      <c r="EX125" s="240"/>
      <c r="EY125" s="241"/>
      <c r="EZ125" s="270"/>
      <c r="FA125" s="271"/>
      <c r="FB125" s="242"/>
      <c r="FC125" s="242"/>
      <c r="FD125" s="254"/>
      <c r="FE125" s="241"/>
      <c r="FF125" s="241"/>
      <c r="FG125" s="255"/>
      <c r="FI125" s="238" t="str">
        <f>$B125</f>
        <v>Final</v>
      </c>
      <c r="FJ125" s="240"/>
      <c r="FK125" s="240"/>
      <c r="FL125" s="241"/>
      <c r="FM125" s="270"/>
      <c r="FN125" s="271"/>
      <c r="FO125" s="242"/>
      <c r="FP125" s="242"/>
      <c r="FQ125" s="254"/>
      <c r="FR125" s="241"/>
      <c r="FS125" s="241"/>
      <c r="FT125" s="255"/>
      <c r="FV125" s="238" t="str">
        <f>$B125</f>
        <v>Final</v>
      </c>
      <c r="FW125" s="240"/>
      <c r="FX125" s="240"/>
      <c r="FY125" s="241"/>
      <c r="FZ125" s="270"/>
      <c r="GA125" s="271"/>
      <c r="GB125" s="242"/>
      <c r="GC125" s="242"/>
      <c r="GD125" s="254"/>
      <c r="GE125" s="241"/>
      <c r="GF125" s="241"/>
      <c r="GG125" s="255"/>
      <c r="GI125" s="238" t="str">
        <f>$B125</f>
        <v>Final</v>
      </c>
      <c r="GJ125" s="240"/>
      <c r="GK125" s="240"/>
      <c r="GL125" s="241"/>
      <c r="GM125" s="270"/>
      <c r="GN125" s="271"/>
      <c r="GO125" s="242"/>
      <c r="GP125" s="242"/>
      <c r="GQ125" s="254"/>
      <c r="GR125" s="241"/>
      <c r="GS125" s="241"/>
      <c r="GT125" s="255"/>
      <c r="GV125" s="238" t="str">
        <f>$B125</f>
        <v>Final</v>
      </c>
      <c r="GW125" s="240"/>
      <c r="GX125" s="240"/>
      <c r="GY125" s="241"/>
      <c r="GZ125" s="270"/>
      <c r="HA125" s="271"/>
      <c r="HB125" s="242"/>
      <c r="HC125" s="242"/>
      <c r="HD125" s="254"/>
      <c r="HE125" s="241"/>
      <c r="HF125" s="241"/>
      <c r="HG125" s="255"/>
      <c r="HI125" s="238" t="str">
        <f>$B125</f>
        <v>Final</v>
      </c>
      <c r="HJ125" s="240"/>
      <c r="HK125" s="240"/>
      <c r="HL125" s="241"/>
      <c r="HM125" s="270"/>
      <c r="HN125" s="271"/>
      <c r="HO125" s="242"/>
      <c r="HP125" s="242"/>
      <c r="HQ125" s="254"/>
      <c r="HR125" s="241"/>
      <c r="HS125" s="241"/>
      <c r="HT125" s="255"/>
      <c r="HV125" s="238" t="str">
        <f>$B125</f>
        <v>Final</v>
      </c>
      <c r="HW125" s="240"/>
      <c r="HX125" s="240"/>
      <c r="HY125" s="241"/>
      <c r="HZ125" s="270"/>
      <c r="IA125" s="271"/>
      <c r="IB125" s="242"/>
      <c r="IC125" s="242"/>
      <c r="ID125" s="254"/>
      <c r="IE125" s="241"/>
      <c r="IF125" s="241"/>
      <c r="IG125" s="255"/>
      <c r="II125" s="238" t="str">
        <f>$B125</f>
        <v>Final</v>
      </c>
      <c r="IJ125" s="240"/>
      <c r="IK125" s="240"/>
      <c r="IL125" s="241"/>
      <c r="IM125" s="270"/>
      <c r="IN125" s="271"/>
      <c r="IO125" s="242"/>
      <c r="IP125" s="242"/>
      <c r="IQ125" s="254"/>
      <c r="IR125" s="241"/>
      <c r="IS125" s="241"/>
      <c r="IT125" s="255"/>
      <c r="IV125" s="238" t="str">
        <f>$B125</f>
        <v>Final</v>
      </c>
      <c r="IW125" s="240"/>
      <c r="IX125" s="240"/>
      <c r="IY125" s="241"/>
      <c r="IZ125" s="270"/>
      <c r="JA125" s="271"/>
      <c r="JB125" s="242"/>
      <c r="JC125" s="242"/>
      <c r="JD125" s="254"/>
      <c r="JE125" s="241"/>
      <c r="JF125" s="241"/>
      <c r="JG125" s="255"/>
      <c r="JI125" s="238" t="str">
        <f>$B125</f>
        <v>Final</v>
      </c>
      <c r="JJ125" s="240"/>
      <c r="JK125" s="240"/>
      <c r="JL125" s="241"/>
      <c r="JM125" s="270"/>
      <c r="JN125" s="271"/>
      <c r="JO125" s="242"/>
      <c r="JP125" s="242"/>
      <c r="JQ125" s="254"/>
      <c r="JR125" s="241"/>
      <c r="JS125" s="241"/>
      <c r="JT125" s="255"/>
      <c r="JV125" s="238" t="str">
        <f>$B125</f>
        <v>Final</v>
      </c>
      <c r="JW125" s="240"/>
      <c r="JX125" s="240"/>
      <c r="JY125" s="241"/>
      <c r="JZ125" s="270"/>
      <c r="KA125" s="271"/>
      <c r="KB125" s="242"/>
      <c r="KC125" s="242"/>
      <c r="KD125" s="254"/>
      <c r="KE125" s="241"/>
      <c r="KF125" s="241"/>
      <c r="KG125" s="255"/>
      <c r="KI125" s="238" t="str">
        <f>$B125</f>
        <v>Final</v>
      </c>
      <c r="KJ125" s="240"/>
      <c r="KK125" s="240"/>
      <c r="KL125" s="241"/>
      <c r="KM125" s="270"/>
      <c r="KN125" s="271"/>
      <c r="KO125" s="242"/>
      <c r="KP125" s="242"/>
      <c r="KQ125" s="254"/>
      <c r="KR125" s="241"/>
      <c r="KS125" s="241"/>
      <c r="KT125" s="255"/>
      <c r="KV125" s="238" t="str">
        <f>$B125</f>
        <v>Final</v>
      </c>
      <c r="KW125" s="240"/>
      <c r="KX125" s="240"/>
      <c r="KY125" s="241"/>
      <c r="KZ125" s="270"/>
      <c r="LA125" s="271"/>
      <c r="LB125" s="242"/>
      <c r="LC125" s="242"/>
      <c r="LD125" s="254"/>
      <c r="LE125" s="241"/>
      <c r="LF125" s="241"/>
      <c r="LG125" s="255"/>
      <c r="LI125" s="238" t="str">
        <f>$B125</f>
        <v>Final</v>
      </c>
      <c r="LJ125" s="240"/>
      <c r="LK125" s="240"/>
      <c r="LL125" s="241"/>
      <c r="LM125" s="270"/>
      <c r="LN125" s="271"/>
      <c r="LO125" s="242"/>
      <c r="LP125" s="242"/>
      <c r="LQ125" s="254"/>
      <c r="LR125" s="241"/>
      <c r="LS125" s="241"/>
      <c r="LT125" s="255"/>
      <c r="LV125" s="238" t="str">
        <f>$B125</f>
        <v>Final</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IF(I126="","",VLOOKUP(I126,Language!$D$5:$E$100,2,0))</f>
        <v/>
      </c>
      <c r="K126" s="269"/>
      <c r="L126" s="253" t="str">
        <f>IF(K126="","",VLOOKUP(K126,Language!$D$5:$E$100,2,0))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IF(V126="","",VLOOKUP(V126,Language!$D$5:$E$100,2,0))</f>
        <v/>
      </c>
      <c r="X126" s="269"/>
      <c r="Y126" s="253" t="str">
        <f>IF(X126="","",VLOOKUP(X126,Language!$D$5:$E$100,2,0))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IF(AI126="","",VLOOKUP(AI126,Language!$D$5:$E$100,2,0))</f>
        <v/>
      </c>
      <c r="AK126" s="269"/>
      <c r="AL126" s="253" t="str">
        <f>IF(AK126="","",VLOOKUP(AK126,Language!$D$5:$E$100,2,0))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IF(AV126="","",VLOOKUP(AV126,Language!$D$5:$E$100,2,0))</f>
        <v/>
      </c>
      <c r="AX126" s="269"/>
      <c r="AY126" s="253" t="str">
        <f>IF(AX126="","",VLOOKUP(AX126,Language!$D$5:$E$100,2,0))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IF(BI126="","",VLOOKUP(BI126,Language!$D$5:$E$100,2,0))</f>
        <v/>
      </c>
      <c r="BK126" s="269"/>
      <c r="BL126" s="253" t="str">
        <f>IF(BK126="","",VLOOKUP(BK126,Language!$D$5:$E$100,2,0))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IF(BV126="","",VLOOKUP(BV126,Language!$D$5:$E$100,2,0))</f>
        <v/>
      </c>
      <c r="BX126" s="269"/>
      <c r="BY126" s="253" t="str">
        <f>IF(BX126="","",VLOOKUP(BX126,Language!$D$5:$E$100,2,0))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IF(CI126="","",VLOOKUP(CI126,Language!$D$5:$E$100,2,0))</f>
        <v/>
      </c>
      <c r="CK126" s="269"/>
      <c r="CL126" s="253" t="str">
        <f>IF(CK126="","",VLOOKUP(CK126,Language!$D$5:$E$100,2,0))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IF(CV126="","",VLOOKUP(CV126,Language!$D$5:$E$100,2,0))</f>
        <v/>
      </c>
      <c r="CX126" s="269"/>
      <c r="CY126" s="253" t="str">
        <f>IF(CX126="","",VLOOKUP(CX126,Language!$D$5:$E$100,2,0))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IF(DI126="","",VLOOKUP(DI126,Language!$D$5:$E$100,2,0))</f>
        <v/>
      </c>
      <c r="DK126" s="269"/>
      <c r="DL126" s="253" t="str">
        <f>IF(DK126="","",VLOOKUP(DK126,Language!$D$5:$E$100,2,0))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IF(DV126="","",VLOOKUP(DV126,Language!$D$5:$E$100,2,0))</f>
        <v/>
      </c>
      <c r="DX126" s="269"/>
      <c r="DY126" s="253" t="str">
        <f>IF(DX126="","",VLOOKUP(DX126,Language!$D$5:$E$100,2,0))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IF(EI126="","",VLOOKUP(EI126,Language!$D$5:$E$100,2,0))</f>
        <v/>
      </c>
      <c r="EK126" s="269"/>
      <c r="EL126" s="253" t="str">
        <f>IF(EK126="","",VLOOKUP(EK126,Language!$D$5:$E$100,2,0))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IF(EV126="","",VLOOKUP(EV126,Language!$D$5:$E$100,2,0))</f>
        <v/>
      </c>
      <c r="EX126" s="269"/>
      <c r="EY126" s="253" t="str">
        <f>IF(EX126="","",VLOOKUP(EX126,Language!$D$5:$E$100,2,0))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IF(FI126="","",VLOOKUP(FI126,Language!$D$5:$E$100,2,0))</f>
        <v/>
      </c>
      <c r="FK126" s="269"/>
      <c r="FL126" s="253" t="str">
        <f>IF(FK126="","",VLOOKUP(FK126,Language!$D$5:$E$100,2,0))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IF(FV126="","",VLOOKUP(FV126,Language!$D$5:$E$100,2,0))</f>
        <v/>
      </c>
      <c r="FX126" s="269"/>
      <c r="FY126" s="253" t="str">
        <f>IF(FX126="","",VLOOKUP(FX126,Language!$D$5:$E$100,2,0))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IF(GI126="","",VLOOKUP(GI126,Language!$D$5:$E$100,2,0))</f>
        <v/>
      </c>
      <c r="GK126" s="269"/>
      <c r="GL126" s="253" t="str">
        <f>IF(GK126="","",VLOOKUP(GK126,Language!$D$5:$E$100,2,0))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IF(GV126="","",VLOOKUP(GV126,Language!$D$5:$E$100,2,0))</f>
        <v/>
      </c>
      <c r="GX126" s="269"/>
      <c r="GY126" s="253" t="str">
        <f>IF(GX126="","",VLOOKUP(GX126,Language!$D$5:$E$100,2,0))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IF(HI126="","",VLOOKUP(HI126,Language!$D$5:$E$100,2,0))</f>
        <v/>
      </c>
      <c r="HK126" s="269"/>
      <c r="HL126" s="253" t="str">
        <f>IF(HK126="","",VLOOKUP(HK126,Language!$D$5:$E$100,2,0))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IF(HV126="","",VLOOKUP(HV126,Language!$D$5:$E$100,2,0))</f>
        <v/>
      </c>
      <c r="HX126" s="269"/>
      <c r="HY126" s="253" t="str">
        <f>IF(HX126="","",VLOOKUP(HX126,Language!$D$5:$E$100,2,0))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IF(II126="","",VLOOKUP(II126,Language!$D$5:$E$100,2,0))</f>
        <v/>
      </c>
      <c r="IK126" s="269"/>
      <c r="IL126" s="253" t="str">
        <f>IF(IK126="","",VLOOKUP(IK126,Language!$D$5:$E$100,2,0))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IF(IV126="","",VLOOKUP(IV126,Language!$D$5:$E$100,2,0))</f>
        <v/>
      </c>
      <c r="IX126" s="269"/>
      <c r="IY126" s="253" t="str">
        <f>IF(IX126="","",VLOOKUP(IX126,Language!$D$5:$E$100,2,0))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IF(JI126="","",VLOOKUP(JI126,Language!$D$5:$E$100,2,0))</f>
        <v/>
      </c>
      <c r="JK126" s="269"/>
      <c r="JL126" s="253" t="str">
        <f>IF(JK126="","",VLOOKUP(JK126,Language!$D$5:$E$100,2,0))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IF(JV126="","",VLOOKUP(JV126,Language!$D$5:$E$100,2,0))</f>
        <v/>
      </c>
      <c r="JX126" s="269"/>
      <c r="JY126" s="253" t="str">
        <f>IF(JX126="","",VLOOKUP(JX126,Language!$D$5:$E$100,2,0))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IF(KI126="","",VLOOKUP(KI126,Language!$D$5:$E$100,2,0))</f>
        <v/>
      </c>
      <c r="KK126" s="269"/>
      <c r="KL126" s="253" t="str">
        <f>IF(KK126="","",VLOOKUP(KK126,Language!$D$5:$E$100,2,0))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IF(KV126="","",VLOOKUP(KV126,Language!$D$5:$E$100,2,0))</f>
        <v/>
      </c>
      <c r="KX126" s="269"/>
      <c r="KY126" s="253" t="str">
        <f>IF(KX126="","",VLOOKUP(KX126,Language!$D$5:$E$100,2,0))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IF(LI126="","",VLOOKUP(LI126,Language!$D$5:$E$100,2,0))</f>
        <v/>
      </c>
      <c r="LK126" s="269"/>
      <c r="LL126" s="253" t="str">
        <f>IF(LK126="","",VLOOKUP(LK126,Language!$D$5:$E$100,2,0))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IF(LV126="","",VLOOKUP(LV126,Language!$D$5:$E$100,2,0))</f>
        <v/>
      </c>
      <c r="LX126" s="269"/>
      <c r="LY126" s="253" t="str">
        <f>IF(LX126="","",VLOOKUP(LX126,Language!$D$5:$E$100,2,0))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Language!$E$225</f>
        <v>Final</v>
      </c>
      <c r="P127" s="349" t="str">
        <f>Language!$E$216</f>
        <v>W/D/L</v>
      </c>
      <c r="Q127" s="349" t="str">
        <f>Language!$E$217</f>
        <v>GD</v>
      </c>
      <c r="R127" s="349" t="str">
        <f>Language!$E$218</f>
        <v>exact</v>
      </c>
      <c r="S127" s="349" t="str">
        <f>Language!$E$230</f>
        <v>many g.</v>
      </c>
      <c r="T127" s="350" t="str">
        <f>Language!$E$219</f>
        <v>teams</v>
      </c>
      <c r="Y127" s="347"/>
      <c r="Z127" s="348"/>
      <c r="AA127" s="348"/>
      <c r="AB127" s="349" t="str">
        <f>Language!$E$225</f>
        <v>Final</v>
      </c>
      <c r="AC127" s="349" t="str">
        <f>Language!$E$216</f>
        <v>W/D/L</v>
      </c>
      <c r="AD127" s="349" t="str">
        <f>Language!$E$217</f>
        <v>GD</v>
      </c>
      <c r="AE127" s="349" t="str">
        <f>Language!$E$218</f>
        <v>exact</v>
      </c>
      <c r="AF127" s="349" t="str">
        <f>Language!$E$230</f>
        <v>many g.</v>
      </c>
      <c r="AG127" s="350" t="str">
        <f>Language!$E$219</f>
        <v>teams</v>
      </c>
      <c r="AL127" s="347"/>
      <c r="AM127" s="348"/>
      <c r="AN127" s="348"/>
      <c r="AO127" s="349" t="str">
        <f>Language!$E$225</f>
        <v>Final</v>
      </c>
      <c r="AP127" s="349" t="str">
        <f>Language!$E$216</f>
        <v>W/D/L</v>
      </c>
      <c r="AQ127" s="349" t="str">
        <f>Language!$E$217</f>
        <v>GD</v>
      </c>
      <c r="AR127" s="349" t="str">
        <f>Language!$E$218</f>
        <v>exact</v>
      </c>
      <c r="AS127" s="349" t="str">
        <f>Language!$E$230</f>
        <v>many g.</v>
      </c>
      <c r="AT127" s="350" t="str">
        <f>Language!$E$219</f>
        <v>teams</v>
      </c>
      <c r="AY127" s="347"/>
      <c r="AZ127" s="348"/>
      <c r="BA127" s="348"/>
      <c r="BB127" s="349" t="str">
        <f>Language!$E$225</f>
        <v>Final</v>
      </c>
      <c r="BC127" s="349" t="str">
        <f>Language!$E$216</f>
        <v>W/D/L</v>
      </c>
      <c r="BD127" s="349" t="str">
        <f>Language!$E$217</f>
        <v>GD</v>
      </c>
      <c r="BE127" s="349" t="str">
        <f>Language!$E$218</f>
        <v>exact</v>
      </c>
      <c r="BF127" s="349" t="str">
        <f>Language!$E$230</f>
        <v>many g.</v>
      </c>
      <c r="BG127" s="350" t="str">
        <f>Language!$E$219</f>
        <v>teams</v>
      </c>
      <c r="BL127" s="347"/>
      <c r="BM127" s="348"/>
      <c r="BN127" s="348"/>
      <c r="BO127" s="349" t="str">
        <f>Language!$E$225</f>
        <v>Final</v>
      </c>
      <c r="BP127" s="349" t="str">
        <f>Language!$E$216</f>
        <v>W/D/L</v>
      </c>
      <c r="BQ127" s="349" t="str">
        <f>Language!$E$217</f>
        <v>GD</v>
      </c>
      <c r="BR127" s="349" t="str">
        <f>Language!$E$218</f>
        <v>exact</v>
      </c>
      <c r="BS127" s="349" t="str">
        <f>Language!$E$230</f>
        <v>many g.</v>
      </c>
      <c r="BT127" s="350" t="str">
        <f>Language!$E$219</f>
        <v>teams</v>
      </c>
      <c r="BY127" s="347"/>
      <c r="BZ127" s="348"/>
      <c r="CA127" s="348"/>
      <c r="CB127" s="349" t="str">
        <f>Language!$E$225</f>
        <v>Final</v>
      </c>
      <c r="CC127" s="349" t="str">
        <f>Language!$E$216</f>
        <v>W/D/L</v>
      </c>
      <c r="CD127" s="349" t="str">
        <f>Language!$E$217</f>
        <v>GD</v>
      </c>
      <c r="CE127" s="349" t="str">
        <f>Language!$E$218</f>
        <v>exact</v>
      </c>
      <c r="CF127" s="349" t="str">
        <f>Language!$E$230</f>
        <v>many g.</v>
      </c>
      <c r="CG127" s="350" t="str">
        <f>Language!$E$219</f>
        <v>teams</v>
      </c>
      <c r="CL127" s="347"/>
      <c r="CM127" s="348"/>
      <c r="CN127" s="348"/>
      <c r="CO127" s="349" t="str">
        <f>Language!$E$225</f>
        <v>Final</v>
      </c>
      <c r="CP127" s="349" t="str">
        <f>Language!$E$216</f>
        <v>W/D/L</v>
      </c>
      <c r="CQ127" s="349" t="str">
        <f>Language!$E$217</f>
        <v>GD</v>
      </c>
      <c r="CR127" s="349" t="str">
        <f>Language!$E$218</f>
        <v>exact</v>
      </c>
      <c r="CS127" s="349" t="str">
        <f>Language!$E$230</f>
        <v>many g.</v>
      </c>
      <c r="CT127" s="350" t="str">
        <f>Language!$E$219</f>
        <v>teams</v>
      </c>
      <c r="CY127" s="347"/>
      <c r="CZ127" s="348"/>
      <c r="DA127" s="348"/>
      <c r="DB127" s="349" t="str">
        <f>Language!$E$225</f>
        <v>Final</v>
      </c>
      <c r="DC127" s="349" t="str">
        <f>Language!$E$216</f>
        <v>W/D/L</v>
      </c>
      <c r="DD127" s="349" t="str">
        <f>Language!$E$217</f>
        <v>GD</v>
      </c>
      <c r="DE127" s="349" t="str">
        <f>Language!$E$218</f>
        <v>exact</v>
      </c>
      <c r="DF127" s="349" t="str">
        <f>Language!$E$230</f>
        <v>many g.</v>
      </c>
      <c r="DG127" s="350" t="str">
        <f>Language!$E$219</f>
        <v>teams</v>
      </c>
      <c r="DL127" s="347"/>
      <c r="DM127" s="348"/>
      <c r="DN127" s="348"/>
      <c r="DO127" s="349" t="str">
        <f>Language!$E$225</f>
        <v>Final</v>
      </c>
      <c r="DP127" s="349" t="str">
        <f>Language!$E$216</f>
        <v>W/D/L</v>
      </c>
      <c r="DQ127" s="349" t="str">
        <f>Language!$E$217</f>
        <v>GD</v>
      </c>
      <c r="DR127" s="349" t="str">
        <f>Language!$E$218</f>
        <v>exact</v>
      </c>
      <c r="DS127" s="349" t="str">
        <f>Language!$E$230</f>
        <v>many g.</v>
      </c>
      <c r="DT127" s="350" t="str">
        <f>Language!$E$219</f>
        <v>teams</v>
      </c>
      <c r="DY127" s="347"/>
      <c r="DZ127" s="348"/>
      <c r="EA127" s="348"/>
      <c r="EB127" s="349" t="str">
        <f>Language!$E$225</f>
        <v>Final</v>
      </c>
      <c r="EC127" s="349" t="str">
        <f>Language!$E$216</f>
        <v>W/D/L</v>
      </c>
      <c r="ED127" s="349" t="str">
        <f>Language!$E$217</f>
        <v>GD</v>
      </c>
      <c r="EE127" s="349" t="str">
        <f>Language!$E$218</f>
        <v>exact</v>
      </c>
      <c r="EF127" s="349" t="str">
        <f>Language!$E$230</f>
        <v>many g.</v>
      </c>
      <c r="EG127" s="350" t="str">
        <f>Language!$E$219</f>
        <v>teams</v>
      </c>
      <c r="EL127" s="347"/>
      <c r="EM127" s="348"/>
      <c r="EN127" s="348"/>
      <c r="EO127" s="349" t="str">
        <f>Language!$E$225</f>
        <v>Final</v>
      </c>
      <c r="EP127" s="349" t="str">
        <f>Language!$E$216</f>
        <v>W/D/L</v>
      </c>
      <c r="EQ127" s="349" t="str">
        <f>Language!$E$217</f>
        <v>GD</v>
      </c>
      <c r="ER127" s="349" t="str">
        <f>Language!$E$218</f>
        <v>exact</v>
      </c>
      <c r="ES127" s="349" t="str">
        <f>Language!$E$230</f>
        <v>many g.</v>
      </c>
      <c r="ET127" s="350" t="str">
        <f>Language!$E$219</f>
        <v>teams</v>
      </c>
      <c r="EY127" s="347"/>
      <c r="EZ127" s="348"/>
      <c r="FA127" s="348"/>
      <c r="FB127" s="349" t="str">
        <f>Language!$E$225</f>
        <v>Final</v>
      </c>
      <c r="FC127" s="349" t="str">
        <f>Language!$E$216</f>
        <v>W/D/L</v>
      </c>
      <c r="FD127" s="349" t="str">
        <f>Language!$E$217</f>
        <v>GD</v>
      </c>
      <c r="FE127" s="349" t="str">
        <f>Language!$E$218</f>
        <v>exact</v>
      </c>
      <c r="FF127" s="349" t="str">
        <f>Language!$E$230</f>
        <v>many g.</v>
      </c>
      <c r="FG127" s="350" t="str">
        <f>Language!$E$219</f>
        <v>teams</v>
      </c>
      <c r="FL127" s="347"/>
      <c r="FM127" s="348"/>
      <c r="FN127" s="348"/>
      <c r="FO127" s="349" t="str">
        <f>Language!$E$225</f>
        <v>Final</v>
      </c>
      <c r="FP127" s="349" t="str">
        <f>Language!$E$216</f>
        <v>W/D/L</v>
      </c>
      <c r="FQ127" s="349" t="str">
        <f>Language!$E$217</f>
        <v>GD</v>
      </c>
      <c r="FR127" s="349" t="str">
        <f>Language!$E$218</f>
        <v>exact</v>
      </c>
      <c r="FS127" s="349" t="str">
        <f>Language!$E$230</f>
        <v>many g.</v>
      </c>
      <c r="FT127" s="350" t="str">
        <f>Language!$E$219</f>
        <v>teams</v>
      </c>
      <c r="FY127" s="347"/>
      <c r="FZ127" s="348"/>
      <c r="GA127" s="348"/>
      <c r="GB127" s="349" t="str">
        <f>Language!$E$225</f>
        <v>Final</v>
      </c>
      <c r="GC127" s="349" t="str">
        <f>Language!$E$216</f>
        <v>W/D/L</v>
      </c>
      <c r="GD127" s="349" t="str">
        <f>Language!$E$217</f>
        <v>GD</v>
      </c>
      <c r="GE127" s="349" t="str">
        <f>Language!$E$218</f>
        <v>exact</v>
      </c>
      <c r="GF127" s="349" t="str">
        <f>Language!$E$230</f>
        <v>many g.</v>
      </c>
      <c r="GG127" s="350" t="str">
        <f>Language!$E$219</f>
        <v>teams</v>
      </c>
      <c r="GL127" s="347"/>
      <c r="GM127" s="348"/>
      <c r="GN127" s="348"/>
      <c r="GO127" s="349" t="str">
        <f>Language!$E$225</f>
        <v>Final</v>
      </c>
      <c r="GP127" s="349" t="str">
        <f>Language!$E$216</f>
        <v>W/D/L</v>
      </c>
      <c r="GQ127" s="349" t="str">
        <f>Language!$E$217</f>
        <v>GD</v>
      </c>
      <c r="GR127" s="349" t="str">
        <f>Language!$E$218</f>
        <v>exact</v>
      </c>
      <c r="GS127" s="349" t="str">
        <f>Language!$E$230</f>
        <v>many g.</v>
      </c>
      <c r="GT127" s="350" t="str">
        <f>Language!$E$219</f>
        <v>teams</v>
      </c>
      <c r="GY127" s="347"/>
      <c r="GZ127" s="348"/>
      <c r="HA127" s="348"/>
      <c r="HB127" s="349" t="str">
        <f>Language!$E$225</f>
        <v>Final</v>
      </c>
      <c r="HC127" s="349" t="str">
        <f>Language!$E$216</f>
        <v>W/D/L</v>
      </c>
      <c r="HD127" s="349" t="str">
        <f>Language!$E$217</f>
        <v>GD</v>
      </c>
      <c r="HE127" s="349" t="str">
        <f>Language!$E$218</f>
        <v>exact</v>
      </c>
      <c r="HF127" s="349" t="str">
        <f>Language!$E$230</f>
        <v>many g.</v>
      </c>
      <c r="HG127" s="350" t="str">
        <f>Language!$E$219</f>
        <v>teams</v>
      </c>
      <c r="HL127" s="347"/>
      <c r="HM127" s="348"/>
      <c r="HN127" s="348"/>
      <c r="HO127" s="349" t="str">
        <f>Language!$E$225</f>
        <v>Final</v>
      </c>
      <c r="HP127" s="349" t="str">
        <f>Language!$E$216</f>
        <v>W/D/L</v>
      </c>
      <c r="HQ127" s="349" t="str">
        <f>Language!$E$217</f>
        <v>GD</v>
      </c>
      <c r="HR127" s="349" t="str">
        <f>Language!$E$218</f>
        <v>exact</v>
      </c>
      <c r="HS127" s="349" t="str">
        <f>Language!$E$230</f>
        <v>many g.</v>
      </c>
      <c r="HT127" s="350" t="str">
        <f>Language!$E$219</f>
        <v>teams</v>
      </c>
      <c r="HY127" s="347"/>
      <c r="HZ127" s="348"/>
      <c r="IA127" s="348"/>
      <c r="IB127" s="349" t="str">
        <f>Language!$E$225</f>
        <v>Final</v>
      </c>
      <c r="IC127" s="349" t="str">
        <f>Language!$E$216</f>
        <v>W/D/L</v>
      </c>
      <c r="ID127" s="349" t="str">
        <f>Language!$E$217</f>
        <v>GD</v>
      </c>
      <c r="IE127" s="349" t="str">
        <f>Language!$E$218</f>
        <v>exact</v>
      </c>
      <c r="IF127" s="349" t="str">
        <f>Language!$E$230</f>
        <v>many g.</v>
      </c>
      <c r="IG127" s="350" t="str">
        <f>Language!$E$219</f>
        <v>teams</v>
      </c>
      <c r="IL127" s="347"/>
      <c r="IM127" s="348"/>
      <c r="IN127" s="348"/>
      <c r="IO127" s="349" t="str">
        <f>Language!$E$225</f>
        <v>Final</v>
      </c>
      <c r="IP127" s="349" t="str">
        <f>Language!$E$216</f>
        <v>W/D/L</v>
      </c>
      <c r="IQ127" s="349" t="str">
        <f>Language!$E$217</f>
        <v>GD</v>
      </c>
      <c r="IR127" s="349" t="str">
        <f>Language!$E$218</f>
        <v>exact</v>
      </c>
      <c r="IS127" s="349" t="str">
        <f>Language!$E$230</f>
        <v>many g.</v>
      </c>
      <c r="IT127" s="350" t="str">
        <f>Language!$E$219</f>
        <v>teams</v>
      </c>
      <c r="IY127" s="347"/>
      <c r="IZ127" s="348"/>
      <c r="JA127" s="348"/>
      <c r="JB127" s="349" t="str">
        <f>Language!$E$225</f>
        <v>Final</v>
      </c>
      <c r="JC127" s="349" t="str">
        <f>Language!$E$216</f>
        <v>W/D/L</v>
      </c>
      <c r="JD127" s="349" t="str">
        <f>Language!$E$217</f>
        <v>GD</v>
      </c>
      <c r="JE127" s="349" t="str">
        <f>Language!$E$218</f>
        <v>exact</v>
      </c>
      <c r="JF127" s="349" t="str">
        <f>Language!$E$230</f>
        <v>many g.</v>
      </c>
      <c r="JG127" s="350" t="str">
        <f>Language!$E$219</f>
        <v>teams</v>
      </c>
      <c r="JL127" s="347"/>
      <c r="JM127" s="348"/>
      <c r="JN127" s="348"/>
      <c r="JO127" s="349" t="str">
        <f>Language!$E$225</f>
        <v>Final</v>
      </c>
      <c r="JP127" s="349" t="str">
        <f>Language!$E$216</f>
        <v>W/D/L</v>
      </c>
      <c r="JQ127" s="349" t="str">
        <f>Language!$E$217</f>
        <v>GD</v>
      </c>
      <c r="JR127" s="349" t="str">
        <f>Language!$E$218</f>
        <v>exact</v>
      </c>
      <c r="JS127" s="349" t="str">
        <f>Language!$E$230</f>
        <v>many g.</v>
      </c>
      <c r="JT127" s="350" t="str">
        <f>Language!$E$219</f>
        <v>teams</v>
      </c>
      <c r="JY127" s="347"/>
      <c r="JZ127" s="348"/>
      <c r="KA127" s="348"/>
      <c r="KB127" s="349" t="str">
        <f>Language!$E$225</f>
        <v>Final</v>
      </c>
      <c r="KC127" s="349" t="str">
        <f>Language!$E$216</f>
        <v>W/D/L</v>
      </c>
      <c r="KD127" s="349" t="str">
        <f>Language!$E$217</f>
        <v>GD</v>
      </c>
      <c r="KE127" s="349" t="str">
        <f>Language!$E$218</f>
        <v>exact</v>
      </c>
      <c r="KF127" s="349" t="str">
        <f>Language!$E$230</f>
        <v>many g.</v>
      </c>
      <c r="KG127" s="350" t="str">
        <f>Language!$E$219</f>
        <v>teams</v>
      </c>
      <c r="KL127" s="347"/>
      <c r="KM127" s="348"/>
      <c r="KN127" s="348"/>
      <c r="KO127" s="349" t="str">
        <f>Language!$E$225</f>
        <v>Final</v>
      </c>
      <c r="KP127" s="349" t="str">
        <f>Language!$E$216</f>
        <v>W/D/L</v>
      </c>
      <c r="KQ127" s="349" t="str">
        <f>Language!$E$217</f>
        <v>GD</v>
      </c>
      <c r="KR127" s="349" t="str">
        <f>Language!$E$218</f>
        <v>exact</v>
      </c>
      <c r="KS127" s="349" t="str">
        <f>Language!$E$230</f>
        <v>many g.</v>
      </c>
      <c r="KT127" s="350" t="str">
        <f>Language!$E$219</f>
        <v>teams</v>
      </c>
      <c r="KY127" s="347"/>
      <c r="KZ127" s="348"/>
      <c r="LA127" s="348"/>
      <c r="LB127" s="349" t="str">
        <f>Language!$E$225</f>
        <v>Final</v>
      </c>
      <c r="LC127" s="349" t="str">
        <f>Language!$E$216</f>
        <v>W/D/L</v>
      </c>
      <c r="LD127" s="349" t="str">
        <f>Language!$E$217</f>
        <v>GD</v>
      </c>
      <c r="LE127" s="349" t="str">
        <f>Language!$E$218</f>
        <v>exact</v>
      </c>
      <c r="LF127" s="349" t="str">
        <f>Language!$E$230</f>
        <v>many g.</v>
      </c>
      <c r="LG127" s="350" t="str">
        <f>Language!$E$219</f>
        <v>teams</v>
      </c>
      <c r="LL127" s="347"/>
      <c r="LM127" s="348"/>
      <c r="LN127" s="348"/>
      <c r="LO127" s="349" t="str">
        <f>Language!$E$225</f>
        <v>Final</v>
      </c>
      <c r="LP127" s="349" t="str">
        <f>Language!$E$216</f>
        <v>W/D/L</v>
      </c>
      <c r="LQ127" s="349" t="str">
        <f>Language!$E$217</f>
        <v>GD</v>
      </c>
      <c r="LR127" s="349" t="str">
        <f>Language!$E$218</f>
        <v>exact</v>
      </c>
      <c r="LS127" s="349" t="str">
        <f>Language!$E$230</f>
        <v>many g.</v>
      </c>
      <c r="LT127" s="350" t="str">
        <f>Language!$E$219</f>
        <v>teams</v>
      </c>
      <c r="LY127" s="347"/>
      <c r="LZ127" s="348"/>
      <c r="MA127" s="348"/>
      <c r="MB127" s="349" t="str">
        <f>Language!$E$225</f>
        <v>Final</v>
      </c>
      <c r="MC127" s="349" t="str">
        <f>Language!$E$216</f>
        <v>W/D/L</v>
      </c>
      <c r="MD127" s="349" t="str">
        <f>Language!$E$217</f>
        <v>GD</v>
      </c>
      <c r="ME127" s="349" t="str">
        <f>Language!$E$218</f>
        <v>exact</v>
      </c>
      <c r="MF127" s="349" t="str">
        <f>Language!$E$230</f>
        <v>many g.</v>
      </c>
      <c r="MG127" s="350" t="str">
        <f>Language!$E$219</f>
        <v>teams</v>
      </c>
    </row>
    <row r="128" spans="1:345" x14ac:dyDescent="0.25">
      <c r="L128" s="1058" t="str">
        <f>Language!$E$251</f>
        <v>Number:</v>
      </c>
      <c r="M128" s="1059"/>
      <c r="N128" s="1060"/>
      <c r="O128" s="231">
        <f>SUM(O124:O126)</f>
        <v>0</v>
      </c>
      <c r="P128" s="231">
        <f>SUM(P6:P122)</f>
        <v>0</v>
      </c>
      <c r="Q128" s="231">
        <f>SUM(Q6:Q126)</f>
        <v>0</v>
      </c>
      <c r="R128" s="231">
        <f>SUM(R6:R126)</f>
        <v>0</v>
      </c>
      <c r="S128" s="231">
        <f>SUM(S6:S126)</f>
        <v>0</v>
      </c>
      <c r="T128" s="252">
        <f>SUM(T107:T122)+SUM(T126:T126)</f>
        <v>0</v>
      </c>
      <c r="Y128" s="1058" t="str">
        <f>Language!$E$251</f>
        <v>Number:</v>
      </c>
      <c r="Z128" s="1059"/>
      <c r="AA128" s="1060"/>
      <c r="AB128" s="231">
        <f>SUM(AB124:AB126)</f>
        <v>0</v>
      </c>
      <c r="AC128" s="231">
        <f>SUM(AC6:AC122)</f>
        <v>0</v>
      </c>
      <c r="AD128" s="231">
        <f>SUM(AD6:AD126)</f>
        <v>0</v>
      </c>
      <c r="AE128" s="231">
        <f>SUM(AE6:AE126)</f>
        <v>0</v>
      </c>
      <c r="AF128" s="231">
        <f>SUM(AF6:AF126)</f>
        <v>0</v>
      </c>
      <c r="AG128" s="252">
        <f>SUM(AG107:AG122)+SUM(AG126:AG126)</f>
        <v>0</v>
      </c>
      <c r="AL128" s="1058" t="str">
        <f>Language!$E$251</f>
        <v>Number:</v>
      </c>
      <c r="AM128" s="1059"/>
      <c r="AN128" s="1060"/>
      <c r="AO128" s="231">
        <f>SUM(AO124:AO126)</f>
        <v>0</v>
      </c>
      <c r="AP128" s="231">
        <f>SUM(AP6:AP122)</f>
        <v>0</v>
      </c>
      <c r="AQ128" s="231">
        <f>SUM(AQ6:AQ126)</f>
        <v>0</v>
      </c>
      <c r="AR128" s="231">
        <f>SUM(AR6:AR126)</f>
        <v>0</v>
      </c>
      <c r="AS128" s="231">
        <f>SUM(AS6:AS126)</f>
        <v>0</v>
      </c>
      <c r="AT128" s="252">
        <f>SUM(AT107:AT122)+SUM(AT126:AT126)</f>
        <v>0</v>
      </c>
      <c r="AY128" s="1058" t="str">
        <f>Language!$E$251</f>
        <v>Number:</v>
      </c>
      <c r="AZ128" s="1059"/>
      <c r="BA128" s="1060"/>
      <c r="BB128" s="231">
        <f>SUM(BB124:BB126)</f>
        <v>0</v>
      </c>
      <c r="BC128" s="231">
        <f>SUM(BC6:BC122)</f>
        <v>0</v>
      </c>
      <c r="BD128" s="231">
        <f>SUM(BD6:BD126)</f>
        <v>0</v>
      </c>
      <c r="BE128" s="231">
        <f>SUM(BE6:BE126)</f>
        <v>0</v>
      </c>
      <c r="BF128" s="231">
        <f>SUM(BF6:BF126)</f>
        <v>0</v>
      </c>
      <c r="BG128" s="252">
        <f>SUM(BG107:BG122)+SUM(BG126:BG126)</f>
        <v>0</v>
      </c>
      <c r="BL128" s="1058" t="str">
        <f>Language!$E$251</f>
        <v>Number:</v>
      </c>
      <c r="BM128" s="1059"/>
      <c r="BN128" s="1060"/>
      <c r="BO128" s="231">
        <f>SUM(BO124:BO126)</f>
        <v>0</v>
      </c>
      <c r="BP128" s="231">
        <f>SUM(BP6:BP122)</f>
        <v>0</v>
      </c>
      <c r="BQ128" s="231">
        <f>SUM(BQ6:BQ126)</f>
        <v>0</v>
      </c>
      <c r="BR128" s="231">
        <f>SUM(BR6:BR126)</f>
        <v>0</v>
      </c>
      <c r="BS128" s="231">
        <f>SUM(BS6:BS126)</f>
        <v>0</v>
      </c>
      <c r="BT128" s="252">
        <f>SUM(BT107:BT122)+SUM(BT126:BT126)</f>
        <v>0</v>
      </c>
      <c r="BY128" s="1058" t="str">
        <f>Language!$E$251</f>
        <v>Number:</v>
      </c>
      <c r="BZ128" s="1059"/>
      <c r="CA128" s="1060"/>
      <c r="CB128" s="231">
        <f>SUM(CB124:CB126)</f>
        <v>0</v>
      </c>
      <c r="CC128" s="231">
        <f>SUM(CC6:CC122)</f>
        <v>0</v>
      </c>
      <c r="CD128" s="231">
        <f>SUM(CD6:CD126)</f>
        <v>0</v>
      </c>
      <c r="CE128" s="231">
        <f>SUM(CE6:CE126)</f>
        <v>0</v>
      </c>
      <c r="CF128" s="231">
        <f>SUM(CF6:CF126)</f>
        <v>0</v>
      </c>
      <c r="CG128" s="252">
        <f>SUM(CG107:CG122)+SUM(CG126:CG126)</f>
        <v>0</v>
      </c>
      <c r="CL128" s="1058" t="str">
        <f>Language!$E$251</f>
        <v>Number:</v>
      </c>
      <c r="CM128" s="1059"/>
      <c r="CN128" s="1060"/>
      <c r="CO128" s="231">
        <f>SUM(CO124:CO126)</f>
        <v>0</v>
      </c>
      <c r="CP128" s="231">
        <f>SUM(CP6:CP122)</f>
        <v>0</v>
      </c>
      <c r="CQ128" s="231">
        <f>SUM(CQ6:CQ126)</f>
        <v>0</v>
      </c>
      <c r="CR128" s="231">
        <f>SUM(CR6:CR126)</f>
        <v>0</v>
      </c>
      <c r="CS128" s="231">
        <f>SUM(CS6:CS126)</f>
        <v>0</v>
      </c>
      <c r="CT128" s="252">
        <f>SUM(CT107:CT122)+SUM(CT126:CT126)</f>
        <v>0</v>
      </c>
      <c r="CY128" s="1058" t="str">
        <f>Language!$E$251</f>
        <v>Number:</v>
      </c>
      <c r="CZ128" s="1059"/>
      <c r="DA128" s="1060"/>
      <c r="DB128" s="231">
        <f>SUM(DB124:DB126)</f>
        <v>0</v>
      </c>
      <c r="DC128" s="231">
        <f>SUM(DC6:DC122)</f>
        <v>0</v>
      </c>
      <c r="DD128" s="231">
        <f>SUM(DD6:DD126)</f>
        <v>0</v>
      </c>
      <c r="DE128" s="231">
        <f>SUM(DE6:DE126)</f>
        <v>0</v>
      </c>
      <c r="DF128" s="231">
        <f>SUM(DF6:DF126)</f>
        <v>0</v>
      </c>
      <c r="DG128" s="252">
        <f>SUM(DG107:DG122)+SUM(DG126:DG126)</f>
        <v>0</v>
      </c>
      <c r="DL128" s="1058" t="str">
        <f>Language!$E$251</f>
        <v>Number:</v>
      </c>
      <c r="DM128" s="1059"/>
      <c r="DN128" s="1060"/>
      <c r="DO128" s="231">
        <f>SUM(DO124:DO126)</f>
        <v>0</v>
      </c>
      <c r="DP128" s="231">
        <f>SUM(DP6:DP122)</f>
        <v>0</v>
      </c>
      <c r="DQ128" s="231">
        <f>SUM(DQ6:DQ126)</f>
        <v>0</v>
      </c>
      <c r="DR128" s="231">
        <f>SUM(DR6:DR126)</f>
        <v>0</v>
      </c>
      <c r="DS128" s="231">
        <f>SUM(DS6:DS126)</f>
        <v>0</v>
      </c>
      <c r="DT128" s="252">
        <f>SUM(DT107:DT122)+SUM(DT126:DT126)</f>
        <v>0</v>
      </c>
      <c r="DY128" s="1058" t="str">
        <f>Language!$E$251</f>
        <v>Number:</v>
      </c>
      <c r="DZ128" s="1059"/>
      <c r="EA128" s="1060"/>
      <c r="EB128" s="231">
        <f>SUM(EB124:EB126)</f>
        <v>0</v>
      </c>
      <c r="EC128" s="231">
        <f>SUM(EC6:EC122)</f>
        <v>0</v>
      </c>
      <c r="ED128" s="231">
        <f>SUM(ED6:ED126)</f>
        <v>0</v>
      </c>
      <c r="EE128" s="231">
        <f>SUM(EE6:EE126)</f>
        <v>0</v>
      </c>
      <c r="EF128" s="231">
        <f>SUM(EF6:EF126)</f>
        <v>0</v>
      </c>
      <c r="EG128" s="252">
        <f>SUM(EG107:EG122)+SUM(EG126:EG126)</f>
        <v>0</v>
      </c>
      <c r="EL128" s="1058" t="str">
        <f>Language!$E$251</f>
        <v>Number:</v>
      </c>
      <c r="EM128" s="1059"/>
      <c r="EN128" s="1060"/>
      <c r="EO128" s="231">
        <f>SUM(EO124:EO126)</f>
        <v>0</v>
      </c>
      <c r="EP128" s="231">
        <f>SUM(EP6:EP122)</f>
        <v>0</v>
      </c>
      <c r="EQ128" s="231">
        <f>SUM(EQ6:EQ126)</f>
        <v>0</v>
      </c>
      <c r="ER128" s="231">
        <f>SUM(ER6:ER126)</f>
        <v>0</v>
      </c>
      <c r="ES128" s="231">
        <f>SUM(ES6:ES126)</f>
        <v>0</v>
      </c>
      <c r="ET128" s="252">
        <f>SUM(ET107:ET122)+SUM(ET126:ET126)</f>
        <v>0</v>
      </c>
      <c r="EY128" s="1058" t="str">
        <f>Language!$E$251</f>
        <v>Number:</v>
      </c>
      <c r="EZ128" s="1059"/>
      <c r="FA128" s="1060"/>
      <c r="FB128" s="231">
        <f>SUM(FB124:FB126)</f>
        <v>0</v>
      </c>
      <c r="FC128" s="231">
        <f>SUM(FC6:FC122)</f>
        <v>0</v>
      </c>
      <c r="FD128" s="231">
        <f>SUM(FD6:FD126)</f>
        <v>0</v>
      </c>
      <c r="FE128" s="231">
        <f>SUM(FE6:FE126)</f>
        <v>0</v>
      </c>
      <c r="FF128" s="231">
        <f>SUM(FF6:FF126)</f>
        <v>0</v>
      </c>
      <c r="FG128" s="252">
        <f>SUM(FG107:FG122)+SUM(FG126:FG126)</f>
        <v>0</v>
      </c>
      <c r="FL128" s="1058" t="str">
        <f>Language!$E$251</f>
        <v>Number:</v>
      </c>
      <c r="FM128" s="1059"/>
      <c r="FN128" s="1060"/>
      <c r="FO128" s="231">
        <f>SUM(FO124:FO126)</f>
        <v>0</v>
      </c>
      <c r="FP128" s="231">
        <f>SUM(FP6:FP122)</f>
        <v>0</v>
      </c>
      <c r="FQ128" s="231">
        <f>SUM(FQ6:FQ126)</f>
        <v>0</v>
      </c>
      <c r="FR128" s="231">
        <f>SUM(FR6:FR126)</f>
        <v>0</v>
      </c>
      <c r="FS128" s="231">
        <f>SUM(FS6:FS126)</f>
        <v>0</v>
      </c>
      <c r="FT128" s="252">
        <f>SUM(FT107:FT122)+SUM(FT126:FT126)</f>
        <v>0</v>
      </c>
      <c r="FY128" s="1058" t="str">
        <f>Language!$E$251</f>
        <v>Number:</v>
      </c>
      <c r="FZ128" s="1059"/>
      <c r="GA128" s="1060"/>
      <c r="GB128" s="231">
        <f>SUM(GB124:GB126)</f>
        <v>0</v>
      </c>
      <c r="GC128" s="231">
        <f>SUM(GC6:GC122)</f>
        <v>0</v>
      </c>
      <c r="GD128" s="231">
        <f>SUM(GD6:GD126)</f>
        <v>0</v>
      </c>
      <c r="GE128" s="231">
        <f>SUM(GE6:GE126)</f>
        <v>0</v>
      </c>
      <c r="GF128" s="231">
        <f>SUM(GF6:GF126)</f>
        <v>0</v>
      </c>
      <c r="GG128" s="252">
        <f>SUM(GG107:GG122)+SUM(GG126:GG126)</f>
        <v>0</v>
      </c>
      <c r="GL128" s="1058" t="str">
        <f>Language!$E$251</f>
        <v>Number:</v>
      </c>
      <c r="GM128" s="1059"/>
      <c r="GN128" s="1060"/>
      <c r="GO128" s="231">
        <f>SUM(GO124:GO126)</f>
        <v>0</v>
      </c>
      <c r="GP128" s="231">
        <f>SUM(GP6:GP122)</f>
        <v>0</v>
      </c>
      <c r="GQ128" s="231">
        <f>SUM(GQ6:GQ126)</f>
        <v>0</v>
      </c>
      <c r="GR128" s="231">
        <f>SUM(GR6:GR126)</f>
        <v>0</v>
      </c>
      <c r="GS128" s="231">
        <f>SUM(GS6:GS126)</f>
        <v>0</v>
      </c>
      <c r="GT128" s="252">
        <f>SUM(GT107:GT122)+SUM(GT126:GT126)</f>
        <v>0</v>
      </c>
      <c r="GY128" s="1058" t="str">
        <f>Language!$E$251</f>
        <v>Number:</v>
      </c>
      <c r="GZ128" s="1059"/>
      <c r="HA128" s="1060"/>
      <c r="HB128" s="231">
        <f>SUM(HB124:HB126)</f>
        <v>0</v>
      </c>
      <c r="HC128" s="231">
        <f>SUM(HC6:HC122)</f>
        <v>0</v>
      </c>
      <c r="HD128" s="231">
        <f>SUM(HD6:HD126)</f>
        <v>0</v>
      </c>
      <c r="HE128" s="231">
        <f>SUM(HE6:HE126)</f>
        <v>0</v>
      </c>
      <c r="HF128" s="231">
        <f>SUM(HF6:HF126)</f>
        <v>0</v>
      </c>
      <c r="HG128" s="252">
        <f>SUM(HG107:HG122)+SUM(HG126:HG126)</f>
        <v>0</v>
      </c>
      <c r="HL128" s="1058" t="str">
        <f>Language!$E$251</f>
        <v>Number:</v>
      </c>
      <c r="HM128" s="1059"/>
      <c r="HN128" s="1060"/>
      <c r="HO128" s="231">
        <f>SUM(HO124:HO126)</f>
        <v>0</v>
      </c>
      <c r="HP128" s="231">
        <f>SUM(HP6:HP122)</f>
        <v>0</v>
      </c>
      <c r="HQ128" s="231">
        <f>SUM(HQ6:HQ126)</f>
        <v>0</v>
      </c>
      <c r="HR128" s="231">
        <f>SUM(HR6:HR126)</f>
        <v>0</v>
      </c>
      <c r="HS128" s="231">
        <f>SUM(HS6:HS126)</f>
        <v>0</v>
      </c>
      <c r="HT128" s="252">
        <f>SUM(HT107:HT122)+SUM(HT126:HT126)</f>
        <v>0</v>
      </c>
      <c r="HY128" s="1058" t="str">
        <f>Language!$E$251</f>
        <v>Number:</v>
      </c>
      <c r="HZ128" s="1059"/>
      <c r="IA128" s="1060"/>
      <c r="IB128" s="231">
        <f>SUM(IB124:IB126)</f>
        <v>0</v>
      </c>
      <c r="IC128" s="231">
        <f>SUM(IC6:IC122)</f>
        <v>0</v>
      </c>
      <c r="ID128" s="231">
        <f>SUM(ID6:ID126)</f>
        <v>0</v>
      </c>
      <c r="IE128" s="231">
        <f>SUM(IE6:IE126)</f>
        <v>0</v>
      </c>
      <c r="IF128" s="231">
        <f>SUM(IF6:IF126)</f>
        <v>0</v>
      </c>
      <c r="IG128" s="252">
        <f>SUM(IG107:IG122)+SUM(IG126:IG126)</f>
        <v>0</v>
      </c>
      <c r="IL128" s="1058" t="str">
        <f>Language!$E$251</f>
        <v>Number:</v>
      </c>
      <c r="IM128" s="1059"/>
      <c r="IN128" s="1060"/>
      <c r="IO128" s="231">
        <f>SUM(IO124:IO126)</f>
        <v>0</v>
      </c>
      <c r="IP128" s="231">
        <f>SUM(IP6:IP122)</f>
        <v>0</v>
      </c>
      <c r="IQ128" s="231">
        <f>SUM(IQ6:IQ126)</f>
        <v>0</v>
      </c>
      <c r="IR128" s="231">
        <f>SUM(IR6:IR126)</f>
        <v>0</v>
      </c>
      <c r="IS128" s="231">
        <f>SUM(IS6:IS126)</f>
        <v>0</v>
      </c>
      <c r="IT128" s="252">
        <f>SUM(IT107:IT122)+SUM(IT126:IT126)</f>
        <v>0</v>
      </c>
      <c r="IY128" s="1058" t="str">
        <f>Language!$E$251</f>
        <v>Number:</v>
      </c>
      <c r="IZ128" s="1059"/>
      <c r="JA128" s="1060"/>
      <c r="JB128" s="231">
        <f>SUM(JB124:JB126)</f>
        <v>0</v>
      </c>
      <c r="JC128" s="231">
        <f>SUM(JC6:JC122)</f>
        <v>0</v>
      </c>
      <c r="JD128" s="231">
        <f>SUM(JD6:JD126)</f>
        <v>0</v>
      </c>
      <c r="JE128" s="231">
        <f>SUM(JE6:JE126)</f>
        <v>0</v>
      </c>
      <c r="JF128" s="231">
        <f>SUM(JF6:JF126)</f>
        <v>0</v>
      </c>
      <c r="JG128" s="252">
        <f>SUM(JG107:JG122)+SUM(JG126:JG126)</f>
        <v>0</v>
      </c>
      <c r="JL128" s="1058" t="str">
        <f>Language!$E$251</f>
        <v>Number:</v>
      </c>
      <c r="JM128" s="1059"/>
      <c r="JN128" s="1060"/>
      <c r="JO128" s="231">
        <f>SUM(JO124:JO126)</f>
        <v>0</v>
      </c>
      <c r="JP128" s="231">
        <f>SUM(JP6:JP122)</f>
        <v>0</v>
      </c>
      <c r="JQ128" s="231">
        <f>SUM(JQ6:JQ126)</f>
        <v>0</v>
      </c>
      <c r="JR128" s="231">
        <f>SUM(JR6:JR126)</f>
        <v>0</v>
      </c>
      <c r="JS128" s="231">
        <f>SUM(JS6:JS126)</f>
        <v>0</v>
      </c>
      <c r="JT128" s="252">
        <f>SUM(JT107:JT122)+SUM(JT126:JT126)</f>
        <v>0</v>
      </c>
      <c r="JY128" s="1058" t="str">
        <f>Language!$E$251</f>
        <v>Number:</v>
      </c>
      <c r="JZ128" s="1059"/>
      <c r="KA128" s="1060"/>
      <c r="KB128" s="231">
        <f>SUM(KB124:KB126)</f>
        <v>0</v>
      </c>
      <c r="KC128" s="231">
        <f>SUM(KC6:KC122)</f>
        <v>0</v>
      </c>
      <c r="KD128" s="231">
        <f>SUM(KD6:KD126)</f>
        <v>0</v>
      </c>
      <c r="KE128" s="231">
        <f>SUM(KE6:KE126)</f>
        <v>0</v>
      </c>
      <c r="KF128" s="231">
        <f>SUM(KF6:KF126)</f>
        <v>0</v>
      </c>
      <c r="KG128" s="252">
        <f>SUM(KG107:KG122)+SUM(KG126:KG126)</f>
        <v>0</v>
      </c>
      <c r="KL128" s="1058" t="str">
        <f>Language!$E$251</f>
        <v>Number:</v>
      </c>
      <c r="KM128" s="1059"/>
      <c r="KN128" s="1060"/>
      <c r="KO128" s="231">
        <f>SUM(KO124:KO126)</f>
        <v>0</v>
      </c>
      <c r="KP128" s="231">
        <f>SUM(KP6:KP122)</f>
        <v>0</v>
      </c>
      <c r="KQ128" s="231">
        <f>SUM(KQ6:KQ126)</f>
        <v>0</v>
      </c>
      <c r="KR128" s="231">
        <f>SUM(KR6:KR126)</f>
        <v>0</v>
      </c>
      <c r="KS128" s="231">
        <f>SUM(KS6:KS126)</f>
        <v>0</v>
      </c>
      <c r="KT128" s="252">
        <f>SUM(KT107:KT122)+SUM(KT126:KT126)</f>
        <v>0</v>
      </c>
      <c r="KY128" s="1058" t="str">
        <f>Language!$E$251</f>
        <v>Number:</v>
      </c>
      <c r="KZ128" s="1059"/>
      <c r="LA128" s="1060"/>
      <c r="LB128" s="231">
        <f>SUM(LB124:LB126)</f>
        <v>0</v>
      </c>
      <c r="LC128" s="231">
        <f>SUM(LC6:LC122)</f>
        <v>0</v>
      </c>
      <c r="LD128" s="231">
        <f>SUM(LD6:LD126)</f>
        <v>0</v>
      </c>
      <c r="LE128" s="231">
        <f>SUM(LE6:LE126)</f>
        <v>0</v>
      </c>
      <c r="LF128" s="231">
        <f>SUM(LF6:LF126)</f>
        <v>0</v>
      </c>
      <c r="LG128" s="252">
        <f>SUM(LG107:LG122)+SUM(LG126:LG126)</f>
        <v>0</v>
      </c>
      <c r="LL128" s="1058" t="str">
        <f>Language!$E$251</f>
        <v>Number:</v>
      </c>
      <c r="LM128" s="1059"/>
      <c r="LN128" s="1060"/>
      <c r="LO128" s="231">
        <f>SUM(LO124:LO126)</f>
        <v>0</v>
      </c>
      <c r="LP128" s="231">
        <f>SUM(LP6:LP122)</f>
        <v>0</v>
      </c>
      <c r="LQ128" s="231">
        <f>SUM(LQ6:LQ126)</f>
        <v>0</v>
      </c>
      <c r="LR128" s="231">
        <f>SUM(LR6:LR126)</f>
        <v>0</v>
      </c>
      <c r="LS128" s="231">
        <f>SUM(LS6:LS126)</f>
        <v>0</v>
      </c>
      <c r="LT128" s="252">
        <f>SUM(LT107:LT122)+SUM(LT126:LT126)</f>
        <v>0</v>
      </c>
      <c r="LY128" s="1058" t="str">
        <f>Language!$E$251</f>
        <v>Number:</v>
      </c>
      <c r="LZ128" s="1059"/>
      <c r="MA128" s="1060"/>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4" t="str">
        <f>Language!$E$213</f>
        <v>Points:</v>
      </c>
      <c r="M129" s="1065"/>
      <c r="N129" s="1066"/>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70" t="str">
        <f>Language!$E$213</f>
        <v>Points:</v>
      </c>
      <c r="Z129" s="1071"/>
      <c r="AA129" s="1072"/>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70" t="str">
        <f>Language!$E$213</f>
        <v>Points:</v>
      </c>
      <c r="AM129" s="1071"/>
      <c r="AN129" s="1072"/>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70" t="str">
        <f>Language!$E$213</f>
        <v>Points:</v>
      </c>
      <c r="AZ129" s="1071"/>
      <c r="BA129" s="1072"/>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70" t="str">
        <f>Language!$E$213</f>
        <v>Points:</v>
      </c>
      <c r="BM129" s="1071"/>
      <c r="BN129" s="1072"/>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70" t="str">
        <f>Language!$E$213</f>
        <v>Points:</v>
      </c>
      <c r="BZ129" s="1071"/>
      <c r="CA129" s="1072"/>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70" t="str">
        <f>Language!$E$213</f>
        <v>Points:</v>
      </c>
      <c r="CM129" s="1071"/>
      <c r="CN129" s="1072"/>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70" t="str">
        <f>Language!$E$213</f>
        <v>Points:</v>
      </c>
      <c r="CZ129" s="1071"/>
      <c r="DA129" s="1072"/>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70" t="str">
        <f>Language!$E$213</f>
        <v>Points:</v>
      </c>
      <c r="DM129" s="1071"/>
      <c r="DN129" s="1072"/>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70" t="str">
        <f>Language!$E$213</f>
        <v>Points:</v>
      </c>
      <c r="DZ129" s="1071"/>
      <c r="EA129" s="1072"/>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70" t="str">
        <f>Language!$E$213</f>
        <v>Points:</v>
      </c>
      <c r="EM129" s="1071"/>
      <c r="EN129" s="1072"/>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70" t="str">
        <f>Language!$E$213</f>
        <v>Points:</v>
      </c>
      <c r="EZ129" s="1071"/>
      <c r="FA129" s="1072"/>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70" t="str">
        <f>Language!$E$213</f>
        <v>Points:</v>
      </c>
      <c r="FM129" s="1071"/>
      <c r="FN129" s="1072"/>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70" t="str">
        <f>Language!$E$213</f>
        <v>Points:</v>
      </c>
      <c r="FZ129" s="1071"/>
      <c r="GA129" s="1072"/>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70" t="str">
        <f>Language!$E$213</f>
        <v>Points:</v>
      </c>
      <c r="GM129" s="1071"/>
      <c r="GN129" s="1072"/>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70" t="str">
        <f>Language!$E$213</f>
        <v>Points:</v>
      </c>
      <c r="GZ129" s="1071"/>
      <c r="HA129" s="1072"/>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70" t="str">
        <f>Language!$E$213</f>
        <v>Points:</v>
      </c>
      <c r="HM129" s="1071"/>
      <c r="HN129" s="1072"/>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70" t="str">
        <f>Language!$E$213</f>
        <v>Points:</v>
      </c>
      <c r="HZ129" s="1071"/>
      <c r="IA129" s="1072"/>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70" t="str">
        <f>Language!$E$213</f>
        <v>Points:</v>
      </c>
      <c r="IM129" s="1071"/>
      <c r="IN129" s="1072"/>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70" t="str">
        <f>Language!$E$213</f>
        <v>Points:</v>
      </c>
      <c r="IZ129" s="1071"/>
      <c r="JA129" s="1072"/>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70" t="str">
        <f>Language!$E$213</f>
        <v>Points:</v>
      </c>
      <c r="JM129" s="1071"/>
      <c r="JN129" s="1072"/>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70" t="str">
        <f>Language!$E$213</f>
        <v>Points:</v>
      </c>
      <c r="JZ129" s="1071"/>
      <c r="KA129" s="1072"/>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70" t="str">
        <f>Language!$E$213</f>
        <v>Points:</v>
      </c>
      <c r="KM129" s="1071"/>
      <c r="KN129" s="1072"/>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70" t="str">
        <f>Language!$E$213</f>
        <v>Points:</v>
      </c>
      <c r="KZ129" s="1071"/>
      <c r="LA129" s="1072"/>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70" t="str">
        <f>Language!$E$213</f>
        <v>Points:</v>
      </c>
      <c r="LM129" s="1071"/>
      <c r="LN129" s="1072"/>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70" t="str">
        <f>Language!$E$213</f>
        <v>Points:</v>
      </c>
      <c r="LZ129" s="1071"/>
      <c r="MA129" s="1072"/>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55" t="str">
        <f>Language!$E$214</f>
        <v>Sum:</v>
      </c>
      <c r="M130" s="1056"/>
      <c r="N130" s="1057"/>
      <c r="O130" s="1049">
        <f>SUM(O129:T129)</f>
        <v>0</v>
      </c>
      <c r="P130" s="1050"/>
      <c r="Q130" s="1050"/>
      <c r="R130" s="1050"/>
      <c r="S130" s="1050"/>
      <c r="T130" s="1051"/>
      <c r="Y130" s="1055" t="str">
        <f>Language!$E$214</f>
        <v>Sum:</v>
      </c>
      <c r="Z130" s="1056"/>
      <c r="AA130" s="1057"/>
      <c r="AB130" s="1049">
        <f>SUM(AB129:AG129)</f>
        <v>0</v>
      </c>
      <c r="AC130" s="1050"/>
      <c r="AD130" s="1050"/>
      <c r="AE130" s="1050"/>
      <c r="AF130" s="1050"/>
      <c r="AG130" s="1051"/>
      <c r="AL130" s="1055" t="str">
        <f>Language!$E$214</f>
        <v>Sum:</v>
      </c>
      <c r="AM130" s="1056"/>
      <c r="AN130" s="1057"/>
      <c r="AO130" s="1049">
        <f>SUM(AO129:AT129)</f>
        <v>0</v>
      </c>
      <c r="AP130" s="1050"/>
      <c r="AQ130" s="1050"/>
      <c r="AR130" s="1050"/>
      <c r="AS130" s="1050"/>
      <c r="AT130" s="1051"/>
      <c r="AY130" s="1055" t="str">
        <f>Language!$E$214</f>
        <v>Sum:</v>
      </c>
      <c r="AZ130" s="1056"/>
      <c r="BA130" s="1057"/>
      <c r="BB130" s="1049">
        <f>SUM(BB129:BG129)</f>
        <v>0</v>
      </c>
      <c r="BC130" s="1050"/>
      <c r="BD130" s="1050"/>
      <c r="BE130" s="1050"/>
      <c r="BF130" s="1050"/>
      <c r="BG130" s="1051"/>
      <c r="BL130" s="1055" t="str">
        <f>Language!$E$214</f>
        <v>Sum:</v>
      </c>
      <c r="BM130" s="1056"/>
      <c r="BN130" s="1057"/>
      <c r="BO130" s="1049">
        <f>SUM(BO129:BT129)</f>
        <v>0</v>
      </c>
      <c r="BP130" s="1050"/>
      <c r="BQ130" s="1050"/>
      <c r="BR130" s="1050"/>
      <c r="BS130" s="1050"/>
      <c r="BT130" s="1051"/>
      <c r="BY130" s="1055" t="str">
        <f>Language!$E$214</f>
        <v>Sum:</v>
      </c>
      <c r="BZ130" s="1056"/>
      <c r="CA130" s="1057"/>
      <c r="CB130" s="1049">
        <f>SUM(CB129:CG129)</f>
        <v>0</v>
      </c>
      <c r="CC130" s="1050"/>
      <c r="CD130" s="1050"/>
      <c r="CE130" s="1050"/>
      <c r="CF130" s="1050"/>
      <c r="CG130" s="1051"/>
      <c r="CL130" s="1055" t="str">
        <f>Language!$E$214</f>
        <v>Sum:</v>
      </c>
      <c r="CM130" s="1056"/>
      <c r="CN130" s="1057"/>
      <c r="CO130" s="1049">
        <f>SUM(CO129:CT129)</f>
        <v>0</v>
      </c>
      <c r="CP130" s="1050"/>
      <c r="CQ130" s="1050"/>
      <c r="CR130" s="1050"/>
      <c r="CS130" s="1050"/>
      <c r="CT130" s="1051"/>
      <c r="CY130" s="1055" t="str">
        <f>Language!$E$214</f>
        <v>Sum:</v>
      </c>
      <c r="CZ130" s="1056"/>
      <c r="DA130" s="1057"/>
      <c r="DB130" s="1049">
        <f>SUM(DB129:DG129)</f>
        <v>0</v>
      </c>
      <c r="DC130" s="1050"/>
      <c r="DD130" s="1050"/>
      <c r="DE130" s="1050"/>
      <c r="DF130" s="1050"/>
      <c r="DG130" s="1051"/>
      <c r="DL130" s="1055" t="str">
        <f>Language!$E$214</f>
        <v>Sum:</v>
      </c>
      <c r="DM130" s="1056"/>
      <c r="DN130" s="1057"/>
      <c r="DO130" s="1049">
        <f>SUM(DO129:DT129)</f>
        <v>0</v>
      </c>
      <c r="DP130" s="1050"/>
      <c r="DQ130" s="1050"/>
      <c r="DR130" s="1050"/>
      <c r="DS130" s="1050"/>
      <c r="DT130" s="1051"/>
      <c r="DY130" s="1055" t="str">
        <f>Language!$E$214</f>
        <v>Sum:</v>
      </c>
      <c r="DZ130" s="1056"/>
      <c r="EA130" s="1057"/>
      <c r="EB130" s="1049">
        <f>SUM(EB129:EG129)</f>
        <v>0</v>
      </c>
      <c r="EC130" s="1050"/>
      <c r="ED130" s="1050"/>
      <c r="EE130" s="1050"/>
      <c r="EF130" s="1050"/>
      <c r="EG130" s="1051"/>
      <c r="EL130" s="1055" t="str">
        <f>Language!$E$214</f>
        <v>Sum:</v>
      </c>
      <c r="EM130" s="1056"/>
      <c r="EN130" s="1057"/>
      <c r="EO130" s="1049">
        <f>SUM(EO129:ET129)</f>
        <v>0</v>
      </c>
      <c r="EP130" s="1050"/>
      <c r="EQ130" s="1050"/>
      <c r="ER130" s="1050"/>
      <c r="ES130" s="1050"/>
      <c r="ET130" s="1051"/>
      <c r="EY130" s="1055" t="str">
        <f>Language!$E$214</f>
        <v>Sum:</v>
      </c>
      <c r="EZ130" s="1056"/>
      <c r="FA130" s="1057"/>
      <c r="FB130" s="1049">
        <f>SUM(FB129:FG129)</f>
        <v>0</v>
      </c>
      <c r="FC130" s="1050"/>
      <c r="FD130" s="1050"/>
      <c r="FE130" s="1050"/>
      <c r="FF130" s="1050"/>
      <c r="FG130" s="1051"/>
      <c r="FL130" s="1055" t="str">
        <f>Language!$E$214</f>
        <v>Sum:</v>
      </c>
      <c r="FM130" s="1056"/>
      <c r="FN130" s="1057"/>
      <c r="FO130" s="1049">
        <f>SUM(FO129:FT129)</f>
        <v>0</v>
      </c>
      <c r="FP130" s="1050"/>
      <c r="FQ130" s="1050"/>
      <c r="FR130" s="1050"/>
      <c r="FS130" s="1050"/>
      <c r="FT130" s="1051"/>
      <c r="FY130" s="1055" t="str">
        <f>Language!$E$214</f>
        <v>Sum:</v>
      </c>
      <c r="FZ130" s="1056"/>
      <c r="GA130" s="1057"/>
      <c r="GB130" s="1049">
        <f>SUM(GB129:GG129)</f>
        <v>0</v>
      </c>
      <c r="GC130" s="1050"/>
      <c r="GD130" s="1050"/>
      <c r="GE130" s="1050"/>
      <c r="GF130" s="1050"/>
      <c r="GG130" s="1051"/>
      <c r="GL130" s="1055" t="str">
        <f>Language!$E$214</f>
        <v>Sum:</v>
      </c>
      <c r="GM130" s="1056"/>
      <c r="GN130" s="1057"/>
      <c r="GO130" s="1049">
        <f>SUM(GO129:GT129)</f>
        <v>0</v>
      </c>
      <c r="GP130" s="1050"/>
      <c r="GQ130" s="1050"/>
      <c r="GR130" s="1050"/>
      <c r="GS130" s="1050"/>
      <c r="GT130" s="1051"/>
      <c r="GY130" s="1055" t="str">
        <f>Language!$E$214</f>
        <v>Sum:</v>
      </c>
      <c r="GZ130" s="1056"/>
      <c r="HA130" s="1057"/>
      <c r="HB130" s="1049">
        <f>SUM(HB129:HG129)</f>
        <v>0</v>
      </c>
      <c r="HC130" s="1050"/>
      <c r="HD130" s="1050"/>
      <c r="HE130" s="1050"/>
      <c r="HF130" s="1050"/>
      <c r="HG130" s="1051"/>
      <c r="HL130" s="1055" t="str">
        <f>Language!$E$214</f>
        <v>Sum:</v>
      </c>
      <c r="HM130" s="1056"/>
      <c r="HN130" s="1057"/>
      <c r="HO130" s="1049">
        <f>SUM(HO129:HT129)</f>
        <v>0</v>
      </c>
      <c r="HP130" s="1050"/>
      <c r="HQ130" s="1050"/>
      <c r="HR130" s="1050"/>
      <c r="HS130" s="1050"/>
      <c r="HT130" s="1051"/>
      <c r="HY130" s="1055" t="str">
        <f>Language!$E$214</f>
        <v>Sum:</v>
      </c>
      <c r="HZ130" s="1056"/>
      <c r="IA130" s="1057"/>
      <c r="IB130" s="1049">
        <f>SUM(IB129:IG129)</f>
        <v>0</v>
      </c>
      <c r="IC130" s="1050"/>
      <c r="ID130" s="1050"/>
      <c r="IE130" s="1050"/>
      <c r="IF130" s="1050"/>
      <c r="IG130" s="1051"/>
      <c r="IL130" s="1055" t="str">
        <f>Language!$E$214</f>
        <v>Sum:</v>
      </c>
      <c r="IM130" s="1056"/>
      <c r="IN130" s="1057"/>
      <c r="IO130" s="1049">
        <f>SUM(IO129:IT129)</f>
        <v>0</v>
      </c>
      <c r="IP130" s="1050"/>
      <c r="IQ130" s="1050"/>
      <c r="IR130" s="1050"/>
      <c r="IS130" s="1050"/>
      <c r="IT130" s="1051"/>
      <c r="IY130" s="1055" t="str">
        <f>Language!$E$214</f>
        <v>Sum:</v>
      </c>
      <c r="IZ130" s="1056"/>
      <c r="JA130" s="1057"/>
      <c r="JB130" s="1049">
        <f>SUM(JB129:JG129)</f>
        <v>0</v>
      </c>
      <c r="JC130" s="1050"/>
      <c r="JD130" s="1050"/>
      <c r="JE130" s="1050"/>
      <c r="JF130" s="1050"/>
      <c r="JG130" s="1051"/>
      <c r="JL130" s="1055" t="str">
        <f>Language!$E$214</f>
        <v>Sum:</v>
      </c>
      <c r="JM130" s="1056"/>
      <c r="JN130" s="1057"/>
      <c r="JO130" s="1049">
        <f>SUM(JO129:JT129)</f>
        <v>0</v>
      </c>
      <c r="JP130" s="1050"/>
      <c r="JQ130" s="1050"/>
      <c r="JR130" s="1050"/>
      <c r="JS130" s="1050"/>
      <c r="JT130" s="1051"/>
      <c r="JY130" s="1055" t="str">
        <f>Language!$E$214</f>
        <v>Sum:</v>
      </c>
      <c r="JZ130" s="1056"/>
      <c r="KA130" s="1057"/>
      <c r="KB130" s="1049">
        <f>SUM(KB129:KG129)</f>
        <v>0</v>
      </c>
      <c r="KC130" s="1050"/>
      <c r="KD130" s="1050"/>
      <c r="KE130" s="1050"/>
      <c r="KF130" s="1050"/>
      <c r="KG130" s="1051"/>
      <c r="KL130" s="1055" t="str">
        <f>Language!$E$214</f>
        <v>Sum:</v>
      </c>
      <c r="KM130" s="1056"/>
      <c r="KN130" s="1057"/>
      <c r="KO130" s="1049">
        <f>SUM(KO129:KT129)</f>
        <v>0</v>
      </c>
      <c r="KP130" s="1050"/>
      <c r="KQ130" s="1050"/>
      <c r="KR130" s="1050"/>
      <c r="KS130" s="1050"/>
      <c r="KT130" s="1051"/>
      <c r="KY130" s="1055" t="str">
        <f>Language!$E$214</f>
        <v>Sum:</v>
      </c>
      <c r="KZ130" s="1056"/>
      <c r="LA130" s="1057"/>
      <c r="LB130" s="1049">
        <f>SUM(LB129:LG129)</f>
        <v>0</v>
      </c>
      <c r="LC130" s="1050"/>
      <c r="LD130" s="1050"/>
      <c r="LE130" s="1050"/>
      <c r="LF130" s="1050"/>
      <c r="LG130" s="1051"/>
      <c r="LL130" s="1055" t="str">
        <f>Language!$E$214</f>
        <v>Sum:</v>
      </c>
      <c r="LM130" s="1056"/>
      <c r="LN130" s="1057"/>
      <c r="LO130" s="1049">
        <f>SUM(LO129:LT129)</f>
        <v>0</v>
      </c>
      <c r="LP130" s="1050"/>
      <c r="LQ130" s="1050"/>
      <c r="LR130" s="1050"/>
      <c r="LS130" s="1050"/>
      <c r="LT130" s="1051"/>
      <c r="LY130" s="1055" t="str">
        <f>Language!$E$214</f>
        <v>Sum:</v>
      </c>
      <c r="LZ130" s="1056"/>
      <c r="MA130" s="1057"/>
      <c r="MB130" s="1049">
        <f>SUM(MB129:MG129)</f>
        <v>0</v>
      </c>
      <c r="MC130" s="1050"/>
      <c r="MD130" s="1050"/>
      <c r="ME130" s="1050"/>
      <c r="MF130" s="1050"/>
      <c r="MG130" s="1051"/>
    </row>
    <row r="131" spans="1:345" ht="30.75" customHeight="1" thickTop="1" x14ac:dyDescent="0.25"/>
    <row r="132" spans="1:345" ht="16.5" thickBot="1" x14ac:dyDescent="0.3">
      <c r="B132" s="1044" t="str">
        <f>Language!$E$227</f>
        <v>Hint</v>
      </c>
      <c r="C132" s="1044"/>
      <c r="D132" s="1044"/>
      <c r="E132" s="1044"/>
      <c r="F132" s="1044"/>
      <c r="G132" s="1044"/>
      <c r="H132" s="1044"/>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28" t="str">
        <f>Language!$E$236</f>
        <v>For example, to add ten more people, select columns HI through MG and copy them to the right. Finished.
(Remove sheet protection!)</v>
      </c>
      <c r="C133" s="1029"/>
      <c r="D133" s="1029"/>
      <c r="E133" s="1029"/>
      <c r="F133" s="1029"/>
      <c r="G133" s="1029"/>
      <c r="H133" s="1030"/>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31"/>
      <c r="C134" s="1032"/>
      <c r="D134" s="1032"/>
      <c r="E134" s="1032"/>
      <c r="F134" s="1032"/>
      <c r="G134" s="1032"/>
      <c r="H134" s="1033"/>
      <c r="I134" s="332"/>
      <c r="J134" s="228"/>
      <c r="K134" s="228"/>
      <c r="L134" s="389"/>
      <c r="M134" s="387"/>
      <c r="N134" s="387"/>
      <c r="O134" s="387">
        <f t="shared" si="1716"/>
        <v>1</v>
      </c>
      <c r="P134" s="387">
        <f t="shared" si="1717"/>
        <v>0</v>
      </c>
      <c r="Q134" s="387">
        <f t="shared" si="1718"/>
        <v>0</v>
      </c>
      <c r="R134" s="387">
        <f t="shared" si="1719"/>
        <v>0</v>
      </c>
      <c r="S134" s="387">
        <f t="shared" si="1720"/>
        <v>0</v>
      </c>
      <c r="T134" s="388"/>
      <c r="V134" s="228"/>
      <c r="W134" s="228"/>
      <c r="X134" s="228"/>
      <c r="Y134" s="389"/>
      <c r="Z134" s="387"/>
      <c r="AA134" s="387"/>
      <c r="AB134" s="387">
        <f t="shared" si="1721"/>
        <v>1</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1</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1</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1</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1</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1</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1</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1</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1</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1</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1</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1</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1</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1</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1</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1</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1</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1</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1</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1</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1</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1</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1</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1</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1</v>
      </c>
      <c r="MC134" s="387">
        <f t="shared" si="1842"/>
        <v>0</v>
      </c>
      <c r="MD134" s="387">
        <f t="shared" si="1843"/>
        <v>0</v>
      </c>
      <c r="ME134" s="387">
        <f t="shared" si="1844"/>
        <v>0</v>
      </c>
      <c r="MF134" s="387">
        <f t="shared" si="1845"/>
        <v>0</v>
      </c>
      <c r="MG134" s="388"/>
    </row>
    <row r="135" spans="1:345" x14ac:dyDescent="0.25">
      <c r="B135" s="1031"/>
      <c r="C135" s="1032"/>
      <c r="D135" s="1032"/>
      <c r="E135" s="1032"/>
      <c r="F135" s="1032"/>
      <c r="G135" s="1032"/>
      <c r="H135" s="1033"/>
      <c r="I135" s="332"/>
      <c r="J135" s="228"/>
      <c r="K135" s="228"/>
      <c r="L135" s="389"/>
      <c r="M135" s="387"/>
      <c r="N135" s="387"/>
      <c r="O135" s="387">
        <f t="shared" si="1716"/>
        <v>1</v>
      </c>
      <c r="P135" s="387">
        <f t="shared" si="1717"/>
        <v>0</v>
      </c>
      <c r="Q135" s="387">
        <f t="shared" si="1718"/>
        <v>0</v>
      </c>
      <c r="R135" s="387">
        <f t="shared" si="1719"/>
        <v>0</v>
      </c>
      <c r="S135" s="387">
        <f t="shared" si="1720"/>
        <v>0</v>
      </c>
      <c r="T135" s="388"/>
      <c r="V135" s="228"/>
      <c r="W135" s="228"/>
      <c r="X135" s="228"/>
      <c r="Y135" s="389"/>
      <c r="Z135" s="387"/>
      <c r="AA135" s="387"/>
      <c r="AB135" s="387">
        <f t="shared" si="1721"/>
        <v>1</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1</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1</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1</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1</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1</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1</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1</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1</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1</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1</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1</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1</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1</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1</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1</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1</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1</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1</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1</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1</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1</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1</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1</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1</v>
      </c>
      <c r="MC135" s="387">
        <f t="shared" si="1842"/>
        <v>0</v>
      </c>
      <c r="MD135" s="387">
        <f t="shared" si="1843"/>
        <v>0</v>
      </c>
      <c r="ME135" s="387">
        <f t="shared" si="1844"/>
        <v>0</v>
      </c>
      <c r="MF135" s="387">
        <f t="shared" si="1845"/>
        <v>0</v>
      </c>
      <c r="MG135" s="388"/>
    </row>
    <row r="136" spans="1:345" ht="15.75" customHeight="1" x14ac:dyDescent="0.25">
      <c r="B136" s="1031" t="str">
        <f>Language!$E$250</f>
        <v>In the round of 16, quarter-finals and semi-finals, the result is predicted without a penalty shoot-out. A tie can also be entered. In the final and third-place match, the total score (including penalty shoot-outs) must be entered.</v>
      </c>
      <c r="C136" s="1032"/>
      <c r="D136" s="1032"/>
      <c r="E136" s="1032"/>
      <c r="F136" s="1032"/>
      <c r="G136" s="1032"/>
      <c r="H136" s="1033"/>
      <c r="I136" s="332"/>
      <c r="J136" s="228"/>
      <c r="K136" s="228"/>
      <c r="L136" s="389"/>
      <c r="M136" s="387"/>
      <c r="N136" s="387"/>
      <c r="O136" s="387">
        <f t="shared" si="1716"/>
        <v>1</v>
      </c>
      <c r="P136" s="387">
        <f t="shared" si="1717"/>
        <v>0</v>
      </c>
      <c r="Q136" s="387">
        <f t="shared" si="1718"/>
        <v>0</v>
      </c>
      <c r="R136" s="387">
        <f t="shared" si="1719"/>
        <v>0</v>
      </c>
      <c r="S136" s="387">
        <f t="shared" si="1720"/>
        <v>0</v>
      </c>
      <c r="T136" s="388"/>
      <c r="V136" s="228"/>
      <c r="W136" s="228"/>
      <c r="X136" s="228"/>
      <c r="Y136" s="389"/>
      <c r="Z136" s="387"/>
      <c r="AA136" s="387"/>
      <c r="AB136" s="387">
        <f t="shared" si="1721"/>
        <v>1</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1</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1</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1</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1</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1</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1</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1</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1</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1</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1</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1</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1</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1</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1</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1</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1</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1</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1</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1</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1</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1</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1</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1</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1</v>
      </c>
      <c r="MC136" s="387">
        <f t="shared" si="1842"/>
        <v>0</v>
      </c>
      <c r="MD136" s="387">
        <f t="shared" si="1843"/>
        <v>0</v>
      </c>
      <c r="ME136" s="387">
        <f t="shared" si="1844"/>
        <v>0</v>
      </c>
      <c r="MF136" s="387">
        <f t="shared" si="1845"/>
        <v>0</v>
      </c>
      <c r="MG136" s="388"/>
    </row>
    <row r="137" spans="1:345" x14ac:dyDescent="0.25">
      <c r="B137" s="1031"/>
      <c r="C137" s="1032"/>
      <c r="D137" s="1032"/>
      <c r="E137" s="1032"/>
      <c r="F137" s="1032"/>
      <c r="G137" s="1032"/>
      <c r="H137" s="1033"/>
      <c r="I137" s="332"/>
      <c r="J137" s="228"/>
      <c r="K137" s="228"/>
      <c r="L137" s="389"/>
      <c r="M137" s="387"/>
      <c r="N137" s="387"/>
      <c r="O137" s="387">
        <f t="shared" si="1716"/>
        <v>1</v>
      </c>
      <c r="P137" s="387">
        <f t="shared" si="1717"/>
        <v>0</v>
      </c>
      <c r="Q137" s="387">
        <f t="shared" si="1718"/>
        <v>0</v>
      </c>
      <c r="R137" s="387">
        <f t="shared" si="1719"/>
        <v>0</v>
      </c>
      <c r="S137" s="387">
        <f t="shared" si="1720"/>
        <v>0</v>
      </c>
      <c r="T137" s="388"/>
      <c r="V137" s="228"/>
      <c r="W137" s="228"/>
      <c r="X137" s="228"/>
      <c r="Y137" s="389"/>
      <c r="Z137" s="387"/>
      <c r="AA137" s="387"/>
      <c r="AB137" s="387">
        <f t="shared" si="1721"/>
        <v>1</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1</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1</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1</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1</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1</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1</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1</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1</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1</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1</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1</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1</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1</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1</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1</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1</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1</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1</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1</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1</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1</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1</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1</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1</v>
      </c>
      <c r="MC137" s="387">
        <f t="shared" si="1842"/>
        <v>0</v>
      </c>
      <c r="MD137" s="387">
        <f t="shared" si="1843"/>
        <v>0</v>
      </c>
      <c r="ME137" s="387">
        <f t="shared" si="1844"/>
        <v>0</v>
      </c>
      <c r="MF137" s="387">
        <f t="shared" si="1845"/>
        <v>0</v>
      </c>
      <c r="MG137" s="388"/>
    </row>
    <row r="138" spans="1:345" ht="45.75" customHeight="1" x14ac:dyDescent="0.25">
      <c r="B138" s="1031"/>
      <c r="C138" s="1032"/>
      <c r="D138" s="1032"/>
      <c r="E138" s="1032"/>
      <c r="F138" s="1032"/>
      <c r="G138" s="1032"/>
      <c r="H138" s="1033"/>
      <c r="I138" s="332"/>
      <c r="J138" s="228"/>
      <c r="K138" s="228"/>
      <c r="L138" s="389"/>
      <c r="M138" s="387"/>
      <c r="N138" s="387"/>
      <c r="O138" s="387">
        <f t="shared" si="1716"/>
        <v>1</v>
      </c>
      <c r="P138" s="387">
        <f t="shared" si="1717"/>
        <v>0</v>
      </c>
      <c r="Q138" s="387">
        <f t="shared" si="1718"/>
        <v>0</v>
      </c>
      <c r="R138" s="387">
        <f t="shared" si="1719"/>
        <v>0</v>
      </c>
      <c r="S138" s="387">
        <f t="shared" si="1720"/>
        <v>0</v>
      </c>
      <c r="T138" s="388"/>
      <c r="V138" s="228"/>
      <c r="W138" s="228"/>
      <c r="X138" s="228"/>
      <c r="Y138" s="389"/>
      <c r="Z138" s="387"/>
      <c r="AA138" s="387"/>
      <c r="AB138" s="387">
        <f t="shared" si="1721"/>
        <v>1</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1</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1</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1</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1</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1</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1</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1</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1</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1</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1</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1</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1</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1</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1</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1</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1</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1</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1</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1</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1</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1</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1</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1</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1</v>
      </c>
      <c r="MC138" s="387">
        <f t="shared" si="1842"/>
        <v>0</v>
      </c>
      <c r="MD138" s="387">
        <f t="shared" si="1843"/>
        <v>0</v>
      </c>
      <c r="ME138" s="387">
        <f t="shared" si="1844"/>
        <v>0</v>
      </c>
      <c r="MF138" s="387">
        <f t="shared" si="1845"/>
        <v>0</v>
      </c>
      <c r="MG138" s="388"/>
    </row>
    <row r="139" spans="1:345" ht="15.75" customHeight="1" x14ac:dyDescent="0.25">
      <c r="B139" s="1031" t="str">
        <f>Language!$E$238</f>
        <v>The factors for the individual categories and other presettings can be selected on the 'PrSettings' worksheet.</v>
      </c>
      <c r="C139" s="1032"/>
      <c r="D139" s="1032"/>
      <c r="E139" s="1032"/>
      <c r="F139" s="1032"/>
      <c r="G139" s="1032"/>
      <c r="H139" s="1033"/>
      <c r="L139" s="388"/>
      <c r="M139" s="388"/>
      <c r="N139" s="388"/>
      <c r="O139" s="387">
        <f t="shared" si="1716"/>
        <v>1</v>
      </c>
      <c r="P139" s="387">
        <f t="shared" si="1717"/>
        <v>0</v>
      </c>
      <c r="Q139" s="387">
        <f t="shared" si="1718"/>
        <v>0</v>
      </c>
      <c r="R139" s="387">
        <f t="shared" si="1719"/>
        <v>0</v>
      </c>
      <c r="S139" s="387">
        <f t="shared" si="1720"/>
        <v>0</v>
      </c>
      <c r="T139" s="388"/>
      <c r="Y139" s="388"/>
      <c r="Z139" s="388"/>
      <c r="AA139" s="388"/>
      <c r="AB139" s="387">
        <f t="shared" si="1721"/>
        <v>1</v>
      </c>
      <c r="AC139" s="387">
        <f t="shared" si="1722"/>
        <v>0</v>
      </c>
      <c r="AD139" s="387">
        <f t="shared" si="1723"/>
        <v>0</v>
      </c>
      <c r="AE139" s="387">
        <f t="shared" si="1724"/>
        <v>0</v>
      </c>
      <c r="AF139" s="387">
        <f t="shared" si="1725"/>
        <v>0</v>
      </c>
      <c r="AG139" s="388"/>
      <c r="AL139" s="388"/>
      <c r="AM139" s="388"/>
      <c r="AN139" s="388"/>
      <c r="AO139" s="387">
        <f t="shared" si="1726"/>
        <v>1</v>
      </c>
      <c r="AP139" s="387">
        <f t="shared" si="1727"/>
        <v>0</v>
      </c>
      <c r="AQ139" s="387">
        <f t="shared" si="1728"/>
        <v>0</v>
      </c>
      <c r="AR139" s="387">
        <f t="shared" si="1729"/>
        <v>0</v>
      </c>
      <c r="AS139" s="387">
        <f t="shared" si="1730"/>
        <v>0</v>
      </c>
      <c r="AT139" s="388"/>
      <c r="AY139" s="388"/>
      <c r="AZ139" s="388"/>
      <c r="BA139" s="388"/>
      <c r="BB139" s="387">
        <f t="shared" si="1731"/>
        <v>1</v>
      </c>
      <c r="BC139" s="387">
        <f t="shared" si="1732"/>
        <v>0</v>
      </c>
      <c r="BD139" s="387">
        <f t="shared" si="1733"/>
        <v>0</v>
      </c>
      <c r="BE139" s="387">
        <f t="shared" si="1734"/>
        <v>0</v>
      </c>
      <c r="BF139" s="387">
        <f t="shared" si="1735"/>
        <v>0</v>
      </c>
      <c r="BG139" s="388"/>
      <c r="BL139" s="388"/>
      <c r="BM139" s="388"/>
      <c r="BN139" s="388"/>
      <c r="BO139" s="387">
        <f t="shared" si="1736"/>
        <v>1</v>
      </c>
      <c r="BP139" s="387">
        <f t="shared" si="1737"/>
        <v>0</v>
      </c>
      <c r="BQ139" s="387">
        <f t="shared" si="1738"/>
        <v>0</v>
      </c>
      <c r="BR139" s="387">
        <f t="shared" si="1739"/>
        <v>0</v>
      </c>
      <c r="BS139" s="387">
        <f t="shared" si="1740"/>
        <v>0</v>
      </c>
      <c r="BT139" s="388"/>
      <c r="BY139" s="388"/>
      <c r="BZ139" s="388"/>
      <c r="CA139" s="388"/>
      <c r="CB139" s="387">
        <f t="shared" si="1741"/>
        <v>1</v>
      </c>
      <c r="CC139" s="387">
        <f t="shared" si="1742"/>
        <v>0</v>
      </c>
      <c r="CD139" s="387">
        <f t="shared" si="1743"/>
        <v>0</v>
      </c>
      <c r="CE139" s="387">
        <f t="shared" si="1744"/>
        <v>0</v>
      </c>
      <c r="CF139" s="387">
        <f t="shared" si="1745"/>
        <v>0</v>
      </c>
      <c r="CG139" s="388"/>
      <c r="CL139" s="388"/>
      <c r="CM139" s="388"/>
      <c r="CN139" s="388"/>
      <c r="CO139" s="387">
        <f t="shared" si="1746"/>
        <v>1</v>
      </c>
      <c r="CP139" s="387">
        <f t="shared" si="1747"/>
        <v>0</v>
      </c>
      <c r="CQ139" s="387">
        <f t="shared" si="1748"/>
        <v>0</v>
      </c>
      <c r="CR139" s="387">
        <f t="shared" si="1749"/>
        <v>0</v>
      </c>
      <c r="CS139" s="387">
        <f t="shared" si="1750"/>
        <v>0</v>
      </c>
      <c r="CT139" s="388"/>
      <c r="CY139" s="388"/>
      <c r="CZ139" s="388"/>
      <c r="DA139" s="388"/>
      <c r="DB139" s="387">
        <f t="shared" si="1751"/>
        <v>1</v>
      </c>
      <c r="DC139" s="387">
        <f t="shared" si="1752"/>
        <v>0</v>
      </c>
      <c r="DD139" s="387">
        <f t="shared" si="1753"/>
        <v>0</v>
      </c>
      <c r="DE139" s="387">
        <f t="shared" si="1754"/>
        <v>0</v>
      </c>
      <c r="DF139" s="387">
        <f t="shared" si="1755"/>
        <v>0</v>
      </c>
      <c r="DG139" s="388"/>
      <c r="DL139" s="388"/>
      <c r="DM139" s="388"/>
      <c r="DN139" s="388"/>
      <c r="DO139" s="387">
        <f t="shared" si="1756"/>
        <v>1</v>
      </c>
      <c r="DP139" s="387">
        <f t="shared" si="1757"/>
        <v>0</v>
      </c>
      <c r="DQ139" s="387">
        <f t="shared" si="1758"/>
        <v>0</v>
      </c>
      <c r="DR139" s="387">
        <f t="shared" si="1759"/>
        <v>0</v>
      </c>
      <c r="DS139" s="387">
        <f t="shared" si="1760"/>
        <v>0</v>
      </c>
      <c r="DT139" s="388"/>
      <c r="DY139" s="388"/>
      <c r="DZ139" s="388"/>
      <c r="EA139" s="388"/>
      <c r="EB139" s="387">
        <f t="shared" si="1761"/>
        <v>1</v>
      </c>
      <c r="EC139" s="387">
        <f t="shared" si="1762"/>
        <v>0</v>
      </c>
      <c r="ED139" s="387">
        <f t="shared" si="1763"/>
        <v>0</v>
      </c>
      <c r="EE139" s="387">
        <f t="shared" si="1764"/>
        <v>0</v>
      </c>
      <c r="EF139" s="387">
        <f t="shared" si="1765"/>
        <v>0</v>
      </c>
      <c r="EG139" s="388"/>
      <c r="EL139" s="388"/>
      <c r="EM139" s="388"/>
      <c r="EN139" s="388"/>
      <c r="EO139" s="387">
        <f t="shared" si="1766"/>
        <v>1</v>
      </c>
      <c r="EP139" s="387">
        <f t="shared" si="1767"/>
        <v>0</v>
      </c>
      <c r="EQ139" s="387">
        <f t="shared" si="1768"/>
        <v>0</v>
      </c>
      <c r="ER139" s="387">
        <f t="shared" si="1769"/>
        <v>0</v>
      </c>
      <c r="ES139" s="387">
        <f t="shared" si="1770"/>
        <v>0</v>
      </c>
      <c r="ET139" s="388"/>
      <c r="EY139" s="388"/>
      <c r="EZ139" s="388"/>
      <c r="FA139" s="388"/>
      <c r="FB139" s="387">
        <f t="shared" si="1771"/>
        <v>1</v>
      </c>
      <c r="FC139" s="387">
        <f t="shared" si="1772"/>
        <v>0</v>
      </c>
      <c r="FD139" s="387">
        <f t="shared" si="1773"/>
        <v>0</v>
      </c>
      <c r="FE139" s="387">
        <f t="shared" si="1774"/>
        <v>0</v>
      </c>
      <c r="FF139" s="387">
        <f t="shared" si="1775"/>
        <v>0</v>
      </c>
      <c r="FG139" s="388"/>
      <c r="FL139" s="388"/>
      <c r="FM139" s="388"/>
      <c r="FN139" s="388"/>
      <c r="FO139" s="387">
        <f t="shared" si="1776"/>
        <v>1</v>
      </c>
      <c r="FP139" s="387">
        <f t="shared" si="1777"/>
        <v>0</v>
      </c>
      <c r="FQ139" s="387">
        <f t="shared" si="1778"/>
        <v>0</v>
      </c>
      <c r="FR139" s="387">
        <f t="shared" si="1779"/>
        <v>0</v>
      </c>
      <c r="FS139" s="387">
        <f t="shared" si="1780"/>
        <v>0</v>
      </c>
      <c r="FT139" s="388"/>
      <c r="FY139" s="388"/>
      <c r="FZ139" s="388"/>
      <c r="GA139" s="388"/>
      <c r="GB139" s="387">
        <f t="shared" si="1781"/>
        <v>1</v>
      </c>
      <c r="GC139" s="387">
        <f t="shared" si="1782"/>
        <v>0</v>
      </c>
      <c r="GD139" s="387">
        <f t="shared" si="1783"/>
        <v>0</v>
      </c>
      <c r="GE139" s="387">
        <f t="shared" si="1784"/>
        <v>0</v>
      </c>
      <c r="GF139" s="387">
        <f t="shared" si="1785"/>
        <v>0</v>
      </c>
      <c r="GG139" s="388"/>
      <c r="GL139" s="388"/>
      <c r="GM139" s="388"/>
      <c r="GN139" s="388"/>
      <c r="GO139" s="387">
        <f t="shared" si="1786"/>
        <v>1</v>
      </c>
      <c r="GP139" s="387">
        <f t="shared" si="1787"/>
        <v>0</v>
      </c>
      <c r="GQ139" s="387">
        <f t="shared" si="1788"/>
        <v>0</v>
      </c>
      <c r="GR139" s="387">
        <f t="shared" si="1789"/>
        <v>0</v>
      </c>
      <c r="GS139" s="387">
        <f t="shared" si="1790"/>
        <v>0</v>
      </c>
      <c r="GT139" s="388"/>
      <c r="GY139" s="388"/>
      <c r="GZ139" s="388"/>
      <c r="HA139" s="388"/>
      <c r="HB139" s="387">
        <f t="shared" si="1791"/>
        <v>1</v>
      </c>
      <c r="HC139" s="387">
        <f t="shared" si="1792"/>
        <v>0</v>
      </c>
      <c r="HD139" s="387">
        <f t="shared" si="1793"/>
        <v>0</v>
      </c>
      <c r="HE139" s="387">
        <f t="shared" si="1794"/>
        <v>0</v>
      </c>
      <c r="HF139" s="387">
        <f t="shared" si="1795"/>
        <v>0</v>
      </c>
      <c r="HG139" s="388"/>
      <c r="HL139" s="388"/>
      <c r="HM139" s="388"/>
      <c r="HN139" s="388"/>
      <c r="HO139" s="387">
        <f t="shared" si="1796"/>
        <v>1</v>
      </c>
      <c r="HP139" s="387">
        <f t="shared" si="1797"/>
        <v>0</v>
      </c>
      <c r="HQ139" s="387">
        <f t="shared" si="1798"/>
        <v>0</v>
      </c>
      <c r="HR139" s="387">
        <f t="shared" si="1799"/>
        <v>0</v>
      </c>
      <c r="HS139" s="387">
        <f t="shared" si="1800"/>
        <v>0</v>
      </c>
      <c r="HT139" s="388"/>
      <c r="HY139" s="388"/>
      <c r="HZ139" s="388"/>
      <c r="IA139" s="388"/>
      <c r="IB139" s="387">
        <f t="shared" si="1801"/>
        <v>1</v>
      </c>
      <c r="IC139" s="387">
        <f t="shared" si="1802"/>
        <v>0</v>
      </c>
      <c r="ID139" s="387">
        <f t="shared" si="1803"/>
        <v>0</v>
      </c>
      <c r="IE139" s="387">
        <f t="shared" si="1804"/>
        <v>0</v>
      </c>
      <c r="IF139" s="387">
        <f t="shared" si="1805"/>
        <v>0</v>
      </c>
      <c r="IG139" s="388"/>
      <c r="IL139" s="388"/>
      <c r="IM139" s="388"/>
      <c r="IN139" s="388"/>
      <c r="IO139" s="387">
        <f t="shared" si="1806"/>
        <v>1</v>
      </c>
      <c r="IP139" s="387">
        <f t="shared" si="1807"/>
        <v>0</v>
      </c>
      <c r="IQ139" s="387">
        <f t="shared" si="1808"/>
        <v>0</v>
      </c>
      <c r="IR139" s="387">
        <f t="shared" si="1809"/>
        <v>0</v>
      </c>
      <c r="IS139" s="387">
        <f t="shared" si="1810"/>
        <v>0</v>
      </c>
      <c r="IT139" s="388"/>
      <c r="IY139" s="388"/>
      <c r="IZ139" s="388"/>
      <c r="JA139" s="388"/>
      <c r="JB139" s="387">
        <f t="shared" si="1811"/>
        <v>1</v>
      </c>
      <c r="JC139" s="387">
        <f t="shared" si="1812"/>
        <v>0</v>
      </c>
      <c r="JD139" s="387">
        <f t="shared" si="1813"/>
        <v>0</v>
      </c>
      <c r="JE139" s="387">
        <f t="shared" si="1814"/>
        <v>0</v>
      </c>
      <c r="JF139" s="387">
        <f t="shared" si="1815"/>
        <v>0</v>
      </c>
      <c r="JG139" s="388"/>
      <c r="JL139" s="388"/>
      <c r="JM139" s="388"/>
      <c r="JN139" s="388"/>
      <c r="JO139" s="387">
        <f t="shared" si="1816"/>
        <v>1</v>
      </c>
      <c r="JP139" s="387">
        <f t="shared" si="1817"/>
        <v>0</v>
      </c>
      <c r="JQ139" s="387">
        <f t="shared" si="1818"/>
        <v>0</v>
      </c>
      <c r="JR139" s="387">
        <f t="shared" si="1819"/>
        <v>0</v>
      </c>
      <c r="JS139" s="387">
        <f t="shared" si="1820"/>
        <v>0</v>
      </c>
      <c r="JT139" s="388"/>
      <c r="JY139" s="388"/>
      <c r="JZ139" s="388"/>
      <c r="KA139" s="388"/>
      <c r="KB139" s="387">
        <f t="shared" si="1821"/>
        <v>1</v>
      </c>
      <c r="KC139" s="387">
        <f t="shared" si="1822"/>
        <v>0</v>
      </c>
      <c r="KD139" s="387">
        <f t="shared" si="1823"/>
        <v>0</v>
      </c>
      <c r="KE139" s="387">
        <f t="shared" si="1824"/>
        <v>0</v>
      </c>
      <c r="KF139" s="387">
        <f t="shared" si="1825"/>
        <v>0</v>
      </c>
      <c r="KG139" s="388"/>
      <c r="KL139" s="388"/>
      <c r="KM139" s="388"/>
      <c r="KN139" s="388"/>
      <c r="KO139" s="387">
        <f t="shared" si="1826"/>
        <v>1</v>
      </c>
      <c r="KP139" s="387">
        <f t="shared" si="1827"/>
        <v>0</v>
      </c>
      <c r="KQ139" s="387">
        <f t="shared" si="1828"/>
        <v>0</v>
      </c>
      <c r="KR139" s="387">
        <f t="shared" si="1829"/>
        <v>0</v>
      </c>
      <c r="KS139" s="387">
        <f t="shared" si="1830"/>
        <v>0</v>
      </c>
      <c r="KT139" s="388"/>
      <c r="KY139" s="388"/>
      <c r="KZ139" s="388"/>
      <c r="LA139" s="388"/>
      <c r="LB139" s="387">
        <f t="shared" si="1831"/>
        <v>1</v>
      </c>
      <c r="LC139" s="387">
        <f t="shared" si="1832"/>
        <v>0</v>
      </c>
      <c r="LD139" s="387">
        <f t="shared" si="1833"/>
        <v>0</v>
      </c>
      <c r="LE139" s="387">
        <f t="shared" si="1834"/>
        <v>0</v>
      </c>
      <c r="LF139" s="387">
        <f t="shared" si="1835"/>
        <v>0</v>
      </c>
      <c r="LG139" s="388"/>
      <c r="LL139" s="388"/>
      <c r="LM139" s="388"/>
      <c r="LN139" s="388"/>
      <c r="LO139" s="387">
        <f t="shared" si="1836"/>
        <v>1</v>
      </c>
      <c r="LP139" s="387">
        <f t="shared" si="1837"/>
        <v>0</v>
      </c>
      <c r="LQ139" s="387">
        <f t="shared" si="1838"/>
        <v>0</v>
      </c>
      <c r="LR139" s="387">
        <f t="shared" si="1839"/>
        <v>0</v>
      </c>
      <c r="LS139" s="387">
        <f t="shared" si="1840"/>
        <v>0</v>
      </c>
      <c r="LT139" s="388"/>
      <c r="LY139" s="388"/>
      <c r="LZ139" s="388"/>
      <c r="MA139" s="388"/>
      <c r="MB139" s="387">
        <f t="shared" si="1841"/>
        <v>1</v>
      </c>
      <c r="MC139" s="387">
        <f t="shared" si="1842"/>
        <v>0</v>
      </c>
      <c r="MD139" s="387">
        <f t="shared" si="1843"/>
        <v>0</v>
      </c>
      <c r="ME139" s="387">
        <f t="shared" si="1844"/>
        <v>0</v>
      </c>
      <c r="MF139" s="387">
        <f t="shared" si="1845"/>
        <v>0</v>
      </c>
      <c r="MG139" s="388"/>
    </row>
    <row r="140" spans="1:345" x14ac:dyDescent="0.25">
      <c r="B140" s="1031"/>
      <c r="C140" s="1032"/>
      <c r="D140" s="1032"/>
      <c r="E140" s="1032"/>
      <c r="F140" s="1032"/>
      <c r="G140" s="1032"/>
      <c r="H140" s="1033"/>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34"/>
      <c r="C141" s="1035"/>
      <c r="D141" s="1035"/>
      <c r="E141" s="1035"/>
      <c r="F141" s="1035"/>
      <c r="G141" s="1035"/>
      <c r="H141" s="1036"/>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24" priority="2821">
      <formula>O116&gt;1</formula>
    </cfRule>
  </conditionalFormatting>
  <conditionalFormatting sqref="L116">
    <cfRule type="expression" dxfId="923" priority="2820">
      <formula>O111&gt;1</formula>
    </cfRule>
  </conditionalFormatting>
  <conditionalFormatting sqref="L117">
    <cfRule type="expression" dxfId="922" priority="2819">
      <formula>O112&gt;1</formula>
    </cfRule>
  </conditionalFormatting>
  <conditionalFormatting sqref="L118">
    <cfRule type="expression" dxfId="921" priority="2818">
      <formula>O113&gt;1</formula>
    </cfRule>
  </conditionalFormatting>
  <conditionalFormatting sqref="L119">
    <cfRule type="expression" dxfId="920" priority="2817">
      <formula>O114&gt;1</formula>
    </cfRule>
  </conditionalFormatting>
  <conditionalFormatting sqref="J117">
    <cfRule type="expression" dxfId="919" priority="2816">
      <formula>O117&gt;1</formula>
    </cfRule>
  </conditionalFormatting>
  <conditionalFormatting sqref="J118">
    <cfRule type="expression" dxfId="918" priority="2815">
      <formula>O118&gt;1</formula>
    </cfRule>
  </conditionalFormatting>
  <conditionalFormatting sqref="J119">
    <cfRule type="expression" dxfId="917" priority="2814">
      <formula>O119&gt;1</formula>
    </cfRule>
  </conditionalFormatting>
  <conditionalFormatting sqref="J121">
    <cfRule type="expression" dxfId="916" priority="2813">
      <formula>O121&gt;1</formula>
    </cfRule>
  </conditionalFormatting>
  <conditionalFormatting sqref="J122">
    <cfRule type="expression" dxfId="915" priority="2812">
      <formula>O122&gt;1</formula>
    </cfRule>
  </conditionalFormatting>
  <conditionalFormatting sqref="L121">
    <cfRule type="expression" dxfId="914" priority="2811">
      <formula>O109&gt;1</formula>
    </cfRule>
  </conditionalFormatting>
  <conditionalFormatting sqref="L122">
    <cfRule type="expression" dxfId="913" priority="2810">
      <formula>O110&gt;1</formula>
    </cfRule>
  </conditionalFormatting>
  <conditionalFormatting sqref="J124">
    <cfRule type="expression" dxfId="912" priority="2807">
      <formula>P124&gt;1</formula>
    </cfRule>
  </conditionalFormatting>
  <conditionalFormatting sqref="L124">
    <cfRule type="expression" dxfId="911" priority="2806">
      <formula>O107&gt;1</formula>
    </cfRule>
  </conditionalFormatting>
  <conditionalFormatting sqref="J126">
    <cfRule type="expression" dxfId="910" priority="2805">
      <formula>P126&gt;1</formula>
    </cfRule>
  </conditionalFormatting>
  <conditionalFormatting sqref="L126">
    <cfRule type="expression" dxfId="909" priority="2804">
      <formula>O108&gt;1</formula>
    </cfRule>
  </conditionalFormatting>
  <conditionalFormatting sqref="J107">
    <cfRule type="expression" dxfId="908" priority="2801">
      <formula>$O$90&gt;1</formula>
    </cfRule>
  </conditionalFormatting>
  <conditionalFormatting sqref="L107">
    <cfRule type="expression" dxfId="907" priority="2800">
      <formula>$O$91&gt;1</formula>
    </cfRule>
  </conditionalFormatting>
  <conditionalFormatting sqref="J108">
    <cfRule type="expression" dxfId="906" priority="2799">
      <formula>$O$92&gt;1</formula>
    </cfRule>
  </conditionalFormatting>
  <conditionalFormatting sqref="J109">
    <cfRule type="expression" dxfId="905" priority="2798">
      <formula>$O$94&gt;1</formula>
    </cfRule>
  </conditionalFormatting>
  <conditionalFormatting sqref="J110">
    <cfRule type="expression" dxfId="904" priority="2797">
      <formula>$O$96&gt;1</formula>
    </cfRule>
  </conditionalFormatting>
  <conditionalFormatting sqref="J111">
    <cfRule type="expression" dxfId="903" priority="2796">
      <formula>$O$98&gt;1</formula>
    </cfRule>
  </conditionalFormatting>
  <conditionalFormatting sqref="J112">
    <cfRule type="expression" dxfId="902" priority="2795">
      <formula>$O$100&gt;1</formula>
    </cfRule>
  </conditionalFormatting>
  <conditionalFormatting sqref="J113">
    <cfRule type="expression" dxfId="901" priority="2794">
      <formula>$O$102&gt;1</formula>
    </cfRule>
  </conditionalFormatting>
  <conditionalFormatting sqref="J114">
    <cfRule type="expression" dxfId="900" priority="2793">
      <formula>$O$104&gt;1</formula>
    </cfRule>
  </conditionalFormatting>
  <conditionalFormatting sqref="L108">
    <cfRule type="expression" dxfId="899" priority="2792">
      <formula>$O$93&gt;1</formula>
    </cfRule>
  </conditionalFormatting>
  <conditionalFormatting sqref="L109">
    <cfRule type="expression" dxfId="898" priority="2791">
      <formula>$O$95&gt;1</formula>
    </cfRule>
  </conditionalFormatting>
  <conditionalFormatting sqref="L110">
    <cfRule type="expression" dxfId="897" priority="2790">
      <formula>$O$97&gt;1</formula>
    </cfRule>
  </conditionalFormatting>
  <conditionalFormatting sqref="L111">
    <cfRule type="expression" dxfId="896" priority="2789">
      <formula>$O$99&gt;1</formula>
    </cfRule>
  </conditionalFormatting>
  <conditionalFormatting sqref="L112">
    <cfRule type="expression" dxfId="895" priority="2788">
      <formula>$O$101&gt;1</formula>
    </cfRule>
  </conditionalFormatting>
  <conditionalFormatting sqref="L113">
    <cfRule type="expression" dxfId="894" priority="2787">
      <formula>$O$103&gt;1</formula>
    </cfRule>
  </conditionalFormatting>
  <conditionalFormatting sqref="L114">
    <cfRule type="expression" dxfId="893" priority="2786">
      <formula>$O$105&gt;1</formula>
    </cfRule>
  </conditionalFormatting>
  <conditionalFormatting sqref="W116">
    <cfRule type="expression" dxfId="892" priority="899">
      <formula>AB116&gt;1</formula>
    </cfRule>
  </conditionalFormatting>
  <conditionalFormatting sqref="Y116">
    <cfRule type="expression" dxfId="891" priority="898">
      <formula>AB111&gt;1</formula>
    </cfRule>
  </conditionalFormatting>
  <conditionalFormatting sqref="Y117">
    <cfRule type="expression" dxfId="890" priority="897">
      <formula>AB112&gt;1</formula>
    </cfRule>
  </conditionalFormatting>
  <conditionalFormatting sqref="Y118">
    <cfRule type="expression" dxfId="889" priority="896">
      <formula>AB113&gt;1</formula>
    </cfRule>
  </conditionalFormatting>
  <conditionalFormatting sqref="Y119">
    <cfRule type="expression" dxfId="888" priority="895">
      <formula>AB114&gt;1</formula>
    </cfRule>
  </conditionalFormatting>
  <conditionalFormatting sqref="W117">
    <cfRule type="expression" dxfId="887" priority="894">
      <formula>AB117&gt;1</formula>
    </cfRule>
  </conditionalFormatting>
  <conditionalFormatting sqref="W118">
    <cfRule type="expression" dxfId="886" priority="893">
      <formula>AB118&gt;1</formula>
    </cfRule>
  </conditionalFormatting>
  <conditionalFormatting sqref="W119">
    <cfRule type="expression" dxfId="885" priority="892">
      <formula>AB119&gt;1</formula>
    </cfRule>
  </conditionalFormatting>
  <conditionalFormatting sqref="W121">
    <cfRule type="expression" dxfId="884" priority="891">
      <formula>AB121&gt;1</formula>
    </cfRule>
  </conditionalFormatting>
  <conditionalFormatting sqref="W122">
    <cfRule type="expression" dxfId="883" priority="890">
      <formula>AB122&gt;1</formula>
    </cfRule>
  </conditionalFormatting>
  <conditionalFormatting sqref="Y121">
    <cfRule type="expression" dxfId="882" priority="889">
      <formula>AB109&gt;1</formula>
    </cfRule>
  </conditionalFormatting>
  <conditionalFormatting sqref="Y122">
    <cfRule type="expression" dxfId="881" priority="888">
      <formula>AB110&gt;1</formula>
    </cfRule>
  </conditionalFormatting>
  <conditionalFormatting sqref="W124">
    <cfRule type="expression" dxfId="880" priority="887">
      <formula>AC124&gt;1</formula>
    </cfRule>
  </conditionalFormatting>
  <conditionalFormatting sqref="Y124">
    <cfRule type="expression" dxfId="879" priority="886">
      <formula>AB107&gt;1</formula>
    </cfRule>
  </conditionalFormatting>
  <conditionalFormatting sqref="W126">
    <cfRule type="expression" dxfId="878" priority="885">
      <formula>AC126&gt;1</formula>
    </cfRule>
  </conditionalFormatting>
  <conditionalFormatting sqref="Y126">
    <cfRule type="expression" dxfId="877" priority="884">
      <formula>AB108&gt;1</formula>
    </cfRule>
  </conditionalFormatting>
  <conditionalFormatting sqref="W107">
    <cfRule type="expression" dxfId="876" priority="883">
      <formula>$O$90&gt;1</formula>
    </cfRule>
  </conditionalFormatting>
  <conditionalFormatting sqref="Y107">
    <cfRule type="expression" dxfId="875" priority="882">
      <formula>$O$91&gt;1</formula>
    </cfRule>
  </conditionalFormatting>
  <conditionalFormatting sqref="W108">
    <cfRule type="expression" dxfId="874" priority="881">
      <formula>$O$92&gt;1</formula>
    </cfRule>
  </conditionalFormatting>
  <conditionalFormatting sqref="W109">
    <cfRule type="expression" dxfId="873" priority="880">
      <formula>$O$94&gt;1</formula>
    </cfRule>
  </conditionalFormatting>
  <conditionalFormatting sqref="W110">
    <cfRule type="expression" dxfId="872" priority="879">
      <formula>$O$96&gt;1</formula>
    </cfRule>
  </conditionalFormatting>
  <conditionalFormatting sqref="W111">
    <cfRule type="expression" dxfId="871" priority="878">
      <formula>$O$98&gt;1</formula>
    </cfRule>
  </conditionalFormatting>
  <conditionalFormatting sqref="W112">
    <cfRule type="expression" dxfId="870" priority="877">
      <formula>$O$100&gt;1</formula>
    </cfRule>
  </conditionalFormatting>
  <conditionalFormatting sqref="W113">
    <cfRule type="expression" dxfId="869" priority="876">
      <formula>$O$102&gt;1</formula>
    </cfRule>
  </conditionalFormatting>
  <conditionalFormatting sqref="W114">
    <cfRule type="expression" dxfId="868" priority="875">
      <formula>$O$104&gt;1</formula>
    </cfRule>
  </conditionalFormatting>
  <conditionalFormatting sqref="Y108">
    <cfRule type="expression" dxfId="867" priority="874">
      <formula>$O$93&gt;1</formula>
    </cfRule>
  </conditionalFormatting>
  <conditionalFormatting sqref="Y109">
    <cfRule type="expression" dxfId="866" priority="873">
      <formula>$O$95&gt;1</formula>
    </cfRule>
  </conditionalFormatting>
  <conditionalFormatting sqref="Y110">
    <cfRule type="expression" dxfId="865" priority="872">
      <formula>$O$97&gt;1</formula>
    </cfRule>
  </conditionalFormatting>
  <conditionalFormatting sqref="Y111">
    <cfRule type="expression" dxfId="864" priority="871">
      <formula>$O$99&gt;1</formula>
    </cfRule>
  </conditionalFormatting>
  <conditionalFormatting sqref="Y112">
    <cfRule type="expression" dxfId="863" priority="870">
      <formula>$O$101&gt;1</formula>
    </cfRule>
  </conditionalFormatting>
  <conditionalFormatting sqref="Y113">
    <cfRule type="expression" dxfId="862" priority="869">
      <formula>$O$103&gt;1</formula>
    </cfRule>
  </conditionalFormatting>
  <conditionalFormatting sqref="Y114">
    <cfRule type="expression" dxfId="861" priority="868">
      <formula>$O$105&gt;1</formula>
    </cfRule>
  </conditionalFormatting>
  <conditionalFormatting sqref="AJ116">
    <cfRule type="expression" dxfId="860" priority="863">
      <formula>AO116&gt;1</formula>
    </cfRule>
  </conditionalFormatting>
  <conditionalFormatting sqref="AL116">
    <cfRule type="expression" dxfId="859" priority="862">
      <formula>AO111&gt;1</formula>
    </cfRule>
  </conditionalFormatting>
  <conditionalFormatting sqref="AL117">
    <cfRule type="expression" dxfId="858" priority="861">
      <formula>AO112&gt;1</formula>
    </cfRule>
  </conditionalFormatting>
  <conditionalFormatting sqref="AL118">
    <cfRule type="expression" dxfId="857" priority="860">
      <formula>AO113&gt;1</formula>
    </cfRule>
  </conditionalFormatting>
  <conditionalFormatting sqref="AL119">
    <cfRule type="expression" dxfId="856" priority="859">
      <formula>AO114&gt;1</formula>
    </cfRule>
  </conditionalFormatting>
  <conditionalFormatting sqref="AJ117">
    <cfRule type="expression" dxfId="855" priority="858">
      <formula>AO117&gt;1</formula>
    </cfRule>
  </conditionalFormatting>
  <conditionalFormatting sqref="AJ118">
    <cfRule type="expression" dxfId="854" priority="857">
      <formula>AO118&gt;1</formula>
    </cfRule>
  </conditionalFormatting>
  <conditionalFormatting sqref="AJ119">
    <cfRule type="expression" dxfId="853" priority="856">
      <formula>AO119&gt;1</formula>
    </cfRule>
  </conditionalFormatting>
  <conditionalFormatting sqref="AJ121">
    <cfRule type="expression" dxfId="852" priority="855">
      <formula>AO121&gt;1</formula>
    </cfRule>
  </conditionalFormatting>
  <conditionalFormatting sqref="AJ122">
    <cfRule type="expression" dxfId="851" priority="854">
      <formula>AO122&gt;1</formula>
    </cfRule>
  </conditionalFormatting>
  <conditionalFormatting sqref="AL121">
    <cfRule type="expression" dxfId="850" priority="853">
      <formula>AO109&gt;1</formula>
    </cfRule>
  </conditionalFormatting>
  <conditionalFormatting sqref="AL122">
    <cfRule type="expression" dxfId="849" priority="852">
      <formula>AO110&gt;1</formula>
    </cfRule>
  </conditionalFormatting>
  <conditionalFormatting sqref="AJ124">
    <cfRule type="expression" dxfId="848" priority="851">
      <formula>AP124&gt;1</formula>
    </cfRule>
  </conditionalFormatting>
  <conditionalFormatting sqref="AL124">
    <cfRule type="expression" dxfId="847" priority="850">
      <formula>AO107&gt;1</formula>
    </cfRule>
  </conditionalFormatting>
  <conditionalFormatting sqref="AJ126">
    <cfRule type="expression" dxfId="846" priority="849">
      <formula>AP126&gt;1</formula>
    </cfRule>
  </conditionalFormatting>
  <conditionalFormatting sqref="AL126">
    <cfRule type="expression" dxfId="845" priority="848">
      <formula>AO108&gt;1</formula>
    </cfRule>
  </conditionalFormatting>
  <conditionalFormatting sqref="AJ107">
    <cfRule type="expression" dxfId="844" priority="847">
      <formula>$O$90&gt;1</formula>
    </cfRule>
  </conditionalFormatting>
  <conditionalFormatting sqref="AL107">
    <cfRule type="expression" dxfId="843" priority="846">
      <formula>$O$91&gt;1</formula>
    </cfRule>
  </conditionalFormatting>
  <conditionalFormatting sqref="AJ108">
    <cfRule type="expression" dxfId="842" priority="845">
      <formula>$O$92&gt;1</formula>
    </cfRule>
  </conditionalFormatting>
  <conditionalFormatting sqref="AJ109">
    <cfRule type="expression" dxfId="841" priority="844">
      <formula>$O$94&gt;1</formula>
    </cfRule>
  </conditionalFormatting>
  <conditionalFormatting sqref="AJ110">
    <cfRule type="expression" dxfId="840" priority="843">
      <formula>$O$96&gt;1</formula>
    </cfRule>
  </conditionalFormatting>
  <conditionalFormatting sqref="AJ111">
    <cfRule type="expression" dxfId="839" priority="842">
      <formula>$O$98&gt;1</formula>
    </cfRule>
  </conditionalFormatting>
  <conditionalFormatting sqref="AJ112">
    <cfRule type="expression" dxfId="838" priority="841">
      <formula>$O$100&gt;1</formula>
    </cfRule>
  </conditionalFormatting>
  <conditionalFormatting sqref="AJ113">
    <cfRule type="expression" dxfId="837" priority="840">
      <formula>$O$102&gt;1</formula>
    </cfRule>
  </conditionalFormatting>
  <conditionalFormatting sqref="AJ114">
    <cfRule type="expression" dxfId="836" priority="839">
      <formula>$O$104&gt;1</formula>
    </cfRule>
  </conditionalFormatting>
  <conditionalFormatting sqref="AL108">
    <cfRule type="expression" dxfId="835" priority="838">
      <formula>$O$93&gt;1</formula>
    </cfRule>
  </conditionalFormatting>
  <conditionalFormatting sqref="AL109">
    <cfRule type="expression" dxfId="834" priority="837">
      <formula>$O$95&gt;1</formula>
    </cfRule>
  </conditionalFormatting>
  <conditionalFormatting sqref="AL110">
    <cfRule type="expression" dxfId="833" priority="836">
      <formula>$O$97&gt;1</formula>
    </cfRule>
  </conditionalFormatting>
  <conditionalFormatting sqref="AL111">
    <cfRule type="expression" dxfId="832" priority="835">
      <formula>$O$99&gt;1</formula>
    </cfRule>
  </conditionalFormatting>
  <conditionalFormatting sqref="AL112">
    <cfRule type="expression" dxfId="831" priority="834">
      <formula>$O$101&gt;1</formula>
    </cfRule>
  </conditionalFormatting>
  <conditionalFormatting sqref="AL113">
    <cfRule type="expression" dxfId="830" priority="833">
      <formula>$O$103&gt;1</formula>
    </cfRule>
  </conditionalFormatting>
  <conditionalFormatting sqref="AL114">
    <cfRule type="expression" dxfId="829" priority="832">
      <formula>$O$105&gt;1</formula>
    </cfRule>
  </conditionalFormatting>
  <conditionalFormatting sqref="AW116">
    <cfRule type="expression" dxfId="828" priority="827">
      <formula>BB116&gt;1</formula>
    </cfRule>
  </conditionalFormatting>
  <conditionalFormatting sqref="AY116">
    <cfRule type="expression" dxfId="827" priority="826">
      <formula>BB111&gt;1</formula>
    </cfRule>
  </conditionalFormatting>
  <conditionalFormatting sqref="AY117">
    <cfRule type="expression" dxfId="826" priority="825">
      <formula>BB112&gt;1</formula>
    </cfRule>
  </conditionalFormatting>
  <conditionalFormatting sqref="AY118">
    <cfRule type="expression" dxfId="825" priority="824">
      <formula>BB113&gt;1</formula>
    </cfRule>
  </conditionalFormatting>
  <conditionalFormatting sqref="AY119">
    <cfRule type="expression" dxfId="824" priority="823">
      <formula>BB114&gt;1</formula>
    </cfRule>
  </conditionalFormatting>
  <conditionalFormatting sqref="AW117">
    <cfRule type="expression" dxfId="823" priority="822">
      <formula>BB117&gt;1</formula>
    </cfRule>
  </conditionalFormatting>
  <conditionalFormatting sqref="AW118">
    <cfRule type="expression" dxfId="822" priority="821">
      <formula>BB118&gt;1</formula>
    </cfRule>
  </conditionalFormatting>
  <conditionalFormatting sqref="AW119">
    <cfRule type="expression" dxfId="821" priority="820">
      <formula>BB119&gt;1</formula>
    </cfRule>
  </conditionalFormatting>
  <conditionalFormatting sqref="AW121">
    <cfRule type="expression" dxfId="820" priority="819">
      <formula>BB121&gt;1</formula>
    </cfRule>
  </conditionalFormatting>
  <conditionalFormatting sqref="AW122">
    <cfRule type="expression" dxfId="819" priority="818">
      <formula>BB122&gt;1</formula>
    </cfRule>
  </conditionalFormatting>
  <conditionalFormatting sqref="AY121">
    <cfRule type="expression" dxfId="818" priority="817">
      <formula>BB109&gt;1</formula>
    </cfRule>
  </conditionalFormatting>
  <conditionalFormatting sqref="AY122">
    <cfRule type="expression" dxfId="817" priority="816">
      <formula>BB110&gt;1</formula>
    </cfRule>
  </conditionalFormatting>
  <conditionalFormatting sqref="AW124">
    <cfRule type="expression" dxfId="816" priority="815">
      <formula>BC124&gt;1</formula>
    </cfRule>
  </conditionalFormatting>
  <conditionalFormatting sqref="AY124">
    <cfRule type="expression" dxfId="815" priority="814">
      <formula>BB107&gt;1</formula>
    </cfRule>
  </conditionalFormatting>
  <conditionalFormatting sqref="AW126">
    <cfRule type="expression" dxfId="814" priority="813">
      <formula>BC126&gt;1</formula>
    </cfRule>
  </conditionalFormatting>
  <conditionalFormatting sqref="AY126">
    <cfRule type="expression" dxfId="813" priority="812">
      <formula>BB108&gt;1</formula>
    </cfRule>
  </conditionalFormatting>
  <conditionalFormatting sqref="AW107">
    <cfRule type="expression" dxfId="812" priority="811">
      <formula>$O$90&gt;1</formula>
    </cfRule>
  </conditionalFormatting>
  <conditionalFormatting sqref="AY107">
    <cfRule type="expression" dxfId="811" priority="810">
      <formula>$O$91&gt;1</formula>
    </cfRule>
  </conditionalFormatting>
  <conditionalFormatting sqref="AW108">
    <cfRule type="expression" dxfId="810" priority="809">
      <formula>$O$92&gt;1</formula>
    </cfRule>
  </conditionalFormatting>
  <conditionalFormatting sqref="AW109">
    <cfRule type="expression" dxfId="809" priority="808">
      <formula>$O$94&gt;1</formula>
    </cfRule>
  </conditionalFormatting>
  <conditionalFormatting sqref="AW110">
    <cfRule type="expression" dxfId="808" priority="807">
      <formula>$O$96&gt;1</formula>
    </cfRule>
  </conditionalFormatting>
  <conditionalFormatting sqref="AW111">
    <cfRule type="expression" dxfId="807" priority="806">
      <formula>$O$98&gt;1</formula>
    </cfRule>
  </conditionalFormatting>
  <conditionalFormatting sqref="AW112">
    <cfRule type="expression" dxfId="806" priority="805">
      <formula>$O$100&gt;1</formula>
    </cfRule>
  </conditionalFormatting>
  <conditionalFormatting sqref="AW113">
    <cfRule type="expression" dxfId="805" priority="804">
      <formula>$O$102&gt;1</formula>
    </cfRule>
  </conditionalFormatting>
  <conditionalFormatting sqref="AW114">
    <cfRule type="expression" dxfId="804" priority="803">
      <formula>$O$104&gt;1</formula>
    </cfRule>
  </conditionalFormatting>
  <conditionalFormatting sqref="AY108">
    <cfRule type="expression" dxfId="803" priority="802">
      <formula>$O$93&gt;1</formula>
    </cfRule>
  </conditionalFormatting>
  <conditionalFormatting sqref="AY109">
    <cfRule type="expression" dxfId="802" priority="801">
      <formula>$O$95&gt;1</formula>
    </cfRule>
  </conditionalFormatting>
  <conditionalFormatting sqref="AY110">
    <cfRule type="expression" dxfId="801" priority="800">
      <formula>$O$97&gt;1</formula>
    </cfRule>
  </conditionalFormatting>
  <conditionalFormatting sqref="AY111">
    <cfRule type="expression" dxfId="800" priority="799">
      <formula>$O$99&gt;1</formula>
    </cfRule>
  </conditionalFormatting>
  <conditionalFormatting sqref="AY112">
    <cfRule type="expression" dxfId="799" priority="798">
      <formula>$O$101&gt;1</formula>
    </cfRule>
  </conditionalFormatting>
  <conditionalFormatting sqref="AY113">
    <cfRule type="expression" dxfId="798" priority="797">
      <formula>$O$103&gt;1</formula>
    </cfRule>
  </conditionalFormatting>
  <conditionalFormatting sqref="AY114">
    <cfRule type="expression" dxfId="797" priority="796">
      <formula>$O$105&gt;1</formula>
    </cfRule>
  </conditionalFormatting>
  <conditionalFormatting sqref="BJ116">
    <cfRule type="expression" dxfId="796" priority="791">
      <formula>BO116&gt;1</formula>
    </cfRule>
  </conditionalFormatting>
  <conditionalFormatting sqref="BL116">
    <cfRule type="expression" dxfId="795" priority="790">
      <formula>BO111&gt;1</formula>
    </cfRule>
  </conditionalFormatting>
  <conditionalFormatting sqref="BL117">
    <cfRule type="expression" dxfId="794" priority="789">
      <formula>BO112&gt;1</formula>
    </cfRule>
  </conditionalFormatting>
  <conditionalFormatting sqref="BL118">
    <cfRule type="expression" dxfId="793" priority="788">
      <formula>BO113&gt;1</formula>
    </cfRule>
  </conditionalFormatting>
  <conditionalFormatting sqref="BL119">
    <cfRule type="expression" dxfId="792" priority="787">
      <formula>BO114&gt;1</formula>
    </cfRule>
  </conditionalFormatting>
  <conditionalFormatting sqref="BJ117">
    <cfRule type="expression" dxfId="791" priority="786">
      <formula>BO117&gt;1</formula>
    </cfRule>
  </conditionalFormatting>
  <conditionalFormatting sqref="BJ118">
    <cfRule type="expression" dxfId="790" priority="785">
      <formula>BO118&gt;1</formula>
    </cfRule>
  </conditionalFormatting>
  <conditionalFormatting sqref="BJ119">
    <cfRule type="expression" dxfId="789" priority="784">
      <formula>BO119&gt;1</formula>
    </cfRule>
  </conditionalFormatting>
  <conditionalFormatting sqref="BJ121">
    <cfRule type="expression" dxfId="788" priority="783">
      <formula>BO121&gt;1</formula>
    </cfRule>
  </conditionalFormatting>
  <conditionalFormatting sqref="BJ122">
    <cfRule type="expression" dxfId="787" priority="782">
      <formula>BO122&gt;1</formula>
    </cfRule>
  </conditionalFormatting>
  <conditionalFormatting sqref="BL121">
    <cfRule type="expression" dxfId="786" priority="781">
      <formula>BO109&gt;1</formula>
    </cfRule>
  </conditionalFormatting>
  <conditionalFormatting sqref="BL122">
    <cfRule type="expression" dxfId="785" priority="780">
      <formula>BO110&gt;1</formula>
    </cfRule>
  </conditionalFormatting>
  <conditionalFormatting sqref="BJ124">
    <cfRule type="expression" dxfId="784" priority="779">
      <formula>BP124&gt;1</formula>
    </cfRule>
  </conditionalFormatting>
  <conditionalFormatting sqref="BL124">
    <cfRule type="expression" dxfId="783" priority="778">
      <formula>BO107&gt;1</formula>
    </cfRule>
  </conditionalFormatting>
  <conditionalFormatting sqref="BJ126">
    <cfRule type="expression" dxfId="782" priority="777">
      <formula>BP126&gt;1</formula>
    </cfRule>
  </conditionalFormatting>
  <conditionalFormatting sqref="BL126">
    <cfRule type="expression" dxfId="781" priority="776">
      <formula>BO108&gt;1</formula>
    </cfRule>
  </conditionalFormatting>
  <conditionalFormatting sqref="BJ107">
    <cfRule type="expression" dxfId="780" priority="775">
      <formula>$O$90&gt;1</formula>
    </cfRule>
  </conditionalFormatting>
  <conditionalFormatting sqref="BL107">
    <cfRule type="expression" dxfId="779" priority="774">
      <formula>$O$91&gt;1</formula>
    </cfRule>
  </conditionalFormatting>
  <conditionalFormatting sqref="BJ108">
    <cfRule type="expression" dxfId="778" priority="773">
      <formula>$O$92&gt;1</formula>
    </cfRule>
  </conditionalFormatting>
  <conditionalFormatting sqref="BJ109">
    <cfRule type="expression" dxfId="777" priority="772">
      <formula>$O$94&gt;1</formula>
    </cfRule>
  </conditionalFormatting>
  <conditionalFormatting sqref="BJ110">
    <cfRule type="expression" dxfId="776" priority="771">
      <formula>$O$96&gt;1</formula>
    </cfRule>
  </conditionalFormatting>
  <conditionalFormatting sqref="BJ111">
    <cfRule type="expression" dxfId="775" priority="770">
      <formula>$O$98&gt;1</formula>
    </cfRule>
  </conditionalFormatting>
  <conditionalFormatting sqref="BJ112">
    <cfRule type="expression" dxfId="774" priority="769">
      <formula>$O$100&gt;1</formula>
    </cfRule>
  </conditionalFormatting>
  <conditionalFormatting sqref="BJ113">
    <cfRule type="expression" dxfId="773" priority="768">
      <formula>$O$102&gt;1</formula>
    </cfRule>
  </conditionalFormatting>
  <conditionalFormatting sqref="BJ114">
    <cfRule type="expression" dxfId="772" priority="767">
      <formula>$O$104&gt;1</formula>
    </cfRule>
  </conditionalFormatting>
  <conditionalFormatting sqref="BL108">
    <cfRule type="expression" dxfId="771" priority="766">
      <formula>$O$93&gt;1</formula>
    </cfRule>
  </conditionalFormatting>
  <conditionalFormatting sqref="BL109">
    <cfRule type="expression" dxfId="770" priority="765">
      <formula>$O$95&gt;1</formula>
    </cfRule>
  </conditionalFormatting>
  <conditionalFormatting sqref="BL110">
    <cfRule type="expression" dxfId="769" priority="764">
      <formula>$O$97&gt;1</formula>
    </cfRule>
  </conditionalFormatting>
  <conditionalFormatting sqref="BL111">
    <cfRule type="expression" dxfId="768" priority="763">
      <formula>$O$99&gt;1</formula>
    </cfRule>
  </conditionalFormatting>
  <conditionalFormatting sqref="BL112">
    <cfRule type="expression" dxfId="767" priority="762">
      <formula>$O$101&gt;1</formula>
    </cfRule>
  </conditionalFormatting>
  <conditionalFormatting sqref="BL113">
    <cfRule type="expression" dxfId="766" priority="761">
      <formula>$O$103&gt;1</formula>
    </cfRule>
  </conditionalFormatting>
  <conditionalFormatting sqref="BL114">
    <cfRule type="expression" dxfId="765" priority="760">
      <formula>$O$105&gt;1</formula>
    </cfRule>
  </conditionalFormatting>
  <conditionalFormatting sqref="BW116">
    <cfRule type="expression" dxfId="764" priority="755">
      <formula>CB116&gt;1</formula>
    </cfRule>
  </conditionalFormatting>
  <conditionalFormatting sqref="BY116">
    <cfRule type="expression" dxfId="763" priority="754">
      <formula>CB111&gt;1</formula>
    </cfRule>
  </conditionalFormatting>
  <conditionalFormatting sqref="BY117">
    <cfRule type="expression" dxfId="762" priority="753">
      <formula>CB112&gt;1</formula>
    </cfRule>
  </conditionalFormatting>
  <conditionalFormatting sqref="BY118">
    <cfRule type="expression" dxfId="761" priority="752">
      <formula>CB113&gt;1</formula>
    </cfRule>
  </conditionalFormatting>
  <conditionalFormatting sqref="BY119">
    <cfRule type="expression" dxfId="760" priority="751">
      <formula>CB114&gt;1</formula>
    </cfRule>
  </conditionalFormatting>
  <conditionalFormatting sqref="BW117">
    <cfRule type="expression" dxfId="759" priority="750">
      <formula>CB117&gt;1</formula>
    </cfRule>
  </conditionalFormatting>
  <conditionalFormatting sqref="BW118">
    <cfRule type="expression" dxfId="758" priority="749">
      <formula>CB118&gt;1</formula>
    </cfRule>
  </conditionalFormatting>
  <conditionalFormatting sqref="BW119">
    <cfRule type="expression" dxfId="757" priority="748">
      <formula>CB119&gt;1</formula>
    </cfRule>
  </conditionalFormatting>
  <conditionalFormatting sqref="BW121">
    <cfRule type="expression" dxfId="756" priority="747">
      <formula>CB121&gt;1</formula>
    </cfRule>
  </conditionalFormatting>
  <conditionalFormatting sqref="BW122">
    <cfRule type="expression" dxfId="755" priority="746">
      <formula>CB122&gt;1</formula>
    </cfRule>
  </conditionalFormatting>
  <conditionalFormatting sqref="BY121">
    <cfRule type="expression" dxfId="754" priority="745">
      <formula>CB109&gt;1</formula>
    </cfRule>
  </conditionalFormatting>
  <conditionalFormatting sqref="BY122">
    <cfRule type="expression" dxfId="753" priority="744">
      <formula>CB110&gt;1</formula>
    </cfRule>
  </conditionalFormatting>
  <conditionalFormatting sqref="BW124">
    <cfRule type="expression" dxfId="752" priority="743">
      <formula>CC124&gt;1</formula>
    </cfRule>
  </conditionalFormatting>
  <conditionalFormatting sqref="BY124">
    <cfRule type="expression" dxfId="751" priority="742">
      <formula>CB107&gt;1</formula>
    </cfRule>
  </conditionalFormatting>
  <conditionalFormatting sqref="BW126">
    <cfRule type="expression" dxfId="750" priority="741">
      <formula>CC126&gt;1</formula>
    </cfRule>
  </conditionalFormatting>
  <conditionalFormatting sqref="BY126">
    <cfRule type="expression" dxfId="749" priority="740">
      <formula>CB108&gt;1</formula>
    </cfRule>
  </conditionalFormatting>
  <conditionalFormatting sqref="BW107">
    <cfRule type="expression" dxfId="748" priority="739">
      <formula>$O$90&gt;1</formula>
    </cfRule>
  </conditionalFormatting>
  <conditionalFormatting sqref="BY107">
    <cfRule type="expression" dxfId="747" priority="738">
      <formula>$O$91&gt;1</formula>
    </cfRule>
  </conditionalFormatting>
  <conditionalFormatting sqref="BW108">
    <cfRule type="expression" dxfId="746" priority="737">
      <formula>$O$92&gt;1</formula>
    </cfRule>
  </conditionalFormatting>
  <conditionalFormatting sqref="BW109">
    <cfRule type="expression" dxfId="745" priority="736">
      <formula>$O$94&gt;1</formula>
    </cfRule>
  </conditionalFormatting>
  <conditionalFormatting sqref="BW110">
    <cfRule type="expression" dxfId="744" priority="735">
      <formula>$O$96&gt;1</formula>
    </cfRule>
  </conditionalFormatting>
  <conditionalFormatting sqref="BW111">
    <cfRule type="expression" dxfId="743" priority="734">
      <formula>$O$98&gt;1</formula>
    </cfRule>
  </conditionalFormatting>
  <conditionalFormatting sqref="BW112">
    <cfRule type="expression" dxfId="742" priority="733">
      <formula>$O$100&gt;1</formula>
    </cfRule>
  </conditionalFormatting>
  <conditionalFormatting sqref="BW113">
    <cfRule type="expression" dxfId="741" priority="732">
      <formula>$O$102&gt;1</formula>
    </cfRule>
  </conditionalFormatting>
  <conditionalFormatting sqref="BW114">
    <cfRule type="expression" dxfId="740" priority="731">
      <formula>$O$104&gt;1</formula>
    </cfRule>
  </conditionalFormatting>
  <conditionalFormatting sqref="BY108">
    <cfRule type="expression" dxfId="739" priority="730">
      <formula>$O$93&gt;1</formula>
    </cfRule>
  </conditionalFormatting>
  <conditionalFormatting sqref="BY109">
    <cfRule type="expression" dxfId="738" priority="729">
      <formula>$O$95&gt;1</formula>
    </cfRule>
  </conditionalFormatting>
  <conditionalFormatting sqref="BY110">
    <cfRule type="expression" dxfId="737" priority="728">
      <formula>$O$97&gt;1</formula>
    </cfRule>
  </conditionalFormatting>
  <conditionalFormatting sqref="BY111">
    <cfRule type="expression" dxfId="736" priority="727">
      <formula>$O$99&gt;1</formula>
    </cfRule>
  </conditionalFormatting>
  <conditionalFormatting sqref="BY112">
    <cfRule type="expression" dxfId="735" priority="726">
      <formula>$O$101&gt;1</formula>
    </cfRule>
  </conditionalFormatting>
  <conditionalFormatting sqref="BY113">
    <cfRule type="expression" dxfId="734" priority="725">
      <formula>$O$103&gt;1</formula>
    </cfRule>
  </conditionalFormatting>
  <conditionalFormatting sqref="BY114">
    <cfRule type="expression" dxfId="733" priority="724">
      <formula>$O$105&gt;1</formula>
    </cfRule>
  </conditionalFormatting>
  <conditionalFormatting sqref="CJ116">
    <cfRule type="expression" dxfId="732" priority="719">
      <formula>CO116&gt;1</formula>
    </cfRule>
  </conditionalFormatting>
  <conditionalFormatting sqref="CL116">
    <cfRule type="expression" dxfId="731" priority="718">
      <formula>CO111&gt;1</formula>
    </cfRule>
  </conditionalFormatting>
  <conditionalFormatting sqref="CL117">
    <cfRule type="expression" dxfId="730" priority="717">
      <formula>CO112&gt;1</formula>
    </cfRule>
  </conditionalFormatting>
  <conditionalFormatting sqref="CL118">
    <cfRule type="expression" dxfId="729" priority="716">
      <formula>CO113&gt;1</formula>
    </cfRule>
  </conditionalFormatting>
  <conditionalFormatting sqref="CL119">
    <cfRule type="expression" dxfId="728" priority="715">
      <formula>CO114&gt;1</formula>
    </cfRule>
  </conditionalFormatting>
  <conditionalFormatting sqref="CJ117">
    <cfRule type="expression" dxfId="727" priority="714">
      <formula>CO117&gt;1</formula>
    </cfRule>
  </conditionalFormatting>
  <conditionalFormatting sqref="CJ118">
    <cfRule type="expression" dxfId="726" priority="713">
      <formula>CO118&gt;1</formula>
    </cfRule>
  </conditionalFormatting>
  <conditionalFormatting sqref="CJ119">
    <cfRule type="expression" dxfId="725" priority="712">
      <formula>CO119&gt;1</formula>
    </cfRule>
  </conditionalFormatting>
  <conditionalFormatting sqref="CJ121">
    <cfRule type="expression" dxfId="724" priority="711">
      <formula>CO121&gt;1</formula>
    </cfRule>
  </conditionalFormatting>
  <conditionalFormatting sqref="CJ122">
    <cfRule type="expression" dxfId="723" priority="710">
      <formula>CO122&gt;1</formula>
    </cfRule>
  </conditionalFormatting>
  <conditionalFormatting sqref="CL121">
    <cfRule type="expression" dxfId="722" priority="709">
      <formula>CO109&gt;1</formula>
    </cfRule>
  </conditionalFormatting>
  <conditionalFormatting sqref="CL122">
    <cfRule type="expression" dxfId="721" priority="708">
      <formula>CO110&gt;1</formula>
    </cfRule>
  </conditionalFormatting>
  <conditionalFormatting sqref="CJ124">
    <cfRule type="expression" dxfId="720" priority="707">
      <formula>CP124&gt;1</formula>
    </cfRule>
  </conditionalFormatting>
  <conditionalFormatting sqref="CL124">
    <cfRule type="expression" dxfId="719" priority="706">
      <formula>CO107&gt;1</formula>
    </cfRule>
  </conditionalFormatting>
  <conditionalFormatting sqref="CJ126">
    <cfRule type="expression" dxfId="718" priority="705">
      <formula>CP126&gt;1</formula>
    </cfRule>
  </conditionalFormatting>
  <conditionalFormatting sqref="CL126">
    <cfRule type="expression" dxfId="717" priority="704">
      <formula>CO108&gt;1</formula>
    </cfRule>
  </conditionalFormatting>
  <conditionalFormatting sqref="CJ107">
    <cfRule type="expression" dxfId="716" priority="703">
      <formula>$O$90&gt;1</formula>
    </cfRule>
  </conditionalFormatting>
  <conditionalFormatting sqref="CL107">
    <cfRule type="expression" dxfId="715" priority="702">
      <formula>$O$91&gt;1</formula>
    </cfRule>
  </conditionalFormatting>
  <conditionalFormatting sqref="CJ108">
    <cfRule type="expression" dxfId="714" priority="701">
      <formula>$O$92&gt;1</formula>
    </cfRule>
  </conditionalFormatting>
  <conditionalFormatting sqref="CJ109">
    <cfRule type="expression" dxfId="713" priority="700">
      <formula>$O$94&gt;1</formula>
    </cfRule>
  </conditionalFormatting>
  <conditionalFormatting sqref="CJ110">
    <cfRule type="expression" dxfId="712" priority="699">
      <formula>$O$96&gt;1</formula>
    </cfRule>
  </conditionalFormatting>
  <conditionalFormatting sqref="CJ111">
    <cfRule type="expression" dxfId="711" priority="698">
      <formula>$O$98&gt;1</formula>
    </cfRule>
  </conditionalFormatting>
  <conditionalFormatting sqref="CJ112">
    <cfRule type="expression" dxfId="710" priority="697">
      <formula>$O$100&gt;1</formula>
    </cfRule>
  </conditionalFormatting>
  <conditionalFormatting sqref="CJ113">
    <cfRule type="expression" dxfId="709" priority="696">
      <formula>$O$102&gt;1</formula>
    </cfRule>
  </conditionalFormatting>
  <conditionalFormatting sqref="CJ114">
    <cfRule type="expression" dxfId="708" priority="695">
      <formula>$O$104&gt;1</formula>
    </cfRule>
  </conditionalFormatting>
  <conditionalFormatting sqref="CL108">
    <cfRule type="expression" dxfId="707" priority="694">
      <formula>$O$93&gt;1</formula>
    </cfRule>
  </conditionalFormatting>
  <conditionalFormatting sqref="CL109">
    <cfRule type="expression" dxfId="706" priority="693">
      <formula>$O$95&gt;1</formula>
    </cfRule>
  </conditionalFormatting>
  <conditionalFormatting sqref="CL110">
    <cfRule type="expression" dxfId="705" priority="692">
      <formula>$O$97&gt;1</formula>
    </cfRule>
  </conditionalFormatting>
  <conditionalFormatting sqref="CL111">
    <cfRule type="expression" dxfId="704" priority="691">
      <formula>$O$99&gt;1</formula>
    </cfRule>
  </conditionalFormatting>
  <conditionalFormatting sqref="CL112">
    <cfRule type="expression" dxfId="703" priority="690">
      <formula>$O$101&gt;1</formula>
    </cfRule>
  </conditionalFormatting>
  <conditionalFormatting sqref="CL113">
    <cfRule type="expression" dxfId="702" priority="689">
      <formula>$O$103&gt;1</formula>
    </cfRule>
  </conditionalFormatting>
  <conditionalFormatting sqref="CL114">
    <cfRule type="expression" dxfId="701" priority="688">
      <formula>$O$105&gt;1</formula>
    </cfRule>
  </conditionalFormatting>
  <conditionalFormatting sqref="CW116">
    <cfRule type="expression" dxfId="700" priority="683">
      <formula>DB116&gt;1</formula>
    </cfRule>
  </conditionalFormatting>
  <conditionalFormatting sqref="CY116">
    <cfRule type="expression" dxfId="699" priority="682">
      <formula>DB111&gt;1</formula>
    </cfRule>
  </conditionalFormatting>
  <conditionalFormatting sqref="CY117">
    <cfRule type="expression" dxfId="698" priority="681">
      <formula>DB112&gt;1</formula>
    </cfRule>
  </conditionalFormatting>
  <conditionalFormatting sqref="CY118">
    <cfRule type="expression" dxfId="697" priority="680">
      <formula>DB113&gt;1</formula>
    </cfRule>
  </conditionalFormatting>
  <conditionalFormatting sqref="CY119">
    <cfRule type="expression" dxfId="696" priority="679">
      <formula>DB114&gt;1</formula>
    </cfRule>
  </conditionalFormatting>
  <conditionalFormatting sqref="CW117">
    <cfRule type="expression" dxfId="695" priority="678">
      <formula>DB117&gt;1</formula>
    </cfRule>
  </conditionalFormatting>
  <conditionalFormatting sqref="CW118">
    <cfRule type="expression" dxfId="694" priority="677">
      <formula>DB118&gt;1</formula>
    </cfRule>
  </conditionalFormatting>
  <conditionalFormatting sqref="CW119">
    <cfRule type="expression" dxfId="693" priority="676">
      <formula>DB119&gt;1</formula>
    </cfRule>
  </conditionalFormatting>
  <conditionalFormatting sqref="CW121">
    <cfRule type="expression" dxfId="692" priority="675">
      <formula>DB121&gt;1</formula>
    </cfRule>
  </conditionalFormatting>
  <conditionalFormatting sqref="CW122">
    <cfRule type="expression" dxfId="691" priority="674">
      <formula>DB122&gt;1</formula>
    </cfRule>
  </conditionalFormatting>
  <conditionalFormatting sqref="CY121">
    <cfRule type="expression" dxfId="690" priority="673">
      <formula>DB109&gt;1</formula>
    </cfRule>
  </conditionalFormatting>
  <conditionalFormatting sqref="CY122">
    <cfRule type="expression" dxfId="689" priority="672">
      <formula>DB110&gt;1</formula>
    </cfRule>
  </conditionalFormatting>
  <conditionalFormatting sqref="CW124">
    <cfRule type="expression" dxfId="688" priority="671">
      <formula>DC124&gt;1</formula>
    </cfRule>
  </conditionalFormatting>
  <conditionalFormatting sqref="CY124">
    <cfRule type="expression" dxfId="687" priority="670">
      <formula>DB107&gt;1</formula>
    </cfRule>
  </conditionalFormatting>
  <conditionalFormatting sqref="CW126">
    <cfRule type="expression" dxfId="686" priority="669">
      <formula>DC126&gt;1</formula>
    </cfRule>
  </conditionalFormatting>
  <conditionalFormatting sqref="CY126">
    <cfRule type="expression" dxfId="685" priority="668">
      <formula>DB108&gt;1</formula>
    </cfRule>
  </conditionalFormatting>
  <conditionalFormatting sqref="CW107">
    <cfRule type="expression" dxfId="684" priority="667">
      <formula>$O$90&gt;1</formula>
    </cfRule>
  </conditionalFormatting>
  <conditionalFormatting sqref="CY107">
    <cfRule type="expression" dxfId="683" priority="666">
      <formula>$O$91&gt;1</formula>
    </cfRule>
  </conditionalFormatting>
  <conditionalFormatting sqref="CW108">
    <cfRule type="expression" dxfId="682" priority="665">
      <formula>$O$92&gt;1</formula>
    </cfRule>
  </conditionalFormatting>
  <conditionalFormatting sqref="CW109">
    <cfRule type="expression" dxfId="681" priority="664">
      <formula>$O$94&gt;1</formula>
    </cfRule>
  </conditionalFormatting>
  <conditionalFormatting sqref="CW110">
    <cfRule type="expression" dxfId="680" priority="663">
      <formula>$O$96&gt;1</formula>
    </cfRule>
  </conditionalFormatting>
  <conditionalFormatting sqref="CW111">
    <cfRule type="expression" dxfId="679" priority="662">
      <formula>$O$98&gt;1</formula>
    </cfRule>
  </conditionalFormatting>
  <conditionalFormatting sqref="CW112">
    <cfRule type="expression" dxfId="678" priority="661">
      <formula>$O$100&gt;1</formula>
    </cfRule>
  </conditionalFormatting>
  <conditionalFormatting sqref="CW113">
    <cfRule type="expression" dxfId="677" priority="660">
      <formula>$O$102&gt;1</formula>
    </cfRule>
  </conditionalFormatting>
  <conditionalFormatting sqref="CW114">
    <cfRule type="expression" dxfId="676" priority="659">
      <formula>$O$104&gt;1</formula>
    </cfRule>
  </conditionalFormatting>
  <conditionalFormatting sqref="CY108">
    <cfRule type="expression" dxfId="675" priority="658">
      <formula>$O$93&gt;1</formula>
    </cfRule>
  </conditionalFormatting>
  <conditionalFormatting sqref="CY109">
    <cfRule type="expression" dxfId="674" priority="657">
      <formula>$O$95&gt;1</formula>
    </cfRule>
  </conditionalFormatting>
  <conditionalFormatting sqref="CY110">
    <cfRule type="expression" dxfId="673" priority="656">
      <formula>$O$97&gt;1</formula>
    </cfRule>
  </conditionalFormatting>
  <conditionalFormatting sqref="CY111">
    <cfRule type="expression" dxfId="672" priority="655">
      <formula>$O$99&gt;1</formula>
    </cfRule>
  </conditionalFormatting>
  <conditionalFormatting sqref="CY112">
    <cfRule type="expression" dxfId="671" priority="654">
      <formula>$O$101&gt;1</formula>
    </cfRule>
  </conditionalFormatting>
  <conditionalFormatting sqref="CY113">
    <cfRule type="expression" dxfId="670" priority="653">
      <formula>$O$103&gt;1</formula>
    </cfRule>
  </conditionalFormatting>
  <conditionalFormatting sqref="CY114">
    <cfRule type="expression" dxfId="669" priority="652">
      <formula>$O$105&gt;1</formula>
    </cfRule>
  </conditionalFormatting>
  <conditionalFormatting sqref="DJ116">
    <cfRule type="expression" dxfId="668" priority="647">
      <formula>DO116&gt;1</formula>
    </cfRule>
  </conditionalFormatting>
  <conditionalFormatting sqref="DL116">
    <cfRule type="expression" dxfId="667" priority="646">
      <formula>DO111&gt;1</formula>
    </cfRule>
  </conditionalFormatting>
  <conditionalFormatting sqref="DL117">
    <cfRule type="expression" dxfId="666" priority="645">
      <formula>DO112&gt;1</formula>
    </cfRule>
  </conditionalFormatting>
  <conditionalFormatting sqref="DL118">
    <cfRule type="expression" dxfId="665" priority="644">
      <formula>DO113&gt;1</formula>
    </cfRule>
  </conditionalFormatting>
  <conditionalFormatting sqref="DL119">
    <cfRule type="expression" dxfId="664" priority="643">
      <formula>DO114&gt;1</formula>
    </cfRule>
  </conditionalFormatting>
  <conditionalFormatting sqref="DJ117">
    <cfRule type="expression" dxfId="663" priority="642">
      <formula>DO117&gt;1</formula>
    </cfRule>
  </conditionalFormatting>
  <conditionalFormatting sqref="DJ118">
    <cfRule type="expression" dxfId="662" priority="641">
      <formula>DO118&gt;1</formula>
    </cfRule>
  </conditionalFormatting>
  <conditionalFormatting sqref="DJ119">
    <cfRule type="expression" dxfId="661" priority="640">
      <formula>DO119&gt;1</formula>
    </cfRule>
  </conditionalFormatting>
  <conditionalFormatting sqref="DJ121">
    <cfRule type="expression" dxfId="660" priority="639">
      <formula>DO121&gt;1</formula>
    </cfRule>
  </conditionalFormatting>
  <conditionalFormatting sqref="DJ122">
    <cfRule type="expression" dxfId="659" priority="638">
      <formula>DO122&gt;1</formula>
    </cfRule>
  </conditionalFormatting>
  <conditionalFormatting sqref="DL121">
    <cfRule type="expression" dxfId="658" priority="637">
      <formula>DO109&gt;1</formula>
    </cfRule>
  </conditionalFormatting>
  <conditionalFormatting sqref="DL122">
    <cfRule type="expression" dxfId="657" priority="636">
      <formula>DO110&gt;1</formula>
    </cfRule>
  </conditionalFormatting>
  <conditionalFormatting sqref="DJ124">
    <cfRule type="expression" dxfId="656" priority="635">
      <formula>DP124&gt;1</formula>
    </cfRule>
  </conditionalFormatting>
  <conditionalFormatting sqref="DL124">
    <cfRule type="expression" dxfId="655" priority="634">
      <formula>DO107&gt;1</formula>
    </cfRule>
  </conditionalFormatting>
  <conditionalFormatting sqref="DJ126">
    <cfRule type="expression" dxfId="654" priority="633">
      <formula>DP126&gt;1</formula>
    </cfRule>
  </conditionalFormatting>
  <conditionalFormatting sqref="DL126">
    <cfRule type="expression" dxfId="653" priority="632">
      <formula>DO108&gt;1</formula>
    </cfRule>
  </conditionalFormatting>
  <conditionalFormatting sqref="DJ107">
    <cfRule type="expression" dxfId="652" priority="631">
      <formula>$O$90&gt;1</formula>
    </cfRule>
  </conditionalFormatting>
  <conditionalFormatting sqref="DL107">
    <cfRule type="expression" dxfId="651" priority="630">
      <formula>$O$91&gt;1</formula>
    </cfRule>
  </conditionalFormatting>
  <conditionalFormatting sqref="DJ108">
    <cfRule type="expression" dxfId="650" priority="629">
      <formula>$O$92&gt;1</formula>
    </cfRule>
  </conditionalFormatting>
  <conditionalFormatting sqref="DJ109">
    <cfRule type="expression" dxfId="649" priority="628">
      <formula>$O$94&gt;1</formula>
    </cfRule>
  </conditionalFormatting>
  <conditionalFormatting sqref="DJ110">
    <cfRule type="expression" dxfId="648" priority="627">
      <formula>$O$96&gt;1</formula>
    </cfRule>
  </conditionalFormatting>
  <conditionalFormatting sqref="DJ111">
    <cfRule type="expression" dxfId="647" priority="626">
      <formula>$O$98&gt;1</formula>
    </cfRule>
  </conditionalFormatting>
  <conditionalFormatting sqref="DJ112">
    <cfRule type="expression" dxfId="646" priority="625">
      <formula>$O$100&gt;1</formula>
    </cfRule>
  </conditionalFormatting>
  <conditionalFormatting sqref="DJ113">
    <cfRule type="expression" dxfId="645" priority="624">
      <formula>$O$102&gt;1</formula>
    </cfRule>
  </conditionalFormatting>
  <conditionalFormatting sqref="DJ114">
    <cfRule type="expression" dxfId="644" priority="623">
      <formula>$O$104&gt;1</formula>
    </cfRule>
  </conditionalFormatting>
  <conditionalFormatting sqref="DL108">
    <cfRule type="expression" dxfId="643" priority="622">
      <formula>$O$93&gt;1</formula>
    </cfRule>
  </conditionalFormatting>
  <conditionalFormatting sqref="DL109">
    <cfRule type="expression" dxfId="642" priority="621">
      <formula>$O$95&gt;1</formula>
    </cfRule>
  </conditionalFormatting>
  <conditionalFormatting sqref="DL110">
    <cfRule type="expression" dxfId="641" priority="620">
      <formula>$O$97&gt;1</formula>
    </cfRule>
  </conditionalFormatting>
  <conditionalFormatting sqref="DL111">
    <cfRule type="expression" dxfId="640" priority="619">
      <formula>$O$99&gt;1</formula>
    </cfRule>
  </conditionalFormatting>
  <conditionalFormatting sqref="DL112">
    <cfRule type="expression" dxfId="639" priority="618">
      <formula>$O$101&gt;1</formula>
    </cfRule>
  </conditionalFormatting>
  <conditionalFormatting sqref="DL113">
    <cfRule type="expression" dxfId="638" priority="617">
      <formula>$O$103&gt;1</formula>
    </cfRule>
  </conditionalFormatting>
  <conditionalFormatting sqref="DL114">
    <cfRule type="expression" dxfId="637" priority="616">
      <formula>$O$105&gt;1</formula>
    </cfRule>
  </conditionalFormatting>
  <conditionalFormatting sqref="DW116">
    <cfRule type="expression" dxfId="636" priority="611">
      <formula>EB116&gt;1</formula>
    </cfRule>
  </conditionalFormatting>
  <conditionalFormatting sqref="DY116">
    <cfRule type="expression" dxfId="635" priority="610">
      <formula>EB111&gt;1</formula>
    </cfRule>
  </conditionalFormatting>
  <conditionalFormatting sqref="DY117">
    <cfRule type="expression" dxfId="634" priority="609">
      <formula>EB112&gt;1</formula>
    </cfRule>
  </conditionalFormatting>
  <conditionalFormatting sqref="DY118">
    <cfRule type="expression" dxfId="633" priority="608">
      <formula>EB113&gt;1</formula>
    </cfRule>
  </conditionalFormatting>
  <conditionalFormatting sqref="DY119">
    <cfRule type="expression" dxfId="632" priority="607">
      <formula>EB114&gt;1</formula>
    </cfRule>
  </conditionalFormatting>
  <conditionalFormatting sqref="DW117">
    <cfRule type="expression" dxfId="631" priority="606">
      <formula>EB117&gt;1</formula>
    </cfRule>
  </conditionalFormatting>
  <conditionalFormatting sqref="DW118">
    <cfRule type="expression" dxfId="630" priority="605">
      <formula>EB118&gt;1</formula>
    </cfRule>
  </conditionalFormatting>
  <conditionalFormatting sqref="DW119">
    <cfRule type="expression" dxfId="629" priority="604">
      <formula>EB119&gt;1</formula>
    </cfRule>
  </conditionalFormatting>
  <conditionalFormatting sqref="DW121">
    <cfRule type="expression" dxfId="628" priority="603">
      <formula>EB121&gt;1</formula>
    </cfRule>
  </conditionalFormatting>
  <conditionalFormatting sqref="DW122">
    <cfRule type="expression" dxfId="627" priority="602">
      <formula>EB122&gt;1</formula>
    </cfRule>
  </conditionalFormatting>
  <conditionalFormatting sqref="DY121">
    <cfRule type="expression" dxfId="626" priority="601">
      <formula>EB109&gt;1</formula>
    </cfRule>
  </conditionalFormatting>
  <conditionalFormatting sqref="DY122">
    <cfRule type="expression" dxfId="625" priority="600">
      <formula>EB110&gt;1</formula>
    </cfRule>
  </conditionalFormatting>
  <conditionalFormatting sqref="DW124">
    <cfRule type="expression" dxfId="624" priority="599">
      <formula>EC124&gt;1</formula>
    </cfRule>
  </conditionalFormatting>
  <conditionalFormatting sqref="DY124">
    <cfRule type="expression" dxfId="623" priority="598">
      <formula>EB107&gt;1</formula>
    </cfRule>
  </conditionalFormatting>
  <conditionalFormatting sqref="DW126">
    <cfRule type="expression" dxfId="622" priority="597">
      <formula>EC126&gt;1</formula>
    </cfRule>
  </conditionalFormatting>
  <conditionalFormatting sqref="DY126">
    <cfRule type="expression" dxfId="621" priority="596">
      <formula>EB108&gt;1</formula>
    </cfRule>
  </conditionalFormatting>
  <conditionalFormatting sqref="DW107">
    <cfRule type="expression" dxfId="620" priority="595">
      <formula>$O$90&gt;1</formula>
    </cfRule>
  </conditionalFormatting>
  <conditionalFormatting sqref="DY107">
    <cfRule type="expression" dxfId="619" priority="594">
      <formula>$O$91&gt;1</formula>
    </cfRule>
  </conditionalFormatting>
  <conditionalFormatting sqref="DW108">
    <cfRule type="expression" dxfId="618" priority="593">
      <formula>$O$92&gt;1</formula>
    </cfRule>
  </conditionalFormatting>
  <conditionalFormatting sqref="DW109">
    <cfRule type="expression" dxfId="617" priority="592">
      <formula>$O$94&gt;1</formula>
    </cfRule>
  </conditionalFormatting>
  <conditionalFormatting sqref="DW110">
    <cfRule type="expression" dxfId="616" priority="591">
      <formula>$O$96&gt;1</formula>
    </cfRule>
  </conditionalFormatting>
  <conditionalFormatting sqref="DW111">
    <cfRule type="expression" dxfId="615" priority="590">
      <formula>$O$98&gt;1</formula>
    </cfRule>
  </conditionalFormatting>
  <conditionalFormatting sqref="DW112">
    <cfRule type="expression" dxfId="614" priority="589">
      <formula>$O$100&gt;1</formula>
    </cfRule>
  </conditionalFormatting>
  <conditionalFormatting sqref="DW113">
    <cfRule type="expression" dxfId="613" priority="588">
      <formula>$O$102&gt;1</formula>
    </cfRule>
  </conditionalFormatting>
  <conditionalFormatting sqref="DW114">
    <cfRule type="expression" dxfId="612" priority="587">
      <formula>$O$104&gt;1</formula>
    </cfRule>
  </conditionalFormatting>
  <conditionalFormatting sqref="DY108">
    <cfRule type="expression" dxfId="611" priority="586">
      <formula>$O$93&gt;1</formula>
    </cfRule>
  </conditionalFormatting>
  <conditionalFormatting sqref="DY109">
    <cfRule type="expression" dxfId="610" priority="585">
      <formula>$O$95&gt;1</formula>
    </cfRule>
  </conditionalFormatting>
  <conditionalFormatting sqref="DY110">
    <cfRule type="expression" dxfId="609" priority="584">
      <formula>$O$97&gt;1</formula>
    </cfRule>
  </conditionalFormatting>
  <conditionalFormatting sqref="DY111">
    <cfRule type="expression" dxfId="608" priority="583">
      <formula>$O$99&gt;1</formula>
    </cfRule>
  </conditionalFormatting>
  <conditionalFormatting sqref="DY112">
    <cfRule type="expression" dxfId="607" priority="582">
      <formula>$O$101&gt;1</formula>
    </cfRule>
  </conditionalFormatting>
  <conditionalFormatting sqref="DY113">
    <cfRule type="expression" dxfId="606" priority="581">
      <formula>$O$103&gt;1</formula>
    </cfRule>
  </conditionalFormatting>
  <conditionalFormatting sqref="DY114">
    <cfRule type="expression" dxfId="605" priority="580">
      <formula>$O$105&gt;1</formula>
    </cfRule>
  </conditionalFormatting>
  <conditionalFormatting sqref="EJ116">
    <cfRule type="expression" dxfId="604" priority="575">
      <formula>EO116&gt;1</formula>
    </cfRule>
  </conditionalFormatting>
  <conditionalFormatting sqref="EL116">
    <cfRule type="expression" dxfId="603" priority="574">
      <formula>EO111&gt;1</formula>
    </cfRule>
  </conditionalFormatting>
  <conditionalFormatting sqref="EL117">
    <cfRule type="expression" dxfId="602" priority="573">
      <formula>EO112&gt;1</formula>
    </cfRule>
  </conditionalFormatting>
  <conditionalFormatting sqref="EL118">
    <cfRule type="expression" dxfId="601" priority="572">
      <formula>EO113&gt;1</formula>
    </cfRule>
  </conditionalFormatting>
  <conditionalFormatting sqref="EL119">
    <cfRule type="expression" dxfId="600" priority="571">
      <formula>EO114&gt;1</formula>
    </cfRule>
  </conditionalFormatting>
  <conditionalFormatting sqref="EJ117">
    <cfRule type="expression" dxfId="599" priority="570">
      <formula>EO117&gt;1</formula>
    </cfRule>
  </conditionalFormatting>
  <conditionalFormatting sqref="EJ118">
    <cfRule type="expression" dxfId="598" priority="569">
      <formula>EO118&gt;1</formula>
    </cfRule>
  </conditionalFormatting>
  <conditionalFormatting sqref="EJ119">
    <cfRule type="expression" dxfId="597" priority="568">
      <formula>EO119&gt;1</formula>
    </cfRule>
  </conditionalFormatting>
  <conditionalFormatting sqref="EJ121">
    <cfRule type="expression" dxfId="596" priority="567">
      <formula>EO121&gt;1</formula>
    </cfRule>
  </conditionalFormatting>
  <conditionalFormatting sqref="EJ122">
    <cfRule type="expression" dxfId="595" priority="566">
      <formula>EO122&gt;1</formula>
    </cfRule>
  </conditionalFormatting>
  <conditionalFormatting sqref="EL121">
    <cfRule type="expression" dxfId="594" priority="565">
      <formula>EO109&gt;1</formula>
    </cfRule>
  </conditionalFormatting>
  <conditionalFormatting sqref="EL122">
    <cfRule type="expression" dxfId="593" priority="564">
      <formula>EO110&gt;1</formula>
    </cfRule>
  </conditionalFormatting>
  <conditionalFormatting sqref="EJ124">
    <cfRule type="expression" dxfId="592" priority="563">
      <formula>EP124&gt;1</formula>
    </cfRule>
  </conditionalFormatting>
  <conditionalFormatting sqref="EL124">
    <cfRule type="expression" dxfId="591" priority="562">
      <formula>EO107&gt;1</formula>
    </cfRule>
  </conditionalFormatting>
  <conditionalFormatting sqref="EJ126">
    <cfRule type="expression" dxfId="590" priority="561">
      <formula>EP126&gt;1</formula>
    </cfRule>
  </conditionalFormatting>
  <conditionalFormatting sqref="EL126">
    <cfRule type="expression" dxfId="589" priority="560">
      <formula>EO108&gt;1</formula>
    </cfRule>
  </conditionalFormatting>
  <conditionalFormatting sqref="EJ107">
    <cfRule type="expression" dxfId="588" priority="559">
      <formula>$O$90&gt;1</formula>
    </cfRule>
  </conditionalFormatting>
  <conditionalFormatting sqref="EL107">
    <cfRule type="expression" dxfId="587" priority="558">
      <formula>$O$91&gt;1</formula>
    </cfRule>
  </conditionalFormatting>
  <conditionalFormatting sqref="EJ108">
    <cfRule type="expression" dxfId="586" priority="557">
      <formula>$O$92&gt;1</formula>
    </cfRule>
  </conditionalFormatting>
  <conditionalFormatting sqref="EJ109">
    <cfRule type="expression" dxfId="585" priority="556">
      <formula>$O$94&gt;1</formula>
    </cfRule>
  </conditionalFormatting>
  <conditionalFormatting sqref="EJ110">
    <cfRule type="expression" dxfId="584" priority="555">
      <formula>$O$96&gt;1</formula>
    </cfRule>
  </conditionalFormatting>
  <conditionalFormatting sqref="EJ111">
    <cfRule type="expression" dxfId="583" priority="554">
      <formula>$O$98&gt;1</formula>
    </cfRule>
  </conditionalFormatting>
  <conditionalFormatting sqref="EJ112">
    <cfRule type="expression" dxfId="582" priority="553">
      <formula>$O$100&gt;1</formula>
    </cfRule>
  </conditionalFormatting>
  <conditionalFormatting sqref="EJ113">
    <cfRule type="expression" dxfId="581" priority="552">
      <formula>$O$102&gt;1</formula>
    </cfRule>
  </conditionalFormatting>
  <conditionalFormatting sqref="EJ114">
    <cfRule type="expression" dxfId="580" priority="551">
      <formula>$O$104&gt;1</formula>
    </cfRule>
  </conditionalFormatting>
  <conditionalFormatting sqref="EL108">
    <cfRule type="expression" dxfId="579" priority="550">
      <formula>$O$93&gt;1</formula>
    </cfRule>
  </conditionalFormatting>
  <conditionalFormatting sqref="EL109">
    <cfRule type="expression" dxfId="578" priority="549">
      <formula>$O$95&gt;1</formula>
    </cfRule>
  </conditionalFormatting>
  <conditionalFormatting sqref="EL110">
    <cfRule type="expression" dxfId="577" priority="548">
      <formula>$O$97&gt;1</formula>
    </cfRule>
  </conditionalFormatting>
  <conditionalFormatting sqref="EL111">
    <cfRule type="expression" dxfId="576" priority="547">
      <formula>$O$99&gt;1</formula>
    </cfRule>
  </conditionalFormatting>
  <conditionalFormatting sqref="EL112">
    <cfRule type="expression" dxfId="575" priority="546">
      <formula>$O$101&gt;1</formula>
    </cfRule>
  </conditionalFormatting>
  <conditionalFormatting sqref="EL113">
    <cfRule type="expression" dxfId="574" priority="545">
      <formula>$O$103&gt;1</formula>
    </cfRule>
  </conditionalFormatting>
  <conditionalFormatting sqref="EL114">
    <cfRule type="expression" dxfId="573" priority="544">
      <formula>$O$105&gt;1</formula>
    </cfRule>
  </conditionalFormatting>
  <conditionalFormatting sqref="EW116">
    <cfRule type="expression" dxfId="572" priority="539">
      <formula>FB116&gt;1</formula>
    </cfRule>
  </conditionalFormatting>
  <conditionalFormatting sqref="EY116">
    <cfRule type="expression" dxfId="571" priority="538">
      <formula>FB111&gt;1</formula>
    </cfRule>
  </conditionalFormatting>
  <conditionalFormatting sqref="EY117">
    <cfRule type="expression" dxfId="570" priority="537">
      <formula>FB112&gt;1</formula>
    </cfRule>
  </conditionalFormatting>
  <conditionalFormatting sqref="EY118">
    <cfRule type="expression" dxfId="569" priority="536">
      <formula>FB113&gt;1</formula>
    </cfRule>
  </conditionalFormatting>
  <conditionalFormatting sqref="EY119">
    <cfRule type="expression" dxfId="568" priority="535">
      <formula>FB114&gt;1</formula>
    </cfRule>
  </conditionalFormatting>
  <conditionalFormatting sqref="EW117">
    <cfRule type="expression" dxfId="567" priority="534">
      <formula>FB117&gt;1</formula>
    </cfRule>
  </conditionalFormatting>
  <conditionalFormatting sqref="EW118">
    <cfRule type="expression" dxfId="566" priority="533">
      <formula>FB118&gt;1</formula>
    </cfRule>
  </conditionalFormatting>
  <conditionalFormatting sqref="EW119">
    <cfRule type="expression" dxfId="565" priority="532">
      <formula>FB119&gt;1</formula>
    </cfRule>
  </conditionalFormatting>
  <conditionalFormatting sqref="EW121">
    <cfRule type="expression" dxfId="564" priority="531">
      <formula>FB121&gt;1</formula>
    </cfRule>
  </conditionalFormatting>
  <conditionalFormatting sqref="EW122">
    <cfRule type="expression" dxfId="563" priority="530">
      <formula>FB122&gt;1</formula>
    </cfRule>
  </conditionalFormatting>
  <conditionalFormatting sqref="EY121">
    <cfRule type="expression" dxfId="562" priority="529">
      <formula>FB109&gt;1</formula>
    </cfRule>
  </conditionalFormatting>
  <conditionalFormatting sqref="EY122">
    <cfRule type="expression" dxfId="561" priority="528">
      <formula>FB110&gt;1</formula>
    </cfRule>
  </conditionalFormatting>
  <conditionalFormatting sqref="EW124">
    <cfRule type="expression" dxfId="560" priority="527">
      <formula>FC124&gt;1</formula>
    </cfRule>
  </conditionalFormatting>
  <conditionalFormatting sqref="EY124">
    <cfRule type="expression" dxfId="559" priority="526">
      <formula>FB107&gt;1</formula>
    </cfRule>
  </conditionalFormatting>
  <conditionalFormatting sqref="EW126">
    <cfRule type="expression" dxfId="558" priority="525">
      <formula>FC126&gt;1</formula>
    </cfRule>
  </conditionalFormatting>
  <conditionalFormatting sqref="EY126">
    <cfRule type="expression" dxfId="557" priority="524">
      <formula>FB108&gt;1</formula>
    </cfRule>
  </conditionalFormatting>
  <conditionalFormatting sqref="EW107">
    <cfRule type="expression" dxfId="556" priority="523">
      <formula>$O$90&gt;1</formula>
    </cfRule>
  </conditionalFormatting>
  <conditionalFormatting sqref="EY107">
    <cfRule type="expression" dxfId="555" priority="522">
      <formula>$O$91&gt;1</formula>
    </cfRule>
  </conditionalFormatting>
  <conditionalFormatting sqref="EW108">
    <cfRule type="expression" dxfId="554" priority="521">
      <formula>$O$92&gt;1</formula>
    </cfRule>
  </conditionalFormatting>
  <conditionalFormatting sqref="EW109">
    <cfRule type="expression" dxfId="553" priority="520">
      <formula>$O$94&gt;1</formula>
    </cfRule>
  </conditionalFormatting>
  <conditionalFormatting sqref="EW110">
    <cfRule type="expression" dxfId="552" priority="519">
      <formula>$O$96&gt;1</formula>
    </cfRule>
  </conditionalFormatting>
  <conditionalFormatting sqref="EW111">
    <cfRule type="expression" dxfId="551" priority="518">
      <formula>$O$98&gt;1</formula>
    </cfRule>
  </conditionalFormatting>
  <conditionalFormatting sqref="EW112">
    <cfRule type="expression" dxfId="550" priority="517">
      <formula>$O$100&gt;1</formula>
    </cfRule>
  </conditionalFormatting>
  <conditionalFormatting sqref="EW113">
    <cfRule type="expression" dxfId="549" priority="516">
      <formula>$O$102&gt;1</formula>
    </cfRule>
  </conditionalFormatting>
  <conditionalFormatting sqref="EW114">
    <cfRule type="expression" dxfId="548" priority="515">
      <formula>$O$104&gt;1</formula>
    </cfRule>
  </conditionalFormatting>
  <conditionalFormatting sqref="EY108">
    <cfRule type="expression" dxfId="547" priority="514">
      <formula>$O$93&gt;1</formula>
    </cfRule>
  </conditionalFormatting>
  <conditionalFormatting sqref="EY109">
    <cfRule type="expression" dxfId="546" priority="513">
      <formula>$O$95&gt;1</formula>
    </cfRule>
  </conditionalFormatting>
  <conditionalFormatting sqref="EY110">
    <cfRule type="expression" dxfId="545" priority="512">
      <formula>$O$97&gt;1</formula>
    </cfRule>
  </conditionalFormatting>
  <conditionalFormatting sqref="EY111">
    <cfRule type="expression" dxfId="544" priority="511">
      <formula>$O$99&gt;1</formula>
    </cfRule>
  </conditionalFormatting>
  <conditionalFormatting sqref="EY112">
    <cfRule type="expression" dxfId="543" priority="510">
      <formula>$O$101&gt;1</formula>
    </cfRule>
  </conditionalFormatting>
  <conditionalFormatting sqref="EY113">
    <cfRule type="expression" dxfId="542" priority="509">
      <formula>$O$103&gt;1</formula>
    </cfRule>
  </conditionalFormatting>
  <conditionalFormatting sqref="EY114">
    <cfRule type="expression" dxfId="541" priority="508">
      <formula>$O$105&gt;1</formula>
    </cfRule>
  </conditionalFormatting>
  <conditionalFormatting sqref="FJ116">
    <cfRule type="expression" dxfId="540" priority="503">
      <formula>FO116&gt;1</formula>
    </cfRule>
  </conditionalFormatting>
  <conditionalFormatting sqref="FL116">
    <cfRule type="expression" dxfId="539" priority="502">
      <formula>FO111&gt;1</formula>
    </cfRule>
  </conditionalFormatting>
  <conditionalFormatting sqref="FL117">
    <cfRule type="expression" dxfId="538" priority="501">
      <formula>FO112&gt;1</formula>
    </cfRule>
  </conditionalFormatting>
  <conditionalFormatting sqref="FL118">
    <cfRule type="expression" dxfId="537" priority="500">
      <formula>FO113&gt;1</formula>
    </cfRule>
  </conditionalFormatting>
  <conditionalFormatting sqref="FL119">
    <cfRule type="expression" dxfId="536" priority="499">
      <formula>FO114&gt;1</formula>
    </cfRule>
  </conditionalFormatting>
  <conditionalFormatting sqref="FJ117">
    <cfRule type="expression" dxfId="535" priority="498">
      <formula>FO117&gt;1</formula>
    </cfRule>
  </conditionalFormatting>
  <conditionalFormatting sqref="FJ118">
    <cfRule type="expression" dxfId="534" priority="497">
      <formula>FO118&gt;1</formula>
    </cfRule>
  </conditionalFormatting>
  <conditionalFormatting sqref="FJ119">
    <cfRule type="expression" dxfId="533" priority="496">
      <formula>FO119&gt;1</formula>
    </cfRule>
  </conditionalFormatting>
  <conditionalFormatting sqref="FJ121">
    <cfRule type="expression" dxfId="532" priority="495">
      <formula>FO121&gt;1</formula>
    </cfRule>
  </conditionalFormatting>
  <conditionalFormatting sqref="FJ122">
    <cfRule type="expression" dxfId="531" priority="494">
      <formula>FO122&gt;1</formula>
    </cfRule>
  </conditionalFormatting>
  <conditionalFormatting sqref="FL121">
    <cfRule type="expression" dxfId="530" priority="493">
      <formula>FO109&gt;1</formula>
    </cfRule>
  </conditionalFormatting>
  <conditionalFormatting sqref="FL122">
    <cfRule type="expression" dxfId="529" priority="492">
      <formula>FO110&gt;1</formula>
    </cfRule>
  </conditionalFormatting>
  <conditionalFormatting sqref="FJ124">
    <cfRule type="expression" dxfId="528" priority="491">
      <formula>FP124&gt;1</formula>
    </cfRule>
  </conditionalFormatting>
  <conditionalFormatting sqref="FL124">
    <cfRule type="expression" dxfId="527" priority="490">
      <formula>FO107&gt;1</formula>
    </cfRule>
  </conditionalFormatting>
  <conditionalFormatting sqref="FJ126">
    <cfRule type="expression" dxfId="526" priority="489">
      <formula>FP126&gt;1</formula>
    </cfRule>
  </conditionalFormatting>
  <conditionalFormatting sqref="FL126">
    <cfRule type="expression" dxfId="525" priority="488">
      <formula>FO108&gt;1</formula>
    </cfRule>
  </conditionalFormatting>
  <conditionalFormatting sqref="FJ107">
    <cfRule type="expression" dxfId="524" priority="487">
      <formula>$O$90&gt;1</formula>
    </cfRule>
  </conditionalFormatting>
  <conditionalFormatting sqref="FL107">
    <cfRule type="expression" dxfId="523" priority="486">
      <formula>$O$91&gt;1</formula>
    </cfRule>
  </conditionalFormatting>
  <conditionalFormatting sqref="FJ108">
    <cfRule type="expression" dxfId="522" priority="485">
      <formula>$O$92&gt;1</formula>
    </cfRule>
  </conditionalFormatting>
  <conditionalFormatting sqref="FJ109">
    <cfRule type="expression" dxfId="521" priority="484">
      <formula>$O$94&gt;1</formula>
    </cfRule>
  </conditionalFormatting>
  <conditionalFormatting sqref="FJ110">
    <cfRule type="expression" dxfId="520" priority="483">
      <formula>$O$96&gt;1</formula>
    </cfRule>
  </conditionalFormatting>
  <conditionalFormatting sqref="FJ111">
    <cfRule type="expression" dxfId="519" priority="482">
      <formula>$O$98&gt;1</formula>
    </cfRule>
  </conditionalFormatting>
  <conditionalFormatting sqref="FJ112">
    <cfRule type="expression" dxfId="518" priority="481">
      <formula>$O$100&gt;1</formula>
    </cfRule>
  </conditionalFormatting>
  <conditionalFormatting sqref="FJ113">
    <cfRule type="expression" dxfId="517" priority="480">
      <formula>$O$102&gt;1</formula>
    </cfRule>
  </conditionalFormatting>
  <conditionalFormatting sqref="FJ114">
    <cfRule type="expression" dxfId="516" priority="479">
      <formula>$O$104&gt;1</formula>
    </cfRule>
  </conditionalFormatting>
  <conditionalFormatting sqref="FL108">
    <cfRule type="expression" dxfId="515" priority="478">
      <formula>$O$93&gt;1</formula>
    </cfRule>
  </conditionalFormatting>
  <conditionalFormatting sqref="FL109">
    <cfRule type="expression" dxfId="514" priority="477">
      <formula>$O$95&gt;1</formula>
    </cfRule>
  </conditionalFormatting>
  <conditionalFormatting sqref="FL110">
    <cfRule type="expression" dxfId="513" priority="476">
      <formula>$O$97&gt;1</formula>
    </cfRule>
  </conditionalFormatting>
  <conditionalFormatting sqref="FL111">
    <cfRule type="expression" dxfId="512" priority="475">
      <formula>$O$99&gt;1</formula>
    </cfRule>
  </conditionalFormatting>
  <conditionalFormatting sqref="FL112">
    <cfRule type="expression" dxfId="511" priority="474">
      <formula>$O$101&gt;1</formula>
    </cfRule>
  </conditionalFormatting>
  <conditionalFormatting sqref="FL113">
    <cfRule type="expression" dxfId="510" priority="473">
      <formula>$O$103&gt;1</formula>
    </cfRule>
  </conditionalFormatting>
  <conditionalFormatting sqref="FL114">
    <cfRule type="expression" dxfId="509" priority="472">
      <formula>$O$105&gt;1</formula>
    </cfRule>
  </conditionalFormatting>
  <conditionalFormatting sqref="FW116">
    <cfRule type="expression" dxfId="508" priority="467">
      <formula>GB116&gt;1</formula>
    </cfRule>
  </conditionalFormatting>
  <conditionalFormatting sqref="FY116">
    <cfRule type="expression" dxfId="507" priority="466">
      <formula>GB111&gt;1</formula>
    </cfRule>
  </conditionalFormatting>
  <conditionalFormatting sqref="FY117">
    <cfRule type="expression" dxfId="506" priority="465">
      <formula>GB112&gt;1</formula>
    </cfRule>
  </conditionalFormatting>
  <conditionalFormatting sqref="FY118">
    <cfRule type="expression" dxfId="505" priority="464">
      <formula>GB113&gt;1</formula>
    </cfRule>
  </conditionalFormatting>
  <conditionalFormatting sqref="FY119">
    <cfRule type="expression" dxfId="504" priority="463">
      <formula>GB114&gt;1</formula>
    </cfRule>
  </conditionalFormatting>
  <conditionalFormatting sqref="FW117">
    <cfRule type="expression" dxfId="503" priority="462">
      <formula>GB117&gt;1</formula>
    </cfRule>
  </conditionalFormatting>
  <conditionalFormatting sqref="FW118">
    <cfRule type="expression" dxfId="502" priority="461">
      <formula>GB118&gt;1</formula>
    </cfRule>
  </conditionalFormatting>
  <conditionalFormatting sqref="FW119">
    <cfRule type="expression" dxfId="501" priority="460">
      <formula>GB119&gt;1</formula>
    </cfRule>
  </conditionalFormatting>
  <conditionalFormatting sqref="FW121">
    <cfRule type="expression" dxfId="500" priority="459">
      <formula>GB121&gt;1</formula>
    </cfRule>
  </conditionalFormatting>
  <conditionalFormatting sqref="FW122">
    <cfRule type="expression" dxfId="499" priority="458">
      <formula>GB122&gt;1</formula>
    </cfRule>
  </conditionalFormatting>
  <conditionalFormatting sqref="FY121">
    <cfRule type="expression" dxfId="498" priority="457">
      <formula>GB109&gt;1</formula>
    </cfRule>
  </conditionalFormatting>
  <conditionalFormatting sqref="FY122">
    <cfRule type="expression" dxfId="497" priority="456">
      <formula>GB110&gt;1</formula>
    </cfRule>
  </conditionalFormatting>
  <conditionalFormatting sqref="FW124">
    <cfRule type="expression" dxfId="496" priority="455">
      <formula>GC124&gt;1</formula>
    </cfRule>
  </conditionalFormatting>
  <conditionalFormatting sqref="FY124">
    <cfRule type="expression" dxfId="495" priority="454">
      <formula>GB107&gt;1</formula>
    </cfRule>
  </conditionalFormatting>
  <conditionalFormatting sqref="FW126">
    <cfRule type="expression" dxfId="494" priority="453">
      <formula>GC126&gt;1</formula>
    </cfRule>
  </conditionalFormatting>
  <conditionalFormatting sqref="FY126">
    <cfRule type="expression" dxfId="493" priority="452">
      <formula>GB108&gt;1</formula>
    </cfRule>
  </conditionalFormatting>
  <conditionalFormatting sqref="FW107">
    <cfRule type="expression" dxfId="492" priority="451">
      <formula>$O$90&gt;1</formula>
    </cfRule>
  </conditionalFormatting>
  <conditionalFormatting sqref="FY107">
    <cfRule type="expression" dxfId="491" priority="450">
      <formula>$O$91&gt;1</formula>
    </cfRule>
  </conditionalFormatting>
  <conditionalFormatting sqref="FW108">
    <cfRule type="expression" dxfId="490" priority="449">
      <formula>$O$92&gt;1</formula>
    </cfRule>
  </conditionalFormatting>
  <conditionalFormatting sqref="FW109">
    <cfRule type="expression" dxfId="489" priority="448">
      <formula>$O$94&gt;1</formula>
    </cfRule>
  </conditionalFormatting>
  <conditionalFormatting sqref="FW110">
    <cfRule type="expression" dxfId="488" priority="447">
      <formula>$O$96&gt;1</formula>
    </cfRule>
  </conditionalFormatting>
  <conditionalFormatting sqref="FW111">
    <cfRule type="expression" dxfId="487" priority="446">
      <formula>$O$98&gt;1</formula>
    </cfRule>
  </conditionalFormatting>
  <conditionalFormatting sqref="FW112">
    <cfRule type="expression" dxfId="486" priority="445">
      <formula>$O$100&gt;1</formula>
    </cfRule>
  </conditionalFormatting>
  <conditionalFormatting sqref="FW113">
    <cfRule type="expression" dxfId="485" priority="444">
      <formula>$O$102&gt;1</formula>
    </cfRule>
  </conditionalFormatting>
  <conditionalFormatting sqref="FW114">
    <cfRule type="expression" dxfId="484" priority="443">
      <formula>$O$104&gt;1</formula>
    </cfRule>
  </conditionalFormatting>
  <conditionalFormatting sqref="FY108">
    <cfRule type="expression" dxfId="483" priority="442">
      <formula>$O$93&gt;1</formula>
    </cfRule>
  </conditionalFormatting>
  <conditionalFormatting sqref="FY109">
    <cfRule type="expression" dxfId="482" priority="441">
      <formula>$O$95&gt;1</formula>
    </cfRule>
  </conditionalFormatting>
  <conditionalFormatting sqref="FY110">
    <cfRule type="expression" dxfId="481" priority="440">
      <formula>$O$97&gt;1</formula>
    </cfRule>
  </conditionalFormatting>
  <conditionalFormatting sqref="FY111">
    <cfRule type="expression" dxfId="480" priority="439">
      <formula>$O$99&gt;1</formula>
    </cfRule>
  </conditionalFormatting>
  <conditionalFormatting sqref="FY112">
    <cfRule type="expression" dxfId="479" priority="438">
      <formula>$O$101&gt;1</formula>
    </cfRule>
  </conditionalFormatting>
  <conditionalFormatting sqref="FY113">
    <cfRule type="expression" dxfId="478" priority="437">
      <formula>$O$103&gt;1</formula>
    </cfRule>
  </conditionalFormatting>
  <conditionalFormatting sqref="FY114">
    <cfRule type="expression" dxfId="477" priority="436">
      <formula>$O$105&gt;1</formula>
    </cfRule>
  </conditionalFormatting>
  <conditionalFormatting sqref="GJ116">
    <cfRule type="expression" dxfId="476" priority="431">
      <formula>GO116&gt;1</formula>
    </cfRule>
  </conditionalFormatting>
  <conditionalFormatting sqref="GL116">
    <cfRule type="expression" dxfId="475" priority="430">
      <formula>GO111&gt;1</formula>
    </cfRule>
  </conditionalFormatting>
  <conditionalFormatting sqref="GL117">
    <cfRule type="expression" dxfId="474" priority="429">
      <formula>GO112&gt;1</formula>
    </cfRule>
  </conditionalFormatting>
  <conditionalFormatting sqref="GL118">
    <cfRule type="expression" dxfId="473" priority="428">
      <formula>GO113&gt;1</formula>
    </cfRule>
  </conditionalFormatting>
  <conditionalFormatting sqref="GL119">
    <cfRule type="expression" dxfId="472" priority="427">
      <formula>GO114&gt;1</formula>
    </cfRule>
  </conditionalFormatting>
  <conditionalFormatting sqref="GJ117">
    <cfRule type="expression" dxfId="471" priority="426">
      <formula>GO117&gt;1</formula>
    </cfRule>
  </conditionalFormatting>
  <conditionalFormatting sqref="GJ118">
    <cfRule type="expression" dxfId="470" priority="425">
      <formula>GO118&gt;1</formula>
    </cfRule>
  </conditionalFormatting>
  <conditionalFormatting sqref="GJ119">
    <cfRule type="expression" dxfId="469" priority="424">
      <formula>GO119&gt;1</formula>
    </cfRule>
  </conditionalFormatting>
  <conditionalFormatting sqref="GJ121">
    <cfRule type="expression" dxfId="468" priority="423">
      <formula>GO121&gt;1</formula>
    </cfRule>
  </conditionalFormatting>
  <conditionalFormatting sqref="GJ122">
    <cfRule type="expression" dxfId="467" priority="422">
      <formula>GO122&gt;1</formula>
    </cfRule>
  </conditionalFormatting>
  <conditionalFormatting sqref="GL121">
    <cfRule type="expression" dxfId="466" priority="421">
      <formula>GO109&gt;1</formula>
    </cfRule>
  </conditionalFormatting>
  <conditionalFormatting sqref="GL122">
    <cfRule type="expression" dxfId="465" priority="420">
      <formula>GO110&gt;1</formula>
    </cfRule>
  </conditionalFormatting>
  <conditionalFormatting sqref="GJ124">
    <cfRule type="expression" dxfId="464" priority="419">
      <formula>GP124&gt;1</formula>
    </cfRule>
  </conditionalFormatting>
  <conditionalFormatting sqref="GL124">
    <cfRule type="expression" dxfId="463" priority="418">
      <formula>GO107&gt;1</formula>
    </cfRule>
  </conditionalFormatting>
  <conditionalFormatting sqref="GJ126">
    <cfRule type="expression" dxfId="462" priority="417">
      <formula>GP126&gt;1</formula>
    </cfRule>
  </conditionalFormatting>
  <conditionalFormatting sqref="GL126">
    <cfRule type="expression" dxfId="461" priority="416">
      <formula>GO108&gt;1</formula>
    </cfRule>
  </conditionalFormatting>
  <conditionalFormatting sqref="GJ107">
    <cfRule type="expression" dxfId="460" priority="415">
      <formula>$O$90&gt;1</formula>
    </cfRule>
  </conditionalFormatting>
  <conditionalFormatting sqref="GL107">
    <cfRule type="expression" dxfId="459" priority="414">
      <formula>$O$91&gt;1</formula>
    </cfRule>
  </conditionalFormatting>
  <conditionalFormatting sqref="GJ108">
    <cfRule type="expression" dxfId="458" priority="413">
      <formula>$O$92&gt;1</formula>
    </cfRule>
  </conditionalFormatting>
  <conditionalFormatting sqref="GJ109">
    <cfRule type="expression" dxfId="457" priority="412">
      <formula>$O$94&gt;1</formula>
    </cfRule>
  </conditionalFormatting>
  <conditionalFormatting sqref="GJ110">
    <cfRule type="expression" dxfId="456" priority="411">
      <formula>$O$96&gt;1</formula>
    </cfRule>
  </conditionalFormatting>
  <conditionalFormatting sqref="GJ111">
    <cfRule type="expression" dxfId="455" priority="410">
      <formula>$O$98&gt;1</formula>
    </cfRule>
  </conditionalFormatting>
  <conditionalFormatting sqref="GJ112">
    <cfRule type="expression" dxfId="454" priority="409">
      <formula>$O$100&gt;1</formula>
    </cfRule>
  </conditionalFormatting>
  <conditionalFormatting sqref="GJ113">
    <cfRule type="expression" dxfId="453" priority="408">
      <formula>$O$102&gt;1</formula>
    </cfRule>
  </conditionalFormatting>
  <conditionalFormatting sqref="GJ114">
    <cfRule type="expression" dxfId="452" priority="407">
      <formula>$O$104&gt;1</formula>
    </cfRule>
  </conditionalFormatting>
  <conditionalFormatting sqref="GL108">
    <cfRule type="expression" dxfId="451" priority="406">
      <formula>$O$93&gt;1</formula>
    </cfRule>
  </conditionalFormatting>
  <conditionalFormatting sqref="GL109">
    <cfRule type="expression" dxfId="450" priority="405">
      <formula>$O$95&gt;1</formula>
    </cfRule>
  </conditionalFormatting>
  <conditionalFormatting sqref="GL110">
    <cfRule type="expression" dxfId="449" priority="404">
      <formula>$O$97&gt;1</formula>
    </cfRule>
  </conditionalFormatting>
  <conditionalFormatting sqref="GL111">
    <cfRule type="expression" dxfId="448" priority="403">
      <formula>$O$99&gt;1</formula>
    </cfRule>
  </conditionalFormatting>
  <conditionalFormatting sqref="GL112">
    <cfRule type="expression" dxfId="447" priority="402">
      <formula>$O$101&gt;1</formula>
    </cfRule>
  </conditionalFormatting>
  <conditionalFormatting sqref="GL113">
    <cfRule type="expression" dxfId="446" priority="401">
      <formula>$O$103&gt;1</formula>
    </cfRule>
  </conditionalFormatting>
  <conditionalFormatting sqref="GL114">
    <cfRule type="expression" dxfId="445" priority="400">
      <formula>$O$105&gt;1</formula>
    </cfRule>
  </conditionalFormatting>
  <conditionalFormatting sqref="GW116">
    <cfRule type="expression" dxfId="444" priority="395">
      <formula>HB116&gt;1</formula>
    </cfRule>
  </conditionalFormatting>
  <conditionalFormatting sqref="GY116">
    <cfRule type="expression" dxfId="443" priority="394">
      <formula>HB111&gt;1</formula>
    </cfRule>
  </conditionalFormatting>
  <conditionalFormatting sqref="GY117">
    <cfRule type="expression" dxfId="442" priority="393">
      <formula>HB112&gt;1</formula>
    </cfRule>
  </conditionalFormatting>
  <conditionalFormatting sqref="GY118">
    <cfRule type="expression" dxfId="441" priority="392">
      <formula>HB113&gt;1</formula>
    </cfRule>
  </conditionalFormatting>
  <conditionalFormatting sqref="GY119">
    <cfRule type="expression" dxfId="440" priority="391">
      <formula>HB114&gt;1</formula>
    </cfRule>
  </conditionalFormatting>
  <conditionalFormatting sqref="GW117">
    <cfRule type="expression" dxfId="439" priority="390">
      <formula>HB117&gt;1</formula>
    </cfRule>
  </conditionalFormatting>
  <conditionalFormatting sqref="GW118">
    <cfRule type="expression" dxfId="438" priority="389">
      <formula>HB118&gt;1</formula>
    </cfRule>
  </conditionalFormatting>
  <conditionalFormatting sqref="GW119">
    <cfRule type="expression" dxfId="437" priority="388">
      <formula>HB119&gt;1</formula>
    </cfRule>
  </conditionalFormatting>
  <conditionalFormatting sqref="GW121">
    <cfRule type="expression" dxfId="436" priority="387">
      <formula>HB121&gt;1</formula>
    </cfRule>
  </conditionalFormatting>
  <conditionalFormatting sqref="GW122">
    <cfRule type="expression" dxfId="435" priority="386">
      <formula>HB122&gt;1</formula>
    </cfRule>
  </conditionalFormatting>
  <conditionalFormatting sqref="GY121">
    <cfRule type="expression" dxfId="434" priority="385">
      <formula>HB109&gt;1</formula>
    </cfRule>
  </conditionalFormatting>
  <conditionalFormatting sqref="GY122">
    <cfRule type="expression" dxfId="433" priority="384">
      <formula>HB110&gt;1</formula>
    </cfRule>
  </conditionalFormatting>
  <conditionalFormatting sqref="GW124">
    <cfRule type="expression" dxfId="432" priority="383">
      <formula>HC124&gt;1</formula>
    </cfRule>
  </conditionalFormatting>
  <conditionalFormatting sqref="GY124">
    <cfRule type="expression" dxfId="431" priority="382">
      <formula>HB107&gt;1</formula>
    </cfRule>
  </conditionalFormatting>
  <conditionalFormatting sqref="GW126">
    <cfRule type="expression" dxfId="430" priority="381">
      <formula>HC126&gt;1</formula>
    </cfRule>
  </conditionalFormatting>
  <conditionalFormatting sqref="GY126">
    <cfRule type="expression" dxfId="429" priority="380">
      <formula>HB108&gt;1</formula>
    </cfRule>
  </conditionalFormatting>
  <conditionalFormatting sqref="GW107">
    <cfRule type="expression" dxfId="428" priority="379">
      <formula>$O$90&gt;1</formula>
    </cfRule>
  </conditionalFormatting>
  <conditionalFormatting sqref="GY107">
    <cfRule type="expression" dxfId="427" priority="378">
      <formula>$O$91&gt;1</formula>
    </cfRule>
  </conditionalFormatting>
  <conditionalFormatting sqref="GW108">
    <cfRule type="expression" dxfId="426" priority="377">
      <formula>$O$92&gt;1</formula>
    </cfRule>
  </conditionalFormatting>
  <conditionalFormatting sqref="GW109">
    <cfRule type="expression" dxfId="425" priority="376">
      <formula>$O$94&gt;1</formula>
    </cfRule>
  </conditionalFormatting>
  <conditionalFormatting sqref="GW110">
    <cfRule type="expression" dxfId="424" priority="375">
      <formula>$O$96&gt;1</formula>
    </cfRule>
  </conditionalFormatting>
  <conditionalFormatting sqref="GW111">
    <cfRule type="expression" dxfId="423" priority="374">
      <formula>$O$98&gt;1</formula>
    </cfRule>
  </conditionalFormatting>
  <conditionalFormatting sqref="GW112">
    <cfRule type="expression" dxfId="422" priority="373">
      <formula>$O$100&gt;1</formula>
    </cfRule>
  </conditionalFormatting>
  <conditionalFormatting sqref="GW113">
    <cfRule type="expression" dxfId="421" priority="372">
      <formula>$O$102&gt;1</formula>
    </cfRule>
  </conditionalFormatting>
  <conditionalFormatting sqref="GW114">
    <cfRule type="expression" dxfId="420" priority="371">
      <formula>$O$104&gt;1</formula>
    </cfRule>
  </conditionalFormatting>
  <conditionalFormatting sqref="GY108">
    <cfRule type="expression" dxfId="419" priority="370">
      <formula>$O$93&gt;1</formula>
    </cfRule>
  </conditionalFormatting>
  <conditionalFormatting sqref="GY109">
    <cfRule type="expression" dxfId="418" priority="369">
      <formula>$O$95&gt;1</formula>
    </cfRule>
  </conditionalFormatting>
  <conditionalFormatting sqref="GY110">
    <cfRule type="expression" dxfId="417" priority="368">
      <formula>$O$97&gt;1</formula>
    </cfRule>
  </conditionalFormatting>
  <conditionalFormatting sqref="GY111">
    <cfRule type="expression" dxfId="416" priority="367">
      <formula>$O$99&gt;1</formula>
    </cfRule>
  </conditionalFormatting>
  <conditionalFormatting sqref="GY112">
    <cfRule type="expression" dxfId="415" priority="366">
      <formula>$O$101&gt;1</formula>
    </cfRule>
  </conditionalFormatting>
  <conditionalFormatting sqref="GY113">
    <cfRule type="expression" dxfId="414" priority="365">
      <formula>$O$103&gt;1</formula>
    </cfRule>
  </conditionalFormatting>
  <conditionalFormatting sqref="GY114">
    <cfRule type="expression" dxfId="413" priority="364">
      <formula>$O$105&gt;1</formula>
    </cfRule>
  </conditionalFormatting>
  <conditionalFormatting sqref="HJ116">
    <cfRule type="expression" dxfId="412" priority="359">
      <formula>HO116&gt;1</formula>
    </cfRule>
  </conditionalFormatting>
  <conditionalFormatting sqref="HL116">
    <cfRule type="expression" dxfId="411" priority="358">
      <formula>HO111&gt;1</formula>
    </cfRule>
  </conditionalFormatting>
  <conditionalFormatting sqref="HL117">
    <cfRule type="expression" dxfId="410" priority="357">
      <formula>HO112&gt;1</formula>
    </cfRule>
  </conditionalFormatting>
  <conditionalFormatting sqref="HL118">
    <cfRule type="expression" dxfId="409" priority="356">
      <formula>HO113&gt;1</formula>
    </cfRule>
  </conditionalFormatting>
  <conditionalFormatting sqref="HL119">
    <cfRule type="expression" dxfId="408" priority="355">
      <formula>HO114&gt;1</formula>
    </cfRule>
  </conditionalFormatting>
  <conditionalFormatting sqref="HJ117">
    <cfRule type="expression" dxfId="407" priority="354">
      <formula>HO117&gt;1</formula>
    </cfRule>
  </conditionalFormatting>
  <conditionalFormatting sqref="HJ118">
    <cfRule type="expression" dxfId="406" priority="353">
      <formula>HO118&gt;1</formula>
    </cfRule>
  </conditionalFormatting>
  <conditionalFormatting sqref="HJ119">
    <cfRule type="expression" dxfId="405" priority="352">
      <formula>HO119&gt;1</formula>
    </cfRule>
  </conditionalFormatting>
  <conditionalFormatting sqref="HJ121">
    <cfRule type="expression" dxfId="404" priority="351">
      <formula>HO121&gt;1</formula>
    </cfRule>
  </conditionalFormatting>
  <conditionalFormatting sqref="HJ122">
    <cfRule type="expression" dxfId="403" priority="350">
      <formula>HO122&gt;1</formula>
    </cfRule>
  </conditionalFormatting>
  <conditionalFormatting sqref="HL121">
    <cfRule type="expression" dxfId="402" priority="349">
      <formula>HO109&gt;1</formula>
    </cfRule>
  </conditionalFormatting>
  <conditionalFormatting sqref="HL122">
    <cfRule type="expression" dxfId="401" priority="348">
      <formula>HO110&gt;1</formula>
    </cfRule>
  </conditionalFormatting>
  <conditionalFormatting sqref="HJ124">
    <cfRule type="expression" dxfId="400" priority="347">
      <formula>HP124&gt;1</formula>
    </cfRule>
  </conditionalFormatting>
  <conditionalFormatting sqref="HL124">
    <cfRule type="expression" dxfId="399" priority="346">
      <formula>HO107&gt;1</formula>
    </cfRule>
  </conditionalFormatting>
  <conditionalFormatting sqref="HJ126">
    <cfRule type="expression" dxfId="398" priority="345">
      <formula>HP126&gt;1</formula>
    </cfRule>
  </conditionalFormatting>
  <conditionalFormatting sqref="HL126">
    <cfRule type="expression" dxfId="397" priority="344">
      <formula>HO108&gt;1</formula>
    </cfRule>
  </conditionalFormatting>
  <conditionalFormatting sqref="HJ107">
    <cfRule type="expression" dxfId="396" priority="343">
      <formula>$O$90&gt;1</formula>
    </cfRule>
  </conditionalFormatting>
  <conditionalFormatting sqref="HL107">
    <cfRule type="expression" dxfId="395" priority="342">
      <formula>$O$91&gt;1</formula>
    </cfRule>
  </conditionalFormatting>
  <conditionalFormatting sqref="HJ108">
    <cfRule type="expression" dxfId="394" priority="341">
      <formula>$O$92&gt;1</formula>
    </cfRule>
  </conditionalFormatting>
  <conditionalFormatting sqref="HJ109">
    <cfRule type="expression" dxfId="393" priority="340">
      <formula>$O$94&gt;1</formula>
    </cfRule>
  </conditionalFormatting>
  <conditionalFormatting sqref="HJ110">
    <cfRule type="expression" dxfId="392" priority="339">
      <formula>$O$96&gt;1</formula>
    </cfRule>
  </conditionalFormatting>
  <conditionalFormatting sqref="HJ111">
    <cfRule type="expression" dxfId="391" priority="338">
      <formula>$O$98&gt;1</formula>
    </cfRule>
  </conditionalFormatting>
  <conditionalFormatting sqref="HJ112">
    <cfRule type="expression" dxfId="390" priority="337">
      <formula>$O$100&gt;1</formula>
    </cfRule>
  </conditionalFormatting>
  <conditionalFormatting sqref="HJ113">
    <cfRule type="expression" dxfId="389" priority="336">
      <formula>$O$102&gt;1</formula>
    </cfRule>
  </conditionalFormatting>
  <conditionalFormatting sqref="HJ114">
    <cfRule type="expression" dxfId="388" priority="335">
      <formula>$O$104&gt;1</formula>
    </cfRule>
  </conditionalFormatting>
  <conditionalFormatting sqref="HL108">
    <cfRule type="expression" dxfId="387" priority="334">
      <formula>$O$93&gt;1</formula>
    </cfRule>
  </conditionalFormatting>
  <conditionalFormatting sqref="HL109">
    <cfRule type="expression" dxfId="386" priority="333">
      <formula>$O$95&gt;1</formula>
    </cfRule>
  </conditionalFormatting>
  <conditionalFormatting sqref="HL110">
    <cfRule type="expression" dxfId="385" priority="332">
      <formula>$O$97&gt;1</formula>
    </cfRule>
  </conditionalFormatting>
  <conditionalFormatting sqref="HL111">
    <cfRule type="expression" dxfId="384" priority="331">
      <formula>$O$99&gt;1</formula>
    </cfRule>
  </conditionalFormatting>
  <conditionalFormatting sqref="HL112">
    <cfRule type="expression" dxfId="383" priority="330">
      <formula>$O$101&gt;1</formula>
    </cfRule>
  </conditionalFormatting>
  <conditionalFormatting sqref="HL113">
    <cfRule type="expression" dxfId="382" priority="329">
      <formula>$O$103&gt;1</formula>
    </cfRule>
  </conditionalFormatting>
  <conditionalFormatting sqref="HL114">
    <cfRule type="expression" dxfId="381" priority="328">
      <formula>$O$105&gt;1</formula>
    </cfRule>
  </conditionalFormatting>
  <conditionalFormatting sqref="HW116">
    <cfRule type="expression" dxfId="380" priority="323">
      <formula>IB116&gt;1</formula>
    </cfRule>
  </conditionalFormatting>
  <conditionalFormatting sqref="HY116">
    <cfRule type="expression" dxfId="379" priority="322">
      <formula>IB111&gt;1</formula>
    </cfRule>
  </conditionalFormatting>
  <conditionalFormatting sqref="HY117">
    <cfRule type="expression" dxfId="378" priority="321">
      <formula>IB112&gt;1</formula>
    </cfRule>
  </conditionalFormatting>
  <conditionalFormatting sqref="HY118">
    <cfRule type="expression" dxfId="377" priority="320">
      <formula>IB113&gt;1</formula>
    </cfRule>
  </conditionalFormatting>
  <conditionalFormatting sqref="HY119">
    <cfRule type="expression" dxfId="376" priority="319">
      <formula>IB114&gt;1</formula>
    </cfRule>
  </conditionalFormatting>
  <conditionalFormatting sqref="HW117">
    <cfRule type="expression" dxfId="375" priority="318">
      <formula>IB117&gt;1</formula>
    </cfRule>
  </conditionalFormatting>
  <conditionalFormatting sqref="HW118">
    <cfRule type="expression" dxfId="374" priority="317">
      <formula>IB118&gt;1</formula>
    </cfRule>
  </conditionalFormatting>
  <conditionalFormatting sqref="HW119">
    <cfRule type="expression" dxfId="373" priority="316">
      <formula>IB119&gt;1</formula>
    </cfRule>
  </conditionalFormatting>
  <conditionalFormatting sqref="HW121">
    <cfRule type="expression" dxfId="372" priority="315">
      <formula>IB121&gt;1</formula>
    </cfRule>
  </conditionalFormatting>
  <conditionalFormatting sqref="HW122">
    <cfRule type="expression" dxfId="371" priority="314">
      <formula>IB122&gt;1</formula>
    </cfRule>
  </conditionalFormatting>
  <conditionalFormatting sqref="HY121">
    <cfRule type="expression" dxfId="370" priority="313">
      <formula>IB109&gt;1</formula>
    </cfRule>
  </conditionalFormatting>
  <conditionalFormatting sqref="HY122">
    <cfRule type="expression" dxfId="369" priority="312">
      <formula>IB110&gt;1</formula>
    </cfRule>
  </conditionalFormatting>
  <conditionalFormatting sqref="HW124">
    <cfRule type="expression" dxfId="368" priority="311">
      <formula>IC124&gt;1</formula>
    </cfRule>
  </conditionalFormatting>
  <conditionalFormatting sqref="HY124">
    <cfRule type="expression" dxfId="367" priority="310">
      <formula>IB107&gt;1</formula>
    </cfRule>
  </conditionalFormatting>
  <conditionalFormatting sqref="HW126">
    <cfRule type="expression" dxfId="366" priority="309">
      <formula>IC126&gt;1</formula>
    </cfRule>
  </conditionalFormatting>
  <conditionalFormatting sqref="HY126">
    <cfRule type="expression" dxfId="365" priority="308">
      <formula>IB108&gt;1</formula>
    </cfRule>
  </conditionalFormatting>
  <conditionalFormatting sqref="HW107">
    <cfRule type="expression" dxfId="364" priority="307">
      <formula>$O$90&gt;1</formula>
    </cfRule>
  </conditionalFormatting>
  <conditionalFormatting sqref="HY107">
    <cfRule type="expression" dxfId="363" priority="306">
      <formula>$O$91&gt;1</formula>
    </cfRule>
  </conditionalFormatting>
  <conditionalFormatting sqref="HW108">
    <cfRule type="expression" dxfId="362" priority="305">
      <formula>$O$92&gt;1</formula>
    </cfRule>
  </conditionalFormatting>
  <conditionalFormatting sqref="HW109">
    <cfRule type="expression" dxfId="361" priority="304">
      <formula>$O$94&gt;1</formula>
    </cfRule>
  </conditionalFormatting>
  <conditionalFormatting sqref="HW110">
    <cfRule type="expression" dxfId="360" priority="303">
      <formula>$O$96&gt;1</formula>
    </cfRule>
  </conditionalFormatting>
  <conditionalFormatting sqref="HW111">
    <cfRule type="expression" dxfId="359" priority="302">
      <formula>$O$98&gt;1</formula>
    </cfRule>
  </conditionalFormatting>
  <conditionalFormatting sqref="HW112">
    <cfRule type="expression" dxfId="358" priority="301">
      <formula>$O$100&gt;1</formula>
    </cfRule>
  </conditionalFormatting>
  <conditionalFormatting sqref="HW113">
    <cfRule type="expression" dxfId="357" priority="300">
      <formula>$O$102&gt;1</formula>
    </cfRule>
  </conditionalFormatting>
  <conditionalFormatting sqref="HW114">
    <cfRule type="expression" dxfId="356" priority="299">
      <formula>$O$104&gt;1</formula>
    </cfRule>
  </conditionalFormatting>
  <conditionalFormatting sqref="HY108">
    <cfRule type="expression" dxfId="355" priority="298">
      <formula>$O$93&gt;1</formula>
    </cfRule>
  </conditionalFormatting>
  <conditionalFormatting sqref="HY109">
    <cfRule type="expression" dxfId="354" priority="297">
      <formula>$O$95&gt;1</formula>
    </cfRule>
  </conditionalFormatting>
  <conditionalFormatting sqref="HY110">
    <cfRule type="expression" dxfId="353" priority="296">
      <formula>$O$97&gt;1</formula>
    </cfRule>
  </conditionalFormatting>
  <conditionalFormatting sqref="HY111">
    <cfRule type="expression" dxfId="352" priority="295">
      <formula>$O$99&gt;1</formula>
    </cfRule>
  </conditionalFormatting>
  <conditionalFormatting sqref="HY112">
    <cfRule type="expression" dxfId="351" priority="294">
      <formula>$O$101&gt;1</formula>
    </cfRule>
  </conditionalFormatting>
  <conditionalFormatting sqref="HY113">
    <cfRule type="expression" dxfId="350" priority="293">
      <formula>$O$103&gt;1</formula>
    </cfRule>
  </conditionalFormatting>
  <conditionalFormatting sqref="HY114">
    <cfRule type="expression" dxfId="349" priority="292">
      <formula>$O$105&gt;1</formula>
    </cfRule>
  </conditionalFormatting>
  <conditionalFormatting sqref="IJ116">
    <cfRule type="expression" dxfId="348" priority="287">
      <formula>IO116&gt;1</formula>
    </cfRule>
  </conditionalFormatting>
  <conditionalFormatting sqref="IL116">
    <cfRule type="expression" dxfId="347" priority="286">
      <formula>IO111&gt;1</formula>
    </cfRule>
  </conditionalFormatting>
  <conditionalFormatting sqref="IL117">
    <cfRule type="expression" dxfId="346" priority="285">
      <formula>IO112&gt;1</formula>
    </cfRule>
  </conditionalFormatting>
  <conditionalFormatting sqref="IL118">
    <cfRule type="expression" dxfId="345" priority="284">
      <formula>IO113&gt;1</formula>
    </cfRule>
  </conditionalFormatting>
  <conditionalFormatting sqref="IL119">
    <cfRule type="expression" dxfId="344" priority="283">
      <formula>IO114&gt;1</formula>
    </cfRule>
  </conditionalFormatting>
  <conditionalFormatting sqref="IJ117">
    <cfRule type="expression" dxfId="343" priority="282">
      <formula>IO117&gt;1</formula>
    </cfRule>
  </conditionalFormatting>
  <conditionalFormatting sqref="IJ118">
    <cfRule type="expression" dxfId="342" priority="281">
      <formula>IO118&gt;1</formula>
    </cfRule>
  </conditionalFormatting>
  <conditionalFormatting sqref="IJ119">
    <cfRule type="expression" dxfId="341" priority="280">
      <formula>IO119&gt;1</formula>
    </cfRule>
  </conditionalFormatting>
  <conditionalFormatting sqref="IJ121">
    <cfRule type="expression" dxfId="340" priority="279">
      <formula>IO121&gt;1</formula>
    </cfRule>
  </conditionalFormatting>
  <conditionalFormatting sqref="IJ122">
    <cfRule type="expression" dxfId="339" priority="278">
      <formula>IO122&gt;1</formula>
    </cfRule>
  </conditionalFormatting>
  <conditionalFormatting sqref="IL121">
    <cfRule type="expression" dxfId="338" priority="277">
      <formula>IO109&gt;1</formula>
    </cfRule>
  </conditionalFormatting>
  <conditionalFormatting sqref="IL122">
    <cfRule type="expression" dxfId="337" priority="276">
      <formula>IO110&gt;1</formula>
    </cfRule>
  </conditionalFormatting>
  <conditionalFormatting sqref="IJ124">
    <cfRule type="expression" dxfId="336" priority="275">
      <formula>IP124&gt;1</formula>
    </cfRule>
  </conditionalFormatting>
  <conditionalFormatting sqref="IL124">
    <cfRule type="expression" dxfId="335" priority="274">
      <formula>IO107&gt;1</formula>
    </cfRule>
  </conditionalFormatting>
  <conditionalFormatting sqref="IJ126">
    <cfRule type="expression" dxfId="334" priority="273">
      <formula>IP126&gt;1</formula>
    </cfRule>
  </conditionalFormatting>
  <conditionalFormatting sqref="IL126">
    <cfRule type="expression" dxfId="333" priority="272">
      <formula>IO108&gt;1</formula>
    </cfRule>
  </conditionalFormatting>
  <conditionalFormatting sqref="IJ107">
    <cfRule type="expression" dxfId="332" priority="271">
      <formula>$O$90&gt;1</formula>
    </cfRule>
  </conditionalFormatting>
  <conditionalFormatting sqref="IL107">
    <cfRule type="expression" dxfId="331" priority="270">
      <formula>$O$91&gt;1</formula>
    </cfRule>
  </conditionalFormatting>
  <conditionalFormatting sqref="IJ108">
    <cfRule type="expression" dxfId="330" priority="269">
      <formula>$O$92&gt;1</formula>
    </cfRule>
  </conditionalFormatting>
  <conditionalFormatting sqref="IJ109">
    <cfRule type="expression" dxfId="329" priority="268">
      <formula>$O$94&gt;1</formula>
    </cfRule>
  </conditionalFormatting>
  <conditionalFormatting sqref="IJ110">
    <cfRule type="expression" dxfId="328" priority="267">
      <formula>$O$96&gt;1</formula>
    </cfRule>
  </conditionalFormatting>
  <conditionalFormatting sqref="IJ111">
    <cfRule type="expression" dxfId="327" priority="266">
      <formula>$O$98&gt;1</formula>
    </cfRule>
  </conditionalFormatting>
  <conditionalFormatting sqref="IJ112">
    <cfRule type="expression" dxfId="326" priority="265">
      <formula>$O$100&gt;1</formula>
    </cfRule>
  </conditionalFormatting>
  <conditionalFormatting sqref="IJ113">
    <cfRule type="expression" dxfId="325" priority="264">
      <formula>$O$102&gt;1</formula>
    </cfRule>
  </conditionalFormatting>
  <conditionalFormatting sqref="IJ114">
    <cfRule type="expression" dxfId="324" priority="263">
      <formula>$O$104&gt;1</formula>
    </cfRule>
  </conditionalFormatting>
  <conditionalFormatting sqref="IL108">
    <cfRule type="expression" dxfId="323" priority="262">
      <formula>$O$93&gt;1</formula>
    </cfRule>
  </conditionalFormatting>
  <conditionalFormatting sqref="IL109">
    <cfRule type="expression" dxfId="322" priority="261">
      <formula>$O$95&gt;1</formula>
    </cfRule>
  </conditionalFormatting>
  <conditionalFormatting sqref="IL110">
    <cfRule type="expression" dxfId="321" priority="260">
      <formula>$O$97&gt;1</formula>
    </cfRule>
  </conditionalFormatting>
  <conditionalFormatting sqref="IL111">
    <cfRule type="expression" dxfId="320" priority="259">
      <formula>$O$99&gt;1</formula>
    </cfRule>
  </conditionalFormatting>
  <conditionalFormatting sqref="IL112">
    <cfRule type="expression" dxfId="319" priority="258">
      <formula>$O$101&gt;1</formula>
    </cfRule>
  </conditionalFormatting>
  <conditionalFormatting sqref="IL113">
    <cfRule type="expression" dxfId="318" priority="257">
      <formula>$O$103&gt;1</formula>
    </cfRule>
  </conditionalFormatting>
  <conditionalFormatting sqref="IL114">
    <cfRule type="expression" dxfId="317" priority="256">
      <formula>$O$105&gt;1</formula>
    </cfRule>
  </conditionalFormatting>
  <conditionalFormatting sqref="IW116">
    <cfRule type="expression" dxfId="316" priority="251">
      <formula>JB116&gt;1</formula>
    </cfRule>
  </conditionalFormatting>
  <conditionalFormatting sqref="IY116">
    <cfRule type="expression" dxfId="315" priority="250">
      <formula>JB111&gt;1</formula>
    </cfRule>
  </conditionalFormatting>
  <conditionalFormatting sqref="IY117">
    <cfRule type="expression" dxfId="314" priority="249">
      <formula>JB112&gt;1</formula>
    </cfRule>
  </conditionalFormatting>
  <conditionalFormatting sqref="IY118">
    <cfRule type="expression" dxfId="313" priority="248">
      <formula>JB113&gt;1</formula>
    </cfRule>
  </conditionalFormatting>
  <conditionalFormatting sqref="IY119">
    <cfRule type="expression" dxfId="312" priority="247">
      <formula>JB114&gt;1</formula>
    </cfRule>
  </conditionalFormatting>
  <conditionalFormatting sqref="IW117">
    <cfRule type="expression" dxfId="311" priority="246">
      <formula>JB117&gt;1</formula>
    </cfRule>
  </conditionalFormatting>
  <conditionalFormatting sqref="IW118">
    <cfRule type="expression" dxfId="310" priority="245">
      <formula>JB118&gt;1</formula>
    </cfRule>
  </conditionalFormatting>
  <conditionalFormatting sqref="IW119">
    <cfRule type="expression" dxfId="309" priority="244">
      <formula>JB119&gt;1</formula>
    </cfRule>
  </conditionalFormatting>
  <conditionalFormatting sqref="IW121">
    <cfRule type="expression" dxfId="308" priority="243">
      <formula>JB121&gt;1</formula>
    </cfRule>
  </conditionalFormatting>
  <conditionalFormatting sqref="IW122">
    <cfRule type="expression" dxfId="307" priority="242">
      <formula>JB122&gt;1</formula>
    </cfRule>
  </conditionalFormatting>
  <conditionalFormatting sqref="IY121">
    <cfRule type="expression" dxfId="306" priority="241">
      <formula>JB109&gt;1</formula>
    </cfRule>
  </conditionalFormatting>
  <conditionalFormatting sqref="IY122">
    <cfRule type="expression" dxfId="305" priority="240">
      <formula>JB110&gt;1</formula>
    </cfRule>
  </conditionalFormatting>
  <conditionalFormatting sqref="IW124">
    <cfRule type="expression" dxfId="304" priority="239">
      <formula>JC124&gt;1</formula>
    </cfRule>
  </conditionalFormatting>
  <conditionalFormatting sqref="IY124">
    <cfRule type="expression" dxfId="303" priority="238">
      <formula>JB107&gt;1</formula>
    </cfRule>
  </conditionalFormatting>
  <conditionalFormatting sqref="IW126">
    <cfRule type="expression" dxfId="302" priority="237">
      <formula>JC126&gt;1</formula>
    </cfRule>
  </conditionalFormatting>
  <conditionalFormatting sqref="IY126">
    <cfRule type="expression" dxfId="301" priority="236">
      <formula>JB108&gt;1</formula>
    </cfRule>
  </conditionalFormatting>
  <conditionalFormatting sqref="IW107">
    <cfRule type="expression" dxfId="300" priority="235">
      <formula>$O$90&gt;1</formula>
    </cfRule>
  </conditionalFormatting>
  <conditionalFormatting sqref="IY107">
    <cfRule type="expression" dxfId="299" priority="234">
      <formula>$O$91&gt;1</formula>
    </cfRule>
  </conditionalFormatting>
  <conditionalFormatting sqref="IW108">
    <cfRule type="expression" dxfId="298" priority="233">
      <formula>$O$92&gt;1</formula>
    </cfRule>
  </conditionalFormatting>
  <conditionalFormatting sqref="IW109">
    <cfRule type="expression" dxfId="297" priority="232">
      <formula>$O$94&gt;1</formula>
    </cfRule>
  </conditionalFormatting>
  <conditionalFormatting sqref="IW110">
    <cfRule type="expression" dxfId="296" priority="231">
      <formula>$O$96&gt;1</formula>
    </cfRule>
  </conditionalFormatting>
  <conditionalFormatting sqref="IW111">
    <cfRule type="expression" dxfId="295" priority="230">
      <formula>$O$98&gt;1</formula>
    </cfRule>
  </conditionalFormatting>
  <conditionalFormatting sqref="IW112">
    <cfRule type="expression" dxfId="294" priority="229">
      <formula>$O$100&gt;1</formula>
    </cfRule>
  </conditionalFormatting>
  <conditionalFormatting sqref="IW113">
    <cfRule type="expression" dxfId="293" priority="228">
      <formula>$O$102&gt;1</formula>
    </cfRule>
  </conditionalFormatting>
  <conditionalFormatting sqref="IW114">
    <cfRule type="expression" dxfId="292" priority="227">
      <formula>$O$104&gt;1</formula>
    </cfRule>
  </conditionalFormatting>
  <conditionalFormatting sqref="IY108">
    <cfRule type="expression" dxfId="291" priority="226">
      <formula>$O$93&gt;1</formula>
    </cfRule>
  </conditionalFormatting>
  <conditionalFormatting sqref="IY109">
    <cfRule type="expression" dxfId="290" priority="225">
      <formula>$O$95&gt;1</formula>
    </cfRule>
  </conditionalFormatting>
  <conditionalFormatting sqref="IY110">
    <cfRule type="expression" dxfId="289" priority="224">
      <formula>$O$97&gt;1</formula>
    </cfRule>
  </conditionalFormatting>
  <conditionalFormatting sqref="IY111">
    <cfRule type="expression" dxfId="288" priority="223">
      <formula>$O$99&gt;1</formula>
    </cfRule>
  </conditionalFormatting>
  <conditionalFormatting sqref="IY112">
    <cfRule type="expression" dxfId="287" priority="222">
      <formula>$O$101&gt;1</formula>
    </cfRule>
  </conditionalFormatting>
  <conditionalFormatting sqref="IY113">
    <cfRule type="expression" dxfId="286" priority="221">
      <formula>$O$103&gt;1</formula>
    </cfRule>
  </conditionalFormatting>
  <conditionalFormatting sqref="IY114">
    <cfRule type="expression" dxfId="285" priority="220">
      <formula>$O$105&gt;1</formula>
    </cfRule>
  </conditionalFormatting>
  <conditionalFormatting sqref="JJ116">
    <cfRule type="expression" dxfId="284" priority="215">
      <formula>JO116&gt;1</formula>
    </cfRule>
  </conditionalFormatting>
  <conditionalFormatting sqref="JL116">
    <cfRule type="expression" dxfId="283" priority="214">
      <formula>JO111&gt;1</formula>
    </cfRule>
  </conditionalFormatting>
  <conditionalFormatting sqref="JL117">
    <cfRule type="expression" dxfId="282" priority="213">
      <formula>JO112&gt;1</formula>
    </cfRule>
  </conditionalFormatting>
  <conditionalFormatting sqref="JL118">
    <cfRule type="expression" dxfId="281" priority="212">
      <formula>JO113&gt;1</formula>
    </cfRule>
  </conditionalFormatting>
  <conditionalFormatting sqref="JL119">
    <cfRule type="expression" dxfId="280" priority="211">
      <formula>JO114&gt;1</formula>
    </cfRule>
  </conditionalFormatting>
  <conditionalFormatting sqref="JJ117">
    <cfRule type="expression" dxfId="279" priority="210">
      <formula>JO117&gt;1</formula>
    </cfRule>
  </conditionalFormatting>
  <conditionalFormatting sqref="JJ118">
    <cfRule type="expression" dxfId="278" priority="209">
      <formula>JO118&gt;1</formula>
    </cfRule>
  </conditionalFormatting>
  <conditionalFormatting sqref="JJ119">
    <cfRule type="expression" dxfId="277" priority="208">
      <formula>JO119&gt;1</formula>
    </cfRule>
  </conditionalFormatting>
  <conditionalFormatting sqref="JJ121">
    <cfRule type="expression" dxfId="276" priority="207">
      <formula>JO121&gt;1</formula>
    </cfRule>
  </conditionalFormatting>
  <conditionalFormatting sqref="JJ122">
    <cfRule type="expression" dxfId="275" priority="206">
      <formula>JO122&gt;1</formula>
    </cfRule>
  </conditionalFormatting>
  <conditionalFormatting sqref="JL121">
    <cfRule type="expression" dxfId="274" priority="205">
      <formula>JO109&gt;1</formula>
    </cfRule>
  </conditionalFormatting>
  <conditionalFormatting sqref="JL122">
    <cfRule type="expression" dxfId="273" priority="204">
      <formula>JO110&gt;1</formula>
    </cfRule>
  </conditionalFormatting>
  <conditionalFormatting sqref="JJ124">
    <cfRule type="expression" dxfId="272" priority="203">
      <formula>JP124&gt;1</formula>
    </cfRule>
  </conditionalFormatting>
  <conditionalFormatting sqref="JL124">
    <cfRule type="expression" dxfId="271" priority="202">
      <formula>JO107&gt;1</formula>
    </cfRule>
  </conditionalFormatting>
  <conditionalFormatting sqref="JJ126">
    <cfRule type="expression" dxfId="270" priority="201">
      <formula>JP126&gt;1</formula>
    </cfRule>
  </conditionalFormatting>
  <conditionalFormatting sqref="JL126">
    <cfRule type="expression" dxfId="269" priority="200">
      <formula>JO108&gt;1</formula>
    </cfRule>
  </conditionalFormatting>
  <conditionalFormatting sqref="JJ107">
    <cfRule type="expression" dxfId="268" priority="199">
      <formula>$O$90&gt;1</formula>
    </cfRule>
  </conditionalFormatting>
  <conditionalFormatting sqref="JL107">
    <cfRule type="expression" dxfId="267" priority="198">
      <formula>$O$91&gt;1</formula>
    </cfRule>
  </conditionalFormatting>
  <conditionalFormatting sqref="JJ108">
    <cfRule type="expression" dxfId="266" priority="197">
      <formula>$O$92&gt;1</formula>
    </cfRule>
  </conditionalFormatting>
  <conditionalFormatting sqref="JJ109">
    <cfRule type="expression" dxfId="265" priority="196">
      <formula>$O$94&gt;1</formula>
    </cfRule>
  </conditionalFormatting>
  <conditionalFormatting sqref="JJ110">
    <cfRule type="expression" dxfId="264" priority="195">
      <formula>$O$96&gt;1</formula>
    </cfRule>
  </conditionalFormatting>
  <conditionalFormatting sqref="JJ111">
    <cfRule type="expression" dxfId="263" priority="194">
      <formula>$O$98&gt;1</formula>
    </cfRule>
  </conditionalFormatting>
  <conditionalFormatting sqref="JJ112">
    <cfRule type="expression" dxfId="262" priority="193">
      <formula>$O$100&gt;1</formula>
    </cfRule>
  </conditionalFormatting>
  <conditionalFormatting sqref="JJ113">
    <cfRule type="expression" dxfId="261" priority="192">
      <formula>$O$102&gt;1</formula>
    </cfRule>
  </conditionalFormatting>
  <conditionalFormatting sqref="JJ114">
    <cfRule type="expression" dxfId="260" priority="191">
      <formula>$O$104&gt;1</formula>
    </cfRule>
  </conditionalFormatting>
  <conditionalFormatting sqref="JL108">
    <cfRule type="expression" dxfId="259" priority="190">
      <formula>$O$93&gt;1</formula>
    </cfRule>
  </conditionalFormatting>
  <conditionalFormatting sqref="JL109">
    <cfRule type="expression" dxfId="258" priority="189">
      <formula>$O$95&gt;1</formula>
    </cfRule>
  </conditionalFormatting>
  <conditionalFormatting sqref="JL110">
    <cfRule type="expression" dxfId="257" priority="188">
      <formula>$O$97&gt;1</formula>
    </cfRule>
  </conditionalFormatting>
  <conditionalFormatting sqref="JL111">
    <cfRule type="expression" dxfId="256" priority="187">
      <formula>$O$99&gt;1</formula>
    </cfRule>
  </conditionalFormatting>
  <conditionalFormatting sqref="JL112">
    <cfRule type="expression" dxfId="255" priority="186">
      <formula>$O$101&gt;1</formula>
    </cfRule>
  </conditionalFormatting>
  <conditionalFormatting sqref="JL113">
    <cfRule type="expression" dxfId="254" priority="185">
      <formula>$O$103&gt;1</formula>
    </cfRule>
  </conditionalFormatting>
  <conditionalFormatting sqref="JL114">
    <cfRule type="expression" dxfId="253" priority="184">
      <formula>$O$105&gt;1</formula>
    </cfRule>
  </conditionalFormatting>
  <conditionalFormatting sqref="JW116">
    <cfRule type="expression" dxfId="252" priority="179">
      <formula>KB116&gt;1</formula>
    </cfRule>
  </conditionalFormatting>
  <conditionalFormatting sqref="JY116">
    <cfRule type="expression" dxfId="251" priority="178">
      <formula>KB111&gt;1</formula>
    </cfRule>
  </conditionalFormatting>
  <conditionalFormatting sqref="JY117">
    <cfRule type="expression" dxfId="250" priority="177">
      <formula>KB112&gt;1</formula>
    </cfRule>
  </conditionalFormatting>
  <conditionalFormatting sqref="JY118">
    <cfRule type="expression" dxfId="249" priority="176">
      <formula>KB113&gt;1</formula>
    </cfRule>
  </conditionalFormatting>
  <conditionalFormatting sqref="JY119">
    <cfRule type="expression" dxfId="248" priority="175">
      <formula>KB114&gt;1</formula>
    </cfRule>
  </conditionalFormatting>
  <conditionalFormatting sqref="JW117">
    <cfRule type="expression" dxfId="247" priority="174">
      <formula>KB117&gt;1</formula>
    </cfRule>
  </conditionalFormatting>
  <conditionalFormatting sqref="JW118">
    <cfRule type="expression" dxfId="246" priority="173">
      <formula>KB118&gt;1</formula>
    </cfRule>
  </conditionalFormatting>
  <conditionalFormatting sqref="JW119">
    <cfRule type="expression" dxfId="245" priority="172">
      <formula>KB119&gt;1</formula>
    </cfRule>
  </conditionalFormatting>
  <conditionalFormatting sqref="JW121">
    <cfRule type="expression" dxfId="244" priority="171">
      <formula>KB121&gt;1</formula>
    </cfRule>
  </conditionalFormatting>
  <conditionalFormatting sqref="JW122">
    <cfRule type="expression" dxfId="243" priority="170">
      <formula>KB122&gt;1</formula>
    </cfRule>
  </conditionalFormatting>
  <conditionalFormatting sqref="JY121">
    <cfRule type="expression" dxfId="242" priority="169">
      <formula>KB109&gt;1</formula>
    </cfRule>
  </conditionalFormatting>
  <conditionalFormatting sqref="JY122">
    <cfRule type="expression" dxfId="241" priority="168">
      <formula>KB110&gt;1</formula>
    </cfRule>
  </conditionalFormatting>
  <conditionalFormatting sqref="JW124">
    <cfRule type="expression" dxfId="240" priority="167">
      <formula>KC124&gt;1</formula>
    </cfRule>
  </conditionalFormatting>
  <conditionalFormatting sqref="JY124">
    <cfRule type="expression" dxfId="239" priority="166">
      <formula>KB107&gt;1</formula>
    </cfRule>
  </conditionalFormatting>
  <conditionalFormatting sqref="JW126">
    <cfRule type="expression" dxfId="238" priority="165">
      <formula>KC126&gt;1</formula>
    </cfRule>
  </conditionalFormatting>
  <conditionalFormatting sqref="JY126">
    <cfRule type="expression" dxfId="237" priority="164">
      <formula>KB108&gt;1</formula>
    </cfRule>
  </conditionalFormatting>
  <conditionalFormatting sqref="JW107">
    <cfRule type="expression" dxfId="236" priority="163">
      <formula>$O$90&gt;1</formula>
    </cfRule>
  </conditionalFormatting>
  <conditionalFormatting sqref="JY107">
    <cfRule type="expression" dxfId="235" priority="162">
      <formula>$O$91&gt;1</formula>
    </cfRule>
  </conditionalFormatting>
  <conditionalFormatting sqref="JW108">
    <cfRule type="expression" dxfId="234" priority="161">
      <formula>$O$92&gt;1</formula>
    </cfRule>
  </conditionalFormatting>
  <conditionalFormatting sqref="JW109">
    <cfRule type="expression" dxfId="233" priority="160">
      <formula>$O$94&gt;1</formula>
    </cfRule>
  </conditionalFormatting>
  <conditionalFormatting sqref="JW110">
    <cfRule type="expression" dxfId="232" priority="159">
      <formula>$O$96&gt;1</formula>
    </cfRule>
  </conditionalFormatting>
  <conditionalFormatting sqref="JW111">
    <cfRule type="expression" dxfId="231" priority="158">
      <formula>$O$98&gt;1</formula>
    </cfRule>
  </conditionalFormatting>
  <conditionalFormatting sqref="JW112">
    <cfRule type="expression" dxfId="230" priority="157">
      <formula>$O$100&gt;1</formula>
    </cfRule>
  </conditionalFormatting>
  <conditionalFormatting sqref="JW113">
    <cfRule type="expression" dxfId="229" priority="156">
      <formula>$O$102&gt;1</formula>
    </cfRule>
  </conditionalFormatting>
  <conditionalFormatting sqref="JW114">
    <cfRule type="expression" dxfId="228" priority="155">
      <formula>$O$104&gt;1</formula>
    </cfRule>
  </conditionalFormatting>
  <conditionalFormatting sqref="JY108">
    <cfRule type="expression" dxfId="227" priority="154">
      <formula>$O$93&gt;1</formula>
    </cfRule>
  </conditionalFormatting>
  <conditionalFormatting sqref="JY109">
    <cfRule type="expression" dxfId="226" priority="153">
      <formula>$O$95&gt;1</formula>
    </cfRule>
  </conditionalFormatting>
  <conditionalFormatting sqref="JY110">
    <cfRule type="expression" dxfId="225" priority="152">
      <formula>$O$97&gt;1</formula>
    </cfRule>
  </conditionalFormatting>
  <conditionalFormatting sqref="JY111">
    <cfRule type="expression" dxfId="224" priority="151">
      <formula>$O$99&gt;1</formula>
    </cfRule>
  </conditionalFormatting>
  <conditionalFormatting sqref="JY112">
    <cfRule type="expression" dxfId="223" priority="150">
      <formula>$O$101&gt;1</formula>
    </cfRule>
  </conditionalFormatting>
  <conditionalFormatting sqref="JY113">
    <cfRule type="expression" dxfId="222" priority="149">
      <formula>$O$103&gt;1</formula>
    </cfRule>
  </conditionalFormatting>
  <conditionalFormatting sqref="JY114">
    <cfRule type="expression" dxfId="221" priority="148">
      <formula>$O$105&gt;1</formula>
    </cfRule>
  </conditionalFormatting>
  <conditionalFormatting sqref="KJ116">
    <cfRule type="expression" dxfId="220" priority="143">
      <formula>KO116&gt;1</formula>
    </cfRule>
  </conditionalFormatting>
  <conditionalFormatting sqref="KL116">
    <cfRule type="expression" dxfId="219" priority="142">
      <formula>KO111&gt;1</formula>
    </cfRule>
  </conditionalFormatting>
  <conditionalFormatting sqref="KL117">
    <cfRule type="expression" dxfId="218" priority="141">
      <formula>KO112&gt;1</formula>
    </cfRule>
  </conditionalFormatting>
  <conditionalFormatting sqref="KL118">
    <cfRule type="expression" dxfId="217" priority="140">
      <formula>KO113&gt;1</formula>
    </cfRule>
  </conditionalFormatting>
  <conditionalFormatting sqref="KL119">
    <cfRule type="expression" dxfId="216" priority="139">
      <formula>KO114&gt;1</formula>
    </cfRule>
  </conditionalFormatting>
  <conditionalFormatting sqref="KJ117">
    <cfRule type="expression" dxfId="215" priority="138">
      <formula>KO117&gt;1</formula>
    </cfRule>
  </conditionalFormatting>
  <conditionalFormatting sqref="KJ118">
    <cfRule type="expression" dxfId="214" priority="137">
      <formula>KO118&gt;1</formula>
    </cfRule>
  </conditionalFormatting>
  <conditionalFormatting sqref="KJ119">
    <cfRule type="expression" dxfId="213" priority="136">
      <formula>KO119&gt;1</formula>
    </cfRule>
  </conditionalFormatting>
  <conditionalFormatting sqref="KJ121">
    <cfRule type="expression" dxfId="212" priority="135">
      <formula>KO121&gt;1</formula>
    </cfRule>
  </conditionalFormatting>
  <conditionalFormatting sqref="KJ122">
    <cfRule type="expression" dxfId="211" priority="134">
      <formula>KO122&gt;1</formula>
    </cfRule>
  </conditionalFormatting>
  <conditionalFormatting sqref="KL121">
    <cfRule type="expression" dxfId="210" priority="133">
      <formula>KO109&gt;1</formula>
    </cfRule>
  </conditionalFormatting>
  <conditionalFormatting sqref="KL122">
    <cfRule type="expression" dxfId="209" priority="132">
      <formula>KO110&gt;1</formula>
    </cfRule>
  </conditionalFormatting>
  <conditionalFormatting sqref="KJ124">
    <cfRule type="expression" dxfId="208" priority="131">
      <formula>KP124&gt;1</formula>
    </cfRule>
  </conditionalFormatting>
  <conditionalFormatting sqref="KL124">
    <cfRule type="expression" dxfId="207" priority="130">
      <formula>KO107&gt;1</formula>
    </cfRule>
  </conditionalFormatting>
  <conditionalFormatting sqref="KJ126">
    <cfRule type="expression" dxfId="206" priority="129">
      <formula>KP126&gt;1</formula>
    </cfRule>
  </conditionalFormatting>
  <conditionalFormatting sqref="KL126">
    <cfRule type="expression" dxfId="205" priority="128">
      <formula>KO108&gt;1</formula>
    </cfRule>
  </conditionalFormatting>
  <conditionalFormatting sqref="KJ107">
    <cfRule type="expression" dxfId="204" priority="127">
      <formula>$O$90&gt;1</formula>
    </cfRule>
  </conditionalFormatting>
  <conditionalFormatting sqref="KL107">
    <cfRule type="expression" dxfId="203" priority="126">
      <formula>$O$91&gt;1</formula>
    </cfRule>
  </conditionalFormatting>
  <conditionalFormatting sqref="KJ108">
    <cfRule type="expression" dxfId="202" priority="125">
      <formula>$O$92&gt;1</formula>
    </cfRule>
  </conditionalFormatting>
  <conditionalFormatting sqref="KJ109">
    <cfRule type="expression" dxfId="201" priority="124">
      <formula>$O$94&gt;1</formula>
    </cfRule>
  </conditionalFormatting>
  <conditionalFormatting sqref="KJ110">
    <cfRule type="expression" dxfId="200" priority="123">
      <formula>$O$96&gt;1</formula>
    </cfRule>
  </conditionalFormatting>
  <conditionalFormatting sqref="KJ111">
    <cfRule type="expression" dxfId="199" priority="122">
      <formula>$O$98&gt;1</formula>
    </cfRule>
  </conditionalFormatting>
  <conditionalFormatting sqref="KJ112">
    <cfRule type="expression" dxfId="198" priority="121">
      <formula>$O$100&gt;1</formula>
    </cfRule>
  </conditionalFormatting>
  <conditionalFormatting sqref="KJ113">
    <cfRule type="expression" dxfId="197" priority="120">
      <formula>$O$102&gt;1</formula>
    </cfRule>
  </conditionalFormatting>
  <conditionalFormatting sqref="KJ114">
    <cfRule type="expression" dxfId="196" priority="119">
      <formula>$O$104&gt;1</formula>
    </cfRule>
  </conditionalFormatting>
  <conditionalFormatting sqref="KL108">
    <cfRule type="expression" dxfId="195" priority="118">
      <formula>$O$93&gt;1</formula>
    </cfRule>
  </conditionalFormatting>
  <conditionalFormatting sqref="KL109">
    <cfRule type="expression" dxfId="194" priority="117">
      <formula>$O$95&gt;1</formula>
    </cfRule>
  </conditionalFormatting>
  <conditionalFormatting sqref="KL110">
    <cfRule type="expression" dxfId="193" priority="116">
      <formula>$O$97&gt;1</formula>
    </cfRule>
  </conditionalFormatting>
  <conditionalFormatting sqref="KL111">
    <cfRule type="expression" dxfId="192" priority="115">
      <formula>$O$99&gt;1</formula>
    </cfRule>
  </conditionalFormatting>
  <conditionalFormatting sqref="KL112">
    <cfRule type="expression" dxfId="191" priority="114">
      <formula>$O$101&gt;1</formula>
    </cfRule>
  </conditionalFormatting>
  <conditionalFormatting sqref="KL113">
    <cfRule type="expression" dxfId="190" priority="113">
      <formula>$O$103&gt;1</formula>
    </cfRule>
  </conditionalFormatting>
  <conditionalFormatting sqref="KL114">
    <cfRule type="expression" dxfId="189" priority="112">
      <formula>$O$105&gt;1</formula>
    </cfRule>
  </conditionalFormatting>
  <conditionalFormatting sqref="KW116">
    <cfRule type="expression" dxfId="188" priority="107">
      <formula>LB116&gt;1</formula>
    </cfRule>
  </conditionalFormatting>
  <conditionalFormatting sqref="KY116">
    <cfRule type="expression" dxfId="187" priority="106">
      <formula>LB111&gt;1</formula>
    </cfRule>
  </conditionalFormatting>
  <conditionalFormatting sqref="KY117">
    <cfRule type="expression" dxfId="186" priority="105">
      <formula>LB112&gt;1</formula>
    </cfRule>
  </conditionalFormatting>
  <conditionalFormatting sqref="KY118">
    <cfRule type="expression" dxfId="185" priority="104">
      <formula>LB113&gt;1</formula>
    </cfRule>
  </conditionalFormatting>
  <conditionalFormatting sqref="KY119">
    <cfRule type="expression" dxfId="184" priority="103">
      <formula>LB114&gt;1</formula>
    </cfRule>
  </conditionalFormatting>
  <conditionalFormatting sqref="KW117">
    <cfRule type="expression" dxfId="183" priority="102">
      <formula>LB117&gt;1</formula>
    </cfRule>
  </conditionalFormatting>
  <conditionalFormatting sqref="KW118">
    <cfRule type="expression" dxfId="182" priority="101">
      <formula>LB118&gt;1</formula>
    </cfRule>
  </conditionalFormatting>
  <conditionalFormatting sqref="KW119">
    <cfRule type="expression" dxfId="181" priority="100">
      <formula>LB119&gt;1</formula>
    </cfRule>
  </conditionalFormatting>
  <conditionalFormatting sqref="KW121">
    <cfRule type="expression" dxfId="180" priority="99">
      <formula>LB121&gt;1</formula>
    </cfRule>
  </conditionalFormatting>
  <conditionalFormatting sqref="KW122">
    <cfRule type="expression" dxfId="179" priority="98">
      <formula>LB122&gt;1</formula>
    </cfRule>
  </conditionalFormatting>
  <conditionalFormatting sqref="KY121">
    <cfRule type="expression" dxfId="178" priority="97">
      <formula>LB109&gt;1</formula>
    </cfRule>
  </conditionalFormatting>
  <conditionalFormatting sqref="KY122">
    <cfRule type="expression" dxfId="177" priority="96">
      <formula>LB110&gt;1</formula>
    </cfRule>
  </conditionalFormatting>
  <conditionalFormatting sqref="KW124">
    <cfRule type="expression" dxfId="176" priority="95">
      <formula>LC124&gt;1</formula>
    </cfRule>
  </conditionalFormatting>
  <conditionalFormatting sqref="KY124">
    <cfRule type="expression" dxfId="175" priority="94">
      <formula>LB107&gt;1</formula>
    </cfRule>
  </conditionalFormatting>
  <conditionalFormatting sqref="KW126">
    <cfRule type="expression" dxfId="174" priority="93">
      <formula>LC126&gt;1</formula>
    </cfRule>
  </conditionalFormatting>
  <conditionalFormatting sqref="KY126">
    <cfRule type="expression" dxfId="173" priority="92">
      <formula>LB108&gt;1</formula>
    </cfRule>
  </conditionalFormatting>
  <conditionalFormatting sqref="KW107">
    <cfRule type="expression" dxfId="172" priority="91">
      <formula>$O$90&gt;1</formula>
    </cfRule>
  </conditionalFormatting>
  <conditionalFormatting sqref="KY107">
    <cfRule type="expression" dxfId="171" priority="90">
      <formula>$O$91&gt;1</formula>
    </cfRule>
  </conditionalFormatting>
  <conditionalFormatting sqref="KW108">
    <cfRule type="expression" dxfId="170" priority="89">
      <formula>$O$92&gt;1</formula>
    </cfRule>
  </conditionalFormatting>
  <conditionalFormatting sqref="KW109">
    <cfRule type="expression" dxfId="169" priority="88">
      <formula>$O$94&gt;1</formula>
    </cfRule>
  </conditionalFormatting>
  <conditionalFormatting sqref="KW110">
    <cfRule type="expression" dxfId="168" priority="87">
      <formula>$O$96&gt;1</formula>
    </cfRule>
  </conditionalFormatting>
  <conditionalFormatting sqref="KW111">
    <cfRule type="expression" dxfId="167" priority="86">
      <formula>$O$98&gt;1</formula>
    </cfRule>
  </conditionalFormatting>
  <conditionalFormatting sqref="KW112">
    <cfRule type="expression" dxfId="166" priority="85">
      <formula>$O$100&gt;1</formula>
    </cfRule>
  </conditionalFormatting>
  <conditionalFormatting sqref="KW113">
    <cfRule type="expression" dxfId="165" priority="84">
      <formula>$O$102&gt;1</formula>
    </cfRule>
  </conditionalFormatting>
  <conditionalFormatting sqref="KW114">
    <cfRule type="expression" dxfId="164" priority="83">
      <formula>$O$104&gt;1</formula>
    </cfRule>
  </conditionalFormatting>
  <conditionalFormatting sqref="KY108">
    <cfRule type="expression" dxfId="163" priority="82">
      <formula>$O$93&gt;1</formula>
    </cfRule>
  </conditionalFormatting>
  <conditionalFormatting sqref="KY109">
    <cfRule type="expression" dxfId="162" priority="81">
      <formula>$O$95&gt;1</formula>
    </cfRule>
  </conditionalFormatting>
  <conditionalFormatting sqref="KY110">
    <cfRule type="expression" dxfId="161" priority="80">
      <formula>$O$97&gt;1</formula>
    </cfRule>
  </conditionalFormatting>
  <conditionalFormatting sqref="KY111">
    <cfRule type="expression" dxfId="160" priority="79">
      <formula>$O$99&gt;1</formula>
    </cfRule>
  </conditionalFormatting>
  <conditionalFormatting sqref="KY112">
    <cfRule type="expression" dxfId="159" priority="78">
      <formula>$O$101&gt;1</formula>
    </cfRule>
  </conditionalFormatting>
  <conditionalFormatting sqref="KY113">
    <cfRule type="expression" dxfId="158" priority="77">
      <formula>$O$103&gt;1</formula>
    </cfRule>
  </conditionalFormatting>
  <conditionalFormatting sqref="KY114">
    <cfRule type="expression" dxfId="157" priority="76">
      <formula>$O$105&gt;1</formula>
    </cfRule>
  </conditionalFormatting>
  <conditionalFormatting sqref="LJ116">
    <cfRule type="expression" dxfId="156" priority="71">
      <formula>LO116&gt;1</formula>
    </cfRule>
  </conditionalFormatting>
  <conditionalFormatting sqref="LL116">
    <cfRule type="expression" dxfId="155" priority="70">
      <formula>LO111&gt;1</formula>
    </cfRule>
  </conditionalFormatting>
  <conditionalFormatting sqref="LL117">
    <cfRule type="expression" dxfId="154" priority="69">
      <formula>LO112&gt;1</formula>
    </cfRule>
  </conditionalFormatting>
  <conditionalFormatting sqref="LL118">
    <cfRule type="expression" dxfId="153" priority="68">
      <formula>LO113&gt;1</formula>
    </cfRule>
  </conditionalFormatting>
  <conditionalFormatting sqref="LL119">
    <cfRule type="expression" dxfId="152" priority="67">
      <formula>LO114&gt;1</formula>
    </cfRule>
  </conditionalFormatting>
  <conditionalFormatting sqref="LJ117">
    <cfRule type="expression" dxfId="151" priority="66">
      <formula>LO117&gt;1</formula>
    </cfRule>
  </conditionalFormatting>
  <conditionalFormatting sqref="LJ118">
    <cfRule type="expression" dxfId="150" priority="65">
      <formula>LO118&gt;1</formula>
    </cfRule>
  </conditionalFormatting>
  <conditionalFormatting sqref="LJ119">
    <cfRule type="expression" dxfId="149" priority="64">
      <formula>LO119&gt;1</formula>
    </cfRule>
  </conditionalFormatting>
  <conditionalFormatting sqref="LJ121">
    <cfRule type="expression" dxfId="148" priority="63">
      <formula>LO121&gt;1</formula>
    </cfRule>
  </conditionalFormatting>
  <conditionalFormatting sqref="LJ122">
    <cfRule type="expression" dxfId="147" priority="62">
      <formula>LO122&gt;1</formula>
    </cfRule>
  </conditionalFormatting>
  <conditionalFormatting sqref="LL121">
    <cfRule type="expression" dxfId="146" priority="61">
      <formula>LO109&gt;1</formula>
    </cfRule>
  </conditionalFormatting>
  <conditionalFormatting sqref="LL122">
    <cfRule type="expression" dxfId="145" priority="60">
      <formula>LO110&gt;1</formula>
    </cfRule>
  </conditionalFormatting>
  <conditionalFormatting sqref="LJ124">
    <cfRule type="expression" dxfId="144" priority="59">
      <formula>LP124&gt;1</formula>
    </cfRule>
  </conditionalFormatting>
  <conditionalFormatting sqref="LL124">
    <cfRule type="expression" dxfId="143" priority="58">
      <formula>LO107&gt;1</formula>
    </cfRule>
  </conditionalFormatting>
  <conditionalFormatting sqref="LJ126">
    <cfRule type="expression" dxfId="142" priority="57">
      <formula>LP126&gt;1</formula>
    </cfRule>
  </conditionalFormatting>
  <conditionalFormatting sqref="LL126">
    <cfRule type="expression" dxfId="141" priority="56">
      <formula>LO108&gt;1</formula>
    </cfRule>
  </conditionalFormatting>
  <conditionalFormatting sqref="LJ107">
    <cfRule type="expression" dxfId="140" priority="55">
      <formula>$O$90&gt;1</formula>
    </cfRule>
  </conditionalFormatting>
  <conditionalFormatting sqref="LL107">
    <cfRule type="expression" dxfId="139" priority="54">
      <formula>$O$91&gt;1</formula>
    </cfRule>
  </conditionalFormatting>
  <conditionalFormatting sqref="LJ108">
    <cfRule type="expression" dxfId="138" priority="53">
      <formula>$O$92&gt;1</formula>
    </cfRule>
  </conditionalFormatting>
  <conditionalFormatting sqref="LJ109">
    <cfRule type="expression" dxfId="137" priority="52">
      <formula>$O$94&gt;1</formula>
    </cfRule>
  </conditionalFormatting>
  <conditionalFormatting sqref="LJ110">
    <cfRule type="expression" dxfId="136" priority="51">
      <formula>$O$96&gt;1</formula>
    </cfRule>
  </conditionalFormatting>
  <conditionalFormatting sqref="LJ111">
    <cfRule type="expression" dxfId="135" priority="50">
      <formula>$O$98&gt;1</formula>
    </cfRule>
  </conditionalFormatting>
  <conditionalFormatting sqref="LJ112">
    <cfRule type="expression" dxfId="134" priority="49">
      <formula>$O$100&gt;1</formula>
    </cfRule>
  </conditionalFormatting>
  <conditionalFormatting sqref="LJ113">
    <cfRule type="expression" dxfId="133" priority="48">
      <formula>$O$102&gt;1</formula>
    </cfRule>
  </conditionalFormatting>
  <conditionalFormatting sqref="LJ114">
    <cfRule type="expression" dxfId="132" priority="47">
      <formula>$O$104&gt;1</formula>
    </cfRule>
  </conditionalFormatting>
  <conditionalFormatting sqref="LL108">
    <cfRule type="expression" dxfId="131" priority="46">
      <formula>$O$93&gt;1</formula>
    </cfRule>
  </conditionalFormatting>
  <conditionalFormatting sqref="LL109">
    <cfRule type="expression" dxfId="130" priority="45">
      <formula>$O$95&gt;1</formula>
    </cfRule>
  </conditionalFormatting>
  <conditionalFormatting sqref="LL110">
    <cfRule type="expression" dxfId="129" priority="44">
      <formula>$O$97&gt;1</formula>
    </cfRule>
  </conditionalFormatting>
  <conditionalFormatting sqref="LL111">
    <cfRule type="expression" dxfId="128" priority="43">
      <formula>$O$99&gt;1</formula>
    </cfRule>
  </conditionalFormatting>
  <conditionalFormatting sqref="LL112">
    <cfRule type="expression" dxfId="127" priority="42">
      <formula>$O$101&gt;1</formula>
    </cfRule>
  </conditionalFormatting>
  <conditionalFormatting sqref="LL113">
    <cfRule type="expression" dxfId="126" priority="41">
      <formula>$O$103&gt;1</formula>
    </cfRule>
  </conditionalFormatting>
  <conditionalFormatting sqref="LL114">
    <cfRule type="expression" dxfId="125" priority="40">
      <formula>$O$105&gt;1</formula>
    </cfRule>
  </conditionalFormatting>
  <conditionalFormatting sqref="LW116">
    <cfRule type="expression" dxfId="124" priority="35">
      <formula>MB116&gt;1</formula>
    </cfRule>
  </conditionalFormatting>
  <conditionalFormatting sqref="LY116">
    <cfRule type="expression" dxfId="123" priority="34">
      <formula>MB111&gt;1</formula>
    </cfRule>
  </conditionalFormatting>
  <conditionalFormatting sqref="LY117">
    <cfRule type="expression" dxfId="122" priority="33">
      <formula>MB112&gt;1</formula>
    </cfRule>
  </conditionalFormatting>
  <conditionalFormatting sqref="LY118">
    <cfRule type="expression" dxfId="121" priority="32">
      <formula>MB113&gt;1</formula>
    </cfRule>
  </conditionalFormatting>
  <conditionalFormatting sqref="LY119">
    <cfRule type="expression" dxfId="120" priority="31">
      <formula>MB114&gt;1</formula>
    </cfRule>
  </conditionalFormatting>
  <conditionalFormatting sqref="LW117">
    <cfRule type="expression" dxfId="119" priority="30">
      <formula>MB117&gt;1</formula>
    </cfRule>
  </conditionalFormatting>
  <conditionalFormatting sqref="LW118">
    <cfRule type="expression" dxfId="118" priority="29">
      <formula>MB118&gt;1</formula>
    </cfRule>
  </conditionalFormatting>
  <conditionalFormatting sqref="LW119">
    <cfRule type="expression" dxfId="117" priority="28">
      <formula>MB119&gt;1</formula>
    </cfRule>
  </conditionalFormatting>
  <conditionalFormatting sqref="LW121">
    <cfRule type="expression" dxfId="116" priority="27">
      <formula>MB121&gt;1</formula>
    </cfRule>
  </conditionalFormatting>
  <conditionalFormatting sqref="LW122">
    <cfRule type="expression" dxfId="115" priority="26">
      <formula>MB122&gt;1</formula>
    </cfRule>
  </conditionalFormatting>
  <conditionalFormatting sqref="LY121">
    <cfRule type="expression" dxfId="114" priority="25">
      <formula>MB109&gt;1</formula>
    </cfRule>
  </conditionalFormatting>
  <conditionalFormatting sqref="LY122">
    <cfRule type="expression" dxfId="113" priority="24">
      <formula>MB110&gt;1</formula>
    </cfRule>
  </conditionalFormatting>
  <conditionalFormatting sqref="LW124">
    <cfRule type="expression" dxfId="112" priority="23">
      <formula>MC124&gt;1</formula>
    </cfRule>
  </conditionalFormatting>
  <conditionalFormatting sqref="LY124">
    <cfRule type="expression" dxfId="111" priority="22">
      <formula>MB107&gt;1</formula>
    </cfRule>
  </conditionalFormatting>
  <conditionalFormatting sqref="LW126">
    <cfRule type="expression" dxfId="110" priority="21">
      <formula>MC126&gt;1</formula>
    </cfRule>
  </conditionalFormatting>
  <conditionalFormatting sqref="LY126">
    <cfRule type="expression" dxfId="109" priority="20">
      <formula>MB108&gt;1</formula>
    </cfRule>
  </conditionalFormatting>
  <conditionalFormatting sqref="LW107">
    <cfRule type="expression" dxfId="108" priority="19">
      <formula>$O$90&gt;1</formula>
    </cfRule>
  </conditionalFormatting>
  <conditionalFormatting sqref="LY107">
    <cfRule type="expression" dxfId="107" priority="18">
      <formula>$O$91&gt;1</formula>
    </cfRule>
  </conditionalFormatting>
  <conditionalFormatting sqref="LW108">
    <cfRule type="expression" dxfId="106" priority="17">
      <formula>$O$92&gt;1</formula>
    </cfRule>
  </conditionalFormatting>
  <conditionalFormatting sqref="LW109">
    <cfRule type="expression" dxfId="105" priority="16">
      <formula>$O$94&gt;1</formula>
    </cfRule>
  </conditionalFormatting>
  <conditionalFormatting sqref="LW110">
    <cfRule type="expression" dxfId="104" priority="15">
      <formula>$O$96&gt;1</formula>
    </cfRule>
  </conditionalFormatting>
  <conditionalFormatting sqref="LW111">
    <cfRule type="expression" dxfId="103" priority="14">
      <formula>$O$98&gt;1</formula>
    </cfRule>
  </conditionalFormatting>
  <conditionalFormatting sqref="LW112">
    <cfRule type="expression" dxfId="102" priority="13">
      <formula>$O$100&gt;1</formula>
    </cfRule>
  </conditionalFormatting>
  <conditionalFormatting sqref="LW113">
    <cfRule type="expression" dxfId="101" priority="12">
      <formula>$O$102&gt;1</formula>
    </cfRule>
  </conditionalFormatting>
  <conditionalFormatting sqref="LW114">
    <cfRule type="expression" dxfId="100" priority="11">
      <formula>$O$104&gt;1</formula>
    </cfRule>
  </conditionalFormatting>
  <conditionalFormatting sqref="LY108">
    <cfRule type="expression" dxfId="99" priority="10">
      <formula>$O$93&gt;1</formula>
    </cfRule>
  </conditionalFormatting>
  <conditionalFormatting sqref="LY109">
    <cfRule type="expression" dxfId="98" priority="9">
      <formula>$O$95&gt;1</formula>
    </cfRule>
  </conditionalFormatting>
  <conditionalFormatting sqref="LY110">
    <cfRule type="expression" dxfId="97" priority="8">
      <formula>$O$97&gt;1</formula>
    </cfRule>
  </conditionalFormatting>
  <conditionalFormatting sqref="LY111">
    <cfRule type="expression" dxfId="96" priority="7">
      <formula>$O$99&gt;1</formula>
    </cfRule>
  </conditionalFormatting>
  <conditionalFormatting sqref="LY112">
    <cfRule type="expression" dxfId="95" priority="6">
      <formula>$O$101&gt;1</formula>
    </cfRule>
  </conditionalFormatting>
  <conditionalFormatting sqref="LY113">
    <cfRule type="expression" dxfId="94" priority="5">
      <formula>$O$103&gt;1</formula>
    </cfRule>
  </conditionalFormatting>
  <conditionalFormatting sqref="LY114">
    <cfRule type="expression" dxfId="9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1" t="str">
        <f>Language!$E$127</f>
        <v>Predictions Ranking</v>
      </c>
      <c r="C1" s="1061"/>
      <c r="D1" s="1061"/>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73" t="str">
        <f>Language!$E$229</f>
        <v>Settings</v>
      </c>
      <c r="C1" s="1073"/>
      <c r="D1" s="1073"/>
      <c r="E1" s="1073"/>
      <c r="F1" s="1073"/>
    </row>
    <row r="2" spans="2:15" x14ac:dyDescent="0.25"/>
    <row r="3" spans="2:15" ht="16.5" thickBot="1" x14ac:dyDescent="0.3">
      <c r="B3" s="1080" t="str">
        <f>Language!$E$228</f>
        <v>Factors</v>
      </c>
      <c r="C3" s="1080"/>
      <c r="D3" s="1080"/>
      <c r="E3" s="1080"/>
      <c r="F3" s="1080"/>
      <c r="H3" s="1080" t="str">
        <f>Language!$E$229</f>
        <v>Settings</v>
      </c>
      <c r="I3" s="1080"/>
      <c r="J3" s="1080"/>
      <c r="K3" s="1080"/>
      <c r="L3" s="1080"/>
      <c r="M3" s="1080"/>
      <c r="N3" s="1080"/>
      <c r="O3" s="1080"/>
    </row>
    <row r="4" spans="2:15" ht="24" thickTop="1" x14ac:dyDescent="0.25">
      <c r="B4" s="1084" t="str">
        <f>Language!$E$231</f>
        <v>Won/Draw/Loss:</v>
      </c>
      <c r="C4" s="1085"/>
      <c r="D4" s="1085"/>
      <c r="E4" s="1085"/>
      <c r="F4" s="336">
        <v>5</v>
      </c>
      <c r="H4" s="1074" t="str">
        <f>Language!$E$242</f>
        <v>Points for goal difference in the event of a tie:</v>
      </c>
      <c r="I4" s="1075"/>
      <c r="J4" s="1075"/>
      <c r="K4" s="1075"/>
      <c r="L4" s="1076"/>
      <c r="M4" s="330" t="s">
        <v>1606</v>
      </c>
      <c r="N4" s="327"/>
      <c r="O4" s="328" t="str">
        <f>IF(M4="●",Language!E243,Language!E244)</f>
        <v>yes</v>
      </c>
    </row>
    <row r="5" spans="2:15" ht="18" customHeight="1" x14ac:dyDescent="0.25">
      <c r="B5" s="1086" t="str">
        <f>Language!$E$232</f>
        <v>goal difference:</v>
      </c>
      <c r="C5" s="1087"/>
      <c r="D5" s="1087"/>
      <c r="E5" s="1087"/>
      <c r="F5" s="337">
        <v>5</v>
      </c>
      <c r="H5" s="1081"/>
      <c r="I5" s="1082"/>
      <c r="J5" s="1082"/>
      <c r="K5" s="1082"/>
      <c r="L5" s="1082"/>
      <c r="M5" s="1082"/>
      <c r="N5" s="1082"/>
      <c r="O5" s="1083"/>
    </row>
    <row r="6" spans="2:15" ht="18" customHeight="1" x14ac:dyDescent="0.25">
      <c r="B6" s="1086" t="str">
        <f>Language!$E$234</f>
        <v>goals exact:</v>
      </c>
      <c r="C6" s="1087"/>
      <c r="D6" s="1087"/>
      <c r="E6" s="1087"/>
      <c r="F6" s="337">
        <v>10</v>
      </c>
      <c r="H6" s="1077" t="str">
        <f>Language!$E$245</f>
        <v>Minimum number for 'Many Goals' in the event of a tie:</v>
      </c>
      <c r="I6" s="1078"/>
      <c r="J6" s="1078"/>
      <c r="K6" s="1078"/>
      <c r="L6" s="1079"/>
      <c r="M6" s="331">
        <v>4</v>
      </c>
      <c r="N6" s="334"/>
      <c r="O6" s="325"/>
    </row>
    <row r="7" spans="2:15" ht="18" customHeight="1" x14ac:dyDescent="0.25">
      <c r="B7" s="1086" t="str">
        <f>Language!$E$233</f>
        <v>Many goals - good approximation</v>
      </c>
      <c r="C7" s="1087"/>
      <c r="D7" s="1087"/>
      <c r="E7" s="1087"/>
      <c r="F7" s="337">
        <v>3</v>
      </c>
      <c r="H7" s="1077" t="str">
        <f>Language!$E$246</f>
        <v>Minimum number for a large goal difference:</v>
      </c>
      <c r="I7" s="1078"/>
      <c r="J7" s="1078"/>
      <c r="K7" s="1078"/>
      <c r="L7" s="1079"/>
      <c r="M7" s="331">
        <v>4</v>
      </c>
      <c r="N7" s="335"/>
      <c r="O7" s="325"/>
    </row>
    <row r="8" spans="2:15" ht="18" customHeight="1" x14ac:dyDescent="0.25">
      <c r="B8" s="1096" t="str">
        <f>Language!$E$235</f>
        <v>correct team (knockout phase):</v>
      </c>
      <c r="C8" s="1097"/>
      <c r="D8" s="1097"/>
      <c r="E8" s="1097"/>
      <c r="F8" s="338">
        <v>10</v>
      </c>
      <c r="H8" s="1077" t="str">
        <f>Language!$E$249</f>
        <v>Minimum number for a large sum of goals:</v>
      </c>
      <c r="I8" s="1078"/>
      <c r="J8" s="1078"/>
      <c r="K8" s="1078"/>
      <c r="L8" s="1079"/>
      <c r="M8" s="331">
        <v>8</v>
      </c>
      <c r="N8" s="341"/>
      <c r="O8" s="325"/>
    </row>
    <row r="9" spans="2:15" ht="18" customHeight="1" thickBot="1" x14ac:dyDescent="0.3">
      <c r="B9" s="1108" t="str">
        <f>Language!$E$241</f>
        <v>Final/Third-Place Winner:</v>
      </c>
      <c r="C9" s="1109"/>
      <c r="D9" s="1109"/>
      <c r="E9" s="1109"/>
      <c r="F9" s="339">
        <v>10</v>
      </c>
      <c r="H9" s="1088"/>
      <c r="I9" s="1089"/>
      <c r="J9" s="1089"/>
      <c r="K9" s="1089"/>
      <c r="L9" s="1089"/>
      <c r="M9" s="342"/>
      <c r="N9" s="342"/>
      <c r="O9" s="326"/>
    </row>
    <row r="10" spans="2:15" ht="15.75" thickTop="1" x14ac:dyDescent="0.25"/>
    <row r="11" spans="2:15" x14ac:dyDescent="0.25"/>
    <row r="12" spans="2:15" ht="16.5" thickBot="1" x14ac:dyDescent="0.3">
      <c r="H12" s="1098" t="str">
        <f>Language!$E$227</f>
        <v>Hint</v>
      </c>
      <c r="I12" s="1098"/>
      <c r="J12" s="1098"/>
      <c r="K12" s="1098"/>
      <c r="L12" s="1098"/>
      <c r="M12" s="1098"/>
      <c r="N12" s="1098"/>
      <c r="O12" s="1098"/>
    </row>
    <row r="13" spans="2:15" ht="21.75" customHeight="1" thickTop="1" x14ac:dyDescent="0.25">
      <c r="H13" s="1102" t="s">
        <v>26</v>
      </c>
      <c r="I13" s="1103"/>
      <c r="J13" s="1103"/>
      <c r="K13" s="1103"/>
      <c r="L13" s="1103"/>
      <c r="M13" s="1103"/>
      <c r="N13" s="1103"/>
      <c r="O13" s="1104"/>
    </row>
    <row r="14" spans="2:15" ht="15" customHeight="1" x14ac:dyDescent="0.25">
      <c r="H14" s="1090" t="str">
        <f>Language!$E$248</f>
        <v>In the event of a tie, should points be awarded for goal difference?
Many are used to it. But for logical reasons these are free points because in this case the goal difference is automatically correct. In the settings above you can therefore choose 'yes' or 'no'.</v>
      </c>
      <c r="I14" s="1091"/>
      <c r="J14" s="1091"/>
      <c r="K14" s="1091"/>
      <c r="L14" s="1091"/>
      <c r="M14" s="1091"/>
      <c r="N14" s="1091"/>
      <c r="O14" s="1092"/>
    </row>
    <row r="15" spans="2:15" ht="15" customHeight="1" x14ac:dyDescent="0.25">
      <c r="H15" s="1090"/>
      <c r="I15" s="1091"/>
      <c r="J15" s="1091"/>
      <c r="K15" s="1091"/>
      <c r="L15" s="1091"/>
      <c r="M15" s="1091"/>
      <c r="N15" s="1091"/>
      <c r="O15" s="1092"/>
    </row>
    <row r="16" spans="2:15" ht="15" customHeight="1" x14ac:dyDescent="0.25">
      <c r="H16" s="1090"/>
      <c r="I16" s="1091"/>
      <c r="J16" s="1091"/>
      <c r="K16" s="1091"/>
      <c r="L16" s="1091"/>
      <c r="M16" s="1091"/>
      <c r="N16" s="1091"/>
      <c r="O16" s="1092"/>
    </row>
    <row r="17" spans="8:15" ht="15" customHeight="1" x14ac:dyDescent="0.25">
      <c r="H17" s="1090"/>
      <c r="I17" s="1091"/>
      <c r="J17" s="1091"/>
      <c r="K17" s="1091"/>
      <c r="L17" s="1091"/>
      <c r="M17" s="1091"/>
      <c r="N17" s="1091"/>
      <c r="O17" s="1092"/>
    </row>
    <row r="18" spans="8:15" ht="15" customHeight="1" x14ac:dyDescent="0.25">
      <c r="H18" s="1099"/>
      <c r="I18" s="1100"/>
      <c r="J18" s="1100"/>
      <c r="K18" s="1100"/>
      <c r="L18" s="1100"/>
      <c r="M18" s="1100"/>
      <c r="N18" s="1100"/>
      <c r="O18" s="1101"/>
    </row>
    <row r="19" spans="8:15" ht="30" customHeight="1" x14ac:dyDescent="0.25">
      <c r="H19" s="1105" t="s">
        <v>27</v>
      </c>
      <c r="I19" s="1106"/>
      <c r="J19" s="1106"/>
      <c r="K19" s="1106"/>
      <c r="L19" s="1106"/>
      <c r="M19" s="1106"/>
      <c r="N19" s="1106"/>
      <c r="O19" s="1107"/>
    </row>
    <row r="20" spans="8:15" ht="15" customHeight="1" x14ac:dyDescent="0.25">
      <c r="H20" s="1090" t="str">
        <f>Language!$E$247</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91"/>
      <c r="J20" s="1091"/>
      <c r="K20" s="1091"/>
      <c r="L20" s="1091"/>
      <c r="M20" s="1091"/>
      <c r="N20" s="1091"/>
      <c r="O20" s="1092"/>
    </row>
    <row r="21" spans="8:15" x14ac:dyDescent="0.25">
      <c r="H21" s="1090"/>
      <c r="I21" s="1091"/>
      <c r="J21" s="1091"/>
      <c r="K21" s="1091"/>
      <c r="L21" s="1091"/>
      <c r="M21" s="1091"/>
      <c r="N21" s="1091"/>
      <c r="O21" s="1092"/>
    </row>
    <row r="22" spans="8:15" x14ac:dyDescent="0.25">
      <c r="H22" s="1090"/>
      <c r="I22" s="1091"/>
      <c r="J22" s="1091"/>
      <c r="K22" s="1091"/>
      <c r="L22" s="1091"/>
      <c r="M22" s="1091"/>
      <c r="N22" s="1091"/>
      <c r="O22" s="1092"/>
    </row>
    <row r="23" spans="8:15" x14ac:dyDescent="0.25">
      <c r="H23" s="1090"/>
      <c r="I23" s="1091"/>
      <c r="J23" s="1091"/>
      <c r="K23" s="1091"/>
      <c r="L23" s="1091"/>
      <c r="M23" s="1091"/>
      <c r="N23" s="1091"/>
      <c r="O23" s="1092"/>
    </row>
    <row r="24" spans="8:15" x14ac:dyDescent="0.25">
      <c r="H24" s="1090"/>
      <c r="I24" s="1091"/>
      <c r="J24" s="1091"/>
      <c r="K24" s="1091"/>
      <c r="L24" s="1091"/>
      <c r="M24" s="1091"/>
      <c r="N24" s="1091"/>
      <c r="O24" s="1092"/>
    </row>
    <row r="25" spans="8:15" x14ac:dyDescent="0.25">
      <c r="H25" s="1090"/>
      <c r="I25" s="1091"/>
      <c r="J25" s="1091"/>
      <c r="K25" s="1091"/>
      <c r="L25" s="1091"/>
      <c r="M25" s="1091"/>
      <c r="N25" s="1091"/>
      <c r="O25" s="1092"/>
    </row>
    <row r="26" spans="8:15" x14ac:dyDescent="0.25">
      <c r="H26" s="1090"/>
      <c r="I26" s="1091"/>
      <c r="J26" s="1091"/>
      <c r="K26" s="1091"/>
      <c r="L26" s="1091"/>
      <c r="M26" s="1091"/>
      <c r="N26" s="1091"/>
      <c r="O26" s="1092"/>
    </row>
    <row r="27" spans="8:15" x14ac:dyDescent="0.25">
      <c r="H27" s="1090"/>
      <c r="I27" s="1091"/>
      <c r="J27" s="1091"/>
      <c r="K27" s="1091"/>
      <c r="L27" s="1091"/>
      <c r="M27" s="1091"/>
      <c r="N27" s="1091"/>
      <c r="O27" s="1092"/>
    </row>
    <row r="28" spans="8:15" ht="15.75" thickBot="1" x14ac:dyDescent="0.3">
      <c r="H28" s="1093"/>
      <c r="I28" s="1094"/>
      <c r="J28" s="1094"/>
      <c r="K28" s="1094"/>
      <c r="L28" s="1094"/>
      <c r="M28" s="1094"/>
      <c r="N28" s="1094"/>
      <c r="O28" s="1095"/>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2026-06-22T07:37:02Z</dcterms:modified>
</cp:coreProperties>
</file>