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Excel\Spielpläne\Liga\"/>
    </mc:Choice>
  </mc:AlternateContent>
  <xr:revisionPtr revIDLastSave="0" documentId="13_ncr:1_{47B7A978-C995-48D1-A62A-56B0287AA2D5}" xr6:coauthVersionLast="36" xr6:coauthVersionMax="36" xr10:uidLastSave="{00000000-0000-0000-0000-000000000000}"/>
  <bookViews>
    <workbookView xWindow="0" yWindow="0" windowWidth="28800" windowHeight="13455" tabRatio="597" xr2:uid="{00000000-000D-0000-FFFF-FFFF00000000}"/>
  </bookViews>
  <sheets>
    <sheet name="Results" sheetId="6" r:id="rId1"/>
    <sheet name="Plan" sheetId="7" r:id="rId2"/>
    <sheet name="Calc" sheetId="3" state="hidden" r:id="rId3"/>
    <sheet name="Calc2" sheetId="13" state="hidden" r:id="rId4"/>
    <sheet name="Factors" sheetId="12" state="hidden" r:id="rId5"/>
    <sheet name="Calc_match_days" sheetId="17" state="hidden" r:id="rId6"/>
    <sheet name="Tie_Break" sheetId="8" r:id="rId7"/>
    <sheet name="Language" sheetId="9" r:id="rId8"/>
    <sheet name="Matchups" sheetId="14" r:id="rId9"/>
    <sheet name="Settings" sheetId="15" r:id="rId10"/>
    <sheet name="Info" sheetId="11" r:id="rId11"/>
  </sheets>
  <definedNames>
    <definedName name="FactorGD">Factors!$B$5</definedName>
    <definedName name="FactorGF">Factors!$B$6</definedName>
    <definedName name="FactorPts">Factors!$B$4</definedName>
    <definedName name="GDzero">Factors!$D$5</definedName>
  </definedNames>
  <calcPr calcId="191029"/>
</workbook>
</file>

<file path=xl/calcChain.xml><?xml version="1.0" encoding="utf-8"?>
<calcChain xmlns="http://schemas.openxmlformats.org/spreadsheetml/2006/main">
  <c r="B2" i="3" l="1"/>
  <c r="Q7" i="7"/>
  <c r="F9" i="6" s="1"/>
  <c r="S7" i="7"/>
  <c r="H9" i="6" s="1"/>
  <c r="Q8" i="7"/>
  <c r="F10" i="6" s="1"/>
  <c r="S8" i="7"/>
  <c r="H10" i="6" s="1"/>
  <c r="Q9" i="7"/>
  <c r="F6" i="13" s="1"/>
  <c r="Q10" i="7"/>
  <c r="F12" i="6" s="1"/>
  <c r="Q11" i="7"/>
  <c r="F13" i="6" s="1"/>
  <c r="Q12" i="7"/>
  <c r="F14" i="6" s="1"/>
  <c r="Q13" i="7"/>
  <c r="F15" i="6" s="1"/>
  <c r="Q14" i="7"/>
  <c r="F16" i="6" s="1"/>
  <c r="Q15" i="7"/>
  <c r="F17" i="6" s="1"/>
  <c r="Q16" i="7"/>
  <c r="Q17" i="7"/>
  <c r="F19" i="6" s="1"/>
  <c r="Q18" i="7"/>
  <c r="F20" i="6" s="1"/>
  <c r="Q19" i="7"/>
  <c r="F21" i="6" s="1"/>
  <c r="Q20" i="7"/>
  <c r="F22" i="6" s="1"/>
  <c r="Q21" i="7"/>
  <c r="F23" i="6" s="1"/>
  <c r="Q22" i="7"/>
  <c r="F24" i="6" s="1"/>
  <c r="Q23" i="7"/>
  <c r="F25" i="6" s="1"/>
  <c r="Q24" i="7"/>
  <c r="F26" i="6" s="1"/>
  <c r="Q25" i="7"/>
  <c r="F27" i="6" s="1"/>
  <c r="Q26" i="7"/>
  <c r="F28" i="6" s="1"/>
  <c r="Q27" i="7"/>
  <c r="F29" i="6" s="1"/>
  <c r="Q28" i="7"/>
  <c r="F30" i="6" s="1"/>
  <c r="Q29" i="7"/>
  <c r="F31" i="6" s="1"/>
  <c r="Q30" i="7"/>
  <c r="Q31" i="7"/>
  <c r="F33" i="6" s="1"/>
  <c r="Q32" i="7"/>
  <c r="F34" i="6" s="1"/>
  <c r="Q33" i="7"/>
  <c r="F35" i="6" s="1"/>
  <c r="Q34" i="7"/>
  <c r="F36" i="6" s="1"/>
  <c r="Q35" i="7"/>
  <c r="F37" i="6" s="1"/>
  <c r="Q36" i="7"/>
  <c r="F38" i="6" s="1"/>
  <c r="Q37" i="7"/>
  <c r="F34" i="13" s="1"/>
  <c r="Q38" i="7"/>
  <c r="F40" i="6" s="1"/>
  <c r="Q39" i="7"/>
  <c r="F41" i="6" s="1"/>
  <c r="Q40" i="7"/>
  <c r="F42" i="6" s="1"/>
  <c r="Q41" i="7"/>
  <c r="F43" i="6" s="1"/>
  <c r="Q42" i="7"/>
  <c r="F44" i="6" s="1"/>
  <c r="Q43" i="7"/>
  <c r="F45" i="6" s="1"/>
  <c r="Q44" i="7"/>
  <c r="F46" i="6" s="1"/>
  <c r="Q45" i="7"/>
  <c r="Q46" i="7"/>
  <c r="F48" i="6" s="1"/>
  <c r="Q47" i="7"/>
  <c r="F49" i="6" s="1"/>
  <c r="Q48" i="7"/>
  <c r="F50" i="6" s="1"/>
  <c r="Q49" i="7"/>
  <c r="F51" i="6" s="1"/>
  <c r="Q50" i="7"/>
  <c r="F52" i="6" s="1"/>
  <c r="Q51" i="7"/>
  <c r="F53" i="6" s="1"/>
  <c r="Q52" i="7"/>
  <c r="F54" i="6" s="1"/>
  <c r="Q53" i="7"/>
  <c r="Q54" i="7"/>
  <c r="F56" i="6" s="1"/>
  <c r="Q55" i="7"/>
  <c r="F57" i="6" s="1"/>
  <c r="Q56" i="7"/>
  <c r="F58" i="6" s="1"/>
  <c r="Q57" i="7"/>
  <c r="F59" i="6" s="1"/>
  <c r="Q58" i="7"/>
  <c r="F60" i="6" s="1"/>
  <c r="Q59" i="7"/>
  <c r="F61" i="6" s="1"/>
  <c r="Q60" i="7"/>
  <c r="F62" i="6" s="1"/>
  <c r="Q61" i="7"/>
  <c r="F63" i="6" s="1"/>
  <c r="Q62" i="7"/>
  <c r="F64" i="6" s="1"/>
  <c r="Q63" i="7"/>
  <c r="F65" i="6" s="1"/>
  <c r="Q64" i="7"/>
  <c r="F66" i="6" s="1"/>
  <c r="Q65" i="7"/>
  <c r="F67" i="6" s="1"/>
  <c r="Q66" i="7"/>
  <c r="F68" i="6" s="1"/>
  <c r="Q67" i="7"/>
  <c r="F69" i="6" s="1"/>
  <c r="Q68" i="7"/>
  <c r="F70" i="6" s="1"/>
  <c r="Q69" i="7"/>
  <c r="F71" i="6" s="1"/>
  <c r="Q70" i="7"/>
  <c r="F72" i="6" s="1"/>
  <c r="Q71" i="7"/>
  <c r="F73" i="6" s="1"/>
  <c r="Q72" i="7"/>
  <c r="F74" i="6" s="1"/>
  <c r="Q73" i="7"/>
  <c r="F75" i="6" s="1"/>
  <c r="Q74" i="7"/>
  <c r="Q75" i="7"/>
  <c r="F77" i="6" s="1"/>
  <c r="Q76" i="7"/>
  <c r="F78" i="6" s="1"/>
  <c r="Q77" i="7"/>
  <c r="F79" i="6" s="1"/>
  <c r="Q78" i="7"/>
  <c r="F80" i="6" s="1"/>
  <c r="Q79" i="7"/>
  <c r="F81" i="6" s="1"/>
  <c r="Q80" i="7"/>
  <c r="F82" i="6" s="1"/>
  <c r="Q81" i="7"/>
  <c r="F83" i="6" s="1"/>
  <c r="Q82" i="7"/>
  <c r="Q83" i="7"/>
  <c r="F85" i="6" s="1"/>
  <c r="Q84" i="7"/>
  <c r="F86" i="6" s="1"/>
  <c r="Q85" i="7"/>
  <c r="F87" i="6" s="1"/>
  <c r="Q86" i="7"/>
  <c r="F88" i="6" s="1"/>
  <c r="Q87" i="7"/>
  <c r="F89" i="6" s="1"/>
  <c r="Q88" i="7"/>
  <c r="F90" i="6" s="1"/>
  <c r="Q89" i="7"/>
  <c r="Q90" i="7"/>
  <c r="F92" i="6" s="1"/>
  <c r="Q91" i="7"/>
  <c r="F93" i="6" s="1"/>
  <c r="Q92" i="7"/>
  <c r="F94" i="6" s="1"/>
  <c r="Q93" i="7"/>
  <c r="F95" i="6" s="1"/>
  <c r="Q94" i="7"/>
  <c r="F96" i="6" s="1"/>
  <c r="Q95" i="7"/>
  <c r="F97" i="6" s="1"/>
  <c r="Q96" i="7"/>
  <c r="Q97" i="7"/>
  <c r="F99" i="6" s="1"/>
  <c r="Q98" i="7"/>
  <c r="F100" i="6" s="1"/>
  <c r="Q99" i="7"/>
  <c r="F101" i="6" s="1"/>
  <c r="Q100" i="7"/>
  <c r="F102" i="6" s="1"/>
  <c r="Q101" i="7"/>
  <c r="F103" i="6" s="1"/>
  <c r="Q102" i="7"/>
  <c r="Q103" i="7"/>
  <c r="F105" i="6" s="1"/>
  <c r="Q104" i="7"/>
  <c r="F106" i="6" s="1"/>
  <c r="Q105" i="7"/>
  <c r="F107" i="6" s="1"/>
  <c r="Q106" i="7"/>
  <c r="F108" i="6" s="1"/>
  <c r="Q107" i="7"/>
  <c r="F109" i="6" s="1"/>
  <c r="Q108" i="7"/>
  <c r="F110" i="6" s="1"/>
  <c r="Q109" i="7"/>
  <c r="F111" i="6" s="1"/>
  <c r="Q110" i="7"/>
  <c r="Q111" i="7"/>
  <c r="F113" i="6" s="1"/>
  <c r="Q112" i="7"/>
  <c r="F114" i="6" s="1"/>
  <c r="Q113" i="7"/>
  <c r="F115" i="6" s="1"/>
  <c r="Q114" i="7"/>
  <c r="F116" i="6" s="1"/>
  <c r="Q115" i="7"/>
  <c r="F117" i="6" s="1"/>
  <c r="Q116" i="7"/>
  <c r="F118" i="6" s="1"/>
  <c r="Q117" i="7"/>
  <c r="F119" i="6" s="1"/>
  <c r="Q118" i="7"/>
  <c r="Q119" i="7"/>
  <c r="F121" i="6" s="1"/>
  <c r="Q120" i="7"/>
  <c r="F122" i="6" s="1"/>
  <c r="Q121" i="7"/>
  <c r="F123" i="6" s="1"/>
  <c r="Q122" i="7"/>
  <c r="F124" i="6" s="1"/>
  <c r="Q123" i="7"/>
  <c r="F125" i="6" s="1"/>
  <c r="Q124" i="7"/>
  <c r="Q125" i="7"/>
  <c r="Q126" i="7"/>
  <c r="F128" i="6" s="1"/>
  <c r="Q127" i="7"/>
  <c r="F129" i="6" s="1"/>
  <c r="Q128" i="7"/>
  <c r="F130" i="6" s="1"/>
  <c r="Q129" i="7"/>
  <c r="F131" i="6" s="1"/>
  <c r="Q130" i="7"/>
  <c r="F132" i="6" s="1"/>
  <c r="Q131" i="7"/>
  <c r="F133" i="6" s="1"/>
  <c r="Q132" i="7"/>
  <c r="Q133" i="7"/>
  <c r="Q134" i="7"/>
  <c r="F136" i="6" s="1"/>
  <c r="Q135" i="7"/>
  <c r="F137" i="6" s="1"/>
  <c r="Q136" i="7"/>
  <c r="F138" i="6" s="1"/>
  <c r="Q137" i="7"/>
  <c r="F139" i="6" s="1"/>
  <c r="Q138" i="7"/>
  <c r="F140" i="6" s="1"/>
  <c r="Q139" i="7"/>
  <c r="F141" i="6" s="1"/>
  <c r="Q140" i="7"/>
  <c r="Q141" i="7"/>
  <c r="F143" i="6" s="1"/>
  <c r="Q142" i="7"/>
  <c r="F144" i="6" s="1"/>
  <c r="Q143" i="7"/>
  <c r="F145" i="6" s="1"/>
  <c r="Q144" i="7"/>
  <c r="F146" i="6" s="1"/>
  <c r="Q145" i="7"/>
  <c r="F147" i="6" s="1"/>
  <c r="Q146" i="7"/>
  <c r="F148" i="6" s="1"/>
  <c r="Q147" i="7"/>
  <c r="F149" i="6" s="1"/>
  <c r="Q148" i="7"/>
  <c r="Q149" i="7"/>
  <c r="F151" i="6" s="1"/>
  <c r="Q150" i="7"/>
  <c r="F152" i="6" s="1"/>
  <c r="Q151" i="7"/>
  <c r="F153" i="6" s="1"/>
  <c r="Q152" i="7"/>
  <c r="F154" i="6" s="1"/>
  <c r="Q153" i="7"/>
  <c r="F155" i="6" s="1"/>
  <c r="Q154" i="7"/>
  <c r="Q155" i="7"/>
  <c r="F157" i="6" s="1"/>
  <c r="Q156" i="7"/>
  <c r="F158" i="6" s="1"/>
  <c r="Q157" i="7"/>
  <c r="F159" i="6" s="1"/>
  <c r="Q158" i="7"/>
  <c r="F160" i="6" s="1"/>
  <c r="Q159" i="7"/>
  <c r="F161" i="6" s="1"/>
  <c r="Q160" i="7"/>
  <c r="F162" i="6" s="1"/>
  <c r="Q161" i="7"/>
  <c r="Q162" i="7"/>
  <c r="Q163" i="7"/>
  <c r="F165" i="6" s="1"/>
  <c r="Q164" i="7"/>
  <c r="F166" i="6" s="1"/>
  <c r="Q165" i="7"/>
  <c r="F167" i="6" s="1"/>
  <c r="Q166" i="7"/>
  <c r="F168" i="6" s="1"/>
  <c r="Q167" i="7"/>
  <c r="F169" i="6" s="1"/>
  <c r="Q168" i="7"/>
  <c r="Q169" i="7"/>
  <c r="Q170" i="7"/>
  <c r="F172" i="6" s="1"/>
  <c r="Q171" i="7"/>
  <c r="F173" i="6" s="1"/>
  <c r="Q172" i="7"/>
  <c r="F174" i="6" s="1"/>
  <c r="Q173" i="7"/>
  <c r="F175" i="6" s="1"/>
  <c r="Q174" i="7"/>
  <c r="F176" i="6" s="1"/>
  <c r="Q175" i="7"/>
  <c r="F177" i="6" s="1"/>
  <c r="Q176" i="7"/>
  <c r="Q177" i="7"/>
  <c r="Q178" i="7"/>
  <c r="F180" i="6" s="1"/>
  <c r="Q179" i="7"/>
  <c r="F181" i="6" s="1"/>
  <c r="Q180" i="7"/>
  <c r="F182" i="6" s="1"/>
  <c r="Q181" i="7"/>
  <c r="F183" i="6" s="1"/>
  <c r="Q182" i="7"/>
  <c r="F184" i="6" s="1"/>
  <c r="Q183" i="7"/>
  <c r="F185" i="6" s="1"/>
  <c r="Q184" i="7"/>
  <c r="Q185" i="7"/>
  <c r="F187" i="6" s="1"/>
  <c r="Q186" i="7"/>
  <c r="F188" i="6" s="1"/>
  <c r="Q187" i="7"/>
  <c r="F189" i="6" s="1"/>
  <c r="Q188" i="7"/>
  <c r="F190" i="6" s="1"/>
  <c r="Q189" i="7"/>
  <c r="F191" i="6" s="1"/>
  <c r="Q190" i="7"/>
  <c r="Q191" i="7"/>
  <c r="F193" i="6" s="1"/>
  <c r="Q192" i="7"/>
  <c r="F194" i="6" s="1"/>
  <c r="Q193" i="7"/>
  <c r="F195" i="6" s="1"/>
  <c r="Q194" i="7"/>
  <c r="F196" i="6" s="1"/>
  <c r="Q195" i="7"/>
  <c r="F197" i="6" s="1"/>
  <c r="Q196" i="7"/>
  <c r="F198" i="6" s="1"/>
  <c r="Q197" i="7"/>
  <c r="F199" i="6" s="1"/>
  <c r="Q198" i="7"/>
  <c r="Q199" i="7"/>
  <c r="F201" i="6" s="1"/>
  <c r="Q200" i="7"/>
  <c r="F202" i="6" s="1"/>
  <c r="Q201" i="7"/>
  <c r="F203" i="6" s="1"/>
  <c r="Q202" i="7"/>
  <c r="F204" i="6" s="1"/>
  <c r="Q203" i="7"/>
  <c r="F205" i="6" s="1"/>
  <c r="Q204" i="7"/>
  <c r="F206" i="6" s="1"/>
  <c r="Q205" i="7"/>
  <c r="Q206" i="7"/>
  <c r="Q207" i="7"/>
  <c r="F209" i="6" s="1"/>
  <c r="Q208" i="7"/>
  <c r="F210" i="6" s="1"/>
  <c r="Q209" i="7"/>
  <c r="F211" i="6" s="1"/>
  <c r="Q210" i="7"/>
  <c r="F212" i="6" s="1"/>
  <c r="Q211" i="7"/>
  <c r="F213" i="6" s="1"/>
  <c r="Q212" i="7"/>
  <c r="F214" i="6" s="1"/>
  <c r="Q213" i="7"/>
  <c r="F210" i="13" s="1"/>
  <c r="Q214" i="7"/>
  <c r="F216" i="6" s="1"/>
  <c r="Q215" i="7"/>
  <c r="F217" i="6" s="1"/>
  <c r="Q216" i="7"/>
  <c r="F218" i="6" s="1"/>
  <c r="Q217" i="7"/>
  <c r="F219" i="6" s="1"/>
  <c r="Q218" i="7"/>
  <c r="F220" i="6" s="1"/>
  <c r="Q219" i="7"/>
  <c r="F221" i="6" s="1"/>
  <c r="Q220" i="7"/>
  <c r="Q221" i="7"/>
  <c r="F223" i="6" s="1"/>
  <c r="Q222" i="7"/>
  <c r="F224" i="6" s="1"/>
  <c r="Q223" i="7"/>
  <c r="F225" i="6" s="1"/>
  <c r="Q224" i="7"/>
  <c r="F226" i="6" s="1"/>
  <c r="Q225" i="7"/>
  <c r="F227" i="6" s="1"/>
  <c r="Q226" i="7"/>
  <c r="F228" i="6" s="1"/>
  <c r="Q227" i="7"/>
  <c r="F229" i="6" s="1"/>
  <c r="Q228" i="7"/>
  <c r="Q229" i="7"/>
  <c r="F231" i="6" s="1"/>
  <c r="Q230" i="7"/>
  <c r="F232" i="6" s="1"/>
  <c r="Q231" i="7"/>
  <c r="F233" i="6" s="1"/>
  <c r="Q232" i="7"/>
  <c r="F234" i="6" s="1"/>
  <c r="Q233" i="7"/>
  <c r="F235" i="6" s="1"/>
  <c r="Q234" i="7"/>
  <c r="Q235" i="7"/>
  <c r="F237" i="6" s="1"/>
  <c r="Q236" i="7"/>
  <c r="F238" i="6" s="1"/>
  <c r="Q237" i="7"/>
  <c r="F239" i="6" s="1"/>
  <c r="Q238" i="7"/>
  <c r="F240" i="6" s="1"/>
  <c r="Q239" i="7"/>
  <c r="F241" i="6" s="1"/>
  <c r="Q240" i="7"/>
  <c r="F242" i="6" s="1"/>
  <c r="Q241" i="7"/>
  <c r="F243" i="6" s="1"/>
  <c r="Q242" i="7"/>
  <c r="Q243" i="7"/>
  <c r="F245" i="6" s="1"/>
  <c r="Q244" i="7"/>
  <c r="F246" i="6" s="1"/>
  <c r="Q245" i="7"/>
  <c r="F247" i="6" s="1"/>
  <c r="Q246" i="7"/>
  <c r="F248" i="6" s="1"/>
  <c r="Q247" i="7"/>
  <c r="F249" i="6" s="1"/>
  <c r="Q248" i="7"/>
  <c r="F250" i="6" s="1"/>
  <c r="Q249" i="7"/>
  <c r="F246" i="13" s="1"/>
  <c r="Q250" i="7"/>
  <c r="F252" i="6" s="1"/>
  <c r="Q251" i="7"/>
  <c r="F253" i="6" s="1"/>
  <c r="Q252" i="7"/>
  <c r="F254" i="6" s="1"/>
  <c r="Q253" i="7"/>
  <c r="F255" i="6" s="1"/>
  <c r="Q254" i="7"/>
  <c r="F256" i="6" s="1"/>
  <c r="Q255" i="7"/>
  <c r="F257" i="6" s="1"/>
  <c r="Q256" i="7"/>
  <c r="Q257" i="7"/>
  <c r="Q258" i="7"/>
  <c r="F260" i="6" s="1"/>
  <c r="Q259" i="7"/>
  <c r="F261" i="6" s="1"/>
  <c r="Q260" i="7"/>
  <c r="F262" i="6" s="1"/>
  <c r="Q261" i="7"/>
  <c r="F263" i="6" s="1"/>
  <c r="Q262" i="7"/>
  <c r="F264" i="6" s="1"/>
  <c r="Q263" i="7"/>
  <c r="F265" i="6" s="1"/>
  <c r="Q264" i="7"/>
  <c r="Q265" i="7"/>
  <c r="F267" i="6" s="1"/>
  <c r="Q266" i="7"/>
  <c r="F268" i="6" s="1"/>
  <c r="Q267" i="7"/>
  <c r="F269" i="6" s="1"/>
  <c r="Q268" i="7"/>
  <c r="F270" i="6" s="1"/>
  <c r="Q269" i="7"/>
  <c r="F271" i="6" s="1"/>
  <c r="Q270" i="7"/>
  <c r="F272" i="6" s="1"/>
  <c r="Q271" i="7"/>
  <c r="F273" i="6" s="1"/>
  <c r="Q272" i="7"/>
  <c r="Q273" i="7"/>
  <c r="F275" i="6" s="1"/>
  <c r="Q274" i="7"/>
  <c r="F276" i="6" s="1"/>
  <c r="Q275" i="7"/>
  <c r="F277" i="6" s="1"/>
  <c r="Q276" i="7"/>
  <c r="F278" i="6" s="1"/>
  <c r="Q277" i="7"/>
  <c r="F279" i="6" s="1"/>
  <c r="Q278" i="7"/>
  <c r="Q279" i="7"/>
  <c r="F281" i="6" s="1"/>
  <c r="Q280" i="7"/>
  <c r="F282" i="6" s="1"/>
  <c r="Q281" i="7"/>
  <c r="F283" i="6" s="1"/>
  <c r="Q282" i="7"/>
  <c r="F284" i="6" s="1"/>
  <c r="Q283" i="7"/>
  <c r="F285" i="6" s="1"/>
  <c r="Q284" i="7"/>
  <c r="F286" i="6" s="1"/>
  <c r="Q285" i="7"/>
  <c r="Q286" i="7"/>
  <c r="F288" i="6" s="1"/>
  <c r="Q287" i="7"/>
  <c r="F289" i="6" s="1"/>
  <c r="Q288" i="7"/>
  <c r="F290" i="6" s="1"/>
  <c r="Q289" i="7"/>
  <c r="F291" i="6" s="1"/>
  <c r="Q290" i="7"/>
  <c r="F292" i="6" s="1"/>
  <c r="Q291" i="7"/>
  <c r="F293" i="6" s="1"/>
  <c r="Q292" i="7"/>
  <c r="F294" i="6" s="1"/>
  <c r="Q293" i="7"/>
  <c r="F295" i="6" s="1"/>
  <c r="Q294" i="7"/>
  <c r="F296" i="6" s="1"/>
  <c r="Q295" i="7"/>
  <c r="F297" i="6" s="1"/>
  <c r="Q296" i="7"/>
  <c r="F298" i="6" s="1"/>
  <c r="Q297" i="7"/>
  <c r="F299" i="6" s="1"/>
  <c r="Q298" i="7"/>
  <c r="F300" i="6" s="1"/>
  <c r="Q299" i="7"/>
  <c r="F301" i="6" s="1"/>
  <c r="Q300" i="7"/>
  <c r="Q301" i="7"/>
  <c r="Q302" i="7"/>
  <c r="F304" i="6" s="1"/>
  <c r="Q303" i="7"/>
  <c r="F305" i="6" s="1"/>
  <c r="Q304" i="7"/>
  <c r="F306" i="6" s="1"/>
  <c r="Q305" i="7"/>
  <c r="F307" i="6" s="1"/>
  <c r="Q306" i="7"/>
  <c r="F308" i="6" s="1"/>
  <c r="Q307" i="7"/>
  <c r="F309" i="6" s="1"/>
  <c r="Q308" i="7"/>
  <c r="Q309" i="7"/>
  <c r="F311" i="6" s="1"/>
  <c r="Q310" i="7"/>
  <c r="F312" i="6" s="1"/>
  <c r="Q311" i="7"/>
  <c r="F313" i="6" s="1"/>
  <c r="Q312" i="7"/>
  <c r="F314" i="6" s="1"/>
  <c r="Q313" i="7"/>
  <c r="F315" i="6" s="1"/>
  <c r="Q314" i="7"/>
  <c r="Q315" i="7"/>
  <c r="Q316" i="7"/>
  <c r="F318" i="6" s="1"/>
  <c r="Q317" i="7"/>
  <c r="F319" i="6" s="1"/>
  <c r="Q318" i="7"/>
  <c r="F320" i="6" s="1"/>
  <c r="Q319" i="7"/>
  <c r="F321" i="6" s="1"/>
  <c r="Q320" i="7"/>
  <c r="F322" i="6" s="1"/>
  <c r="Q321" i="7"/>
  <c r="F323" i="6" s="1"/>
  <c r="Q322" i="7"/>
  <c r="F324" i="6" s="1"/>
  <c r="Q323" i="7"/>
  <c r="F325" i="6" s="1"/>
  <c r="Q324" i="7"/>
  <c r="F326" i="6" s="1"/>
  <c r="Q325" i="7"/>
  <c r="F327" i="6" s="1"/>
  <c r="Q326" i="7"/>
  <c r="F328" i="6" s="1"/>
  <c r="Q327" i="7"/>
  <c r="F329" i="6" s="1"/>
  <c r="Q328" i="7"/>
  <c r="F330" i="6" s="1"/>
  <c r="Q329" i="7"/>
  <c r="Q330" i="7"/>
  <c r="Q331" i="7"/>
  <c r="F333" i="6" s="1"/>
  <c r="Q332" i="7"/>
  <c r="F334" i="6" s="1"/>
  <c r="Q333" i="7"/>
  <c r="F335" i="6" s="1"/>
  <c r="Q334" i="7"/>
  <c r="F336" i="6" s="1"/>
  <c r="Q335" i="7"/>
  <c r="F337" i="6" s="1"/>
  <c r="Q336" i="7"/>
  <c r="F338" i="6" s="1"/>
  <c r="Q337" i="7"/>
  <c r="Q338" i="7"/>
  <c r="F340" i="6" s="1"/>
  <c r="Q339" i="7"/>
  <c r="F341" i="6" s="1"/>
  <c r="Q340" i="7"/>
  <c r="F342" i="6" s="1"/>
  <c r="Q341" i="7"/>
  <c r="F343" i="6" s="1"/>
  <c r="Q342" i="7"/>
  <c r="F344" i="6" s="1"/>
  <c r="Q343" i="7"/>
  <c r="F345" i="6" s="1"/>
  <c r="Q344" i="7"/>
  <c r="F346" i="6" s="1"/>
  <c r="Q345" i="7"/>
  <c r="Q346" i="7"/>
  <c r="F348" i="6" s="1"/>
  <c r="Q347" i="7"/>
  <c r="F349" i="6" s="1"/>
  <c r="Q348" i="7"/>
  <c r="F350" i="6" s="1"/>
  <c r="Q349" i="7"/>
  <c r="F351" i="6" s="1"/>
  <c r="Q350" i="7"/>
  <c r="Q351" i="7"/>
  <c r="Q352" i="7"/>
  <c r="F354" i="6" s="1"/>
  <c r="Q353" i="7"/>
  <c r="F355" i="6" s="1"/>
  <c r="Q354" i="7"/>
  <c r="F356" i="6" s="1"/>
  <c r="Q355" i="7"/>
  <c r="F357" i="6" s="1"/>
  <c r="Q356" i="7"/>
  <c r="F358" i="6" s="1"/>
  <c r="Q357" i="7"/>
  <c r="F359" i="6" s="1"/>
  <c r="Q358" i="7"/>
  <c r="F360" i="6" s="1"/>
  <c r="Q359" i="7"/>
  <c r="F361" i="6" s="1"/>
  <c r="Q360" i="7"/>
  <c r="F362" i="6" s="1"/>
  <c r="Q361" i="7"/>
  <c r="F363" i="6" s="1"/>
  <c r="Q362" i="7"/>
  <c r="F364" i="6" s="1"/>
  <c r="Q363" i="7"/>
  <c r="Q364" i="7"/>
  <c r="Q365" i="7"/>
  <c r="F367" i="6" s="1"/>
  <c r="Q366" i="7"/>
  <c r="F368" i="6" s="1"/>
  <c r="Q367" i="7"/>
  <c r="F369" i="6" s="1"/>
  <c r="Q368" i="7"/>
  <c r="F370" i="6" s="1"/>
  <c r="Q369" i="7"/>
  <c r="F371" i="6" s="1"/>
  <c r="Q370" i="7"/>
  <c r="F372" i="6" s="1"/>
  <c r="Q371" i="7"/>
  <c r="F373" i="6" s="1"/>
  <c r="Q372" i="7"/>
  <c r="F374" i="6" s="1"/>
  <c r="Q373" i="7"/>
  <c r="F375" i="6" s="1"/>
  <c r="Q374" i="7"/>
  <c r="F376" i="6" s="1"/>
  <c r="Q375" i="7"/>
  <c r="F377" i="6" s="1"/>
  <c r="Q376" i="7"/>
  <c r="F378" i="6" s="1"/>
  <c r="Q377" i="7"/>
  <c r="Q378" i="7"/>
  <c r="F380" i="6" s="1"/>
  <c r="Q379" i="7"/>
  <c r="F381" i="6" s="1"/>
  <c r="Q380" i="7"/>
  <c r="F382" i="6" s="1"/>
  <c r="Q381" i="7"/>
  <c r="F383" i="6" s="1"/>
  <c r="Q382" i="7"/>
  <c r="F384" i="6" s="1"/>
  <c r="Q383" i="7"/>
  <c r="Q384" i="7"/>
  <c r="F386" i="6" s="1"/>
  <c r="Q385" i="7"/>
  <c r="F387" i="6" s="1"/>
  <c r="Q386" i="7"/>
  <c r="F388" i="6" s="1"/>
  <c r="S9" i="7"/>
  <c r="H11" i="6" s="1"/>
  <c r="S10" i="7"/>
  <c r="S11" i="7"/>
  <c r="H13" i="6" s="1"/>
  <c r="S12" i="7"/>
  <c r="H14" i="6" s="1"/>
  <c r="S13" i="7"/>
  <c r="H15" i="6" s="1"/>
  <c r="S14" i="7"/>
  <c r="H16" i="6" s="1"/>
  <c r="S15" i="7"/>
  <c r="H17" i="6" s="1"/>
  <c r="S16" i="7"/>
  <c r="H18" i="6" s="1"/>
  <c r="S17" i="7"/>
  <c r="H19" i="6" s="1"/>
  <c r="S18" i="7"/>
  <c r="S19" i="7"/>
  <c r="H21" i="6" s="1"/>
  <c r="S20" i="7"/>
  <c r="H22" i="6" s="1"/>
  <c r="S21" i="7"/>
  <c r="H23" i="6" s="1"/>
  <c r="S22" i="7"/>
  <c r="H24" i="6" s="1"/>
  <c r="S23" i="7"/>
  <c r="H25" i="6" s="1"/>
  <c r="S24" i="7"/>
  <c r="H26" i="6" s="1"/>
  <c r="S25" i="7"/>
  <c r="H27" i="6" s="1"/>
  <c r="S26" i="7"/>
  <c r="S27" i="7"/>
  <c r="H29" i="6" s="1"/>
  <c r="S28" i="7"/>
  <c r="H30" i="6" s="1"/>
  <c r="S29" i="7"/>
  <c r="H31" i="6" s="1"/>
  <c r="S30" i="7"/>
  <c r="H32" i="6" s="1"/>
  <c r="S31" i="7"/>
  <c r="H33" i="6" s="1"/>
  <c r="S32" i="7"/>
  <c r="H34" i="6" s="1"/>
  <c r="S33" i="7"/>
  <c r="H35" i="6" s="1"/>
  <c r="S34" i="7"/>
  <c r="S35" i="7"/>
  <c r="H37" i="6" s="1"/>
  <c r="S36" i="7"/>
  <c r="H38" i="6" s="1"/>
  <c r="S37" i="7"/>
  <c r="H39" i="6" s="1"/>
  <c r="S38" i="7"/>
  <c r="H40" i="6" s="1"/>
  <c r="S39" i="7"/>
  <c r="H41" i="6" s="1"/>
  <c r="S40" i="7"/>
  <c r="H42" i="6" s="1"/>
  <c r="S41" i="7"/>
  <c r="H43" i="6" s="1"/>
  <c r="S42" i="7"/>
  <c r="S43" i="7"/>
  <c r="H45" i="6" s="1"/>
  <c r="S44" i="7"/>
  <c r="H46" i="6" s="1"/>
  <c r="S45" i="7"/>
  <c r="H47" i="6" s="1"/>
  <c r="S46" i="7"/>
  <c r="H48" i="6" s="1"/>
  <c r="S47" i="7"/>
  <c r="H49" i="6" s="1"/>
  <c r="S48" i="7"/>
  <c r="H50" i="6" s="1"/>
  <c r="S49" i="7"/>
  <c r="H51" i="6" s="1"/>
  <c r="S50" i="7"/>
  <c r="S51" i="7"/>
  <c r="H53" i="6" s="1"/>
  <c r="S52" i="7"/>
  <c r="H54" i="6" s="1"/>
  <c r="S53" i="7"/>
  <c r="H55" i="6" s="1"/>
  <c r="S54" i="7"/>
  <c r="H56" i="6" s="1"/>
  <c r="S55" i="7"/>
  <c r="H57" i="6" s="1"/>
  <c r="S56" i="7"/>
  <c r="G53" i="13" s="1"/>
  <c r="S57" i="7"/>
  <c r="H59" i="6" s="1"/>
  <c r="S58" i="7"/>
  <c r="H60" i="6" s="1"/>
  <c r="S59" i="7"/>
  <c r="H61" i="6" s="1"/>
  <c r="S60" i="7"/>
  <c r="H62" i="6" s="1"/>
  <c r="S61" i="7"/>
  <c r="H63" i="6" s="1"/>
  <c r="S62" i="7"/>
  <c r="H64" i="6" s="1"/>
  <c r="S63" i="7"/>
  <c r="H65" i="6" s="1"/>
  <c r="S64" i="7"/>
  <c r="S65" i="7"/>
  <c r="H67" i="6" s="1"/>
  <c r="S66" i="7"/>
  <c r="H68" i="6" s="1"/>
  <c r="S67" i="7"/>
  <c r="H69" i="6" s="1"/>
  <c r="S68" i="7"/>
  <c r="H70" i="6" s="1"/>
  <c r="S69" i="7"/>
  <c r="H71" i="6" s="1"/>
  <c r="S70" i="7"/>
  <c r="S71" i="7"/>
  <c r="H73" i="6" s="1"/>
  <c r="S72" i="7"/>
  <c r="H74" i="6" s="1"/>
  <c r="S73" i="7"/>
  <c r="H75" i="6" s="1"/>
  <c r="S74" i="7"/>
  <c r="H76" i="6" s="1"/>
  <c r="S75" i="7"/>
  <c r="H77" i="6" s="1"/>
  <c r="S76" i="7"/>
  <c r="H78" i="6" s="1"/>
  <c r="S77" i="7"/>
  <c r="H79" i="6" s="1"/>
  <c r="S78" i="7"/>
  <c r="S79" i="7"/>
  <c r="H81" i="6" s="1"/>
  <c r="S80" i="7"/>
  <c r="H82" i="6" s="1"/>
  <c r="S81" i="7"/>
  <c r="H83" i="6" s="1"/>
  <c r="S82" i="7"/>
  <c r="H84" i="6" s="1"/>
  <c r="S83" i="7"/>
  <c r="H85" i="6" s="1"/>
  <c r="S84" i="7"/>
  <c r="H86" i="6" s="1"/>
  <c r="S85" i="7"/>
  <c r="H87" i="6" s="1"/>
  <c r="S86" i="7"/>
  <c r="S87" i="7"/>
  <c r="H89" i="6" s="1"/>
  <c r="S88" i="7"/>
  <c r="H90" i="6" s="1"/>
  <c r="S89" i="7"/>
  <c r="H91" i="6" s="1"/>
  <c r="S90" i="7"/>
  <c r="H92" i="6" s="1"/>
  <c r="S91" i="7"/>
  <c r="H93" i="6" s="1"/>
  <c r="S92" i="7"/>
  <c r="H94" i="6" s="1"/>
  <c r="S93" i="7"/>
  <c r="H95" i="6" s="1"/>
  <c r="S94" i="7"/>
  <c r="S95" i="7"/>
  <c r="H97" i="6" s="1"/>
  <c r="S96" i="7"/>
  <c r="H98" i="6" s="1"/>
  <c r="S97" i="7"/>
  <c r="H99" i="6" s="1"/>
  <c r="S98" i="7"/>
  <c r="H100" i="6" s="1"/>
  <c r="S99" i="7"/>
  <c r="H101" i="6" s="1"/>
  <c r="S100" i="7"/>
  <c r="H102" i="6" s="1"/>
  <c r="S101" i="7"/>
  <c r="H103" i="6" s="1"/>
  <c r="S102" i="7"/>
  <c r="S103" i="7"/>
  <c r="H105" i="6" s="1"/>
  <c r="S104" i="7"/>
  <c r="H106" i="6" s="1"/>
  <c r="S105" i="7"/>
  <c r="H107" i="6" s="1"/>
  <c r="S106" i="7"/>
  <c r="H108" i="6" s="1"/>
  <c r="S107" i="7"/>
  <c r="H109" i="6" s="1"/>
  <c r="S108" i="7"/>
  <c r="H110" i="6" s="1"/>
  <c r="S109" i="7"/>
  <c r="H111" i="6" s="1"/>
  <c r="S110" i="7"/>
  <c r="S111" i="7"/>
  <c r="H113" i="6" s="1"/>
  <c r="S112" i="7"/>
  <c r="H114" i="6" s="1"/>
  <c r="S113" i="7"/>
  <c r="H115" i="6" s="1"/>
  <c r="S114" i="7"/>
  <c r="H116" i="6" s="1"/>
  <c r="S115" i="7"/>
  <c r="H117" i="6" s="1"/>
  <c r="S116" i="7"/>
  <c r="H118" i="6" s="1"/>
  <c r="S117" i="7"/>
  <c r="H119" i="6" s="1"/>
  <c r="S118" i="7"/>
  <c r="S119" i="7"/>
  <c r="H121" i="6" s="1"/>
  <c r="S120" i="7"/>
  <c r="H122" i="6" s="1"/>
  <c r="S121" i="7"/>
  <c r="H123" i="6" s="1"/>
  <c r="S122" i="7"/>
  <c r="H124" i="6" s="1"/>
  <c r="S123" i="7"/>
  <c r="H125" i="6" s="1"/>
  <c r="S124" i="7"/>
  <c r="H126" i="6" s="1"/>
  <c r="S125" i="7"/>
  <c r="H127" i="6" s="1"/>
  <c r="S126" i="7"/>
  <c r="S127" i="7"/>
  <c r="H129" i="6" s="1"/>
  <c r="S128" i="7"/>
  <c r="H130" i="6" s="1"/>
  <c r="S129" i="7"/>
  <c r="H131" i="6" s="1"/>
  <c r="S130" i="7"/>
  <c r="H132" i="6" s="1"/>
  <c r="S131" i="7"/>
  <c r="H133" i="6" s="1"/>
  <c r="S132" i="7"/>
  <c r="H134" i="6" s="1"/>
  <c r="S133" i="7"/>
  <c r="H135" i="6" s="1"/>
  <c r="S134" i="7"/>
  <c r="S135" i="7"/>
  <c r="H137" i="6" s="1"/>
  <c r="S136" i="7"/>
  <c r="H138" i="6" s="1"/>
  <c r="S137" i="7"/>
  <c r="H139" i="6" s="1"/>
  <c r="S138" i="7"/>
  <c r="H140" i="6" s="1"/>
  <c r="S139" i="7"/>
  <c r="H141" i="6" s="1"/>
  <c r="S140" i="7"/>
  <c r="H142" i="6" s="1"/>
  <c r="S141" i="7"/>
  <c r="H143" i="6" s="1"/>
  <c r="S142" i="7"/>
  <c r="S143" i="7"/>
  <c r="H145" i="6" s="1"/>
  <c r="S144" i="7"/>
  <c r="H146" i="6" s="1"/>
  <c r="S145" i="7"/>
  <c r="H147" i="6" s="1"/>
  <c r="S146" i="7"/>
  <c r="H148" i="6" s="1"/>
  <c r="S147" i="7"/>
  <c r="H149" i="6" s="1"/>
  <c r="S148" i="7"/>
  <c r="H150" i="6" s="1"/>
  <c r="S149" i="7"/>
  <c r="H151" i="6" s="1"/>
  <c r="S150" i="7"/>
  <c r="S151" i="7"/>
  <c r="H153" i="6" s="1"/>
  <c r="S152" i="7"/>
  <c r="H154" i="6" s="1"/>
  <c r="S153" i="7"/>
  <c r="H155" i="6" s="1"/>
  <c r="S154" i="7"/>
  <c r="H156" i="6" s="1"/>
  <c r="S155" i="7"/>
  <c r="H157" i="6" s="1"/>
  <c r="S156" i="7"/>
  <c r="H158" i="6" s="1"/>
  <c r="S157" i="7"/>
  <c r="H159" i="6" s="1"/>
  <c r="S158" i="7"/>
  <c r="S159" i="7"/>
  <c r="H161" i="6" s="1"/>
  <c r="S160" i="7"/>
  <c r="H162" i="6" s="1"/>
  <c r="S161" i="7"/>
  <c r="H163" i="6" s="1"/>
  <c r="S162" i="7"/>
  <c r="H164" i="6" s="1"/>
  <c r="S163" i="7"/>
  <c r="H165" i="6" s="1"/>
  <c r="S164" i="7"/>
  <c r="H166" i="6" s="1"/>
  <c r="S165" i="7"/>
  <c r="H167" i="6" s="1"/>
  <c r="S166" i="7"/>
  <c r="S167" i="7"/>
  <c r="H169" i="6" s="1"/>
  <c r="S168" i="7"/>
  <c r="H170" i="6" s="1"/>
  <c r="S169" i="7"/>
  <c r="H171" i="6" s="1"/>
  <c r="S170" i="7"/>
  <c r="H172" i="6" s="1"/>
  <c r="S171" i="7"/>
  <c r="H173" i="6" s="1"/>
  <c r="S172" i="7"/>
  <c r="H174" i="6" s="1"/>
  <c r="S173" i="7"/>
  <c r="H175" i="6" s="1"/>
  <c r="S174" i="7"/>
  <c r="S175" i="7"/>
  <c r="H177" i="6" s="1"/>
  <c r="S176" i="7"/>
  <c r="H178" i="6" s="1"/>
  <c r="S177" i="7"/>
  <c r="H179" i="6" s="1"/>
  <c r="S178" i="7"/>
  <c r="H180" i="6" s="1"/>
  <c r="S179" i="7"/>
  <c r="H181" i="6" s="1"/>
  <c r="S180" i="7"/>
  <c r="H182" i="6" s="1"/>
  <c r="S181" i="7"/>
  <c r="H183" i="6" s="1"/>
  <c r="S182" i="7"/>
  <c r="S183" i="7"/>
  <c r="H185" i="6" s="1"/>
  <c r="S184" i="7"/>
  <c r="H186" i="6" s="1"/>
  <c r="S185" i="7"/>
  <c r="H187" i="6" s="1"/>
  <c r="S186" i="7"/>
  <c r="H188" i="6" s="1"/>
  <c r="S187" i="7"/>
  <c r="H189" i="6" s="1"/>
  <c r="S188" i="7"/>
  <c r="H190" i="6" s="1"/>
  <c r="S189" i="7"/>
  <c r="H191" i="6" s="1"/>
  <c r="S190" i="7"/>
  <c r="S191" i="7"/>
  <c r="H193" i="6" s="1"/>
  <c r="S192" i="7"/>
  <c r="H194" i="6" s="1"/>
  <c r="S193" i="7"/>
  <c r="H195" i="6" s="1"/>
  <c r="S194" i="7"/>
  <c r="H196" i="6" s="1"/>
  <c r="S195" i="7"/>
  <c r="H197" i="6" s="1"/>
  <c r="S196" i="7"/>
  <c r="H198" i="6" s="1"/>
  <c r="S197" i="7"/>
  <c r="H199" i="6" s="1"/>
  <c r="S198" i="7"/>
  <c r="S199" i="7"/>
  <c r="H201" i="6" s="1"/>
  <c r="S200" i="7"/>
  <c r="H202" i="6" s="1"/>
  <c r="S201" i="7"/>
  <c r="H203" i="6" s="1"/>
  <c r="S202" i="7"/>
  <c r="H204" i="6" s="1"/>
  <c r="S203" i="7"/>
  <c r="H205" i="6" s="1"/>
  <c r="S204" i="7"/>
  <c r="H206" i="6" s="1"/>
  <c r="S205" i="7"/>
  <c r="H207" i="6" s="1"/>
  <c r="S206" i="7"/>
  <c r="S207" i="7"/>
  <c r="H209" i="6" s="1"/>
  <c r="S208" i="7"/>
  <c r="H210" i="6" s="1"/>
  <c r="S209" i="7"/>
  <c r="H211" i="6" s="1"/>
  <c r="S210" i="7"/>
  <c r="H212" i="6" s="1"/>
  <c r="S211" i="7"/>
  <c r="H213" i="6" s="1"/>
  <c r="S212" i="7"/>
  <c r="H214" i="6" s="1"/>
  <c r="S213" i="7"/>
  <c r="H215" i="6" s="1"/>
  <c r="S214" i="7"/>
  <c r="S215" i="7"/>
  <c r="H217" i="6" s="1"/>
  <c r="S216" i="7"/>
  <c r="H218" i="6" s="1"/>
  <c r="S217" i="7"/>
  <c r="H219" i="6" s="1"/>
  <c r="S218" i="7"/>
  <c r="H220" i="6" s="1"/>
  <c r="S219" i="7"/>
  <c r="H221" i="6" s="1"/>
  <c r="S220" i="7"/>
  <c r="H222" i="6" s="1"/>
  <c r="S221" i="7"/>
  <c r="H223" i="6" s="1"/>
  <c r="S222" i="7"/>
  <c r="S223" i="7"/>
  <c r="H225" i="6" s="1"/>
  <c r="S224" i="7"/>
  <c r="H226" i="6" s="1"/>
  <c r="S225" i="7"/>
  <c r="H227" i="6" s="1"/>
  <c r="S226" i="7"/>
  <c r="H228" i="6" s="1"/>
  <c r="S227" i="7"/>
  <c r="H229" i="6" s="1"/>
  <c r="S228" i="7"/>
  <c r="H230" i="6" s="1"/>
  <c r="S229" i="7"/>
  <c r="H231" i="6" s="1"/>
  <c r="S230" i="7"/>
  <c r="S231" i="7"/>
  <c r="H233" i="6" s="1"/>
  <c r="S232" i="7"/>
  <c r="H234" i="6" s="1"/>
  <c r="S233" i="7"/>
  <c r="H235" i="6" s="1"/>
  <c r="S234" i="7"/>
  <c r="H236" i="6" s="1"/>
  <c r="S235" i="7"/>
  <c r="H237" i="6" s="1"/>
  <c r="S236" i="7"/>
  <c r="H238" i="6" s="1"/>
  <c r="S237" i="7"/>
  <c r="H239" i="6" s="1"/>
  <c r="S238" i="7"/>
  <c r="S239" i="7"/>
  <c r="H241" i="6" s="1"/>
  <c r="S240" i="7"/>
  <c r="H242" i="6" s="1"/>
  <c r="S241" i="7"/>
  <c r="H243" i="6" s="1"/>
  <c r="S242" i="7"/>
  <c r="H244" i="6" s="1"/>
  <c r="S243" i="7"/>
  <c r="H245" i="6" s="1"/>
  <c r="S244" i="7"/>
  <c r="H246" i="6" s="1"/>
  <c r="S245" i="7"/>
  <c r="H247" i="6" s="1"/>
  <c r="S246" i="7"/>
  <c r="S247" i="7"/>
  <c r="H249" i="6" s="1"/>
  <c r="S248" i="7"/>
  <c r="H250" i="6" s="1"/>
  <c r="S249" i="7"/>
  <c r="H251" i="6" s="1"/>
  <c r="S250" i="7"/>
  <c r="H252" i="6" s="1"/>
  <c r="S251" i="7"/>
  <c r="H253" i="6" s="1"/>
  <c r="S252" i="7"/>
  <c r="H254" i="6" s="1"/>
  <c r="S253" i="7"/>
  <c r="H255" i="6" s="1"/>
  <c r="S254" i="7"/>
  <c r="S255" i="7"/>
  <c r="H257" i="6" s="1"/>
  <c r="S256" i="7"/>
  <c r="H258" i="6" s="1"/>
  <c r="S257" i="7"/>
  <c r="H259" i="6" s="1"/>
  <c r="S258" i="7"/>
  <c r="H260" i="6" s="1"/>
  <c r="S259" i="7"/>
  <c r="H261" i="6" s="1"/>
  <c r="S260" i="7"/>
  <c r="H262" i="6" s="1"/>
  <c r="S261" i="7"/>
  <c r="H263" i="6" s="1"/>
  <c r="S262" i="7"/>
  <c r="S263" i="7"/>
  <c r="H265" i="6" s="1"/>
  <c r="S264" i="7"/>
  <c r="H266" i="6" s="1"/>
  <c r="S265" i="7"/>
  <c r="H267" i="6" s="1"/>
  <c r="S266" i="7"/>
  <c r="H268" i="6" s="1"/>
  <c r="S267" i="7"/>
  <c r="H269" i="6" s="1"/>
  <c r="S268" i="7"/>
  <c r="H270" i="6" s="1"/>
  <c r="S269" i="7"/>
  <c r="H271" i="6" s="1"/>
  <c r="S270" i="7"/>
  <c r="S271" i="7"/>
  <c r="H273" i="6" s="1"/>
  <c r="S272" i="7"/>
  <c r="H274" i="6" s="1"/>
  <c r="S273" i="7"/>
  <c r="H275" i="6" s="1"/>
  <c r="S274" i="7"/>
  <c r="H276" i="6" s="1"/>
  <c r="S275" i="7"/>
  <c r="H277" i="6" s="1"/>
  <c r="S276" i="7"/>
  <c r="H278" i="6" s="1"/>
  <c r="S277" i="7"/>
  <c r="H279" i="6" s="1"/>
  <c r="S278" i="7"/>
  <c r="H280" i="6" s="1"/>
  <c r="S279" i="7"/>
  <c r="S280" i="7"/>
  <c r="H282" i="6" s="1"/>
  <c r="S281" i="7"/>
  <c r="H283" i="6" s="1"/>
  <c r="S282" i="7"/>
  <c r="H284" i="6" s="1"/>
  <c r="S283" i="7"/>
  <c r="S284" i="7"/>
  <c r="H286" i="6" s="1"/>
  <c r="S285" i="7"/>
  <c r="H287" i="6" s="1"/>
  <c r="S286" i="7"/>
  <c r="S287" i="7"/>
  <c r="H289" i="6" s="1"/>
  <c r="S288" i="7"/>
  <c r="H290" i="6" s="1"/>
  <c r="S289" i="7"/>
  <c r="H291" i="6" s="1"/>
  <c r="S290" i="7"/>
  <c r="S291" i="7"/>
  <c r="H293" i="6" s="1"/>
  <c r="S292" i="7"/>
  <c r="H294" i="6" s="1"/>
  <c r="S293" i="7"/>
  <c r="S294" i="7"/>
  <c r="H296" i="6" s="1"/>
  <c r="S295" i="7"/>
  <c r="H297" i="6" s="1"/>
  <c r="S296" i="7"/>
  <c r="H298" i="6" s="1"/>
  <c r="S297" i="7"/>
  <c r="H299" i="6" s="1"/>
  <c r="S298" i="7"/>
  <c r="H300" i="6" s="1"/>
  <c r="S299" i="7"/>
  <c r="H301" i="6" s="1"/>
  <c r="S300" i="7"/>
  <c r="H302" i="6" s="1"/>
  <c r="S301" i="7"/>
  <c r="S302" i="7"/>
  <c r="H304" i="6" s="1"/>
  <c r="S303" i="7"/>
  <c r="H305" i="6" s="1"/>
  <c r="S304" i="7"/>
  <c r="H306" i="6" s="1"/>
  <c r="S305" i="7"/>
  <c r="S306" i="7"/>
  <c r="H308" i="6" s="1"/>
  <c r="S307" i="7"/>
  <c r="G304" i="13" s="1"/>
  <c r="S308" i="7"/>
  <c r="H310" i="6" s="1"/>
  <c r="S309" i="7"/>
  <c r="S310" i="7"/>
  <c r="H312" i="6" s="1"/>
  <c r="S311" i="7"/>
  <c r="H313" i="6" s="1"/>
  <c r="S312" i="7"/>
  <c r="H314" i="6" s="1"/>
  <c r="S313" i="7"/>
  <c r="H315" i="6" s="1"/>
  <c r="S314" i="7"/>
  <c r="H316" i="6" s="1"/>
  <c r="S315" i="7"/>
  <c r="H317" i="6" s="1"/>
  <c r="S316" i="7"/>
  <c r="S317" i="7"/>
  <c r="H319" i="6" s="1"/>
  <c r="S318" i="7"/>
  <c r="H320" i="6" s="1"/>
  <c r="S319" i="7"/>
  <c r="H321" i="6" s="1"/>
  <c r="S320" i="7"/>
  <c r="H322" i="6" s="1"/>
  <c r="S321" i="7"/>
  <c r="H323" i="6" s="1"/>
  <c r="S322" i="7"/>
  <c r="H324" i="6" s="1"/>
  <c r="S323" i="7"/>
  <c r="H325" i="6" s="1"/>
  <c r="S324" i="7"/>
  <c r="H326" i="6" s="1"/>
  <c r="S325" i="7"/>
  <c r="H327" i="6" s="1"/>
  <c r="S326" i="7"/>
  <c r="H328" i="6" s="1"/>
  <c r="S327" i="7"/>
  <c r="H329" i="6" s="1"/>
  <c r="S328" i="7"/>
  <c r="H330" i="6" s="1"/>
  <c r="S329" i="7"/>
  <c r="H331" i="6" s="1"/>
  <c r="S330" i="7"/>
  <c r="H332" i="6" s="1"/>
  <c r="S331" i="7"/>
  <c r="H333" i="6" s="1"/>
  <c r="S332" i="7"/>
  <c r="H334" i="6" s="1"/>
  <c r="S333" i="7"/>
  <c r="H335" i="6" s="1"/>
  <c r="S334" i="7"/>
  <c r="H336" i="6" s="1"/>
  <c r="S335" i="7"/>
  <c r="H337" i="6" s="1"/>
  <c r="S336" i="7"/>
  <c r="H338" i="6" s="1"/>
  <c r="S337" i="7"/>
  <c r="H339" i="6" s="1"/>
  <c r="S338" i="7"/>
  <c r="S339" i="7"/>
  <c r="H341" i="6" s="1"/>
  <c r="S340" i="7"/>
  <c r="H342" i="6" s="1"/>
  <c r="S341" i="7"/>
  <c r="H343" i="6" s="1"/>
  <c r="S342" i="7"/>
  <c r="H344" i="6" s="1"/>
  <c r="S343" i="7"/>
  <c r="S344" i="7"/>
  <c r="H346" i="6" s="1"/>
  <c r="S345" i="7"/>
  <c r="H347" i="6" s="1"/>
  <c r="S346" i="7"/>
  <c r="H348" i="6" s="1"/>
  <c r="S347" i="7"/>
  <c r="H349" i="6" s="1"/>
  <c r="S348" i="7"/>
  <c r="H350" i="6" s="1"/>
  <c r="S349" i="7"/>
  <c r="H351" i="6" s="1"/>
  <c r="S350" i="7"/>
  <c r="H352" i="6" s="1"/>
  <c r="S351" i="7"/>
  <c r="H353" i="6" s="1"/>
  <c r="S352" i="7"/>
  <c r="H354" i="6" s="1"/>
  <c r="S353" i="7"/>
  <c r="H355" i="6" s="1"/>
  <c r="S354" i="7"/>
  <c r="S355" i="7"/>
  <c r="H357" i="6" s="1"/>
  <c r="S356" i="7"/>
  <c r="H358" i="6" s="1"/>
  <c r="S357" i="7"/>
  <c r="H359" i="6" s="1"/>
  <c r="S358" i="7"/>
  <c r="H360" i="6" s="1"/>
  <c r="S359" i="7"/>
  <c r="H361" i="6" s="1"/>
  <c r="S360" i="7"/>
  <c r="H362" i="6" s="1"/>
  <c r="S361" i="7"/>
  <c r="H363" i="6" s="1"/>
  <c r="S362" i="7"/>
  <c r="H364" i="6" s="1"/>
  <c r="S363" i="7"/>
  <c r="G360" i="13" s="1"/>
  <c r="S364" i="7"/>
  <c r="H366" i="6" s="1"/>
  <c r="S365" i="7"/>
  <c r="H367" i="6" s="1"/>
  <c r="S366" i="7"/>
  <c r="H368" i="6" s="1"/>
  <c r="S367" i="7"/>
  <c r="H369" i="6" s="1"/>
  <c r="S368" i="7"/>
  <c r="H370" i="6" s="1"/>
  <c r="S369" i="7"/>
  <c r="H371" i="6" s="1"/>
  <c r="S370" i="7"/>
  <c r="H372" i="6" s="1"/>
  <c r="S371" i="7"/>
  <c r="G368" i="13" s="1"/>
  <c r="S372" i="7"/>
  <c r="H374" i="6" s="1"/>
  <c r="S373" i="7"/>
  <c r="S374" i="7"/>
  <c r="H376" i="6" s="1"/>
  <c r="S375" i="7"/>
  <c r="H377" i="6" s="1"/>
  <c r="S376" i="7"/>
  <c r="H378" i="6" s="1"/>
  <c r="S377" i="7"/>
  <c r="H379" i="6" s="1"/>
  <c r="S378" i="7"/>
  <c r="H380" i="6" s="1"/>
  <c r="S379" i="7"/>
  <c r="H381" i="6" s="1"/>
  <c r="S380" i="7"/>
  <c r="S381" i="7"/>
  <c r="H383" i="6" s="1"/>
  <c r="S382" i="7"/>
  <c r="H384" i="6" s="1"/>
  <c r="S383" i="7"/>
  <c r="H385" i="6" s="1"/>
  <c r="S384" i="7"/>
  <c r="S385" i="7"/>
  <c r="H387" i="6" s="1"/>
  <c r="S386" i="7"/>
  <c r="H388" i="6" s="1"/>
  <c r="C4" i="13"/>
  <c r="F4" i="3" s="1"/>
  <c r="C5" i="13"/>
  <c r="F5" i="3" s="1"/>
  <c r="C6" i="13"/>
  <c r="F6" i="3" s="1"/>
  <c r="C7" i="13"/>
  <c r="C8" i="13"/>
  <c r="C9" i="13"/>
  <c r="F9" i="3" s="1"/>
  <c r="C10" i="13"/>
  <c r="F10" i="3" s="1"/>
  <c r="C11" i="13"/>
  <c r="F11" i="3" s="1"/>
  <c r="C12" i="13"/>
  <c r="F876" i="17" s="1"/>
  <c r="C13" i="13"/>
  <c r="F13" i="3" s="1"/>
  <c r="C14" i="13"/>
  <c r="F527" i="17" s="1"/>
  <c r="C15" i="13"/>
  <c r="C16" i="13"/>
  <c r="F16" i="3" s="1"/>
  <c r="C17" i="13"/>
  <c r="F17" i="3" s="1"/>
  <c r="C18" i="13"/>
  <c r="F18" i="3" s="1"/>
  <c r="C19" i="13"/>
  <c r="F910" i="17" s="1"/>
  <c r="C20" i="13"/>
  <c r="F20" i="3" s="1"/>
  <c r="C21" i="13"/>
  <c r="F21" i="3" s="1"/>
  <c r="C22" i="13"/>
  <c r="F886" i="17" s="1"/>
  <c r="C23" i="13"/>
  <c r="F382" i="13"/>
  <c r="F366" i="13"/>
  <c r="F337" i="13"/>
  <c r="F333" i="13"/>
  <c r="F317" i="13"/>
  <c r="F313" i="13"/>
  <c r="F309" i="13"/>
  <c r="F301" i="13"/>
  <c r="F299" i="13"/>
  <c r="F292" i="13"/>
  <c r="F291" i="13"/>
  <c r="F290" i="13"/>
  <c r="F289" i="13"/>
  <c r="F286" i="13"/>
  <c r="F285" i="13"/>
  <c r="F284" i="13"/>
  <c r="G284" i="13"/>
  <c r="F283" i="13"/>
  <c r="F281" i="13"/>
  <c r="F278" i="13"/>
  <c r="F277" i="13"/>
  <c r="F276" i="13"/>
  <c r="F274" i="13"/>
  <c r="G273" i="13"/>
  <c r="F270" i="13"/>
  <c r="G269" i="13"/>
  <c r="F268" i="13"/>
  <c r="F267" i="13"/>
  <c r="F266" i="13"/>
  <c r="G265" i="13"/>
  <c r="F262" i="13"/>
  <c r="F260" i="13"/>
  <c r="F259" i="13"/>
  <c r="F258" i="13"/>
  <c r="F257" i="13"/>
  <c r="F252" i="13"/>
  <c r="F251" i="13"/>
  <c r="F250" i="13"/>
  <c r="F249" i="13"/>
  <c r="G249" i="13"/>
  <c r="F245" i="13"/>
  <c r="G245" i="13"/>
  <c r="F244" i="13"/>
  <c r="F243" i="13"/>
  <c r="F242" i="13"/>
  <c r="F241" i="13"/>
  <c r="G241" i="13"/>
  <c r="F238" i="13"/>
  <c r="F237" i="13"/>
  <c r="F236" i="13"/>
  <c r="F235" i="13"/>
  <c r="F234" i="13"/>
  <c r="F233" i="13"/>
  <c r="G233" i="13"/>
  <c r="F230" i="13"/>
  <c r="F229" i="13"/>
  <c r="F228" i="13"/>
  <c r="F227" i="13"/>
  <c r="F226" i="13"/>
  <c r="G225" i="13"/>
  <c r="F222" i="13"/>
  <c r="F221" i="13"/>
  <c r="F220" i="13"/>
  <c r="F219" i="13"/>
  <c r="F218" i="13"/>
  <c r="G217" i="13"/>
  <c r="F214" i="13"/>
  <c r="F213" i="13"/>
  <c r="F212" i="13"/>
  <c r="F211" i="13"/>
  <c r="G210" i="13"/>
  <c r="F209" i="13"/>
  <c r="G209" i="13"/>
  <c r="F206" i="13"/>
  <c r="F205" i="13"/>
  <c r="F204" i="13"/>
  <c r="F201" i="13"/>
  <c r="G201" i="13"/>
  <c r="F198" i="13"/>
  <c r="F197" i="13"/>
  <c r="F196" i="13"/>
  <c r="G196" i="13"/>
  <c r="F194" i="13"/>
  <c r="G194" i="13"/>
  <c r="F193" i="13"/>
  <c r="G193" i="13"/>
  <c r="F190" i="13"/>
  <c r="F189" i="13"/>
  <c r="F188" i="13"/>
  <c r="F186" i="13"/>
  <c r="G186" i="13"/>
  <c r="F185" i="13"/>
  <c r="G185" i="13"/>
  <c r="F182" i="13"/>
  <c r="G181" i="13"/>
  <c r="F180" i="13"/>
  <c r="F179" i="13"/>
  <c r="F178" i="13"/>
  <c r="G178" i="13"/>
  <c r="F177" i="13"/>
  <c r="G177" i="13"/>
  <c r="F172" i="13"/>
  <c r="G172" i="13"/>
  <c r="F171" i="13"/>
  <c r="F170" i="13"/>
  <c r="G170" i="13"/>
  <c r="F169" i="13"/>
  <c r="G169" i="13"/>
  <c r="G168" i="13"/>
  <c r="F164" i="13"/>
  <c r="F163" i="13"/>
  <c r="F162" i="13"/>
  <c r="G162" i="13"/>
  <c r="F161" i="13"/>
  <c r="G161" i="13"/>
  <c r="F157" i="13"/>
  <c r="F156" i="13"/>
  <c r="F155" i="13"/>
  <c r="F154" i="13"/>
  <c r="G154" i="13"/>
  <c r="F153" i="13"/>
  <c r="G153" i="13"/>
  <c r="F150" i="13"/>
  <c r="F149" i="13"/>
  <c r="F148" i="13"/>
  <c r="G148" i="13"/>
  <c r="F147" i="13"/>
  <c r="F146" i="13"/>
  <c r="G146" i="13"/>
  <c r="G145" i="13"/>
  <c r="F143" i="13"/>
  <c r="F142" i="13"/>
  <c r="F141" i="13"/>
  <c r="F140" i="13"/>
  <c r="F139" i="13"/>
  <c r="F138" i="13"/>
  <c r="G138" i="13"/>
  <c r="G137" i="13"/>
  <c r="F134" i="13"/>
  <c r="F133" i="13"/>
  <c r="F132" i="13"/>
  <c r="F131" i="13"/>
  <c r="G130" i="13"/>
  <c r="G129" i="13"/>
  <c r="F126" i="13"/>
  <c r="F125" i="13"/>
  <c r="G125" i="13"/>
  <c r="F124" i="13"/>
  <c r="F123" i="13"/>
  <c r="G122" i="13"/>
  <c r="G121" i="13"/>
  <c r="F118" i="13"/>
  <c r="F117" i="13"/>
  <c r="F116" i="13"/>
  <c r="F114" i="13"/>
  <c r="G114" i="13"/>
  <c r="F113" i="13"/>
  <c r="G113" i="13"/>
  <c r="F110" i="13"/>
  <c r="F109" i="13"/>
  <c r="F108" i="13"/>
  <c r="F106" i="13"/>
  <c r="G106" i="13"/>
  <c r="F105" i="13"/>
  <c r="G105" i="13"/>
  <c r="F102" i="13"/>
  <c r="F101" i="13"/>
  <c r="F100" i="13"/>
  <c r="F98" i="13"/>
  <c r="G98" i="13"/>
  <c r="F97" i="13"/>
  <c r="G97" i="13"/>
  <c r="G96" i="13"/>
  <c r="F95" i="13"/>
  <c r="F94" i="13"/>
  <c r="F92" i="13"/>
  <c r="F91" i="13"/>
  <c r="F90" i="13"/>
  <c r="G90" i="13"/>
  <c r="F89" i="13"/>
  <c r="G89" i="13"/>
  <c r="G88" i="13"/>
  <c r="G87" i="13"/>
  <c r="F84" i="13"/>
  <c r="F83" i="13"/>
  <c r="F82" i="13"/>
  <c r="G82" i="13"/>
  <c r="F81" i="13"/>
  <c r="G81" i="13"/>
  <c r="F77" i="13"/>
  <c r="F76" i="13"/>
  <c r="F75" i="13"/>
  <c r="F74" i="13"/>
  <c r="G74" i="13"/>
  <c r="F73" i="13"/>
  <c r="G73" i="13"/>
  <c r="F69" i="13"/>
  <c r="F68" i="13"/>
  <c r="F67" i="13"/>
  <c r="F66" i="13"/>
  <c r="G66" i="13"/>
  <c r="F65" i="13"/>
  <c r="G65" i="13"/>
  <c r="F62" i="13"/>
  <c r="F61" i="13"/>
  <c r="F60" i="13"/>
  <c r="G60" i="13"/>
  <c r="F59" i="13"/>
  <c r="G59" i="13"/>
  <c r="F58" i="13"/>
  <c r="G58" i="13"/>
  <c r="F57" i="13"/>
  <c r="G56" i="13"/>
  <c r="F54" i="13"/>
  <c r="F53" i="13"/>
  <c r="F52" i="13"/>
  <c r="G52" i="13"/>
  <c r="F51" i="13"/>
  <c r="G51" i="13"/>
  <c r="G50" i="13"/>
  <c r="G49" i="13"/>
  <c r="F47" i="13"/>
  <c r="F46" i="13"/>
  <c r="F45" i="13"/>
  <c r="F44" i="13"/>
  <c r="G44" i="13"/>
  <c r="F43" i="13"/>
  <c r="G43" i="13"/>
  <c r="G42" i="13"/>
  <c r="G41" i="13"/>
  <c r="F38" i="13"/>
  <c r="F37" i="13"/>
  <c r="F36" i="13"/>
  <c r="G36" i="13"/>
  <c r="F35" i="13"/>
  <c r="G35" i="13"/>
  <c r="G34" i="13"/>
  <c r="F33" i="13"/>
  <c r="G33" i="13"/>
  <c r="F30" i="13"/>
  <c r="F29" i="13"/>
  <c r="F28" i="13"/>
  <c r="G28" i="13"/>
  <c r="G27" i="13"/>
  <c r="G26" i="13"/>
  <c r="F25" i="13"/>
  <c r="G25" i="13"/>
  <c r="F23" i="13"/>
  <c r="F22" i="13"/>
  <c r="F21" i="13"/>
  <c r="G20" i="13"/>
  <c r="G19" i="13"/>
  <c r="F18" i="13"/>
  <c r="G18" i="13"/>
  <c r="F17" i="13"/>
  <c r="G17" i="13"/>
  <c r="F14" i="13"/>
  <c r="F12" i="13"/>
  <c r="G12" i="13"/>
  <c r="F11" i="13"/>
  <c r="G11" i="13"/>
  <c r="F10" i="13"/>
  <c r="G10" i="13"/>
  <c r="F9" i="13"/>
  <c r="G9" i="13"/>
  <c r="F5" i="13"/>
  <c r="G5" i="13"/>
  <c r="F4" i="13"/>
  <c r="G4" i="13"/>
  <c r="S1022" i="17"/>
  <c r="S1021" i="17"/>
  <c r="S1020" i="17"/>
  <c r="S1019" i="17"/>
  <c r="S1018" i="17"/>
  <c r="S1017" i="17"/>
  <c r="S1016" i="17"/>
  <c r="S1015" i="17"/>
  <c r="S1014" i="17"/>
  <c r="S1013" i="17"/>
  <c r="S1012" i="17"/>
  <c r="S1011" i="17"/>
  <c r="S1010" i="17"/>
  <c r="S1009" i="17"/>
  <c r="S1008" i="17"/>
  <c r="S1007" i="17"/>
  <c r="S1006" i="17"/>
  <c r="S1005" i="17"/>
  <c r="S1004" i="17"/>
  <c r="S1003" i="17"/>
  <c r="S995" i="17"/>
  <c r="S994" i="17"/>
  <c r="S993" i="17"/>
  <c r="S992" i="17"/>
  <c r="S991" i="17"/>
  <c r="S990" i="17"/>
  <c r="S989" i="17"/>
  <c r="S988" i="17"/>
  <c r="S987" i="17"/>
  <c r="S986" i="17"/>
  <c r="S985" i="17"/>
  <c r="S984" i="17"/>
  <c r="S983" i="17"/>
  <c r="S982" i="17"/>
  <c r="S981" i="17"/>
  <c r="S980" i="17"/>
  <c r="S979" i="17"/>
  <c r="S978" i="17"/>
  <c r="S977" i="17"/>
  <c r="S976" i="17"/>
  <c r="S968" i="17"/>
  <c r="S967" i="17"/>
  <c r="S966" i="17"/>
  <c r="S965" i="17"/>
  <c r="S964" i="17"/>
  <c r="S963" i="17"/>
  <c r="S962" i="17"/>
  <c r="S961" i="17"/>
  <c r="S960" i="17"/>
  <c r="S959" i="17"/>
  <c r="S958" i="17"/>
  <c r="S957" i="17"/>
  <c r="S956" i="17"/>
  <c r="S955" i="17"/>
  <c r="S954" i="17"/>
  <c r="S953" i="17"/>
  <c r="S952" i="17"/>
  <c r="S951" i="17"/>
  <c r="S950" i="17"/>
  <c r="S949" i="17"/>
  <c r="S941" i="17"/>
  <c r="S940" i="17"/>
  <c r="S939" i="17"/>
  <c r="S938" i="17"/>
  <c r="S937" i="17"/>
  <c r="S936" i="17"/>
  <c r="S935" i="17"/>
  <c r="S934" i="17"/>
  <c r="S933" i="17"/>
  <c r="S932" i="17"/>
  <c r="S931" i="17"/>
  <c r="S930" i="17"/>
  <c r="S929" i="17"/>
  <c r="S928" i="17"/>
  <c r="S927" i="17"/>
  <c r="S926" i="17"/>
  <c r="S925" i="17"/>
  <c r="S924" i="17"/>
  <c r="S923" i="17"/>
  <c r="S922" i="17"/>
  <c r="S914" i="17"/>
  <c r="S913" i="17"/>
  <c r="S912" i="17"/>
  <c r="S911" i="17"/>
  <c r="S910" i="17"/>
  <c r="S909" i="17"/>
  <c r="S908" i="17"/>
  <c r="S907" i="17"/>
  <c r="S906" i="17"/>
  <c r="S905" i="17"/>
  <c r="S904" i="17"/>
  <c r="S903" i="17"/>
  <c r="S902" i="17"/>
  <c r="S901" i="17"/>
  <c r="S900" i="17"/>
  <c r="S899" i="17"/>
  <c r="S898" i="17"/>
  <c r="S897" i="17"/>
  <c r="S896" i="17"/>
  <c r="S895" i="17"/>
  <c r="S887" i="17"/>
  <c r="S886" i="17"/>
  <c r="S885" i="17"/>
  <c r="S884" i="17"/>
  <c r="S883" i="17"/>
  <c r="S882" i="17"/>
  <c r="S881" i="17"/>
  <c r="S880" i="17"/>
  <c r="S879" i="17"/>
  <c r="S878" i="17"/>
  <c r="S877" i="17"/>
  <c r="S876" i="17"/>
  <c r="S875" i="17"/>
  <c r="S874" i="17"/>
  <c r="S873" i="17"/>
  <c r="S872" i="17"/>
  <c r="S871" i="17"/>
  <c r="S870" i="17"/>
  <c r="S869" i="17"/>
  <c r="S868" i="17"/>
  <c r="S860" i="17"/>
  <c r="S859" i="17"/>
  <c r="S858" i="17"/>
  <c r="S857" i="17"/>
  <c r="S856" i="17"/>
  <c r="S855" i="17"/>
  <c r="S854" i="17"/>
  <c r="S853" i="17"/>
  <c r="S852" i="17"/>
  <c r="S851" i="17"/>
  <c r="S850" i="17"/>
  <c r="S849" i="17"/>
  <c r="S848" i="17"/>
  <c r="S847" i="17"/>
  <c r="S846" i="17"/>
  <c r="S845" i="17"/>
  <c r="S844" i="17"/>
  <c r="S843" i="17"/>
  <c r="S842" i="17"/>
  <c r="S841" i="17"/>
  <c r="S833" i="17"/>
  <c r="S832" i="17"/>
  <c r="S831" i="17"/>
  <c r="S830" i="17"/>
  <c r="S829" i="17"/>
  <c r="S828" i="17"/>
  <c r="S827" i="17"/>
  <c r="S826" i="17"/>
  <c r="S825" i="17"/>
  <c r="S824" i="17"/>
  <c r="S823" i="17"/>
  <c r="S822" i="17"/>
  <c r="S821" i="17"/>
  <c r="S820" i="17"/>
  <c r="S819" i="17"/>
  <c r="S818" i="17"/>
  <c r="S817" i="17"/>
  <c r="S816" i="17"/>
  <c r="S815" i="17"/>
  <c r="S814" i="17"/>
  <c r="S806" i="17"/>
  <c r="S805" i="17"/>
  <c r="S804" i="17"/>
  <c r="S803" i="17"/>
  <c r="S802" i="17"/>
  <c r="S801" i="17"/>
  <c r="S800" i="17"/>
  <c r="S799" i="17"/>
  <c r="S798" i="17"/>
  <c r="S797" i="17"/>
  <c r="S796" i="17"/>
  <c r="S795" i="17"/>
  <c r="S794" i="17"/>
  <c r="S793" i="17"/>
  <c r="S792" i="17"/>
  <c r="S791" i="17"/>
  <c r="S790" i="17"/>
  <c r="S789" i="17"/>
  <c r="S788" i="17"/>
  <c r="S787" i="17"/>
  <c r="S779" i="17"/>
  <c r="S778" i="17"/>
  <c r="S777" i="17"/>
  <c r="S776" i="17"/>
  <c r="S775" i="17"/>
  <c r="S774" i="17"/>
  <c r="S773" i="17"/>
  <c r="S772" i="17"/>
  <c r="S771" i="17"/>
  <c r="S770" i="17"/>
  <c r="S769" i="17"/>
  <c r="S768" i="17"/>
  <c r="S767" i="17"/>
  <c r="S766" i="17"/>
  <c r="S765" i="17"/>
  <c r="S764" i="17"/>
  <c r="S763" i="17"/>
  <c r="S762" i="17"/>
  <c r="S761" i="17"/>
  <c r="S760" i="17"/>
  <c r="S752" i="17"/>
  <c r="S751" i="17"/>
  <c r="S750" i="17"/>
  <c r="S749" i="17"/>
  <c r="S748" i="17"/>
  <c r="S747" i="17"/>
  <c r="S746" i="17"/>
  <c r="S745" i="17"/>
  <c r="S744" i="17"/>
  <c r="S743" i="17"/>
  <c r="S742" i="17"/>
  <c r="S741" i="17"/>
  <c r="S740" i="17"/>
  <c r="S739" i="17"/>
  <c r="S738" i="17"/>
  <c r="S737" i="17"/>
  <c r="S736" i="17"/>
  <c r="S735" i="17"/>
  <c r="S734" i="17"/>
  <c r="S733" i="17"/>
  <c r="S725" i="17"/>
  <c r="S724" i="17"/>
  <c r="S723" i="17"/>
  <c r="S722" i="17"/>
  <c r="S721" i="17"/>
  <c r="S720" i="17"/>
  <c r="S719" i="17"/>
  <c r="S718" i="17"/>
  <c r="S717" i="17"/>
  <c r="S716" i="17"/>
  <c r="S715" i="17"/>
  <c r="S714" i="17"/>
  <c r="S713" i="17"/>
  <c r="S712" i="17"/>
  <c r="S711" i="17"/>
  <c r="S710" i="17"/>
  <c r="S709" i="17"/>
  <c r="S708" i="17"/>
  <c r="S707" i="17"/>
  <c r="S706" i="17"/>
  <c r="S698" i="17"/>
  <c r="S697" i="17"/>
  <c r="S696" i="17"/>
  <c r="S695" i="17"/>
  <c r="S694" i="17"/>
  <c r="S693" i="17"/>
  <c r="S692" i="17"/>
  <c r="S691" i="17"/>
  <c r="S690" i="17"/>
  <c r="S689" i="17"/>
  <c r="S688" i="17"/>
  <c r="S687" i="17"/>
  <c r="S686" i="17"/>
  <c r="S685" i="17"/>
  <c r="S684" i="17"/>
  <c r="S683" i="17"/>
  <c r="S682" i="17"/>
  <c r="S681" i="17"/>
  <c r="S680" i="17"/>
  <c r="S679" i="17"/>
  <c r="S671" i="17"/>
  <c r="S670" i="17"/>
  <c r="S669" i="17"/>
  <c r="S668" i="17"/>
  <c r="S667" i="17"/>
  <c r="S666" i="17"/>
  <c r="S665" i="17"/>
  <c r="S664" i="17"/>
  <c r="S663" i="17"/>
  <c r="S662" i="17"/>
  <c r="S661" i="17"/>
  <c r="S660" i="17"/>
  <c r="S659" i="17"/>
  <c r="S658" i="17"/>
  <c r="S657" i="17"/>
  <c r="S656" i="17"/>
  <c r="S655" i="17"/>
  <c r="S654" i="17"/>
  <c r="S653" i="17"/>
  <c r="S652" i="17"/>
  <c r="S644" i="17"/>
  <c r="S643" i="17"/>
  <c r="S642" i="17"/>
  <c r="S641" i="17"/>
  <c r="S640" i="17"/>
  <c r="S639" i="17"/>
  <c r="S638" i="17"/>
  <c r="S637" i="17"/>
  <c r="S636" i="17"/>
  <c r="S635" i="17"/>
  <c r="S634" i="17"/>
  <c r="S633" i="17"/>
  <c r="S632" i="17"/>
  <c r="S631" i="17"/>
  <c r="S630" i="17"/>
  <c r="S629" i="17"/>
  <c r="S628" i="17"/>
  <c r="S627" i="17"/>
  <c r="S626" i="17"/>
  <c r="S625" i="17"/>
  <c r="S617" i="17"/>
  <c r="S616" i="17"/>
  <c r="S615" i="17"/>
  <c r="S614" i="17"/>
  <c r="S613" i="17"/>
  <c r="S612" i="17"/>
  <c r="S611" i="17"/>
  <c r="S610" i="17"/>
  <c r="S609" i="17"/>
  <c r="S608" i="17"/>
  <c r="S607" i="17"/>
  <c r="S606" i="17"/>
  <c r="S605" i="17"/>
  <c r="S604" i="17"/>
  <c r="S603" i="17"/>
  <c r="S602" i="17"/>
  <c r="S601" i="17"/>
  <c r="S600" i="17"/>
  <c r="S599" i="17"/>
  <c r="S598" i="17"/>
  <c r="S590" i="17"/>
  <c r="S589" i="17"/>
  <c r="S588" i="17"/>
  <c r="S587" i="17"/>
  <c r="S586" i="17"/>
  <c r="S585" i="17"/>
  <c r="S584" i="17"/>
  <c r="S583" i="17"/>
  <c r="S582" i="17"/>
  <c r="S581" i="17"/>
  <c r="S580" i="17"/>
  <c r="S579" i="17"/>
  <c r="S578" i="17"/>
  <c r="S577" i="17"/>
  <c r="S576" i="17"/>
  <c r="S575" i="17"/>
  <c r="S574" i="17"/>
  <c r="S573" i="17"/>
  <c r="S572" i="17"/>
  <c r="S571" i="17"/>
  <c r="S563" i="17"/>
  <c r="S562" i="17"/>
  <c r="S561" i="17"/>
  <c r="S560" i="17"/>
  <c r="S559" i="17"/>
  <c r="S558" i="17"/>
  <c r="S557" i="17"/>
  <c r="S556" i="17"/>
  <c r="S555" i="17"/>
  <c r="S554" i="17"/>
  <c r="S553" i="17"/>
  <c r="S552" i="17"/>
  <c r="S551" i="17"/>
  <c r="S550" i="17"/>
  <c r="S549" i="17"/>
  <c r="S548" i="17"/>
  <c r="S547" i="17"/>
  <c r="S546" i="17"/>
  <c r="S545" i="17"/>
  <c r="S544" i="17"/>
  <c r="S536" i="17"/>
  <c r="S535" i="17"/>
  <c r="S534" i="17"/>
  <c r="S533" i="17"/>
  <c r="S532" i="17"/>
  <c r="S531" i="17"/>
  <c r="S530" i="17"/>
  <c r="S529" i="17"/>
  <c r="S528" i="17"/>
  <c r="S527" i="17"/>
  <c r="S526" i="17"/>
  <c r="S525" i="17"/>
  <c r="S524" i="17"/>
  <c r="S523" i="17"/>
  <c r="S522" i="17"/>
  <c r="S521" i="17"/>
  <c r="S520" i="17"/>
  <c r="S519" i="17"/>
  <c r="S518" i="17"/>
  <c r="S517" i="17"/>
  <c r="S509" i="17"/>
  <c r="S508" i="17"/>
  <c r="S507" i="17"/>
  <c r="S506" i="17"/>
  <c r="S505" i="17"/>
  <c r="S504" i="17"/>
  <c r="S503" i="17"/>
  <c r="S502" i="17"/>
  <c r="S501" i="17"/>
  <c r="S500" i="17"/>
  <c r="S499" i="17"/>
  <c r="S498" i="17"/>
  <c r="S497" i="17"/>
  <c r="S496" i="17"/>
  <c r="S495" i="17"/>
  <c r="S494" i="17"/>
  <c r="S493" i="17"/>
  <c r="S492" i="17"/>
  <c r="S491" i="17"/>
  <c r="S490" i="17"/>
  <c r="S482" i="17"/>
  <c r="S481" i="17"/>
  <c r="S480" i="17"/>
  <c r="S479" i="17"/>
  <c r="S478" i="17"/>
  <c r="S477" i="17"/>
  <c r="S476" i="17"/>
  <c r="S475" i="17"/>
  <c r="S474" i="17"/>
  <c r="S473" i="17"/>
  <c r="S472" i="17"/>
  <c r="S471" i="17"/>
  <c r="S470" i="17"/>
  <c r="S469" i="17"/>
  <c r="S468" i="17"/>
  <c r="S467" i="17"/>
  <c r="S466" i="17"/>
  <c r="S465" i="17"/>
  <c r="S464" i="17"/>
  <c r="S463" i="17"/>
  <c r="S455" i="17"/>
  <c r="S454" i="17"/>
  <c r="S453" i="17"/>
  <c r="S452" i="17"/>
  <c r="S451" i="17"/>
  <c r="S450" i="17"/>
  <c r="S449" i="17"/>
  <c r="S448" i="17"/>
  <c r="S447" i="17"/>
  <c r="S446" i="17"/>
  <c r="S445" i="17"/>
  <c r="S444" i="17"/>
  <c r="S443" i="17"/>
  <c r="S442" i="17"/>
  <c r="S441" i="17"/>
  <c r="S440" i="17"/>
  <c r="S439" i="17"/>
  <c r="S438" i="17"/>
  <c r="S437" i="17"/>
  <c r="S436" i="17"/>
  <c r="S428" i="17"/>
  <c r="S427" i="17"/>
  <c r="S426" i="17"/>
  <c r="S425" i="17"/>
  <c r="S424" i="17"/>
  <c r="S423" i="17"/>
  <c r="S422" i="17"/>
  <c r="S421" i="17"/>
  <c r="S420" i="17"/>
  <c r="S419" i="17"/>
  <c r="S418" i="17"/>
  <c r="S417" i="17"/>
  <c r="S416" i="17"/>
  <c r="S415" i="17"/>
  <c r="S414" i="17"/>
  <c r="S413" i="17"/>
  <c r="S412" i="17"/>
  <c r="S411" i="17"/>
  <c r="S410" i="17"/>
  <c r="S409" i="17"/>
  <c r="S401" i="17"/>
  <c r="S400" i="17"/>
  <c r="S399" i="17"/>
  <c r="S398" i="17"/>
  <c r="S397" i="17"/>
  <c r="S396" i="17"/>
  <c r="S395" i="17"/>
  <c r="S394" i="17"/>
  <c r="S393" i="17"/>
  <c r="S392" i="17"/>
  <c r="S391" i="17"/>
  <c r="S390" i="17"/>
  <c r="S389" i="17"/>
  <c r="S388" i="17"/>
  <c r="S387" i="17"/>
  <c r="S386" i="17"/>
  <c r="S385" i="17"/>
  <c r="S384" i="17"/>
  <c r="S383" i="17"/>
  <c r="S382" i="17"/>
  <c r="S374" i="17"/>
  <c r="S373" i="17"/>
  <c r="S372" i="17"/>
  <c r="S371" i="17"/>
  <c r="S370" i="17"/>
  <c r="S369" i="17"/>
  <c r="S368" i="17"/>
  <c r="S367" i="17"/>
  <c r="S366" i="17"/>
  <c r="S365" i="17"/>
  <c r="S364" i="17"/>
  <c r="S363" i="17"/>
  <c r="S362" i="17"/>
  <c r="S361" i="17"/>
  <c r="S360" i="17"/>
  <c r="S359" i="17"/>
  <c r="S358" i="17"/>
  <c r="S357" i="17"/>
  <c r="S356" i="17"/>
  <c r="S355" i="17"/>
  <c r="S347" i="17"/>
  <c r="S346" i="17"/>
  <c r="S345" i="17"/>
  <c r="S344" i="17"/>
  <c r="S343" i="17"/>
  <c r="S342" i="17"/>
  <c r="S341" i="17"/>
  <c r="S340" i="17"/>
  <c r="S339" i="17"/>
  <c r="S338" i="17"/>
  <c r="S337" i="17"/>
  <c r="S336" i="17"/>
  <c r="S335" i="17"/>
  <c r="S334" i="17"/>
  <c r="S333" i="17"/>
  <c r="S332" i="17"/>
  <c r="S331" i="17"/>
  <c r="S330" i="17"/>
  <c r="S329" i="17"/>
  <c r="S328" i="17"/>
  <c r="S320" i="17"/>
  <c r="S319" i="17"/>
  <c r="S318" i="17"/>
  <c r="S317" i="17"/>
  <c r="S316" i="17"/>
  <c r="S315" i="17"/>
  <c r="S314" i="17"/>
  <c r="S313" i="17"/>
  <c r="S312" i="17"/>
  <c r="S311" i="17"/>
  <c r="S310" i="17"/>
  <c r="S309" i="17"/>
  <c r="S308" i="17"/>
  <c r="S307" i="17"/>
  <c r="S306" i="17"/>
  <c r="S305" i="17"/>
  <c r="S304" i="17"/>
  <c r="S303" i="17"/>
  <c r="S302" i="17"/>
  <c r="S301" i="17"/>
  <c r="S293" i="17"/>
  <c r="S292" i="17"/>
  <c r="S291" i="17"/>
  <c r="S290" i="17"/>
  <c r="S289" i="17"/>
  <c r="S288" i="17"/>
  <c r="S287" i="17"/>
  <c r="S286" i="17"/>
  <c r="S285" i="17"/>
  <c r="S284" i="17"/>
  <c r="S283" i="17"/>
  <c r="S282" i="17"/>
  <c r="S281" i="17"/>
  <c r="S280" i="17"/>
  <c r="S279" i="17"/>
  <c r="S278" i="17"/>
  <c r="S277" i="17"/>
  <c r="S276" i="17"/>
  <c r="S275" i="17"/>
  <c r="S274" i="17"/>
  <c r="S266" i="17"/>
  <c r="S265" i="17"/>
  <c r="S264" i="17"/>
  <c r="S263" i="17"/>
  <c r="S262" i="17"/>
  <c r="S261" i="17"/>
  <c r="S260" i="17"/>
  <c r="S259" i="17"/>
  <c r="S258" i="17"/>
  <c r="S257" i="17"/>
  <c r="S256" i="17"/>
  <c r="S255" i="17"/>
  <c r="S254" i="17"/>
  <c r="S253" i="17"/>
  <c r="S252" i="17"/>
  <c r="S251" i="17"/>
  <c r="S250" i="17"/>
  <c r="S249" i="17"/>
  <c r="S248" i="17"/>
  <c r="S247" i="17"/>
  <c r="S239" i="17"/>
  <c r="S238" i="17"/>
  <c r="S237" i="17"/>
  <c r="S236" i="17"/>
  <c r="S235" i="17"/>
  <c r="S234" i="17"/>
  <c r="S233" i="17"/>
  <c r="S232" i="17"/>
  <c r="S231" i="17"/>
  <c r="S230" i="17"/>
  <c r="S229" i="17"/>
  <c r="S228" i="17"/>
  <c r="S227" i="17"/>
  <c r="S226" i="17"/>
  <c r="S225" i="17"/>
  <c r="S224" i="17"/>
  <c r="S223" i="17"/>
  <c r="S222" i="17"/>
  <c r="S221" i="17"/>
  <c r="S220" i="17"/>
  <c r="S212" i="17"/>
  <c r="S211" i="17"/>
  <c r="S210" i="17"/>
  <c r="S209" i="17"/>
  <c r="S208" i="17"/>
  <c r="S207" i="17"/>
  <c r="S206" i="17"/>
  <c r="S205" i="17"/>
  <c r="S204" i="17"/>
  <c r="S203" i="17"/>
  <c r="S202" i="17"/>
  <c r="S201" i="17"/>
  <c r="S200" i="17"/>
  <c r="S199" i="17"/>
  <c r="S198" i="17"/>
  <c r="S197" i="17"/>
  <c r="S196" i="17"/>
  <c r="S195" i="17"/>
  <c r="S194" i="17"/>
  <c r="S193" i="17"/>
  <c r="S185" i="17"/>
  <c r="S184" i="17"/>
  <c r="S183" i="17"/>
  <c r="S182" i="17"/>
  <c r="S181" i="17"/>
  <c r="S180" i="17"/>
  <c r="S179" i="17"/>
  <c r="S178" i="17"/>
  <c r="S177" i="17"/>
  <c r="S176" i="17"/>
  <c r="S175" i="17"/>
  <c r="S174" i="17"/>
  <c r="S173" i="17"/>
  <c r="S172" i="17"/>
  <c r="S171" i="17"/>
  <c r="S170" i="17"/>
  <c r="S169" i="17"/>
  <c r="S168" i="17"/>
  <c r="S167" i="17"/>
  <c r="S166" i="17"/>
  <c r="S158" i="17"/>
  <c r="S157" i="17"/>
  <c r="S156" i="17"/>
  <c r="S155" i="17"/>
  <c r="S154" i="17"/>
  <c r="S153" i="17"/>
  <c r="S152" i="17"/>
  <c r="S151" i="17"/>
  <c r="S150" i="17"/>
  <c r="S149" i="17"/>
  <c r="S148" i="17"/>
  <c r="S147" i="17"/>
  <c r="S146" i="17"/>
  <c r="S145" i="17"/>
  <c r="S144" i="17"/>
  <c r="S143" i="17"/>
  <c r="S142" i="17"/>
  <c r="S141" i="17"/>
  <c r="S140" i="17"/>
  <c r="S139" i="17"/>
  <c r="S131" i="17"/>
  <c r="S130" i="17"/>
  <c r="S129" i="17"/>
  <c r="S128" i="17"/>
  <c r="S127" i="17"/>
  <c r="S126" i="17"/>
  <c r="S125" i="17"/>
  <c r="S124" i="17"/>
  <c r="S123" i="17"/>
  <c r="S122" i="17"/>
  <c r="S121" i="17"/>
  <c r="S120" i="17"/>
  <c r="S119" i="17"/>
  <c r="S118" i="17"/>
  <c r="S117" i="17"/>
  <c r="S116" i="17"/>
  <c r="S115" i="17"/>
  <c r="S114" i="17"/>
  <c r="S113" i="17"/>
  <c r="S112" i="17"/>
  <c r="S104" i="17"/>
  <c r="S103" i="17"/>
  <c r="S102" i="17"/>
  <c r="S101" i="17"/>
  <c r="S100" i="17"/>
  <c r="S99" i="17"/>
  <c r="S98" i="17"/>
  <c r="S97" i="17"/>
  <c r="S96" i="17"/>
  <c r="S95" i="17"/>
  <c r="S94" i="17"/>
  <c r="S93" i="17"/>
  <c r="S92" i="17"/>
  <c r="S91" i="17"/>
  <c r="S90" i="17"/>
  <c r="S89" i="17"/>
  <c r="S88" i="17"/>
  <c r="S87" i="17"/>
  <c r="S86" i="17"/>
  <c r="S85" i="17"/>
  <c r="S77" i="17"/>
  <c r="S76" i="17"/>
  <c r="S75" i="17"/>
  <c r="S74" i="17"/>
  <c r="S73" i="17"/>
  <c r="S72" i="17"/>
  <c r="S71" i="17"/>
  <c r="S70" i="17"/>
  <c r="S69" i="17"/>
  <c r="S68" i="17"/>
  <c r="S67" i="17"/>
  <c r="S66" i="17"/>
  <c r="S65" i="17"/>
  <c r="S64" i="17"/>
  <c r="S63" i="17"/>
  <c r="S62" i="17"/>
  <c r="S61" i="17"/>
  <c r="S60" i="17"/>
  <c r="S59" i="17"/>
  <c r="S58" i="17"/>
  <c r="S50" i="17"/>
  <c r="S49" i="17"/>
  <c r="S48" i="17"/>
  <c r="S47" i="17"/>
  <c r="S46" i="17"/>
  <c r="S45" i="17"/>
  <c r="S44" i="17"/>
  <c r="S43" i="17"/>
  <c r="S42" i="17"/>
  <c r="S41" i="17"/>
  <c r="S40" i="17"/>
  <c r="S39" i="17"/>
  <c r="S38" i="17"/>
  <c r="S37" i="17"/>
  <c r="S36" i="17"/>
  <c r="S35" i="17"/>
  <c r="S34" i="17"/>
  <c r="S33" i="17"/>
  <c r="S32" i="17"/>
  <c r="S31" i="17"/>
  <c r="S23" i="17"/>
  <c r="S22" i="17"/>
  <c r="S21" i="17"/>
  <c r="S20" i="17"/>
  <c r="S19" i="17"/>
  <c r="S18" i="17"/>
  <c r="S17" i="17"/>
  <c r="S16" i="17"/>
  <c r="S15" i="17"/>
  <c r="S14" i="17"/>
  <c r="S13" i="17"/>
  <c r="S12" i="17"/>
  <c r="S11" i="17"/>
  <c r="S10" i="17"/>
  <c r="S9" i="17"/>
  <c r="S8" i="17"/>
  <c r="S7" i="17"/>
  <c r="S6" i="17"/>
  <c r="S5" i="17"/>
  <c r="S4" i="17"/>
  <c r="Q37" i="6"/>
  <c r="Q36" i="6"/>
  <c r="Q35" i="6"/>
  <c r="H386" i="7"/>
  <c r="G386" i="7"/>
  <c r="H385" i="7"/>
  <c r="G385" i="7"/>
  <c r="H384" i="7"/>
  <c r="G384" i="7"/>
  <c r="H383" i="7"/>
  <c r="G383" i="7"/>
  <c r="H382" i="7"/>
  <c r="G382" i="7"/>
  <c r="F382" i="7" s="1"/>
  <c r="H381" i="7"/>
  <c r="G381" i="7"/>
  <c r="H380" i="7"/>
  <c r="G380" i="7"/>
  <c r="F380" i="7" s="1"/>
  <c r="H379" i="7"/>
  <c r="G379" i="7"/>
  <c r="H378" i="7"/>
  <c r="G378" i="7"/>
  <c r="H377" i="7"/>
  <c r="G377" i="7"/>
  <c r="H376" i="7"/>
  <c r="G376" i="7"/>
  <c r="H375" i="7"/>
  <c r="G375" i="7"/>
  <c r="H374" i="7"/>
  <c r="G374" i="7"/>
  <c r="F374" i="7" s="1"/>
  <c r="H373" i="7"/>
  <c r="G373" i="7"/>
  <c r="H372" i="7"/>
  <c r="G372" i="7"/>
  <c r="F372" i="7" s="1"/>
  <c r="H371" i="7"/>
  <c r="G371" i="7"/>
  <c r="H370" i="7"/>
  <c r="G370" i="7"/>
  <c r="H369" i="7"/>
  <c r="G369" i="7"/>
  <c r="H368" i="7"/>
  <c r="G368" i="7"/>
  <c r="H367" i="7"/>
  <c r="G367" i="7"/>
  <c r="H366" i="7"/>
  <c r="G366" i="7"/>
  <c r="F366" i="7" s="1"/>
  <c r="H365" i="7"/>
  <c r="G365" i="7"/>
  <c r="H364" i="7"/>
  <c r="G364" i="7"/>
  <c r="F364" i="7" s="1"/>
  <c r="H363" i="7"/>
  <c r="G363" i="7"/>
  <c r="H362" i="7"/>
  <c r="G362" i="7"/>
  <c r="H361" i="7"/>
  <c r="G361" i="7"/>
  <c r="H360" i="7"/>
  <c r="G360" i="7"/>
  <c r="H359" i="7"/>
  <c r="G359" i="7"/>
  <c r="H358" i="7"/>
  <c r="G358" i="7"/>
  <c r="F358" i="7" s="1"/>
  <c r="H357" i="7"/>
  <c r="G357" i="7"/>
  <c r="H356" i="7"/>
  <c r="G356" i="7"/>
  <c r="F356" i="7" s="1"/>
  <c r="H355" i="7"/>
  <c r="G355" i="7"/>
  <c r="H354" i="7"/>
  <c r="G354" i="7"/>
  <c r="H353" i="7"/>
  <c r="G353" i="7"/>
  <c r="H352" i="7"/>
  <c r="G352" i="7"/>
  <c r="H351" i="7"/>
  <c r="G351" i="7"/>
  <c r="H350" i="7"/>
  <c r="G350" i="7"/>
  <c r="F350" i="7" s="1"/>
  <c r="H349" i="7"/>
  <c r="G349" i="7"/>
  <c r="H348" i="7"/>
  <c r="G348" i="7"/>
  <c r="F348" i="7" s="1"/>
  <c r="H347" i="7"/>
  <c r="G347" i="7"/>
  <c r="H346" i="7"/>
  <c r="G346" i="7"/>
  <c r="H345" i="7"/>
  <c r="G345" i="7"/>
  <c r="H344" i="7"/>
  <c r="G344" i="7"/>
  <c r="H343" i="7"/>
  <c r="G343" i="7"/>
  <c r="H342" i="7"/>
  <c r="G342" i="7"/>
  <c r="F342" i="7" s="1"/>
  <c r="H341" i="7"/>
  <c r="G341" i="7"/>
  <c r="H340" i="7"/>
  <c r="G340" i="7"/>
  <c r="F340" i="7" s="1"/>
  <c r="H339" i="7"/>
  <c r="G339" i="7"/>
  <c r="H338" i="7"/>
  <c r="G338" i="7"/>
  <c r="H337" i="7"/>
  <c r="G337" i="7"/>
  <c r="H336" i="7"/>
  <c r="G336" i="7"/>
  <c r="H335" i="7"/>
  <c r="G335" i="7"/>
  <c r="H334" i="7"/>
  <c r="G334" i="7"/>
  <c r="H333" i="7"/>
  <c r="G333" i="7"/>
  <c r="H332" i="7"/>
  <c r="G332" i="7"/>
  <c r="F332" i="7" s="1"/>
  <c r="H331" i="7"/>
  <c r="G331" i="7"/>
  <c r="H330" i="7"/>
  <c r="G330" i="7"/>
  <c r="H329" i="7"/>
  <c r="G329" i="7"/>
  <c r="H328" i="7"/>
  <c r="G328" i="7"/>
  <c r="H327" i="7"/>
  <c r="G327" i="7"/>
  <c r="H326" i="7"/>
  <c r="G326" i="7"/>
  <c r="H325" i="7"/>
  <c r="G325" i="7"/>
  <c r="H324" i="7"/>
  <c r="G324" i="7"/>
  <c r="F324" i="7" s="1"/>
  <c r="H323" i="7"/>
  <c r="G323" i="7"/>
  <c r="H322" i="7"/>
  <c r="G322" i="7"/>
  <c r="H321" i="7"/>
  <c r="G321" i="7"/>
  <c r="H320" i="7"/>
  <c r="G320" i="7"/>
  <c r="H319" i="7"/>
  <c r="G319" i="7"/>
  <c r="H318" i="7"/>
  <c r="G318" i="7"/>
  <c r="H317" i="7"/>
  <c r="G317" i="7"/>
  <c r="H316" i="7"/>
  <c r="G316" i="7"/>
  <c r="F316" i="7" s="1"/>
  <c r="H315" i="7"/>
  <c r="G315" i="7"/>
  <c r="H314" i="7"/>
  <c r="G314" i="7"/>
  <c r="H313" i="7"/>
  <c r="G313" i="7"/>
  <c r="H312" i="7"/>
  <c r="G312" i="7"/>
  <c r="H311" i="7"/>
  <c r="G311" i="7"/>
  <c r="H310" i="7"/>
  <c r="G310" i="7"/>
  <c r="H309" i="7"/>
  <c r="G309" i="7"/>
  <c r="H308" i="7"/>
  <c r="G308" i="7"/>
  <c r="H307" i="7"/>
  <c r="G307" i="7"/>
  <c r="H306" i="7"/>
  <c r="G306" i="7"/>
  <c r="H305" i="7"/>
  <c r="G305" i="7"/>
  <c r="H304" i="7"/>
  <c r="G304" i="7"/>
  <c r="H303" i="7"/>
  <c r="G303" i="7"/>
  <c r="H302" i="7"/>
  <c r="G302" i="7"/>
  <c r="H301" i="7"/>
  <c r="G301" i="7"/>
  <c r="H300" i="7"/>
  <c r="G300" i="7"/>
  <c r="H299" i="7"/>
  <c r="G299" i="7"/>
  <c r="H298" i="7"/>
  <c r="G298" i="7"/>
  <c r="H297" i="7"/>
  <c r="G297" i="7"/>
  <c r="H296" i="7"/>
  <c r="G296" i="7"/>
  <c r="H295" i="7"/>
  <c r="G295" i="7"/>
  <c r="H294" i="7"/>
  <c r="G294" i="7"/>
  <c r="H293" i="7"/>
  <c r="G293" i="7"/>
  <c r="H292" i="7"/>
  <c r="G292" i="7"/>
  <c r="H291" i="7"/>
  <c r="G291" i="7"/>
  <c r="H290" i="7"/>
  <c r="G290" i="7"/>
  <c r="H289" i="7"/>
  <c r="G289" i="7"/>
  <c r="H288" i="7"/>
  <c r="G288" i="7"/>
  <c r="H287" i="7"/>
  <c r="G287" i="7"/>
  <c r="H286" i="7"/>
  <c r="G286" i="7"/>
  <c r="H285" i="7"/>
  <c r="G285" i="7"/>
  <c r="H284" i="7"/>
  <c r="G284" i="7"/>
  <c r="H283" i="7"/>
  <c r="G283" i="7"/>
  <c r="H282" i="7"/>
  <c r="G282" i="7"/>
  <c r="H281" i="7"/>
  <c r="G281" i="7"/>
  <c r="H280" i="7"/>
  <c r="G280" i="7"/>
  <c r="H279" i="7"/>
  <c r="G279" i="7"/>
  <c r="H278" i="7"/>
  <c r="G278" i="7"/>
  <c r="H277" i="7"/>
  <c r="G277" i="7"/>
  <c r="H276" i="7"/>
  <c r="G276" i="7"/>
  <c r="H275" i="7"/>
  <c r="G275" i="7"/>
  <c r="H274" i="7"/>
  <c r="G274" i="7"/>
  <c r="H273" i="7"/>
  <c r="G273" i="7"/>
  <c r="H272" i="7"/>
  <c r="G272" i="7"/>
  <c r="H271" i="7"/>
  <c r="G271" i="7"/>
  <c r="H270" i="7"/>
  <c r="G270" i="7"/>
  <c r="H269" i="7"/>
  <c r="G269" i="7"/>
  <c r="H268" i="7"/>
  <c r="G268" i="7"/>
  <c r="H267" i="7"/>
  <c r="G267" i="7"/>
  <c r="H266" i="7"/>
  <c r="G266" i="7"/>
  <c r="H265" i="7"/>
  <c r="G265" i="7"/>
  <c r="H264" i="7"/>
  <c r="G264" i="7"/>
  <c r="H263" i="7"/>
  <c r="G263" i="7"/>
  <c r="H262" i="7"/>
  <c r="G262" i="7"/>
  <c r="H261" i="7"/>
  <c r="G261" i="7"/>
  <c r="H260" i="7"/>
  <c r="G260" i="7"/>
  <c r="H259" i="7"/>
  <c r="G259" i="7"/>
  <c r="H258" i="7"/>
  <c r="G258" i="7"/>
  <c r="H257" i="7"/>
  <c r="G257" i="7"/>
  <c r="H256" i="7"/>
  <c r="G256" i="7"/>
  <c r="H255" i="7"/>
  <c r="G255" i="7"/>
  <c r="H254" i="7"/>
  <c r="G254" i="7"/>
  <c r="H253" i="7"/>
  <c r="G253" i="7"/>
  <c r="H252" i="7"/>
  <c r="G252" i="7"/>
  <c r="H251" i="7"/>
  <c r="G251" i="7"/>
  <c r="H250" i="7"/>
  <c r="G250" i="7"/>
  <c r="H249" i="7"/>
  <c r="G249" i="7"/>
  <c r="H248" i="7"/>
  <c r="G248" i="7"/>
  <c r="H247" i="7"/>
  <c r="G247" i="7"/>
  <c r="H246" i="7"/>
  <c r="G246" i="7"/>
  <c r="H245" i="7"/>
  <c r="G245" i="7"/>
  <c r="H244" i="7"/>
  <c r="G244" i="7"/>
  <c r="H243" i="7"/>
  <c r="G243" i="7"/>
  <c r="H242" i="7"/>
  <c r="G242" i="7"/>
  <c r="H241" i="7"/>
  <c r="G241" i="7"/>
  <c r="H240" i="7"/>
  <c r="G240" i="7"/>
  <c r="H239" i="7"/>
  <c r="G239" i="7"/>
  <c r="H238" i="7"/>
  <c r="G238" i="7"/>
  <c r="H237" i="7"/>
  <c r="G237" i="7"/>
  <c r="H236" i="7"/>
  <c r="G236" i="7"/>
  <c r="H235" i="7"/>
  <c r="G235" i="7"/>
  <c r="H234" i="7"/>
  <c r="G234" i="7"/>
  <c r="H233" i="7"/>
  <c r="G233" i="7"/>
  <c r="H232" i="7"/>
  <c r="G232" i="7"/>
  <c r="H231" i="7"/>
  <c r="G231" i="7"/>
  <c r="H230" i="7"/>
  <c r="G230" i="7"/>
  <c r="H229" i="7"/>
  <c r="G229" i="7"/>
  <c r="H228" i="7"/>
  <c r="G228" i="7"/>
  <c r="H227" i="7"/>
  <c r="G227" i="7"/>
  <c r="H226" i="7"/>
  <c r="G226" i="7"/>
  <c r="H225" i="7"/>
  <c r="G225" i="7"/>
  <c r="H224" i="7"/>
  <c r="G224" i="7"/>
  <c r="H223" i="7"/>
  <c r="G223" i="7"/>
  <c r="H222" i="7"/>
  <c r="G222" i="7"/>
  <c r="H221" i="7"/>
  <c r="G221" i="7"/>
  <c r="H220" i="7"/>
  <c r="G220" i="7"/>
  <c r="H219" i="7"/>
  <c r="G219" i="7"/>
  <c r="H218" i="7"/>
  <c r="G218" i="7"/>
  <c r="H217" i="7"/>
  <c r="G217" i="7"/>
  <c r="H216" i="7"/>
  <c r="G216" i="7"/>
  <c r="H215" i="7"/>
  <c r="G215" i="7"/>
  <c r="H214" i="7"/>
  <c r="G214" i="7"/>
  <c r="H213" i="7"/>
  <c r="G213" i="7"/>
  <c r="H212" i="7"/>
  <c r="G212" i="7"/>
  <c r="H211" i="7"/>
  <c r="G211" i="7"/>
  <c r="H210" i="7"/>
  <c r="G210" i="7"/>
  <c r="H209" i="7"/>
  <c r="G209" i="7"/>
  <c r="H208" i="7"/>
  <c r="G208" i="7"/>
  <c r="H207" i="7"/>
  <c r="G207" i="7"/>
  <c r="H206" i="7"/>
  <c r="G206" i="7"/>
  <c r="H205" i="7"/>
  <c r="G205" i="7"/>
  <c r="H204" i="7"/>
  <c r="G204" i="7"/>
  <c r="H203" i="7"/>
  <c r="G203" i="7"/>
  <c r="H202" i="7"/>
  <c r="G202" i="7"/>
  <c r="H201" i="7"/>
  <c r="G201" i="7"/>
  <c r="H200" i="7"/>
  <c r="G200" i="7"/>
  <c r="H199" i="7"/>
  <c r="G199" i="7"/>
  <c r="H198" i="7"/>
  <c r="G198" i="7"/>
  <c r="H197" i="7"/>
  <c r="G197" i="7"/>
  <c r="H196" i="7"/>
  <c r="G196" i="7"/>
  <c r="H195" i="7"/>
  <c r="G195" i="7"/>
  <c r="H194" i="7"/>
  <c r="G194" i="7"/>
  <c r="H193" i="7"/>
  <c r="G193" i="7"/>
  <c r="H192" i="7"/>
  <c r="G192" i="7"/>
  <c r="H191" i="7"/>
  <c r="G191" i="7"/>
  <c r="H190" i="7"/>
  <c r="G190" i="7"/>
  <c r="H189" i="7"/>
  <c r="G189" i="7"/>
  <c r="H188" i="7"/>
  <c r="G188" i="7"/>
  <c r="H187" i="7"/>
  <c r="G187" i="7"/>
  <c r="H186" i="7"/>
  <c r="G186" i="7"/>
  <c r="H185" i="7"/>
  <c r="G185" i="7"/>
  <c r="H184" i="7"/>
  <c r="G184" i="7"/>
  <c r="H183" i="7"/>
  <c r="G183" i="7"/>
  <c r="H182" i="7"/>
  <c r="G182" i="7"/>
  <c r="H181" i="7"/>
  <c r="G181" i="7"/>
  <c r="H180" i="7"/>
  <c r="G180" i="7"/>
  <c r="H179" i="7"/>
  <c r="G179" i="7"/>
  <c r="H178" i="7"/>
  <c r="G178" i="7"/>
  <c r="H177" i="7"/>
  <c r="G177" i="7"/>
  <c r="H176" i="7"/>
  <c r="G176" i="7"/>
  <c r="H175" i="7"/>
  <c r="G175" i="7"/>
  <c r="H174" i="7"/>
  <c r="G174" i="7"/>
  <c r="H173" i="7"/>
  <c r="G173" i="7"/>
  <c r="H172" i="7"/>
  <c r="G172" i="7"/>
  <c r="H171" i="7"/>
  <c r="G171" i="7"/>
  <c r="H170" i="7"/>
  <c r="G170" i="7"/>
  <c r="H169" i="7"/>
  <c r="G169" i="7"/>
  <c r="H168" i="7"/>
  <c r="G168" i="7"/>
  <c r="H167" i="7"/>
  <c r="G167" i="7"/>
  <c r="H166" i="7"/>
  <c r="G166" i="7"/>
  <c r="H165" i="7"/>
  <c r="G165" i="7"/>
  <c r="H164" i="7"/>
  <c r="G164" i="7"/>
  <c r="H163" i="7"/>
  <c r="G163" i="7"/>
  <c r="H162" i="7"/>
  <c r="G162" i="7"/>
  <c r="H161" i="7"/>
  <c r="G161" i="7"/>
  <c r="H160" i="7"/>
  <c r="G160" i="7"/>
  <c r="H159" i="7"/>
  <c r="G159" i="7"/>
  <c r="H158" i="7"/>
  <c r="G158" i="7"/>
  <c r="H157" i="7"/>
  <c r="G157" i="7"/>
  <c r="H156" i="7"/>
  <c r="G156" i="7"/>
  <c r="H155" i="7"/>
  <c r="G155" i="7"/>
  <c r="H154" i="7"/>
  <c r="G154" i="7"/>
  <c r="H153" i="7"/>
  <c r="G153" i="7"/>
  <c r="H152" i="7"/>
  <c r="G152" i="7"/>
  <c r="H151" i="7"/>
  <c r="G151" i="7"/>
  <c r="H150" i="7"/>
  <c r="G150" i="7"/>
  <c r="H149" i="7"/>
  <c r="G149" i="7"/>
  <c r="H148" i="7"/>
  <c r="G148" i="7"/>
  <c r="H147" i="7"/>
  <c r="G147" i="7"/>
  <c r="H146" i="7"/>
  <c r="G146" i="7"/>
  <c r="H145" i="7"/>
  <c r="G145" i="7"/>
  <c r="H144" i="7"/>
  <c r="G144" i="7"/>
  <c r="H143" i="7"/>
  <c r="G143" i="7"/>
  <c r="H142" i="7"/>
  <c r="G142" i="7"/>
  <c r="H141" i="7"/>
  <c r="G141" i="7"/>
  <c r="H140" i="7"/>
  <c r="G140" i="7"/>
  <c r="H139" i="7"/>
  <c r="G139" i="7"/>
  <c r="H138" i="7"/>
  <c r="G138" i="7"/>
  <c r="H137" i="7"/>
  <c r="G137" i="7"/>
  <c r="H136" i="7"/>
  <c r="G136" i="7"/>
  <c r="H135" i="7"/>
  <c r="G135" i="7"/>
  <c r="H134" i="7"/>
  <c r="G134" i="7"/>
  <c r="H133" i="7"/>
  <c r="G133" i="7"/>
  <c r="H132" i="7"/>
  <c r="G132" i="7"/>
  <c r="H131" i="7"/>
  <c r="G131" i="7"/>
  <c r="H130" i="7"/>
  <c r="G130" i="7"/>
  <c r="H129" i="7"/>
  <c r="G129" i="7"/>
  <c r="H128" i="7"/>
  <c r="G128" i="7"/>
  <c r="H127" i="7"/>
  <c r="G127" i="7"/>
  <c r="H126" i="7"/>
  <c r="G126" i="7"/>
  <c r="H125" i="7"/>
  <c r="G125" i="7"/>
  <c r="H124" i="7"/>
  <c r="G124" i="7"/>
  <c r="H123" i="7"/>
  <c r="G123" i="7"/>
  <c r="H122" i="7"/>
  <c r="G122" i="7"/>
  <c r="H121" i="7"/>
  <c r="G121" i="7"/>
  <c r="H120" i="7"/>
  <c r="G120" i="7"/>
  <c r="H119" i="7"/>
  <c r="G119" i="7"/>
  <c r="H118" i="7"/>
  <c r="G118" i="7"/>
  <c r="H117" i="7"/>
  <c r="G117" i="7"/>
  <c r="H116" i="7"/>
  <c r="G116" i="7"/>
  <c r="H115" i="7"/>
  <c r="G115" i="7"/>
  <c r="H114" i="7"/>
  <c r="G114" i="7"/>
  <c r="H113" i="7"/>
  <c r="G113" i="7"/>
  <c r="H112" i="7"/>
  <c r="G112" i="7"/>
  <c r="H111" i="7"/>
  <c r="G111" i="7"/>
  <c r="H110" i="7"/>
  <c r="G110" i="7"/>
  <c r="H109" i="7"/>
  <c r="G109" i="7"/>
  <c r="H108" i="7"/>
  <c r="G108" i="7"/>
  <c r="H107" i="7"/>
  <c r="G107" i="7"/>
  <c r="H106" i="7"/>
  <c r="G106" i="7"/>
  <c r="H105" i="7"/>
  <c r="G105" i="7"/>
  <c r="H104" i="7"/>
  <c r="G104" i="7"/>
  <c r="H103" i="7"/>
  <c r="G103" i="7"/>
  <c r="H102" i="7"/>
  <c r="G102" i="7"/>
  <c r="H101" i="7"/>
  <c r="G101" i="7"/>
  <c r="H100" i="7"/>
  <c r="G100" i="7"/>
  <c r="H99" i="7"/>
  <c r="G99" i="7"/>
  <c r="H98" i="7"/>
  <c r="G98" i="7"/>
  <c r="H97" i="7"/>
  <c r="G97" i="7"/>
  <c r="H96" i="7"/>
  <c r="G96" i="7"/>
  <c r="H95" i="7"/>
  <c r="G95" i="7"/>
  <c r="H94" i="7"/>
  <c r="G94" i="7"/>
  <c r="H93" i="7"/>
  <c r="G93" i="7"/>
  <c r="H92" i="7"/>
  <c r="G92" i="7"/>
  <c r="H91" i="7"/>
  <c r="G91" i="7"/>
  <c r="H90" i="7"/>
  <c r="G90" i="7"/>
  <c r="H89" i="7"/>
  <c r="G89" i="7"/>
  <c r="H88" i="7"/>
  <c r="G88" i="7"/>
  <c r="H87" i="7"/>
  <c r="G87" i="7"/>
  <c r="H86" i="7"/>
  <c r="G86" i="7"/>
  <c r="H85" i="7"/>
  <c r="G85" i="7"/>
  <c r="H84" i="7"/>
  <c r="G84" i="7"/>
  <c r="H83" i="7"/>
  <c r="G83" i="7"/>
  <c r="H82" i="7"/>
  <c r="G82" i="7"/>
  <c r="H81" i="7"/>
  <c r="G81" i="7"/>
  <c r="H80" i="7"/>
  <c r="G80" i="7"/>
  <c r="H79" i="7"/>
  <c r="G79" i="7"/>
  <c r="H78" i="7"/>
  <c r="G78" i="7"/>
  <c r="H77" i="7"/>
  <c r="G77" i="7"/>
  <c r="H76" i="7"/>
  <c r="G76" i="7"/>
  <c r="H75" i="7"/>
  <c r="G75" i="7"/>
  <c r="H74" i="7"/>
  <c r="G74" i="7"/>
  <c r="H73" i="7"/>
  <c r="G73" i="7"/>
  <c r="H72" i="7"/>
  <c r="G72" i="7"/>
  <c r="H71" i="7"/>
  <c r="G71" i="7"/>
  <c r="H70" i="7"/>
  <c r="G70" i="7"/>
  <c r="H69" i="7"/>
  <c r="G69" i="7"/>
  <c r="H68" i="7"/>
  <c r="G68" i="7"/>
  <c r="H67" i="7"/>
  <c r="G67" i="7"/>
  <c r="H66" i="7"/>
  <c r="G66" i="7"/>
  <c r="H65" i="7"/>
  <c r="G65" i="7"/>
  <c r="H64" i="7"/>
  <c r="G64" i="7"/>
  <c r="H63" i="7"/>
  <c r="G63" i="7"/>
  <c r="H62" i="7"/>
  <c r="G62" i="7"/>
  <c r="H61" i="7"/>
  <c r="G61" i="7"/>
  <c r="H60" i="7"/>
  <c r="G60" i="7"/>
  <c r="H59" i="7"/>
  <c r="G59" i="7"/>
  <c r="H58" i="7"/>
  <c r="G58" i="7"/>
  <c r="H57" i="7"/>
  <c r="G57" i="7"/>
  <c r="H56" i="7"/>
  <c r="G56" i="7"/>
  <c r="H55" i="7"/>
  <c r="G55" i="7"/>
  <c r="H54" i="7"/>
  <c r="G54" i="7"/>
  <c r="H53" i="7"/>
  <c r="G53" i="7"/>
  <c r="H52" i="7"/>
  <c r="G52" i="7"/>
  <c r="H51" i="7"/>
  <c r="G51" i="7"/>
  <c r="H50" i="7"/>
  <c r="G50" i="7"/>
  <c r="H49" i="7"/>
  <c r="G49" i="7"/>
  <c r="H48" i="7"/>
  <c r="G48" i="7"/>
  <c r="H47" i="7"/>
  <c r="G47" i="7"/>
  <c r="H46" i="7"/>
  <c r="G46" i="7"/>
  <c r="H45" i="7"/>
  <c r="G45" i="7"/>
  <c r="H44" i="7"/>
  <c r="G44" i="7"/>
  <c r="H43" i="7"/>
  <c r="G43" i="7"/>
  <c r="H42" i="7"/>
  <c r="G42" i="7"/>
  <c r="H41" i="7"/>
  <c r="G41" i="7"/>
  <c r="H40" i="7"/>
  <c r="G40" i="7"/>
  <c r="H39" i="7"/>
  <c r="G39" i="7"/>
  <c r="H38" i="7"/>
  <c r="G38" i="7"/>
  <c r="H37" i="7"/>
  <c r="G37" i="7"/>
  <c r="H36" i="7"/>
  <c r="G36" i="7"/>
  <c r="H35" i="7"/>
  <c r="G35" i="7"/>
  <c r="H34" i="7"/>
  <c r="G34" i="7"/>
  <c r="H33" i="7"/>
  <c r="G33" i="7"/>
  <c r="H32" i="7"/>
  <c r="G32" i="7"/>
  <c r="H31" i="7"/>
  <c r="G31" i="7"/>
  <c r="H30" i="7"/>
  <c r="G30" i="7"/>
  <c r="H29" i="7"/>
  <c r="G29" i="7"/>
  <c r="H28" i="7"/>
  <c r="G28" i="7"/>
  <c r="H27" i="7"/>
  <c r="G27" i="7"/>
  <c r="H26" i="7"/>
  <c r="G26" i="7"/>
  <c r="H25" i="7"/>
  <c r="G25" i="7"/>
  <c r="H24" i="7"/>
  <c r="G24" i="7"/>
  <c r="H23" i="7"/>
  <c r="G23" i="7"/>
  <c r="H22" i="7"/>
  <c r="G22" i="7"/>
  <c r="H21" i="7"/>
  <c r="G21" i="7"/>
  <c r="H20" i="7"/>
  <c r="G20" i="7"/>
  <c r="H19" i="7"/>
  <c r="G19" i="7"/>
  <c r="H18" i="7"/>
  <c r="G18" i="7"/>
  <c r="H17" i="7"/>
  <c r="G17" i="7"/>
  <c r="H16" i="7"/>
  <c r="G16" i="7"/>
  <c r="H15" i="7"/>
  <c r="G15" i="7"/>
  <c r="H14" i="7"/>
  <c r="G14" i="7"/>
  <c r="H13" i="7"/>
  <c r="G13" i="7"/>
  <c r="H12" i="7"/>
  <c r="G12" i="7"/>
  <c r="H11" i="7"/>
  <c r="G11" i="7"/>
  <c r="H10" i="7"/>
  <c r="G10" i="7"/>
  <c r="H9" i="7"/>
  <c r="G9" i="7"/>
  <c r="H8" i="7"/>
  <c r="G8" i="7"/>
  <c r="H7" i="7"/>
  <c r="G7" i="7"/>
  <c r="F313" i="7"/>
  <c r="F317" i="7"/>
  <c r="F321" i="7"/>
  <c r="F325" i="7"/>
  <c r="F329" i="7"/>
  <c r="F333" i="7"/>
  <c r="F337" i="7"/>
  <c r="F341" i="7"/>
  <c r="F345" i="7"/>
  <c r="F349" i="7"/>
  <c r="F353" i="7"/>
  <c r="F357" i="7"/>
  <c r="F361" i="7"/>
  <c r="F365" i="7"/>
  <c r="F369" i="7"/>
  <c r="F373" i="7"/>
  <c r="F377" i="7"/>
  <c r="F381" i="7"/>
  <c r="F385" i="7"/>
  <c r="F314" i="7"/>
  <c r="F318" i="7"/>
  <c r="F322" i="7"/>
  <c r="F326" i="7"/>
  <c r="F330" i="7"/>
  <c r="F334" i="7"/>
  <c r="F338" i="7"/>
  <c r="F346" i="7"/>
  <c r="F354" i="7"/>
  <c r="F362" i="7"/>
  <c r="F370" i="7"/>
  <c r="F378" i="7"/>
  <c r="F386" i="7"/>
  <c r="F315" i="7"/>
  <c r="F319" i="7"/>
  <c r="F323" i="7"/>
  <c r="F327" i="7"/>
  <c r="F331" i="7"/>
  <c r="F335" i="7"/>
  <c r="F339" i="7"/>
  <c r="F343" i="7"/>
  <c r="F347" i="7"/>
  <c r="F351" i="7"/>
  <c r="F355" i="7"/>
  <c r="F359" i="7"/>
  <c r="F363" i="7"/>
  <c r="F367" i="7"/>
  <c r="F371" i="7"/>
  <c r="F375" i="7"/>
  <c r="F379" i="7"/>
  <c r="F383" i="7"/>
  <c r="F320" i="7"/>
  <c r="F328" i="7"/>
  <c r="F336" i="7"/>
  <c r="F344" i="7"/>
  <c r="F352" i="7"/>
  <c r="F360" i="7"/>
  <c r="F368" i="7"/>
  <c r="F376" i="7"/>
  <c r="F384" i="7"/>
  <c r="C3" i="9"/>
  <c r="E35" i="9"/>
  <c r="F1" i="9"/>
  <c r="C4" i="9"/>
  <c r="S19" i="3"/>
  <c r="B7" i="7"/>
  <c r="B8" i="7"/>
  <c r="B9" i="7"/>
  <c r="B10" i="7"/>
  <c r="B11" i="7"/>
  <c r="B12" i="7"/>
  <c r="B13" i="7"/>
  <c r="B14" i="7"/>
  <c r="B15" i="7"/>
  <c r="B16" i="7"/>
  <c r="B17" i="7"/>
  <c r="B18" i="7"/>
  <c r="B19" i="7"/>
  <c r="B20" i="7"/>
  <c r="B21" i="7"/>
  <c r="B22" i="7"/>
  <c r="B23" i="7"/>
  <c r="B24" i="7"/>
  <c r="B25" i="7"/>
  <c r="B26" i="7"/>
  <c r="I314" i="7"/>
  <c r="C16" i="8"/>
  <c r="C17" i="8"/>
  <c r="C18" i="8"/>
  <c r="C19" i="8"/>
  <c r="C20" i="8"/>
  <c r="C21" i="8"/>
  <c r="C22" i="8"/>
  <c r="C23" i="8"/>
  <c r="C24" i="8"/>
  <c r="C25" i="8"/>
  <c r="C26" i="8"/>
  <c r="S13" i="3"/>
  <c r="S14" i="3"/>
  <c r="S15" i="3"/>
  <c r="S16" i="3"/>
  <c r="S17" i="3"/>
  <c r="S18" i="3"/>
  <c r="S20" i="3"/>
  <c r="S21" i="3"/>
  <c r="S22" i="3"/>
  <c r="S23" i="3"/>
  <c r="I386" i="7"/>
  <c r="I313" i="7"/>
  <c r="M310" i="13" s="1"/>
  <c r="I315" i="7"/>
  <c r="M312" i="13" s="1"/>
  <c r="I316" i="7"/>
  <c r="M693" i="13" s="1"/>
  <c r="I318" i="7"/>
  <c r="M315" i="13" s="1"/>
  <c r="I319" i="7"/>
  <c r="M696" i="13" s="1"/>
  <c r="I320" i="7"/>
  <c r="M697" i="13" s="1"/>
  <c r="I321" i="7"/>
  <c r="I322" i="7"/>
  <c r="M699" i="13" s="1"/>
  <c r="I323" i="7"/>
  <c r="M700" i="13" s="1"/>
  <c r="I324" i="7"/>
  <c r="M321" i="13" s="1"/>
  <c r="I326" i="7"/>
  <c r="M323" i="13" s="1"/>
  <c r="I327" i="7"/>
  <c r="M704" i="13" s="1"/>
  <c r="I328" i="7"/>
  <c r="M325" i="13" s="1"/>
  <c r="I329" i="7"/>
  <c r="M326" i="13" s="1"/>
  <c r="I330" i="7"/>
  <c r="M327" i="13" s="1"/>
  <c r="I331" i="7"/>
  <c r="M328" i="13" s="1"/>
  <c r="I332" i="7"/>
  <c r="M709" i="13" s="1"/>
  <c r="I333" i="7"/>
  <c r="M330" i="13" s="1"/>
  <c r="I334" i="7"/>
  <c r="M711" i="13" s="1"/>
  <c r="I335" i="7"/>
  <c r="M332" i="13" s="1"/>
  <c r="I336" i="7"/>
  <c r="M333" i="13" s="1"/>
  <c r="I337" i="7"/>
  <c r="M334" i="13" s="1"/>
  <c r="I338" i="7"/>
  <c r="I339" i="7"/>
  <c r="M336" i="13" s="1"/>
  <c r="I340" i="7"/>
  <c r="M717" i="13" s="1"/>
  <c r="I341" i="7"/>
  <c r="M338" i="13" s="1"/>
  <c r="I342" i="7"/>
  <c r="M719" i="13" s="1"/>
  <c r="I343" i="7"/>
  <c r="M340" i="13" s="1"/>
  <c r="I344" i="7"/>
  <c r="M721" i="13" s="1"/>
  <c r="I345" i="7"/>
  <c r="M722" i="13" s="1"/>
  <c r="I346" i="7"/>
  <c r="I347" i="7"/>
  <c r="M344" i="13" s="1"/>
  <c r="I348" i="7"/>
  <c r="M345" i="13" s="1"/>
  <c r="I349" i="7"/>
  <c r="M346" i="13" s="1"/>
  <c r="I350" i="7"/>
  <c r="M727" i="13" s="1"/>
  <c r="I351" i="7"/>
  <c r="M348" i="13" s="1"/>
  <c r="I352" i="7"/>
  <c r="M349" i="13" s="1"/>
  <c r="I353" i="7"/>
  <c r="M730" i="13" s="1"/>
  <c r="I354" i="7"/>
  <c r="I355" i="7"/>
  <c r="M352" i="13" s="1"/>
  <c r="I356" i="7"/>
  <c r="M733" i="13" s="1"/>
  <c r="I358" i="7"/>
  <c r="M355" i="13" s="1"/>
  <c r="I359" i="7"/>
  <c r="M356" i="13" s="1"/>
  <c r="I360" i="7"/>
  <c r="M737" i="13" s="1"/>
  <c r="I362" i="7"/>
  <c r="M359" i="13" s="1"/>
  <c r="I363" i="7"/>
  <c r="M360" i="13" s="1"/>
  <c r="I364" i="7"/>
  <c r="I365" i="7"/>
  <c r="M742" i="13" s="1"/>
  <c r="I366" i="7"/>
  <c r="M363" i="13" s="1"/>
  <c r="I367" i="7"/>
  <c r="M364" i="13" s="1"/>
  <c r="I368" i="7"/>
  <c r="M745" i="13" s="1"/>
  <c r="I370" i="7"/>
  <c r="I371" i="7"/>
  <c r="M748" i="13" s="1"/>
  <c r="I373" i="7"/>
  <c r="M370" i="13" s="1"/>
  <c r="I374" i="7"/>
  <c r="M751" i="13" s="1"/>
  <c r="I375" i="7"/>
  <c r="M372" i="13" s="1"/>
  <c r="I376" i="7"/>
  <c r="M753" i="13" s="1"/>
  <c r="I377" i="7"/>
  <c r="M754" i="13" s="1"/>
  <c r="I378" i="7"/>
  <c r="M755" i="13" s="1"/>
  <c r="I379" i="7"/>
  <c r="M756" i="13" s="1"/>
  <c r="I380" i="7"/>
  <c r="M377" i="13" s="1"/>
  <c r="I381" i="7"/>
  <c r="M378" i="13" s="1"/>
  <c r="I382" i="7"/>
  <c r="M759" i="13" s="1"/>
  <c r="I383" i="7"/>
  <c r="M380" i="13" s="1"/>
  <c r="I384" i="7"/>
  <c r="M381" i="13" s="1"/>
  <c r="E35" i="6"/>
  <c r="S12" i="3"/>
  <c r="Q13" i="3"/>
  <c r="Q15" i="3"/>
  <c r="Q21" i="3"/>
  <c r="Q23" i="3"/>
  <c r="D81" i="6"/>
  <c r="E81" i="6"/>
  <c r="D82" i="6"/>
  <c r="E82" i="6"/>
  <c r="D83" i="6"/>
  <c r="E83" i="6"/>
  <c r="D84" i="6"/>
  <c r="E84" i="6"/>
  <c r="D85" i="6"/>
  <c r="E85" i="6"/>
  <c r="D86" i="6"/>
  <c r="E86" i="6"/>
  <c r="D87" i="6"/>
  <c r="E87" i="6"/>
  <c r="D88" i="6"/>
  <c r="E88" i="6"/>
  <c r="D89" i="6"/>
  <c r="E89" i="6"/>
  <c r="D90" i="6"/>
  <c r="E90" i="6"/>
  <c r="D91" i="6"/>
  <c r="E91" i="6"/>
  <c r="D92" i="6"/>
  <c r="E92" i="6"/>
  <c r="D93" i="6"/>
  <c r="E93" i="6"/>
  <c r="D94" i="6"/>
  <c r="E94" i="6"/>
  <c r="D95" i="6"/>
  <c r="E95" i="6"/>
  <c r="D96" i="6"/>
  <c r="E96" i="6"/>
  <c r="D97" i="6"/>
  <c r="E97" i="6"/>
  <c r="D98" i="6"/>
  <c r="E98" i="6"/>
  <c r="D99" i="6"/>
  <c r="E99" i="6"/>
  <c r="D100" i="6"/>
  <c r="E100" i="6"/>
  <c r="D101" i="6"/>
  <c r="E101" i="6"/>
  <c r="D102" i="6"/>
  <c r="E102" i="6"/>
  <c r="D103" i="6"/>
  <c r="E103" i="6"/>
  <c r="D104" i="6"/>
  <c r="E104" i="6"/>
  <c r="D105" i="6"/>
  <c r="E105" i="6"/>
  <c r="D106" i="6"/>
  <c r="E106" i="6"/>
  <c r="D107" i="6"/>
  <c r="E107" i="6"/>
  <c r="D108" i="6"/>
  <c r="E108" i="6"/>
  <c r="D109" i="6"/>
  <c r="E109" i="6"/>
  <c r="D110" i="6"/>
  <c r="E110" i="6"/>
  <c r="D111" i="6"/>
  <c r="E111" i="6"/>
  <c r="D112" i="6"/>
  <c r="E112" i="6"/>
  <c r="D113" i="6"/>
  <c r="E113" i="6"/>
  <c r="D114" i="6"/>
  <c r="E114" i="6"/>
  <c r="D115" i="6"/>
  <c r="E115" i="6"/>
  <c r="D116" i="6"/>
  <c r="E116" i="6"/>
  <c r="D117" i="6"/>
  <c r="E117" i="6"/>
  <c r="D118" i="6"/>
  <c r="E118" i="6"/>
  <c r="D119" i="6"/>
  <c r="E119" i="6"/>
  <c r="D120" i="6"/>
  <c r="E120" i="6"/>
  <c r="D121" i="6"/>
  <c r="E121" i="6"/>
  <c r="D122" i="6"/>
  <c r="E122" i="6"/>
  <c r="D123" i="6"/>
  <c r="E123" i="6"/>
  <c r="D124" i="6"/>
  <c r="E124" i="6"/>
  <c r="D125" i="6"/>
  <c r="E125" i="6"/>
  <c r="D126" i="6"/>
  <c r="E126" i="6"/>
  <c r="D127" i="6"/>
  <c r="E127" i="6"/>
  <c r="D128" i="6"/>
  <c r="E128" i="6"/>
  <c r="D129" i="6"/>
  <c r="E129" i="6"/>
  <c r="D130" i="6"/>
  <c r="E130" i="6"/>
  <c r="D131" i="6"/>
  <c r="E131" i="6"/>
  <c r="D132" i="6"/>
  <c r="E132" i="6"/>
  <c r="D133" i="6"/>
  <c r="E133" i="6"/>
  <c r="D134" i="6"/>
  <c r="E134" i="6"/>
  <c r="D135" i="6"/>
  <c r="E135" i="6"/>
  <c r="D136" i="6"/>
  <c r="E136" i="6"/>
  <c r="D137" i="6"/>
  <c r="E137" i="6"/>
  <c r="D138" i="6"/>
  <c r="E138" i="6"/>
  <c r="D139" i="6"/>
  <c r="E139" i="6"/>
  <c r="D140" i="6"/>
  <c r="E140" i="6"/>
  <c r="D141" i="6"/>
  <c r="E141" i="6"/>
  <c r="D142" i="6"/>
  <c r="E142" i="6"/>
  <c r="D143" i="6"/>
  <c r="E143" i="6"/>
  <c r="D144" i="6"/>
  <c r="E144" i="6"/>
  <c r="D145" i="6"/>
  <c r="E145" i="6"/>
  <c r="D146" i="6"/>
  <c r="E146" i="6"/>
  <c r="D147" i="6"/>
  <c r="E147" i="6"/>
  <c r="D148" i="6"/>
  <c r="E148" i="6"/>
  <c r="D149" i="6"/>
  <c r="E149" i="6"/>
  <c r="D150" i="6"/>
  <c r="E150" i="6"/>
  <c r="D151" i="6"/>
  <c r="E151" i="6"/>
  <c r="D152" i="6"/>
  <c r="E152" i="6"/>
  <c r="D153" i="6"/>
  <c r="E153" i="6"/>
  <c r="D154" i="6"/>
  <c r="E154" i="6"/>
  <c r="D155" i="6"/>
  <c r="E155" i="6"/>
  <c r="D156" i="6"/>
  <c r="E156" i="6"/>
  <c r="D157" i="6"/>
  <c r="E157" i="6"/>
  <c r="D158" i="6"/>
  <c r="E158" i="6"/>
  <c r="D159" i="6"/>
  <c r="E159" i="6"/>
  <c r="D160" i="6"/>
  <c r="E160" i="6"/>
  <c r="D161" i="6"/>
  <c r="E161" i="6"/>
  <c r="D162" i="6"/>
  <c r="E162" i="6"/>
  <c r="D163" i="6"/>
  <c r="E163" i="6"/>
  <c r="D164" i="6"/>
  <c r="E164" i="6"/>
  <c r="D165" i="6"/>
  <c r="E165" i="6"/>
  <c r="D166" i="6"/>
  <c r="E166" i="6"/>
  <c r="D167" i="6"/>
  <c r="E167" i="6"/>
  <c r="D168" i="6"/>
  <c r="E168" i="6"/>
  <c r="D169" i="6"/>
  <c r="E169" i="6"/>
  <c r="D170" i="6"/>
  <c r="E170" i="6"/>
  <c r="D171" i="6"/>
  <c r="E171" i="6"/>
  <c r="D172" i="6"/>
  <c r="E172" i="6"/>
  <c r="D173" i="6"/>
  <c r="E173" i="6"/>
  <c r="D174" i="6"/>
  <c r="E174" i="6"/>
  <c r="D175" i="6"/>
  <c r="E175" i="6"/>
  <c r="D176" i="6"/>
  <c r="E176" i="6"/>
  <c r="D177" i="6"/>
  <c r="E177" i="6"/>
  <c r="D178" i="6"/>
  <c r="E178" i="6"/>
  <c r="D179" i="6"/>
  <c r="E179" i="6"/>
  <c r="D180" i="6"/>
  <c r="E180" i="6"/>
  <c r="D181" i="6"/>
  <c r="E181" i="6"/>
  <c r="D182" i="6"/>
  <c r="E182" i="6"/>
  <c r="D183" i="6"/>
  <c r="E183" i="6"/>
  <c r="D184" i="6"/>
  <c r="E184" i="6"/>
  <c r="D185" i="6"/>
  <c r="E185" i="6"/>
  <c r="D186" i="6"/>
  <c r="E186" i="6"/>
  <c r="D187" i="6"/>
  <c r="E187" i="6"/>
  <c r="D188" i="6"/>
  <c r="E188" i="6"/>
  <c r="D189" i="6"/>
  <c r="E189" i="6"/>
  <c r="D190" i="6"/>
  <c r="E190" i="6"/>
  <c r="D191" i="6"/>
  <c r="E191" i="6"/>
  <c r="D192" i="6"/>
  <c r="E192" i="6"/>
  <c r="D193" i="6"/>
  <c r="E193" i="6"/>
  <c r="D194" i="6"/>
  <c r="E194" i="6"/>
  <c r="D195" i="6"/>
  <c r="E195" i="6"/>
  <c r="D196" i="6"/>
  <c r="E196" i="6"/>
  <c r="D197" i="6"/>
  <c r="E197" i="6"/>
  <c r="D198" i="6"/>
  <c r="E198" i="6"/>
  <c r="D199" i="6"/>
  <c r="E199" i="6"/>
  <c r="D200" i="6"/>
  <c r="E200" i="6"/>
  <c r="D201" i="6"/>
  <c r="E201" i="6"/>
  <c r="D202" i="6"/>
  <c r="E202" i="6"/>
  <c r="D203" i="6"/>
  <c r="E203" i="6"/>
  <c r="D204" i="6"/>
  <c r="E204" i="6"/>
  <c r="D205" i="6"/>
  <c r="E205" i="6"/>
  <c r="D206" i="6"/>
  <c r="E206" i="6"/>
  <c r="D207" i="6"/>
  <c r="E207" i="6"/>
  <c r="D208" i="6"/>
  <c r="E208" i="6"/>
  <c r="D209" i="6"/>
  <c r="E209" i="6"/>
  <c r="D210" i="6"/>
  <c r="E210" i="6"/>
  <c r="D211" i="6"/>
  <c r="E211" i="6"/>
  <c r="D212" i="6"/>
  <c r="E212" i="6"/>
  <c r="D213" i="6"/>
  <c r="E213" i="6"/>
  <c r="D214" i="6"/>
  <c r="E214" i="6"/>
  <c r="D215" i="6"/>
  <c r="E215" i="6"/>
  <c r="D216" i="6"/>
  <c r="E216" i="6"/>
  <c r="D217" i="6"/>
  <c r="E217" i="6"/>
  <c r="D218" i="6"/>
  <c r="E218" i="6"/>
  <c r="D219" i="6"/>
  <c r="E219" i="6"/>
  <c r="D220" i="6"/>
  <c r="E220" i="6"/>
  <c r="D221" i="6"/>
  <c r="E221" i="6"/>
  <c r="D222" i="6"/>
  <c r="E222" i="6"/>
  <c r="D223" i="6"/>
  <c r="E223" i="6"/>
  <c r="D224" i="6"/>
  <c r="E224" i="6"/>
  <c r="D225" i="6"/>
  <c r="E225" i="6"/>
  <c r="D226" i="6"/>
  <c r="E226" i="6"/>
  <c r="D227" i="6"/>
  <c r="E227" i="6"/>
  <c r="D228" i="6"/>
  <c r="E228" i="6"/>
  <c r="D229" i="6"/>
  <c r="E229" i="6"/>
  <c r="D230" i="6"/>
  <c r="E230" i="6"/>
  <c r="D231" i="6"/>
  <c r="E231" i="6"/>
  <c r="D232" i="6"/>
  <c r="E232" i="6"/>
  <c r="D233" i="6"/>
  <c r="E233" i="6"/>
  <c r="D234" i="6"/>
  <c r="E234" i="6"/>
  <c r="D235" i="6"/>
  <c r="E235" i="6"/>
  <c r="D236" i="6"/>
  <c r="E236" i="6"/>
  <c r="D237" i="6"/>
  <c r="E237" i="6"/>
  <c r="D238" i="6"/>
  <c r="E238" i="6"/>
  <c r="D239" i="6"/>
  <c r="E239" i="6"/>
  <c r="D240" i="6"/>
  <c r="E240" i="6"/>
  <c r="D241" i="6"/>
  <c r="E241" i="6"/>
  <c r="D242" i="6"/>
  <c r="E242" i="6"/>
  <c r="D243" i="6"/>
  <c r="E243" i="6"/>
  <c r="D244" i="6"/>
  <c r="E244" i="6"/>
  <c r="D245" i="6"/>
  <c r="E245" i="6"/>
  <c r="D246" i="6"/>
  <c r="E246" i="6"/>
  <c r="D247" i="6"/>
  <c r="E247" i="6"/>
  <c r="D248" i="6"/>
  <c r="E248" i="6"/>
  <c r="D249" i="6"/>
  <c r="E249" i="6"/>
  <c r="D250" i="6"/>
  <c r="E250" i="6"/>
  <c r="D251" i="6"/>
  <c r="E251" i="6"/>
  <c r="D252" i="6"/>
  <c r="E252" i="6"/>
  <c r="D253" i="6"/>
  <c r="E253" i="6"/>
  <c r="D254" i="6"/>
  <c r="E254" i="6"/>
  <c r="D255" i="6"/>
  <c r="E255" i="6"/>
  <c r="D256" i="6"/>
  <c r="E256" i="6"/>
  <c r="D257" i="6"/>
  <c r="E257" i="6"/>
  <c r="D258" i="6"/>
  <c r="E258" i="6"/>
  <c r="D259" i="6"/>
  <c r="E259" i="6"/>
  <c r="D260" i="6"/>
  <c r="E260" i="6"/>
  <c r="D261" i="6"/>
  <c r="E261" i="6"/>
  <c r="D262" i="6"/>
  <c r="E262" i="6"/>
  <c r="D263" i="6"/>
  <c r="E263" i="6"/>
  <c r="D264" i="6"/>
  <c r="E264" i="6"/>
  <c r="D265" i="6"/>
  <c r="E265" i="6"/>
  <c r="D266" i="6"/>
  <c r="E266" i="6"/>
  <c r="D267" i="6"/>
  <c r="E267" i="6"/>
  <c r="D268" i="6"/>
  <c r="E268" i="6"/>
  <c r="D269" i="6"/>
  <c r="E269" i="6"/>
  <c r="D270" i="6"/>
  <c r="E270" i="6"/>
  <c r="D271" i="6"/>
  <c r="E271" i="6"/>
  <c r="D272" i="6"/>
  <c r="E272" i="6"/>
  <c r="D273" i="6"/>
  <c r="E273" i="6"/>
  <c r="D274" i="6"/>
  <c r="E274" i="6"/>
  <c r="D275" i="6"/>
  <c r="E275" i="6"/>
  <c r="D276" i="6"/>
  <c r="E276" i="6"/>
  <c r="D277" i="6"/>
  <c r="E277" i="6"/>
  <c r="D278" i="6"/>
  <c r="E278" i="6"/>
  <c r="D279" i="6"/>
  <c r="E279" i="6"/>
  <c r="D280" i="6"/>
  <c r="E280" i="6"/>
  <c r="D281" i="6"/>
  <c r="E281" i="6"/>
  <c r="D282" i="6"/>
  <c r="E282" i="6"/>
  <c r="D283" i="6"/>
  <c r="E283" i="6"/>
  <c r="D284" i="6"/>
  <c r="E284" i="6"/>
  <c r="D285" i="6"/>
  <c r="E285" i="6"/>
  <c r="D286" i="6"/>
  <c r="E286" i="6"/>
  <c r="D287" i="6"/>
  <c r="E287" i="6"/>
  <c r="D288" i="6"/>
  <c r="E288" i="6"/>
  <c r="D289" i="6"/>
  <c r="E289" i="6"/>
  <c r="D290" i="6"/>
  <c r="E290" i="6"/>
  <c r="D291" i="6"/>
  <c r="E291" i="6"/>
  <c r="D292" i="6"/>
  <c r="E292" i="6"/>
  <c r="D293" i="6"/>
  <c r="E293" i="6"/>
  <c r="D294" i="6"/>
  <c r="E294" i="6"/>
  <c r="D295" i="6"/>
  <c r="E295" i="6"/>
  <c r="D296" i="6"/>
  <c r="E296" i="6"/>
  <c r="D297" i="6"/>
  <c r="E297" i="6"/>
  <c r="D298" i="6"/>
  <c r="E298" i="6"/>
  <c r="D299" i="6"/>
  <c r="E299" i="6"/>
  <c r="D300" i="6"/>
  <c r="E300" i="6"/>
  <c r="D301" i="6"/>
  <c r="E301" i="6"/>
  <c r="D302" i="6"/>
  <c r="E302" i="6"/>
  <c r="D303" i="6"/>
  <c r="E303" i="6"/>
  <c r="D304" i="6"/>
  <c r="E304" i="6"/>
  <c r="D305" i="6"/>
  <c r="E305" i="6"/>
  <c r="D306" i="6"/>
  <c r="E306" i="6"/>
  <c r="D307" i="6"/>
  <c r="E307" i="6"/>
  <c r="D308" i="6"/>
  <c r="E308" i="6"/>
  <c r="D309" i="6"/>
  <c r="E309" i="6"/>
  <c r="D310" i="6"/>
  <c r="E310" i="6"/>
  <c r="D311" i="6"/>
  <c r="E311" i="6"/>
  <c r="D312" i="6"/>
  <c r="E312" i="6"/>
  <c r="D313" i="6"/>
  <c r="E313" i="6"/>
  <c r="D314" i="6"/>
  <c r="E314" i="6"/>
  <c r="D315" i="6"/>
  <c r="E315" i="6"/>
  <c r="D316" i="6"/>
  <c r="E316" i="6"/>
  <c r="D317" i="6"/>
  <c r="E317" i="6"/>
  <c r="D318" i="6"/>
  <c r="E318" i="6"/>
  <c r="D319" i="6"/>
  <c r="E319" i="6"/>
  <c r="D320" i="6"/>
  <c r="E320" i="6"/>
  <c r="D321" i="6"/>
  <c r="E321" i="6"/>
  <c r="D322" i="6"/>
  <c r="E322" i="6"/>
  <c r="D323" i="6"/>
  <c r="E323" i="6"/>
  <c r="D324" i="6"/>
  <c r="E324" i="6"/>
  <c r="D325" i="6"/>
  <c r="E325" i="6"/>
  <c r="D326" i="6"/>
  <c r="E326" i="6"/>
  <c r="D327" i="6"/>
  <c r="E327" i="6"/>
  <c r="D328" i="6"/>
  <c r="E328" i="6"/>
  <c r="D329" i="6"/>
  <c r="E329" i="6"/>
  <c r="D330" i="6"/>
  <c r="E330" i="6"/>
  <c r="D331" i="6"/>
  <c r="E331" i="6"/>
  <c r="D332" i="6"/>
  <c r="E332" i="6"/>
  <c r="D333" i="6"/>
  <c r="E333" i="6"/>
  <c r="D334" i="6"/>
  <c r="E334" i="6"/>
  <c r="D335" i="6"/>
  <c r="E335" i="6"/>
  <c r="D336" i="6"/>
  <c r="E336" i="6"/>
  <c r="D337" i="6"/>
  <c r="E337" i="6"/>
  <c r="D338" i="6"/>
  <c r="E338" i="6"/>
  <c r="D339" i="6"/>
  <c r="E339" i="6"/>
  <c r="D340" i="6"/>
  <c r="E340" i="6"/>
  <c r="D341" i="6"/>
  <c r="E341" i="6"/>
  <c r="D342" i="6"/>
  <c r="E342" i="6"/>
  <c r="D343" i="6"/>
  <c r="E343" i="6"/>
  <c r="D344" i="6"/>
  <c r="E344" i="6"/>
  <c r="D345" i="6"/>
  <c r="E345" i="6"/>
  <c r="D346" i="6"/>
  <c r="E346" i="6"/>
  <c r="D347" i="6"/>
  <c r="E347" i="6"/>
  <c r="D348" i="6"/>
  <c r="E348" i="6"/>
  <c r="D349" i="6"/>
  <c r="E349" i="6"/>
  <c r="D350" i="6"/>
  <c r="E350" i="6"/>
  <c r="D351" i="6"/>
  <c r="E351" i="6"/>
  <c r="D352" i="6"/>
  <c r="E352" i="6"/>
  <c r="D353" i="6"/>
  <c r="E353" i="6"/>
  <c r="D354" i="6"/>
  <c r="E354" i="6"/>
  <c r="D355" i="6"/>
  <c r="E355" i="6"/>
  <c r="D356" i="6"/>
  <c r="E356" i="6"/>
  <c r="D357" i="6"/>
  <c r="E357" i="6"/>
  <c r="D358" i="6"/>
  <c r="E358" i="6"/>
  <c r="D359" i="6"/>
  <c r="E359" i="6"/>
  <c r="D360" i="6"/>
  <c r="E360" i="6"/>
  <c r="D361" i="6"/>
  <c r="E361" i="6"/>
  <c r="D362" i="6"/>
  <c r="E362" i="6"/>
  <c r="D363" i="6"/>
  <c r="E363" i="6"/>
  <c r="D364" i="6"/>
  <c r="E364" i="6"/>
  <c r="D365" i="6"/>
  <c r="E365" i="6"/>
  <c r="D366" i="6"/>
  <c r="E366" i="6"/>
  <c r="D367" i="6"/>
  <c r="E367" i="6"/>
  <c r="D368" i="6"/>
  <c r="E368" i="6"/>
  <c r="D369" i="6"/>
  <c r="E369" i="6"/>
  <c r="D370" i="6"/>
  <c r="E370" i="6"/>
  <c r="D371" i="6"/>
  <c r="E371" i="6"/>
  <c r="D372" i="6"/>
  <c r="E372" i="6"/>
  <c r="D373" i="6"/>
  <c r="E373" i="6"/>
  <c r="D374" i="6"/>
  <c r="E374" i="6"/>
  <c r="D375" i="6"/>
  <c r="E375" i="6"/>
  <c r="D376" i="6"/>
  <c r="E376" i="6"/>
  <c r="D377" i="6"/>
  <c r="E377" i="6"/>
  <c r="D378" i="6"/>
  <c r="E378" i="6"/>
  <c r="D379" i="6"/>
  <c r="E379" i="6"/>
  <c r="D380" i="6"/>
  <c r="E380" i="6"/>
  <c r="D381" i="6"/>
  <c r="E381" i="6"/>
  <c r="D382" i="6"/>
  <c r="E382" i="6"/>
  <c r="D383" i="6"/>
  <c r="E383" i="6"/>
  <c r="D384" i="6"/>
  <c r="E384" i="6"/>
  <c r="D385" i="6"/>
  <c r="E385" i="6"/>
  <c r="D386" i="6"/>
  <c r="E386" i="6"/>
  <c r="D387" i="6"/>
  <c r="E387" i="6"/>
  <c r="D388" i="6"/>
  <c r="E388" i="6"/>
  <c r="D10" i="6"/>
  <c r="E10" i="6"/>
  <c r="D11" i="6"/>
  <c r="E11" i="6"/>
  <c r="D12" i="6"/>
  <c r="E12" i="6"/>
  <c r="D13" i="6"/>
  <c r="E13" i="6"/>
  <c r="D14" i="6"/>
  <c r="E14" i="6"/>
  <c r="D15" i="6"/>
  <c r="E15" i="6"/>
  <c r="D16" i="6"/>
  <c r="E16" i="6"/>
  <c r="D17" i="6"/>
  <c r="E17" i="6"/>
  <c r="D18" i="6"/>
  <c r="E18" i="6"/>
  <c r="D19" i="6"/>
  <c r="E19" i="6"/>
  <c r="D20" i="6"/>
  <c r="E20" i="6"/>
  <c r="D21" i="6"/>
  <c r="E21" i="6"/>
  <c r="D22" i="6"/>
  <c r="E22" i="6"/>
  <c r="D23" i="6"/>
  <c r="E23" i="6"/>
  <c r="D24" i="6"/>
  <c r="E24" i="6"/>
  <c r="D25" i="6"/>
  <c r="E25" i="6"/>
  <c r="D26" i="6"/>
  <c r="E26" i="6"/>
  <c r="D27" i="6"/>
  <c r="E27" i="6"/>
  <c r="D28" i="6"/>
  <c r="E28" i="6"/>
  <c r="D29" i="6"/>
  <c r="E29" i="6"/>
  <c r="D30" i="6"/>
  <c r="E30" i="6"/>
  <c r="D31" i="6"/>
  <c r="E31" i="6"/>
  <c r="D32" i="6"/>
  <c r="E32" i="6"/>
  <c r="D33" i="6"/>
  <c r="E33" i="6"/>
  <c r="D34" i="6"/>
  <c r="E34" i="6"/>
  <c r="D35" i="6"/>
  <c r="D36" i="6"/>
  <c r="E36" i="6"/>
  <c r="D37" i="6"/>
  <c r="E37" i="6"/>
  <c r="D38" i="6"/>
  <c r="E38" i="6"/>
  <c r="D39" i="6"/>
  <c r="E39" i="6"/>
  <c r="D40" i="6"/>
  <c r="E40" i="6"/>
  <c r="D41" i="6"/>
  <c r="E41" i="6"/>
  <c r="D42" i="6"/>
  <c r="E42" i="6"/>
  <c r="D43" i="6"/>
  <c r="E43" i="6"/>
  <c r="D44" i="6"/>
  <c r="E44" i="6"/>
  <c r="D45" i="6"/>
  <c r="E45" i="6"/>
  <c r="D46" i="6"/>
  <c r="E46" i="6"/>
  <c r="D47" i="6"/>
  <c r="E47" i="6"/>
  <c r="D48" i="6"/>
  <c r="E48" i="6"/>
  <c r="D49" i="6"/>
  <c r="E49" i="6"/>
  <c r="D50" i="6"/>
  <c r="E50" i="6"/>
  <c r="D51" i="6"/>
  <c r="E51" i="6"/>
  <c r="D52" i="6"/>
  <c r="E52" i="6"/>
  <c r="D53" i="6"/>
  <c r="E53" i="6"/>
  <c r="D54" i="6"/>
  <c r="E54" i="6"/>
  <c r="D55" i="6"/>
  <c r="E55" i="6"/>
  <c r="D56" i="6"/>
  <c r="E56" i="6"/>
  <c r="D57" i="6"/>
  <c r="E57" i="6"/>
  <c r="D58" i="6"/>
  <c r="E58" i="6"/>
  <c r="D59" i="6"/>
  <c r="E59" i="6"/>
  <c r="D60" i="6"/>
  <c r="E60" i="6"/>
  <c r="D61" i="6"/>
  <c r="E61" i="6"/>
  <c r="D62" i="6"/>
  <c r="E62" i="6"/>
  <c r="D63" i="6"/>
  <c r="E63" i="6"/>
  <c r="D64" i="6"/>
  <c r="E64" i="6"/>
  <c r="D65" i="6"/>
  <c r="E65" i="6"/>
  <c r="D66" i="6"/>
  <c r="E66" i="6"/>
  <c r="D67" i="6"/>
  <c r="E67" i="6"/>
  <c r="D68" i="6"/>
  <c r="E68" i="6"/>
  <c r="D69" i="6"/>
  <c r="E69" i="6"/>
  <c r="D70" i="6"/>
  <c r="E70" i="6"/>
  <c r="D71" i="6"/>
  <c r="E71" i="6"/>
  <c r="D72" i="6"/>
  <c r="E72" i="6"/>
  <c r="D73" i="6"/>
  <c r="E73" i="6"/>
  <c r="D74" i="6"/>
  <c r="E74" i="6"/>
  <c r="D75" i="6"/>
  <c r="E75" i="6"/>
  <c r="D76" i="6"/>
  <c r="E76" i="6"/>
  <c r="D77" i="6"/>
  <c r="E77" i="6"/>
  <c r="D78" i="6"/>
  <c r="E78" i="6"/>
  <c r="D79" i="6"/>
  <c r="E79" i="6"/>
  <c r="D80" i="6"/>
  <c r="E80" i="6"/>
  <c r="E9" i="6"/>
  <c r="D9" i="6"/>
  <c r="C8" i="8"/>
  <c r="C9" i="8"/>
  <c r="C10" i="8"/>
  <c r="C11" i="8"/>
  <c r="C12" i="8"/>
  <c r="C13" i="8"/>
  <c r="C14" i="8"/>
  <c r="C15" i="8"/>
  <c r="C7" i="8"/>
  <c r="S6" i="3"/>
  <c r="S7" i="3"/>
  <c r="Q5" i="3"/>
  <c r="S4" i="3"/>
  <c r="S5" i="3"/>
  <c r="S8" i="3"/>
  <c r="S9" i="3"/>
  <c r="S10" i="3"/>
  <c r="S11" i="3"/>
  <c r="C5" i="9"/>
  <c r="K1" i="9"/>
  <c r="I357" i="7"/>
  <c r="M734" i="13" s="1"/>
  <c r="I325" i="7"/>
  <c r="I317" i="7"/>
  <c r="M694" i="13" s="1"/>
  <c r="I385" i="7"/>
  <c r="M382" i="13" s="1"/>
  <c r="I369" i="7"/>
  <c r="M366" i="13" s="1"/>
  <c r="I361" i="7"/>
  <c r="M738" i="13" s="1"/>
  <c r="I372" i="7"/>
  <c r="M749" i="13" s="1"/>
  <c r="E18" i="9"/>
  <c r="O17" i="14"/>
  <c r="E31" i="9"/>
  <c r="Q6" i="7"/>
  <c r="E47" i="9"/>
  <c r="BK167" i="14"/>
  <c r="AM74" i="14"/>
  <c r="AQ87" i="14"/>
  <c r="AU101" i="14"/>
  <c r="AA41" i="14"/>
  <c r="E52" i="9"/>
  <c r="AA8" i="6"/>
  <c r="E63" i="9"/>
  <c r="E64" i="9"/>
  <c r="E62" i="9"/>
  <c r="AB8" i="6"/>
  <c r="E12" i="9"/>
  <c r="E28" i="9"/>
  <c r="E46" i="9"/>
  <c r="E32" i="9"/>
  <c r="M4" i="7"/>
  <c r="E58" i="9"/>
  <c r="L1" i="9"/>
  <c r="E13" i="9"/>
  <c r="A1" i="14"/>
  <c r="E36" i="9"/>
  <c r="F5" i="9"/>
  <c r="E48" i="9"/>
  <c r="E45" i="9"/>
  <c r="E55" i="9"/>
  <c r="Q2" i="7"/>
  <c r="E59" i="9"/>
  <c r="C5" i="7"/>
  <c r="E61" i="9"/>
  <c r="F6" i="8"/>
  <c r="E43" i="9"/>
  <c r="B9" i="12"/>
  <c r="E57" i="9"/>
  <c r="E17" i="9"/>
  <c r="E19" i="9"/>
  <c r="E33" i="9"/>
  <c r="M6" i="7"/>
  <c r="E29" i="9"/>
  <c r="S6" i="6"/>
  <c r="E54" i="9"/>
  <c r="B4" i="8"/>
  <c r="E34" i="9"/>
  <c r="N6" i="7"/>
  <c r="E8" i="9"/>
  <c r="E30" i="9"/>
  <c r="C2" i="7"/>
  <c r="E14" i="9"/>
  <c r="F8" i="6"/>
  <c r="E65" i="9"/>
  <c r="E21" i="9"/>
  <c r="R8" i="6"/>
  <c r="E49" i="9"/>
  <c r="D6" i="8"/>
  <c r="E56" i="9"/>
  <c r="K6" i="6" s="1"/>
  <c r="E10" i="9"/>
  <c r="E60" i="9"/>
  <c r="F7" i="8"/>
  <c r="E26" i="9"/>
  <c r="Y8" i="6"/>
  <c r="E11" i="9"/>
  <c r="B6" i="6"/>
  <c r="E38" i="9"/>
  <c r="E6" i="9"/>
  <c r="B2" i="8"/>
  <c r="E15" i="9"/>
  <c r="I8" i="6"/>
  <c r="E37" i="9"/>
  <c r="F53" i="9"/>
  <c r="E53" i="9"/>
  <c r="F1020" i="17"/>
  <c r="F993" i="17"/>
  <c r="F966" i="17"/>
  <c r="F939" i="17"/>
  <c r="F912" i="17"/>
  <c r="F885" i="17"/>
  <c r="F858" i="17"/>
  <c r="F831" i="17"/>
  <c r="F804" i="17"/>
  <c r="F777" i="17"/>
  <c r="F750" i="17"/>
  <c r="F723" i="17"/>
  <c r="F696" i="17"/>
  <c r="F669" i="17"/>
  <c r="F642" i="17"/>
  <c r="F615" i="17"/>
  <c r="F588" i="17"/>
  <c r="F372" i="17"/>
  <c r="F507" i="17"/>
  <c r="F291" i="17"/>
  <c r="F426" i="17"/>
  <c r="F561" i="17"/>
  <c r="F345" i="17"/>
  <c r="F480" i="17"/>
  <c r="F399" i="17"/>
  <c r="F534" i="17"/>
  <c r="F318" i="17"/>
  <c r="F264" i="17"/>
  <c r="F237" i="17"/>
  <c r="F210" i="17"/>
  <c r="F183" i="17"/>
  <c r="F156" i="17"/>
  <c r="F129" i="17"/>
  <c r="F102" i="17"/>
  <c r="F75" i="17"/>
  <c r="F48" i="17"/>
  <c r="F453" i="17"/>
  <c r="F21" i="17"/>
  <c r="F1012" i="17"/>
  <c r="F985" i="17"/>
  <c r="F958" i="17"/>
  <c r="F931" i="17"/>
  <c r="F904" i="17"/>
  <c r="F877" i="17"/>
  <c r="F850" i="17"/>
  <c r="F823" i="17"/>
  <c r="F796" i="17"/>
  <c r="F769" i="17"/>
  <c r="F742" i="17"/>
  <c r="F715" i="17"/>
  <c r="F688" i="17"/>
  <c r="F661" i="17"/>
  <c r="F634" i="17"/>
  <c r="F607" i="17"/>
  <c r="F580" i="17"/>
  <c r="F418" i="17"/>
  <c r="F553" i="17"/>
  <c r="F337" i="17"/>
  <c r="F472" i="17"/>
  <c r="F391" i="17"/>
  <c r="F526" i="17"/>
  <c r="F310" i="17"/>
  <c r="F445" i="17"/>
  <c r="F499" i="17"/>
  <c r="F13" i="17"/>
  <c r="F364" i="17"/>
  <c r="F256" i="17"/>
  <c r="F229" i="17"/>
  <c r="F202" i="17"/>
  <c r="F175" i="17"/>
  <c r="F148" i="17"/>
  <c r="F121" i="17"/>
  <c r="F94" i="17"/>
  <c r="F67" i="17"/>
  <c r="F40" i="17"/>
  <c r="F283" i="17"/>
  <c r="F1004" i="17"/>
  <c r="F977" i="17"/>
  <c r="F950" i="17"/>
  <c r="F923" i="17"/>
  <c r="F896" i="17"/>
  <c r="F869" i="17"/>
  <c r="F842" i="17"/>
  <c r="F815" i="17"/>
  <c r="F788" i="17"/>
  <c r="F761" i="17"/>
  <c r="F734" i="17"/>
  <c r="F707" i="17"/>
  <c r="F680" i="17"/>
  <c r="F653" i="17"/>
  <c r="F626" i="17"/>
  <c r="F599" i="17"/>
  <c r="F572" i="17"/>
  <c r="F464" i="17"/>
  <c r="F383" i="17"/>
  <c r="F518" i="17"/>
  <c r="F302" i="17"/>
  <c r="F437" i="17"/>
  <c r="F356" i="17"/>
  <c r="F491" i="17"/>
  <c r="F329" i="17"/>
  <c r="F5" i="17"/>
  <c r="F410" i="17"/>
  <c r="F275" i="17"/>
  <c r="F248" i="17"/>
  <c r="F221" i="17"/>
  <c r="F194" i="17"/>
  <c r="F167" i="17"/>
  <c r="F140" i="17"/>
  <c r="F113" i="17"/>
  <c r="F86" i="17"/>
  <c r="F59" i="17"/>
  <c r="F32" i="17"/>
  <c r="F545" i="17"/>
  <c r="F1019" i="17"/>
  <c r="F371" i="17"/>
  <c r="F749" i="17"/>
  <c r="F884" i="17"/>
  <c r="F668" i="17"/>
  <c r="F1011" i="17"/>
  <c r="F282" i="17"/>
  <c r="F868" i="17"/>
  <c r="F517" i="17"/>
  <c r="F409" i="17"/>
  <c r="F841" i="17"/>
  <c r="F166" i="17"/>
  <c r="F598" i="17"/>
  <c r="F6" i="17"/>
  <c r="F15" i="17"/>
  <c r="F16" i="17"/>
  <c r="F937" i="17"/>
  <c r="F802" i="17"/>
  <c r="F902" i="17"/>
  <c r="F578" i="17"/>
  <c r="F119" i="17"/>
  <c r="F956" i="17"/>
  <c r="F308" i="17"/>
  <c r="F49" i="17"/>
  <c r="F940" i="17"/>
  <c r="F103" i="17"/>
  <c r="F307" i="17"/>
  <c r="F881" i="17"/>
  <c r="F665" i="17"/>
  <c r="F476" i="17"/>
  <c r="F233" i="17"/>
  <c r="F1008" i="17"/>
  <c r="F792" i="17"/>
  <c r="F576" i="17"/>
  <c r="F360" i="17"/>
  <c r="F117" i="17"/>
  <c r="F1015" i="17"/>
  <c r="F988" i="17"/>
  <c r="F907" i="17"/>
  <c r="F691" i="17"/>
  <c r="F826" i="17"/>
  <c r="F610" i="17"/>
  <c r="F556" i="17"/>
  <c r="F529" i="17"/>
  <c r="F502" i="17"/>
  <c r="F475" i="17"/>
  <c r="F448" i="17"/>
  <c r="F421" i="17"/>
  <c r="F394" i="17"/>
  <c r="F367" i="17"/>
  <c r="F340" i="17"/>
  <c r="F313" i="17"/>
  <c r="F286" i="17"/>
  <c r="F745" i="17"/>
  <c r="F799" i="17"/>
  <c r="F772" i="17"/>
  <c r="F880" i="17"/>
  <c r="F853" i="17"/>
  <c r="F583" i="17"/>
  <c r="F934" i="17"/>
  <c r="F664" i="17"/>
  <c r="F637" i="17"/>
  <c r="F961" i="17"/>
  <c r="F259" i="17"/>
  <c r="F205" i="17"/>
  <c r="F151" i="17"/>
  <c r="F70" i="17"/>
  <c r="F43" i="17"/>
  <c r="F718" i="17"/>
  <c r="F232" i="17"/>
  <c r="F178" i="17"/>
  <c r="F124" i="17"/>
  <c r="F97" i="17"/>
  <c r="F980" i="17"/>
  <c r="F953" i="17"/>
  <c r="F548" i="17"/>
  <c r="F467" i="17"/>
  <c r="F440" i="17"/>
  <c r="F332" i="17"/>
  <c r="F899" i="17"/>
  <c r="F629" i="17"/>
  <c r="F683" i="17"/>
  <c r="F251" i="17"/>
  <c r="F197" i="17"/>
  <c r="F818" i="17"/>
  <c r="F170" i="17"/>
  <c r="F116" i="17"/>
  <c r="F852" i="17"/>
  <c r="F771" i="17"/>
  <c r="F960" i="17"/>
  <c r="F312" i="17"/>
  <c r="F798" i="17"/>
  <c r="F366" i="17"/>
  <c r="F177" i="17"/>
  <c r="F825" i="17"/>
  <c r="F501" i="17"/>
  <c r="F420" i="17"/>
  <c r="F555" i="17"/>
  <c r="F339" i="17"/>
  <c r="F474" i="17"/>
  <c r="F69" i="17"/>
  <c r="F1006" i="17"/>
  <c r="F817" i="17"/>
  <c r="F844" i="17"/>
  <c r="F358" i="17"/>
  <c r="F493" i="17"/>
  <c r="F412" i="17"/>
  <c r="F277" i="17"/>
  <c r="F169" i="17"/>
  <c r="F88" i="17"/>
  <c r="F61" i="17"/>
  <c r="F331" i="17"/>
  <c r="F736" i="17"/>
  <c r="F385" i="17"/>
  <c r="F304" i="17"/>
  <c r="F806" i="17"/>
  <c r="F590" i="17"/>
  <c r="F887" i="17"/>
  <c r="F914" i="17"/>
  <c r="F644" i="17"/>
  <c r="F536" i="17"/>
  <c r="F239" i="17"/>
  <c r="F212" i="17"/>
  <c r="F698" i="17"/>
  <c r="F374" i="17"/>
  <c r="F779" i="17"/>
  <c r="F104" i="17"/>
  <c r="F833" i="17"/>
  <c r="F428" i="17"/>
  <c r="F959" i="17"/>
  <c r="F365" i="17"/>
  <c r="F203" i="17"/>
  <c r="F284" i="17"/>
  <c r="F1005" i="17"/>
  <c r="F843" i="17"/>
  <c r="F627" i="17"/>
  <c r="F978" i="17"/>
  <c r="F762" i="17"/>
  <c r="F735" i="17"/>
  <c r="F519" i="17"/>
  <c r="F33" i="17"/>
  <c r="F816" i="17"/>
  <c r="F789" i="17"/>
  <c r="F438" i="17"/>
  <c r="F357" i="17"/>
  <c r="F897" i="17"/>
  <c r="F870" i="17"/>
  <c r="F600" i="17"/>
  <c r="F573" i="17"/>
  <c r="F492" i="17"/>
  <c r="F924" i="17"/>
  <c r="F411" i="17"/>
  <c r="F276" i="17"/>
  <c r="F249" i="17"/>
  <c r="F222" i="17"/>
  <c r="F195" i="17"/>
  <c r="F168" i="17"/>
  <c r="F141" i="17"/>
  <c r="F114" i="17"/>
  <c r="F87" i="17"/>
  <c r="F60" i="17"/>
  <c r="F951" i="17"/>
  <c r="F681" i="17"/>
  <c r="F654" i="17"/>
  <c r="F546" i="17"/>
  <c r="F330" i="17"/>
  <c r="F384" i="17"/>
  <c r="F708" i="17"/>
  <c r="F465" i="17"/>
  <c r="F303" i="17"/>
  <c r="K11" i="14"/>
  <c r="C4" i="7"/>
  <c r="C2" i="14"/>
  <c r="E7" i="9"/>
  <c r="B1" i="15"/>
  <c r="K364" i="7"/>
  <c r="E22" i="9"/>
  <c r="E27" i="9"/>
  <c r="E16" i="9"/>
  <c r="R33" i="6"/>
  <c r="K116" i="7"/>
  <c r="K159" i="7"/>
  <c r="AH6" i="6"/>
  <c r="K235" i="7"/>
  <c r="AA46" i="14"/>
  <c r="E42" i="9"/>
  <c r="E6" i="7"/>
  <c r="E39" i="9"/>
  <c r="B3" i="15"/>
  <c r="E23" i="9"/>
  <c r="E41" i="9"/>
  <c r="R34" i="6"/>
  <c r="E50" i="9"/>
  <c r="P33" i="6"/>
  <c r="AQ92" i="14"/>
  <c r="G11" i="14"/>
  <c r="BG154" i="14"/>
  <c r="E40" i="9"/>
  <c r="P31" i="6"/>
  <c r="E24" i="9"/>
  <c r="E44" i="9"/>
  <c r="S34" i="6"/>
  <c r="E51" i="9"/>
  <c r="L8" i="6"/>
  <c r="W37" i="14"/>
  <c r="K50" i="7"/>
  <c r="K317" i="7"/>
  <c r="K140" i="7"/>
  <c r="AM79" i="14"/>
  <c r="O22" i="14"/>
  <c r="E9" i="9"/>
  <c r="E25" i="9"/>
  <c r="E20" i="9"/>
  <c r="Q34" i="6"/>
  <c r="BC137" i="14"/>
  <c r="AE56" i="14"/>
  <c r="Q16" i="3"/>
  <c r="I37" i="7"/>
  <c r="J34" i="13" s="1"/>
  <c r="I39" i="7"/>
  <c r="M36" i="13" s="1"/>
  <c r="I61" i="7"/>
  <c r="I67" i="7"/>
  <c r="M64" i="13" s="1"/>
  <c r="I182" i="7"/>
  <c r="I160" i="7"/>
  <c r="J537" i="13" s="1"/>
  <c r="I265" i="7"/>
  <c r="J642" i="13" s="1"/>
  <c r="I23" i="7"/>
  <c r="I242" i="7"/>
  <c r="I292" i="7"/>
  <c r="J669" i="13" s="1"/>
  <c r="I275" i="7"/>
  <c r="I302" i="7"/>
  <c r="J679" i="13" s="1"/>
  <c r="I283" i="7"/>
  <c r="I117" i="7"/>
  <c r="M114" i="13" s="1"/>
  <c r="I237" i="7"/>
  <c r="J614" i="13" s="1"/>
  <c r="Q19" i="3"/>
  <c r="Q4" i="3"/>
  <c r="M362" i="13"/>
  <c r="M374" i="13"/>
  <c r="M319" i="13"/>
  <c r="M698" i="13"/>
  <c r="M316" i="13"/>
  <c r="M322" i="13"/>
  <c r="G6" i="14"/>
  <c r="AE51" i="14"/>
  <c r="BG149" i="14"/>
  <c r="S24" i="14"/>
  <c r="AI62" i="14"/>
  <c r="AY116" i="14"/>
  <c r="BO186" i="14"/>
  <c r="BC132" i="14"/>
  <c r="W32" i="14"/>
  <c r="T6" i="7"/>
  <c r="D8" i="6"/>
  <c r="J257" i="6"/>
  <c r="J263" i="6"/>
  <c r="J253" i="6"/>
  <c r="J377" i="6"/>
  <c r="J76" i="6"/>
  <c r="J332" i="6"/>
  <c r="J245" i="6"/>
  <c r="J198" i="6"/>
  <c r="J196" i="6"/>
  <c r="J202" i="6"/>
  <c r="J200" i="6"/>
  <c r="J307" i="6"/>
  <c r="J69" i="6"/>
  <c r="J182" i="6"/>
  <c r="J322" i="6"/>
  <c r="J270" i="6"/>
  <c r="J268" i="6"/>
  <c r="J274" i="6"/>
  <c r="J227" i="6"/>
  <c r="J55" i="6"/>
  <c r="J374" i="6"/>
  <c r="J308" i="6"/>
  <c r="J388" i="6"/>
  <c r="J281" i="6"/>
  <c r="J287" i="6"/>
  <c r="J277" i="6"/>
  <c r="J171" i="6"/>
  <c r="J47" i="6"/>
  <c r="J356" i="6"/>
  <c r="J286" i="6"/>
  <c r="J284" i="6"/>
  <c r="J290" i="6"/>
  <c r="J288" i="6"/>
  <c r="J25" i="6"/>
  <c r="W12" i="6"/>
  <c r="W14" i="6"/>
  <c r="W24" i="6"/>
  <c r="W18" i="6"/>
  <c r="J330" i="6"/>
  <c r="J315" i="6"/>
  <c r="J14" i="6"/>
  <c r="J312" i="6"/>
  <c r="J262" i="6"/>
  <c r="J260" i="6"/>
  <c r="J266" i="6"/>
  <c r="J264" i="6"/>
  <c r="J373" i="6"/>
  <c r="J203" i="6"/>
  <c r="J185" i="6"/>
  <c r="J320" i="6"/>
  <c r="J81" i="6"/>
  <c r="J87" i="6"/>
  <c r="W10" i="6"/>
  <c r="J367" i="6"/>
  <c r="J344" i="6"/>
  <c r="J70" i="6"/>
  <c r="W16" i="6"/>
  <c r="J86" i="6"/>
  <c r="J84" i="6"/>
  <c r="J90" i="6"/>
  <c r="J88" i="6"/>
  <c r="J354" i="6"/>
  <c r="J339" i="6"/>
  <c r="J39" i="6"/>
  <c r="J97" i="6"/>
  <c r="J103" i="6"/>
  <c r="J93" i="6"/>
  <c r="J319" i="6"/>
  <c r="J123" i="6"/>
  <c r="J12" i="6"/>
  <c r="J166" i="6"/>
  <c r="J164" i="6"/>
  <c r="J170" i="6"/>
  <c r="J168" i="6"/>
  <c r="J71" i="6"/>
  <c r="J36" i="6"/>
  <c r="J126" i="6"/>
  <c r="J124" i="6"/>
  <c r="J130" i="6"/>
  <c r="J128" i="6"/>
  <c r="J24" i="6"/>
  <c r="J379" i="6"/>
  <c r="J80" i="6"/>
  <c r="J357" i="6"/>
  <c r="W21" i="6"/>
  <c r="W23" i="6"/>
  <c r="W25" i="6"/>
  <c r="J163" i="6"/>
  <c r="J67" i="6"/>
  <c r="J366" i="6"/>
  <c r="J116" i="6"/>
  <c r="J371" i="6"/>
  <c r="J145" i="6"/>
  <c r="J151" i="6"/>
  <c r="J141" i="6"/>
  <c r="J57" i="6"/>
  <c r="J26" i="6"/>
  <c r="J91" i="6"/>
  <c r="J45" i="6"/>
  <c r="J150" i="6"/>
  <c r="J148" i="6"/>
  <c r="J154" i="6"/>
  <c r="J152" i="6"/>
  <c r="J211" i="6"/>
  <c r="J19" i="6"/>
  <c r="J32" i="6"/>
  <c r="J161" i="6"/>
  <c r="J167" i="6"/>
  <c r="J157" i="6"/>
  <c r="J383" i="6"/>
  <c r="J360" i="6"/>
  <c r="J275" i="6"/>
  <c r="J230" i="6"/>
  <c r="J228" i="6"/>
  <c r="J234" i="6"/>
  <c r="J232" i="6"/>
  <c r="J341" i="6"/>
  <c r="J353" i="6"/>
  <c r="J190" i="6"/>
  <c r="J188" i="6"/>
  <c r="J194" i="6"/>
  <c r="J192" i="6"/>
  <c r="J243" i="6"/>
  <c r="J61" i="6"/>
  <c r="J63" i="6"/>
  <c r="J68" i="6"/>
  <c r="J137" i="6"/>
  <c r="J143" i="6"/>
  <c r="J133" i="6"/>
  <c r="J359" i="6"/>
  <c r="J336" i="6"/>
  <c r="J62" i="6"/>
  <c r="J127" i="6"/>
  <c r="J37" i="6"/>
  <c r="J209" i="6"/>
  <c r="J215" i="6"/>
  <c r="J205" i="6"/>
  <c r="J107" i="6"/>
  <c r="J13" i="6"/>
  <c r="J348" i="6"/>
  <c r="J120" i="6"/>
  <c r="J214" i="6"/>
  <c r="J212" i="6"/>
  <c r="J218" i="6"/>
  <c r="J216" i="6"/>
  <c r="J325" i="6"/>
  <c r="J46" i="6"/>
  <c r="J246" i="6"/>
  <c r="J225" i="6"/>
  <c r="J231" i="6"/>
  <c r="J221" i="6"/>
  <c r="J73" i="6"/>
  <c r="J43" i="6"/>
  <c r="J219" i="6"/>
  <c r="J294" i="6"/>
  <c r="J292" i="6"/>
  <c r="J298" i="6"/>
  <c r="J296" i="6"/>
  <c r="J33" i="6"/>
  <c r="J334" i="6"/>
  <c r="J254" i="6"/>
  <c r="J252" i="6"/>
  <c r="J258" i="6"/>
  <c r="J256" i="6"/>
  <c r="J365" i="6"/>
  <c r="J139" i="6"/>
  <c r="J118" i="6"/>
  <c r="W27" i="6"/>
  <c r="J201" i="6"/>
  <c r="J207" i="6"/>
  <c r="J197" i="6"/>
  <c r="J49" i="6"/>
  <c r="J18" i="6"/>
  <c r="J79" i="6"/>
  <c r="J122" i="6"/>
  <c r="J72" i="6"/>
  <c r="J273" i="6"/>
  <c r="J279" i="6"/>
  <c r="J269" i="6"/>
  <c r="J346" i="6"/>
  <c r="J331" i="6"/>
  <c r="J30" i="6"/>
  <c r="J31" i="6"/>
  <c r="J278" i="6"/>
  <c r="J276" i="6"/>
  <c r="J282" i="6"/>
  <c r="J280" i="6"/>
  <c r="J17" i="6"/>
  <c r="J318" i="6"/>
  <c r="J386" i="6"/>
  <c r="J289" i="6"/>
  <c r="J295" i="6"/>
  <c r="J285" i="6"/>
  <c r="J235" i="6"/>
  <c r="W19" i="6"/>
  <c r="J364" i="6"/>
  <c r="J105" i="6"/>
  <c r="J111" i="6"/>
  <c r="J101" i="6"/>
  <c r="J327" i="6"/>
  <c r="J187" i="6"/>
  <c r="J20" i="6"/>
  <c r="J180" i="6"/>
  <c r="J53" i="6"/>
  <c r="J177" i="6"/>
  <c r="J183" i="6"/>
  <c r="J173" i="6"/>
  <c r="J23" i="6"/>
  <c r="J376" i="6"/>
  <c r="J337" i="6"/>
  <c r="W13" i="6"/>
  <c r="W15" i="6"/>
  <c r="W17" i="6"/>
  <c r="J99" i="6"/>
  <c r="J59" i="6"/>
  <c r="J358" i="6"/>
  <c r="J244" i="6"/>
  <c r="J324" i="6"/>
  <c r="J265" i="6"/>
  <c r="J271" i="6"/>
  <c r="J261" i="6"/>
  <c r="J38" i="6"/>
  <c r="J345" i="6"/>
  <c r="J340" i="6"/>
  <c r="J117" i="6"/>
  <c r="W28" i="6"/>
  <c r="J35" i="6"/>
  <c r="J82" i="6"/>
  <c r="J144" i="6"/>
  <c r="J74" i="6"/>
  <c r="J11" i="6"/>
  <c r="J16" i="6"/>
  <c r="J51" i="6"/>
  <c r="J89" i="6"/>
  <c r="J95" i="6"/>
  <c r="J85" i="6"/>
  <c r="J291" i="6"/>
  <c r="W11" i="6"/>
  <c r="J382" i="6"/>
  <c r="J94" i="6"/>
  <c r="J92" i="6"/>
  <c r="J98" i="6"/>
  <c r="J96" i="6"/>
  <c r="J362" i="6"/>
  <c r="J347" i="6"/>
  <c r="J193" i="6"/>
  <c r="J199" i="6"/>
  <c r="J189" i="6"/>
  <c r="J40" i="6"/>
  <c r="J10" i="6"/>
  <c r="J385" i="6"/>
  <c r="J250" i="6"/>
  <c r="J134" i="6"/>
  <c r="J132" i="6"/>
  <c r="J138" i="6"/>
  <c r="J136" i="6"/>
  <c r="J41" i="6"/>
  <c r="J387" i="6"/>
  <c r="J9" i="6"/>
  <c r="J248" i="6"/>
  <c r="J206" i="6"/>
  <c r="J204" i="6"/>
  <c r="J210" i="6"/>
  <c r="J272" i="6"/>
  <c r="J381" i="6"/>
  <c r="J267" i="6"/>
  <c r="J313" i="6"/>
  <c r="J350" i="6"/>
  <c r="J217" i="6"/>
  <c r="J223" i="6"/>
  <c r="J213" i="6"/>
  <c r="J65" i="6"/>
  <c r="J34" i="6"/>
  <c r="J155" i="6"/>
  <c r="J222" i="6"/>
  <c r="J220" i="6"/>
  <c r="J226" i="6"/>
  <c r="J224" i="6"/>
  <c r="J333" i="6"/>
  <c r="J78" i="6"/>
  <c r="J83" i="6"/>
  <c r="J297" i="6"/>
  <c r="J303" i="6"/>
  <c r="J293" i="6"/>
  <c r="J299" i="6"/>
  <c r="J131" i="6"/>
  <c r="J372" i="6"/>
  <c r="J181" i="6"/>
  <c r="J110" i="6"/>
  <c r="J108" i="6"/>
  <c r="J114" i="6"/>
  <c r="J112" i="6"/>
  <c r="J378" i="6"/>
  <c r="J363" i="6"/>
  <c r="J64" i="6"/>
  <c r="J125" i="6"/>
  <c r="W26" i="6"/>
  <c r="J208" i="6"/>
  <c r="J375" i="6"/>
  <c r="J27" i="6"/>
  <c r="J175" i="6"/>
  <c r="J370" i="6"/>
  <c r="J310" i="6"/>
  <c r="J361" i="6"/>
  <c r="J172" i="6"/>
  <c r="J306" i="6"/>
  <c r="J75" i="6"/>
  <c r="J44" i="6"/>
  <c r="J135" i="6"/>
  <c r="J351" i="6"/>
  <c r="J338" i="6"/>
  <c r="J317" i="6"/>
  <c r="J352" i="6"/>
  <c r="J326" i="6"/>
  <c r="J239" i="6"/>
  <c r="J368" i="6"/>
  <c r="J249" i="6"/>
  <c r="J21" i="6"/>
  <c r="J236" i="6"/>
  <c r="J109" i="6"/>
  <c r="J314" i="6"/>
  <c r="J29" i="6"/>
  <c r="J328" i="6"/>
  <c r="J323" i="6"/>
  <c r="J77" i="6"/>
  <c r="J147" i="6"/>
  <c r="J48" i="6"/>
  <c r="J106" i="6"/>
  <c r="J52" i="6"/>
  <c r="J191" i="6"/>
  <c r="J174" i="6"/>
  <c r="J300" i="6"/>
  <c r="J237" i="6"/>
  <c r="J115" i="6"/>
  <c r="J342" i="6"/>
  <c r="J380" i="6"/>
  <c r="J100" i="6"/>
  <c r="J242" i="6"/>
  <c r="J54" i="6"/>
  <c r="J22" i="6"/>
  <c r="J121" i="6"/>
  <c r="J158" i="6"/>
  <c r="J50" i="6"/>
  <c r="J165" i="6"/>
  <c r="J355" i="6"/>
  <c r="J186" i="6"/>
  <c r="J238" i="6"/>
  <c r="J119" i="6"/>
  <c r="J301" i="6"/>
  <c r="J349" i="6"/>
  <c r="J28" i="6"/>
  <c r="J369" i="6"/>
  <c r="J255" i="6"/>
  <c r="J309" i="6"/>
  <c r="J259" i="6"/>
  <c r="J156" i="6"/>
  <c r="J102" i="6"/>
  <c r="J229" i="6"/>
  <c r="J321" i="6"/>
  <c r="J184" i="6"/>
  <c r="J302" i="6"/>
  <c r="J247" i="6"/>
  <c r="J176" i="6"/>
  <c r="J42" i="6"/>
  <c r="J316" i="6"/>
  <c r="J146" i="6"/>
  <c r="W20" i="6"/>
  <c r="J142" i="6"/>
  <c r="J153" i="6"/>
  <c r="J162" i="6"/>
  <c r="J169" i="6"/>
  <c r="J104" i="6"/>
  <c r="J283" i="6"/>
  <c r="J343" i="6"/>
  <c r="J113" i="6"/>
  <c r="J311" i="6"/>
  <c r="J240" i="6"/>
  <c r="J251" i="6"/>
  <c r="J129" i="6"/>
  <c r="W22" i="6"/>
  <c r="J140" i="6"/>
  <c r="J159" i="6"/>
  <c r="J160" i="6"/>
  <c r="J233" i="6"/>
  <c r="J15" i="6"/>
  <c r="J56" i="6"/>
  <c r="J179" i="6"/>
  <c r="J241" i="6"/>
  <c r="J178" i="6"/>
  <c r="J304" i="6"/>
  <c r="J60" i="6"/>
  <c r="J329" i="6"/>
  <c r="J149" i="6"/>
  <c r="J335" i="6"/>
  <c r="W9" i="6"/>
  <c r="J58" i="6"/>
  <c r="J66" i="6"/>
  <c r="J384" i="6"/>
  <c r="J305" i="6"/>
  <c r="J195" i="6"/>
  <c r="AU106" i="14"/>
  <c r="BK172" i="14"/>
  <c r="K16" i="14"/>
  <c r="C7" i="14"/>
  <c r="AH31" i="6"/>
  <c r="S29" i="14"/>
  <c r="BO191" i="14"/>
  <c r="AI67" i="14"/>
  <c r="AY121" i="14"/>
  <c r="E8" i="6"/>
  <c r="U6" i="7"/>
  <c r="L6" i="7"/>
  <c r="P6" i="6"/>
  <c r="B8" i="6"/>
  <c r="K373" i="7"/>
  <c r="K167" i="7"/>
  <c r="K73" i="7"/>
  <c r="K51" i="7"/>
  <c r="K287" i="7"/>
  <c r="K291" i="7"/>
  <c r="K224" i="7"/>
  <c r="K284" i="7"/>
  <c r="K25" i="7"/>
  <c r="K285" i="7"/>
  <c r="K337" i="7"/>
  <c r="K139" i="7"/>
  <c r="K141" i="7"/>
  <c r="K257" i="7"/>
  <c r="K204" i="7"/>
  <c r="K325" i="7"/>
  <c r="K58" i="7"/>
  <c r="K149" i="7"/>
  <c r="K272" i="7"/>
  <c r="K219" i="7"/>
  <c r="K118" i="7"/>
  <c r="K329" i="7"/>
  <c r="K239" i="7"/>
  <c r="K370" i="7"/>
  <c r="K231" i="7"/>
  <c r="K163" i="7"/>
  <c r="K79" i="7"/>
  <c r="K220" i="7"/>
  <c r="K280" i="7"/>
  <c r="K340" i="7"/>
  <c r="K273" i="7"/>
  <c r="K136" i="7"/>
  <c r="K77" i="7"/>
  <c r="K129" i="7"/>
  <c r="K202" i="7"/>
  <c r="K261" i="7"/>
  <c r="K313" i="7"/>
  <c r="K248" i="7"/>
  <c r="K64" i="7"/>
  <c r="K18" i="7"/>
  <c r="K348" i="7"/>
  <c r="K151" i="7"/>
  <c r="K85" i="7"/>
  <c r="K375" i="7"/>
  <c r="K305" i="7"/>
  <c r="K182" i="7"/>
  <c r="K99" i="7"/>
  <c r="K351" i="7"/>
  <c r="K283" i="7"/>
  <c r="K216" i="7"/>
  <c r="K212" i="7"/>
  <c r="K336" i="7"/>
  <c r="K63" i="7"/>
  <c r="K132" i="7"/>
  <c r="K65" i="7"/>
  <c r="K265" i="7"/>
  <c r="K316" i="7"/>
  <c r="K249" i="7"/>
  <c r="K377" i="7"/>
  <c r="K193" i="7"/>
  <c r="K147" i="7"/>
  <c r="K110" i="7"/>
  <c r="K240" i="7"/>
  <c r="K296" i="7"/>
  <c r="K70" i="7"/>
  <c r="K241" i="7"/>
  <c r="K54" i="7"/>
  <c r="K162" i="7"/>
  <c r="K295" i="7"/>
  <c r="K155" i="7"/>
  <c r="K143" i="7"/>
  <c r="K148" i="7"/>
  <c r="K208" i="7"/>
  <c r="K7" i="7"/>
  <c r="K128" i="7"/>
  <c r="K137" i="7"/>
  <c r="K188" i="7"/>
  <c r="K312" i="7"/>
  <c r="K123" i="7"/>
  <c r="K322" i="7"/>
  <c r="K276" i="7"/>
  <c r="K215" i="7"/>
  <c r="K369" i="7"/>
  <c r="K213" i="7"/>
  <c r="K253" i="7"/>
  <c r="K304" i="7"/>
  <c r="K365" i="7"/>
  <c r="K34" i="7"/>
  <c r="K174" i="7"/>
  <c r="K91" i="7"/>
  <c r="K359" i="7"/>
  <c r="K211" i="7"/>
  <c r="K144" i="7"/>
  <c r="K247" i="7"/>
  <c r="K323" i="7"/>
  <c r="K135" i="7"/>
  <c r="K95" i="7"/>
  <c r="K124" i="7"/>
  <c r="K184" i="7"/>
  <c r="K252" i="7"/>
  <c r="K68" i="7"/>
  <c r="K38" i="7"/>
  <c r="K352" i="7"/>
  <c r="K115" i="7"/>
  <c r="K108" i="7"/>
  <c r="K87" i="7"/>
  <c r="K117" i="7"/>
  <c r="K190" i="7"/>
  <c r="K380" i="7"/>
  <c r="K196" i="7"/>
  <c r="K166" i="7"/>
  <c r="K126" i="7"/>
  <c r="K268" i="7"/>
  <c r="K308" i="7"/>
  <c r="K176" i="7"/>
  <c r="K45" i="7"/>
  <c r="K353" i="7"/>
  <c r="K46" i="7"/>
  <c r="K154" i="7"/>
  <c r="K119" i="7"/>
  <c r="K83" i="7"/>
  <c r="K278" i="7"/>
  <c r="K386" i="7"/>
  <c r="K127" i="7"/>
  <c r="K175" i="7"/>
  <c r="K187" i="7"/>
  <c r="K120" i="7"/>
  <c r="K14" i="7"/>
  <c r="K205" i="7"/>
  <c r="K279" i="7"/>
  <c r="K98" i="7"/>
  <c r="K244" i="7"/>
  <c r="K42" i="7"/>
  <c r="K201" i="7"/>
  <c r="K179" i="7"/>
  <c r="K15" i="7"/>
  <c r="K228" i="7"/>
  <c r="K288" i="7"/>
  <c r="K37" i="7"/>
  <c r="K345" i="7"/>
  <c r="K349" i="7"/>
  <c r="K82" i="7"/>
  <c r="K47" i="7"/>
  <c r="K269" i="7"/>
  <c r="K194" i="7"/>
  <c r="K332" i="7"/>
  <c r="K78" i="7"/>
  <c r="K378" i="7"/>
  <c r="K10" i="7"/>
  <c r="K74" i="7"/>
  <c r="K90" i="7"/>
  <c r="K356" i="7"/>
  <c r="K103" i="7"/>
  <c r="K104" i="7"/>
  <c r="K53" i="7"/>
  <c r="K43" i="7"/>
  <c r="K309" i="7"/>
  <c r="K330" i="7"/>
  <c r="K76" i="7"/>
  <c r="K138" i="7"/>
  <c r="K19" i="7"/>
  <c r="K39" i="7"/>
  <c r="K40" i="7"/>
  <c r="K168" i="7"/>
  <c r="K181" i="7"/>
  <c r="K122" i="7"/>
  <c r="K333" i="7"/>
  <c r="K218" i="7"/>
  <c r="K109" i="7"/>
  <c r="K23" i="7"/>
  <c r="K186" i="7"/>
  <c r="K385" i="7"/>
  <c r="K339" i="7"/>
  <c r="K302" i="7"/>
  <c r="K49" i="7"/>
  <c r="K361" i="7"/>
  <c r="K270" i="7"/>
  <c r="K86" i="7"/>
  <c r="K294" i="7"/>
  <c r="K225" i="7"/>
  <c r="K371" i="7"/>
  <c r="K314" i="7"/>
  <c r="K259" i="7"/>
  <c r="K221" i="7"/>
  <c r="K160" i="7"/>
  <c r="K306" i="7"/>
  <c r="K130" i="7"/>
  <c r="K180" i="7"/>
  <c r="K207" i="7"/>
  <c r="K342" i="7"/>
  <c r="K170" i="7"/>
  <c r="K298" i="7"/>
  <c r="K169" i="7"/>
  <c r="K251" i="7"/>
  <c r="K111" i="7"/>
  <c r="K347" i="7"/>
  <c r="K246" i="7"/>
  <c r="K266" i="7"/>
  <c r="K315" i="7"/>
  <c r="K131" i="7"/>
  <c r="K93" i="7"/>
  <c r="K32" i="7"/>
  <c r="K178" i="7"/>
  <c r="K300" i="7"/>
  <c r="K264" i="7"/>
  <c r="K271" i="7"/>
  <c r="K88" i="7"/>
  <c r="K354" i="7"/>
  <c r="K125" i="7"/>
  <c r="K60" i="7"/>
  <c r="K13" i="7"/>
  <c r="K358" i="7"/>
  <c r="K289" i="7"/>
  <c r="K52" i="7"/>
  <c r="K97" i="7"/>
  <c r="K66" i="7"/>
  <c r="K350" i="7"/>
  <c r="K156" i="7"/>
  <c r="K112" i="7"/>
  <c r="K214" i="7"/>
  <c r="K344" i="7"/>
  <c r="K254" i="7"/>
  <c r="K382" i="7"/>
  <c r="K299" i="7"/>
  <c r="K142" i="7"/>
  <c r="K17" i="7"/>
  <c r="K101" i="7"/>
  <c r="K71" i="7"/>
  <c r="K30" i="7"/>
  <c r="K69" i="7"/>
  <c r="K260" i="7"/>
  <c r="K230" i="7"/>
  <c r="K161" i="7"/>
  <c r="K307" i="7"/>
  <c r="K267" i="7"/>
  <c r="K341" i="7"/>
  <c r="K217" i="7"/>
  <c r="K100" i="7"/>
  <c r="K262" i="7"/>
  <c r="K197" i="7"/>
  <c r="K150" i="7"/>
  <c r="K152" i="7"/>
  <c r="K35" i="7"/>
  <c r="K189" i="7"/>
  <c r="K203" i="7"/>
  <c r="K80" i="7"/>
  <c r="K328" i="7"/>
  <c r="K75" i="7"/>
  <c r="K8" i="7"/>
  <c r="K229" i="7"/>
  <c r="K367" i="7"/>
  <c r="K105" i="7"/>
  <c r="K134" i="7"/>
  <c r="K165" i="7"/>
  <c r="K157" i="7"/>
  <c r="K185" i="7"/>
  <c r="K177" i="7"/>
  <c r="K292" i="7"/>
  <c r="K258" i="7"/>
  <c r="K227" i="7"/>
  <c r="K297" i="7"/>
  <c r="K44" i="7"/>
  <c r="K245" i="7"/>
  <c r="K335" i="7"/>
  <c r="K146" i="7"/>
  <c r="K238" i="7"/>
  <c r="K368" i="7"/>
  <c r="K232" i="7"/>
  <c r="K206" i="7"/>
  <c r="K22" i="7"/>
  <c r="K24" i="7"/>
  <c r="K290" i="7"/>
  <c r="K61" i="7"/>
  <c r="K199" i="7"/>
  <c r="K183" i="7"/>
  <c r="K16" i="7"/>
  <c r="K346" i="7"/>
  <c r="K237" i="7"/>
  <c r="K200" i="7"/>
  <c r="K334" i="7"/>
  <c r="K222" i="7"/>
  <c r="K281" i="7"/>
  <c r="K164" i="7"/>
  <c r="K326" i="7"/>
  <c r="K41" i="7"/>
  <c r="K72" i="7"/>
  <c r="K153" i="7"/>
  <c r="K198" i="7"/>
  <c r="K145" i="7"/>
  <c r="K374" i="7"/>
  <c r="K12" i="7"/>
  <c r="K301" i="7"/>
  <c r="K172" i="7"/>
  <c r="K29" i="7"/>
  <c r="K191" i="7"/>
  <c r="K67" i="7"/>
  <c r="K57" i="7"/>
  <c r="K255" i="7"/>
  <c r="K96" i="7"/>
  <c r="K84" i="7"/>
  <c r="K33" i="7"/>
  <c r="K277" i="7"/>
  <c r="K381" i="7"/>
  <c r="K234" i="7"/>
  <c r="K233" i="7"/>
  <c r="K94" i="7"/>
  <c r="K275" i="7"/>
  <c r="K319" i="7"/>
  <c r="K114" i="7"/>
  <c r="K171" i="7"/>
  <c r="K31" i="7"/>
  <c r="K36" i="7"/>
  <c r="K121" i="7"/>
  <c r="K320" i="7"/>
  <c r="K92" i="7"/>
  <c r="K27" i="7"/>
  <c r="K363" i="7"/>
  <c r="K21" i="7"/>
  <c r="K173" i="7"/>
  <c r="K250" i="7"/>
  <c r="K263" i="7"/>
  <c r="K209" i="7"/>
  <c r="K357" i="7"/>
  <c r="K311" i="7"/>
  <c r="K362" i="7"/>
  <c r="K192" i="7"/>
  <c r="K243" i="7"/>
  <c r="K282" i="7"/>
  <c r="K274" i="7"/>
  <c r="K343" i="7"/>
  <c r="K331" i="7"/>
  <c r="K102" i="7"/>
  <c r="K324" i="7"/>
  <c r="K26" i="7"/>
  <c r="K59" i="7"/>
  <c r="K318" i="7"/>
  <c r="K303" i="7"/>
  <c r="K223" i="7"/>
  <c r="K321" i="7"/>
  <c r="K383" i="7"/>
  <c r="K226" i="7"/>
  <c r="K372" i="7"/>
  <c r="K286" i="7"/>
  <c r="K81" i="7"/>
  <c r="K28" i="7"/>
  <c r="K310" i="7"/>
  <c r="K11" i="7"/>
  <c r="K379" i="7"/>
  <c r="K195" i="7"/>
  <c r="K20" i="7"/>
  <c r="K366" i="7"/>
  <c r="K113" i="7"/>
  <c r="K107" i="7"/>
  <c r="K56" i="7"/>
  <c r="K384" i="7"/>
  <c r="K338" i="7"/>
  <c r="K293" i="7"/>
  <c r="K48" i="7"/>
  <c r="K236" i="7"/>
  <c r="K376" i="7"/>
  <c r="K355" i="7"/>
  <c r="K210" i="7"/>
  <c r="K133" i="7"/>
  <c r="K62" i="7"/>
  <c r="K55" i="7"/>
  <c r="K106" i="7"/>
  <c r="K327" i="7"/>
  <c r="K89" i="7"/>
  <c r="K256" i="7"/>
  <c r="K158" i="7"/>
  <c r="K242" i="7"/>
  <c r="K360" i="7"/>
  <c r="C6" i="8"/>
  <c r="D6" i="7"/>
  <c r="Z34" i="6"/>
  <c r="Z8" i="6"/>
  <c r="T34" i="6"/>
  <c r="S8" i="6"/>
  <c r="P34" i="6"/>
  <c r="C8" i="6"/>
  <c r="C6" i="7"/>
  <c r="B6" i="8"/>
  <c r="T8" i="6"/>
  <c r="U34" i="6"/>
  <c r="U8" i="6"/>
  <c r="V34" i="6"/>
  <c r="X34" i="6"/>
  <c r="V8" i="6"/>
  <c r="M692" i="13"/>
  <c r="M705" i="13"/>
  <c r="M350" i="13"/>
  <c r="M357" i="13"/>
  <c r="M311" i="13"/>
  <c r="M741" i="13"/>
  <c r="M341" i="13"/>
  <c r="M337" i="13"/>
  <c r="M383" i="13"/>
  <c r="M361" i="13"/>
  <c r="M335" i="13"/>
  <c r="M702" i="13"/>
  <c r="M715" i="13"/>
  <c r="M723" i="13"/>
  <c r="M369" i="13"/>
  <c r="M351" i="13"/>
  <c r="M318" i="13"/>
  <c r="M731" i="13"/>
  <c r="M695" i="13"/>
  <c r="M690" i="13"/>
  <c r="M343" i="13"/>
  <c r="M367" i="13"/>
  <c r="M758" i="13"/>
  <c r="M691" i="13"/>
  <c r="M379" i="13"/>
  <c r="M747" i="13"/>
  <c r="M763" i="13"/>
  <c r="M735" i="13"/>
  <c r="M416" i="13"/>
  <c r="I71" i="7" l="1"/>
  <c r="M448" i="13" s="1"/>
  <c r="G160" i="13"/>
  <c r="M358" i="13"/>
  <c r="I11" i="7"/>
  <c r="I51" i="7"/>
  <c r="I49" i="7"/>
  <c r="M426" i="13" s="1"/>
  <c r="I208" i="7"/>
  <c r="I26" i="7"/>
  <c r="M403" i="13" s="1"/>
  <c r="I27" i="7"/>
  <c r="M24" i="13" s="1"/>
  <c r="I157" i="7"/>
  <c r="J534" i="13" s="1"/>
  <c r="I13" i="7"/>
  <c r="M390" i="13" s="1"/>
  <c r="I38" i="7"/>
  <c r="M415" i="13" s="1"/>
  <c r="F300" i="13"/>
  <c r="I291" i="7"/>
  <c r="I91" i="7"/>
  <c r="I299" i="7"/>
  <c r="I36" i="7"/>
  <c r="I165" i="7"/>
  <c r="J542" i="13" s="1"/>
  <c r="I134" i="7"/>
  <c r="M511" i="13" s="1"/>
  <c r="I261" i="7"/>
  <c r="J258" i="13" s="1"/>
  <c r="I108" i="7"/>
  <c r="I12" i="7"/>
  <c r="J389" i="13" s="1"/>
  <c r="I16" i="7"/>
  <c r="I20" i="7"/>
  <c r="M17" i="13" s="1"/>
  <c r="M713" i="13"/>
  <c r="I278" i="7"/>
  <c r="I197" i="7"/>
  <c r="I284" i="7"/>
  <c r="I87" i="7"/>
  <c r="M464" i="13" s="1"/>
  <c r="I280" i="7"/>
  <c r="I235" i="7"/>
  <c r="I288" i="7"/>
  <c r="J285" i="13" s="1"/>
  <c r="I45" i="7"/>
  <c r="M422" i="13" s="1"/>
  <c r="I272" i="7"/>
  <c r="I66" i="7"/>
  <c r="I224" i="7"/>
  <c r="I28" i="7"/>
  <c r="J405" i="13" s="1"/>
  <c r="I179" i="7"/>
  <c r="I193" i="7"/>
  <c r="J570" i="13" s="1"/>
  <c r="I279" i="7"/>
  <c r="J276" i="13" s="1"/>
  <c r="I150" i="7"/>
  <c r="M527" i="13" s="1"/>
  <c r="I29" i="7"/>
  <c r="I171" i="7"/>
  <c r="J168" i="13" s="1"/>
  <c r="I52" i="7"/>
  <c r="M429" i="13" s="1"/>
  <c r="I271" i="7"/>
  <c r="J648" i="13" s="1"/>
  <c r="I213" i="7"/>
  <c r="J590" i="13" s="1"/>
  <c r="I267" i="7"/>
  <c r="I309" i="7"/>
  <c r="J686" i="13" s="1"/>
  <c r="I43" i="7"/>
  <c r="I128" i="7"/>
  <c r="I178" i="7"/>
  <c r="I246" i="7"/>
  <c r="J623" i="13" s="1"/>
  <c r="I170" i="7"/>
  <c r="F332" i="13"/>
  <c r="I225" i="7"/>
  <c r="J222" i="13" s="1"/>
  <c r="I303" i="7"/>
  <c r="J680" i="13" s="1"/>
  <c r="I139" i="7"/>
  <c r="I111" i="7"/>
  <c r="I273" i="7"/>
  <c r="I82" i="7"/>
  <c r="I72" i="7"/>
  <c r="M449" i="13" s="1"/>
  <c r="I57" i="7"/>
  <c r="M54" i="13" s="1"/>
  <c r="I14" i="7"/>
  <c r="J11" i="13" s="1"/>
  <c r="I18" i="7"/>
  <c r="I22" i="7"/>
  <c r="I30" i="7"/>
  <c r="M407" i="13" s="1"/>
  <c r="I34" i="7"/>
  <c r="M31" i="13" s="1"/>
  <c r="I46" i="7"/>
  <c r="M423" i="13" s="1"/>
  <c r="I50" i="7"/>
  <c r="M47" i="13" s="1"/>
  <c r="I58" i="7"/>
  <c r="I126" i="7"/>
  <c r="M503" i="13" s="1"/>
  <c r="I142" i="7"/>
  <c r="M519" i="13" s="1"/>
  <c r="I146" i="7"/>
  <c r="M523" i="13" s="1"/>
  <c r="M762" i="13"/>
  <c r="I123" i="7"/>
  <c r="M120" i="13" s="1"/>
  <c r="I107" i="7"/>
  <c r="I223" i="7"/>
  <c r="J220" i="13" s="1"/>
  <c r="I161" i="7"/>
  <c r="I7" i="7"/>
  <c r="M4" i="13" s="1"/>
  <c r="I248" i="7"/>
  <c r="J625" i="13" s="1"/>
  <c r="I304" i="7"/>
  <c r="J301" i="13" s="1"/>
  <c r="I220" i="7"/>
  <c r="J217" i="13" s="1"/>
  <c r="I240" i="7"/>
  <c r="J237" i="13" s="1"/>
  <c r="I232" i="7"/>
  <c r="J229" i="13" s="1"/>
  <c r="I202" i="7"/>
  <c r="I194" i="7"/>
  <c r="I163" i="7"/>
  <c r="I198" i="7"/>
  <c r="I151" i="7"/>
  <c r="I41" i="7"/>
  <c r="M38" i="13" s="1"/>
  <c r="I231" i="7"/>
  <c r="J228" i="13" s="1"/>
  <c r="I215" i="7"/>
  <c r="J665" i="13"/>
  <c r="M729" i="13"/>
  <c r="M34" i="13"/>
  <c r="I243" i="7"/>
  <c r="I169" i="7"/>
  <c r="J546" i="13" s="1"/>
  <c r="I251" i="7"/>
  <c r="I174" i="7"/>
  <c r="J551" i="13" s="1"/>
  <c r="I308" i="7"/>
  <c r="I180" i="7"/>
  <c r="J557" i="13" s="1"/>
  <c r="I214" i="7"/>
  <c r="J591" i="13" s="1"/>
  <c r="I188" i="7"/>
  <c r="J185" i="13" s="1"/>
  <c r="I257" i="7"/>
  <c r="I148" i="7"/>
  <c r="I183" i="7"/>
  <c r="I253" i="7"/>
  <c r="I133" i="7"/>
  <c r="I289" i="7"/>
  <c r="J666" i="13" s="1"/>
  <c r="I184" i="7"/>
  <c r="I262" i="7"/>
  <c r="I75" i="7"/>
  <c r="I159" i="7"/>
  <c r="I222" i="7"/>
  <c r="I221" i="7"/>
  <c r="I149" i="7"/>
  <c r="I301" i="7"/>
  <c r="I143" i="7"/>
  <c r="M140" i="13" s="1"/>
  <c r="M131" i="13"/>
  <c r="I276" i="7"/>
  <c r="I186" i="7"/>
  <c r="I147" i="7"/>
  <c r="M144" i="13" s="1"/>
  <c r="I219" i="7"/>
  <c r="J216" i="13" s="1"/>
  <c r="I282" i="7"/>
  <c r="I294" i="7"/>
  <c r="I109" i="7"/>
  <c r="J106" i="13" s="1"/>
  <c r="I64" i="7"/>
  <c r="M441" i="13" s="1"/>
  <c r="I168" i="7"/>
  <c r="I83" i="7"/>
  <c r="I227" i="7"/>
  <c r="I156" i="7"/>
  <c r="I259" i="7"/>
  <c r="I200" i="7"/>
  <c r="M577" i="13" s="1"/>
  <c r="I47" i="7"/>
  <c r="J424" i="13" s="1"/>
  <c r="I290" i="7"/>
  <c r="I192" i="7"/>
  <c r="M147" i="13"/>
  <c r="I274" i="7"/>
  <c r="I125" i="7"/>
  <c r="I236" i="7"/>
  <c r="I270" i="7"/>
  <c r="J267" i="13" s="1"/>
  <c r="I124" i="7"/>
  <c r="M501" i="13" s="1"/>
  <c r="I195" i="7"/>
  <c r="I116" i="7"/>
  <c r="I131" i="7"/>
  <c r="M508" i="13" s="1"/>
  <c r="I152" i="7"/>
  <c r="I296" i="7"/>
  <c r="J673" i="13" s="1"/>
  <c r="I97" i="7"/>
  <c r="I245" i="7"/>
  <c r="I137" i="7"/>
  <c r="I99" i="7"/>
  <c r="M476" i="13" s="1"/>
  <c r="I295" i="7"/>
  <c r="J292" i="13" s="1"/>
  <c r="I141" i="7"/>
  <c r="M138" i="13" s="1"/>
  <c r="I228" i="7"/>
  <c r="I77" i="7"/>
  <c r="M454" i="13" s="1"/>
  <c r="I88" i="7"/>
  <c r="M69" i="13"/>
  <c r="I211" i="7"/>
  <c r="I207" i="7"/>
  <c r="I56" i="7"/>
  <c r="J433" i="13" s="1"/>
  <c r="I79" i="7"/>
  <c r="M76" i="13" s="1"/>
  <c r="I176" i="7"/>
  <c r="I212" i="7"/>
  <c r="M589" i="13" s="1"/>
  <c r="M342" i="13"/>
  <c r="M714" i="13"/>
  <c r="I234" i="7"/>
  <c r="I229" i="7"/>
  <c r="I217" i="7"/>
  <c r="J214" i="13" s="1"/>
  <c r="I307" i="7"/>
  <c r="I155" i="7"/>
  <c r="I166" i="7"/>
  <c r="J543" i="13" s="1"/>
  <c r="I298" i="7"/>
  <c r="I53" i="7"/>
  <c r="M50" i="13" s="1"/>
  <c r="I281" i="7"/>
  <c r="J278" i="13" s="1"/>
  <c r="I63" i="7"/>
  <c r="M60" i="13" s="1"/>
  <c r="I158" i="7"/>
  <c r="I306" i="7"/>
  <c r="I21" i="7"/>
  <c r="M398" i="13" s="1"/>
  <c r="I287" i="7"/>
  <c r="J664" i="13" s="1"/>
  <c r="I129" i="7"/>
  <c r="I311" i="7"/>
  <c r="M688" i="13" s="1"/>
  <c r="I264" i="7"/>
  <c r="I40" i="7"/>
  <c r="I189" i="7"/>
  <c r="J566" i="13" s="1"/>
  <c r="I172" i="7"/>
  <c r="I312" i="7"/>
  <c r="J689" i="13" s="1"/>
  <c r="I254" i="7"/>
  <c r="J251" i="13" s="1"/>
  <c r="F307" i="13"/>
  <c r="F341" i="13"/>
  <c r="F293" i="13"/>
  <c r="F325" i="13"/>
  <c r="F389" i="17"/>
  <c r="F335" i="17"/>
  <c r="F146" i="17"/>
  <c r="F848" i="17"/>
  <c r="F767" i="17"/>
  <c r="F73" i="17"/>
  <c r="F991" i="17"/>
  <c r="G63" i="13"/>
  <c r="G71" i="13"/>
  <c r="G79" i="13"/>
  <c r="G95" i="13"/>
  <c r="F713" i="17"/>
  <c r="F551" i="17"/>
  <c r="F173" i="17"/>
  <c r="F362" i="17"/>
  <c r="F983" i="17"/>
  <c r="F208" i="17"/>
  <c r="G135" i="13"/>
  <c r="G143" i="13"/>
  <c r="F65" i="17"/>
  <c r="F632" i="17"/>
  <c r="F200" i="17"/>
  <c r="F821" i="17"/>
  <c r="F1010" i="17"/>
  <c r="F235" i="17"/>
  <c r="G103" i="13"/>
  <c r="G111" i="13"/>
  <c r="G119" i="13"/>
  <c r="G127" i="13"/>
  <c r="Q11" i="3"/>
  <c r="F92" i="17"/>
  <c r="F929" i="17"/>
  <c r="F227" i="17"/>
  <c r="F443" i="17"/>
  <c r="F343" i="17"/>
  <c r="F748" i="17"/>
  <c r="F11" i="17"/>
  <c r="G151" i="13"/>
  <c r="G159" i="13"/>
  <c r="G167" i="13"/>
  <c r="F321" i="13"/>
  <c r="F524" i="17"/>
  <c r="F416" i="17"/>
  <c r="F254" i="17"/>
  <c r="F794" i="17"/>
  <c r="F559" i="17"/>
  <c r="F397" i="17"/>
  <c r="G175" i="13"/>
  <c r="F470" i="17"/>
  <c r="F605" i="17"/>
  <c r="F281" i="17"/>
  <c r="F740" i="17"/>
  <c r="F127" i="17"/>
  <c r="F667" i="17"/>
  <c r="G55" i="13"/>
  <c r="G183" i="13"/>
  <c r="G199" i="13"/>
  <c r="F38" i="17"/>
  <c r="F659" i="17"/>
  <c r="F875" i="17"/>
  <c r="F497" i="17"/>
  <c r="F686" i="17"/>
  <c r="F505" i="17"/>
  <c r="F340" i="13"/>
  <c r="I300" i="7"/>
  <c r="I199" i="7"/>
  <c r="J196" i="13" s="1"/>
  <c r="I31" i="7"/>
  <c r="M408" i="13" s="1"/>
  <c r="I269" i="7"/>
  <c r="I59" i="7"/>
  <c r="I105" i="7"/>
  <c r="M102" i="13" s="1"/>
  <c r="I115" i="7"/>
  <c r="I297" i="7"/>
  <c r="I286" i="7"/>
  <c r="I127" i="7"/>
  <c r="M124" i="13" s="1"/>
  <c r="I238" i="7"/>
  <c r="J235" i="13" s="1"/>
  <c r="I32" i="7"/>
  <c r="I80" i="7"/>
  <c r="M77" i="13" s="1"/>
  <c r="I218" i="7"/>
  <c r="I121" i="7"/>
  <c r="M118" i="13" s="1"/>
  <c r="F83" i="7"/>
  <c r="I244" i="7"/>
  <c r="M241" i="13" s="1"/>
  <c r="I35" i="7"/>
  <c r="I118" i="7"/>
  <c r="I70" i="7"/>
  <c r="I239" i="7"/>
  <c r="I205" i="7"/>
  <c r="I102" i="7"/>
  <c r="I167" i="7"/>
  <c r="I258" i="7"/>
  <c r="I94" i="7"/>
  <c r="I241" i="7"/>
  <c r="I268" i="7"/>
  <c r="I164" i="7"/>
  <c r="J609" i="13"/>
  <c r="I65" i="7"/>
  <c r="M62" i="13" s="1"/>
  <c r="I113" i="7"/>
  <c r="M110" i="13" s="1"/>
  <c r="I62" i="7"/>
  <c r="M439" i="13" s="1"/>
  <c r="I33" i="7"/>
  <c r="M410" i="13" s="1"/>
  <c r="I140" i="7"/>
  <c r="I135" i="7"/>
  <c r="M132" i="13" s="1"/>
  <c r="I233" i="7"/>
  <c r="J230" i="13" s="1"/>
  <c r="I263" i="7"/>
  <c r="J640" i="13" s="1"/>
  <c r="I17" i="7"/>
  <c r="I196" i="7"/>
  <c r="M193" i="13" s="1"/>
  <c r="I162" i="7"/>
  <c r="I100" i="7"/>
  <c r="I120" i="7"/>
  <c r="I69" i="7"/>
  <c r="M66" i="13" s="1"/>
  <c r="I44" i="7"/>
  <c r="I305" i="7"/>
  <c r="I310" i="7"/>
  <c r="J687" i="13" s="1"/>
  <c r="I177" i="7"/>
  <c r="I266" i="7"/>
  <c r="I181" i="7"/>
  <c r="I95" i="7"/>
  <c r="M92" i="13" s="1"/>
  <c r="I84" i="7"/>
  <c r="J81" i="13" s="1"/>
  <c r="I154" i="7"/>
  <c r="I93" i="7"/>
  <c r="M90" i="13" s="1"/>
  <c r="I106" i="7"/>
  <c r="I74" i="7"/>
  <c r="M71" i="13" s="1"/>
  <c r="I92" i="7"/>
  <c r="M469" i="13" s="1"/>
  <c r="I19" i="7"/>
  <c r="I230" i="7"/>
  <c r="I204" i="7"/>
  <c r="I112" i="7"/>
  <c r="I76" i="7"/>
  <c r="I24" i="7"/>
  <c r="I187" i="7"/>
  <c r="I256" i="7"/>
  <c r="I98" i="7"/>
  <c r="I90" i="7"/>
  <c r="M467" i="13" s="1"/>
  <c r="I73" i="7"/>
  <c r="F310" i="13"/>
  <c r="F58" i="17"/>
  <c r="F147" i="17"/>
  <c r="F965" i="17"/>
  <c r="F479" i="17"/>
  <c r="F949" i="17"/>
  <c r="F174" i="17"/>
  <c r="F128" i="17"/>
  <c r="F533" i="17"/>
  <c r="F193" i="17"/>
  <c r="F301" i="17"/>
  <c r="F930" i="17"/>
  <c r="F587" i="17"/>
  <c r="F695" i="17"/>
  <c r="G250" i="13"/>
  <c r="M630" i="13" s="1"/>
  <c r="F895" i="17"/>
  <c r="F463" i="17"/>
  <c r="F957" i="17"/>
  <c r="F803" i="17"/>
  <c r="G226" i="13"/>
  <c r="F274" i="17"/>
  <c r="F1003" i="17"/>
  <c r="F47" i="17"/>
  <c r="F317" i="17"/>
  <c r="G292" i="13"/>
  <c r="M292" i="13" s="1"/>
  <c r="F631" i="17"/>
  <c r="F31" i="17"/>
  <c r="F733" i="17"/>
  <c r="F328" i="17"/>
  <c r="F544" i="17"/>
  <c r="F201" i="17"/>
  <c r="F390" i="17"/>
  <c r="F74" i="17"/>
  <c r="F182" i="17"/>
  <c r="F155" i="17"/>
  <c r="F398" i="17"/>
  <c r="F911" i="17"/>
  <c r="Q6" i="3"/>
  <c r="G64" i="13"/>
  <c r="G104" i="13"/>
  <c r="F322" i="13"/>
  <c r="F368" i="13"/>
  <c r="F423" i="17"/>
  <c r="F4" i="17"/>
  <c r="F85" i="17"/>
  <c r="F760" i="17"/>
  <c r="F355" i="17"/>
  <c r="F571" i="17"/>
  <c r="F795" i="17"/>
  <c r="F417" i="17"/>
  <c r="F209" i="17"/>
  <c r="F236" i="17"/>
  <c r="F263" i="17"/>
  <c r="F425" i="17"/>
  <c r="F776" i="17"/>
  <c r="G38" i="13"/>
  <c r="J418" i="13" s="1"/>
  <c r="F64" i="13"/>
  <c r="G112" i="13"/>
  <c r="F184" i="13"/>
  <c r="G257" i="13"/>
  <c r="F207" i="17"/>
  <c r="F139" i="17"/>
  <c r="F112" i="17"/>
  <c r="F706" i="17"/>
  <c r="F382" i="17"/>
  <c r="F787" i="17"/>
  <c r="F120" i="17"/>
  <c r="F498" i="17"/>
  <c r="F641" i="17"/>
  <c r="F614" i="17"/>
  <c r="F722" i="17"/>
  <c r="F452" i="17"/>
  <c r="F992" i="17"/>
  <c r="G72" i="13"/>
  <c r="G120" i="13"/>
  <c r="G200" i="13"/>
  <c r="G281" i="13"/>
  <c r="M661" i="13" s="1"/>
  <c r="G80" i="13"/>
  <c r="G86" i="13"/>
  <c r="F120" i="13"/>
  <c r="G136" i="13"/>
  <c r="F693" i="17"/>
  <c r="F37" i="17"/>
  <c r="F936" i="17"/>
  <c r="F18" i="17"/>
  <c r="F247" i="17"/>
  <c r="F220" i="17"/>
  <c r="F679" i="17"/>
  <c r="F436" i="17"/>
  <c r="F652" i="17"/>
  <c r="F714" i="17"/>
  <c r="F606" i="17"/>
  <c r="F938" i="17"/>
  <c r="F857" i="17"/>
  <c r="F290" i="17"/>
  <c r="F506" i="17"/>
  <c r="F80" i="13"/>
  <c r="F64" i="17"/>
  <c r="F882" i="17"/>
  <c r="G158" i="13"/>
  <c r="J526" i="13"/>
  <c r="F280" i="17"/>
  <c r="F625" i="17"/>
  <c r="F814" i="17"/>
  <c r="F922" i="17"/>
  <c r="F490" i="17"/>
  <c r="F976" i="17"/>
  <c r="F20" i="17"/>
  <c r="F101" i="17"/>
  <c r="F830" i="17"/>
  <c r="F344" i="17"/>
  <c r="F560" i="17"/>
  <c r="Q20" i="3"/>
  <c r="G234" i="13"/>
  <c r="G255" i="13"/>
  <c r="G223" i="13"/>
  <c r="G231" i="13"/>
  <c r="G331" i="13"/>
  <c r="F163" i="7"/>
  <c r="G191" i="13"/>
  <c r="G207" i="13"/>
  <c r="J36" i="13"/>
  <c r="J505" i="13"/>
  <c r="M169" i="13"/>
  <c r="J493" i="13"/>
  <c r="F363" i="13"/>
  <c r="Q9" i="3"/>
  <c r="F90" i="17"/>
  <c r="F495" i="17"/>
  <c r="F549" i="17"/>
  <c r="F765" i="17"/>
  <c r="F981" i="17"/>
  <c r="F206" i="17"/>
  <c r="F395" i="17"/>
  <c r="F638" i="17"/>
  <c r="F854" i="17"/>
  <c r="F17" i="17"/>
  <c r="G29" i="13"/>
  <c r="G77" i="13"/>
  <c r="J457" i="13" s="1"/>
  <c r="G101" i="13"/>
  <c r="G149" i="13"/>
  <c r="J149" i="13" s="1"/>
  <c r="G173" i="13"/>
  <c r="F191" i="13"/>
  <c r="G205" i="13"/>
  <c r="F295" i="13"/>
  <c r="J295" i="13" s="1"/>
  <c r="J113" i="13"/>
  <c r="F144" i="17"/>
  <c r="F441" i="17"/>
  <c r="F603" i="17"/>
  <c r="F819" i="17"/>
  <c r="F44" i="17"/>
  <c r="F260" i="17"/>
  <c r="F341" i="17"/>
  <c r="F692" i="17"/>
  <c r="F908" i="17"/>
  <c r="F119" i="13"/>
  <c r="G133" i="13"/>
  <c r="G157" i="13"/>
  <c r="M537" i="13" s="1"/>
  <c r="F175" i="13"/>
  <c r="G213" i="13"/>
  <c r="G239" i="13"/>
  <c r="G253" i="13"/>
  <c r="G261" i="13"/>
  <c r="G317" i="13"/>
  <c r="F171" i="17"/>
  <c r="F306" i="17"/>
  <c r="F630" i="17"/>
  <c r="F846" i="17"/>
  <c r="F71" i="17"/>
  <c r="F449" i="17"/>
  <c r="F557" i="17"/>
  <c r="F719" i="17"/>
  <c r="F935" i="17"/>
  <c r="F31" i="13"/>
  <c r="G37" i="13"/>
  <c r="G85" i="13"/>
  <c r="G109" i="13"/>
  <c r="F199" i="13"/>
  <c r="G221" i="13"/>
  <c r="G240" i="13"/>
  <c r="F247" i="13"/>
  <c r="F271" i="13"/>
  <c r="J651" i="13" s="1"/>
  <c r="G301" i="13"/>
  <c r="M301" i="13" s="1"/>
  <c r="F335" i="13"/>
  <c r="J416" i="13"/>
  <c r="J125" i="13"/>
  <c r="J143" i="13"/>
  <c r="F198" i="17"/>
  <c r="F522" i="17"/>
  <c r="F657" i="17"/>
  <c r="F873" i="17"/>
  <c r="F98" i="17"/>
  <c r="F287" i="17"/>
  <c r="F422" i="17"/>
  <c r="F746" i="17"/>
  <c r="F962" i="17"/>
  <c r="F9" i="17"/>
  <c r="F7" i="13"/>
  <c r="F103" i="13"/>
  <c r="F183" i="13"/>
  <c r="G189" i="13"/>
  <c r="F207" i="13"/>
  <c r="F255" i="13"/>
  <c r="F263" i="13"/>
  <c r="F319" i="13"/>
  <c r="Q17" i="3"/>
  <c r="F414" i="17"/>
  <c r="F225" i="17"/>
  <c r="F387" i="17"/>
  <c r="F684" i="17"/>
  <c r="F900" i="17"/>
  <c r="F125" i="17"/>
  <c r="F368" i="17"/>
  <c r="F503" i="17"/>
  <c r="F773" i="17"/>
  <c r="F989" i="17"/>
  <c r="G13" i="13"/>
  <c r="F127" i="13"/>
  <c r="G141" i="13"/>
  <c r="G165" i="13"/>
  <c r="G184" i="13"/>
  <c r="G215" i="13"/>
  <c r="G229" i="13"/>
  <c r="F303" i="13"/>
  <c r="J683" i="13" s="1"/>
  <c r="F36" i="17"/>
  <c r="F252" i="17"/>
  <c r="F468" i="17"/>
  <c r="F711" i="17"/>
  <c r="F927" i="17"/>
  <c r="F152" i="17"/>
  <c r="F314" i="17"/>
  <c r="F584" i="17"/>
  <c r="F800" i="17"/>
  <c r="G21" i="13"/>
  <c r="G45" i="13"/>
  <c r="G69" i="13"/>
  <c r="J69" i="13" s="1"/>
  <c r="F87" i="13"/>
  <c r="G93" i="13"/>
  <c r="G117" i="13"/>
  <c r="J117" i="13" s="1"/>
  <c r="F135" i="13"/>
  <c r="F215" i="13"/>
  <c r="F1016" i="17"/>
  <c r="F63" i="17"/>
  <c r="F279" i="17"/>
  <c r="F333" i="17"/>
  <c r="F738" i="17"/>
  <c r="F954" i="17"/>
  <c r="F179" i="17"/>
  <c r="F530" i="17"/>
  <c r="F611" i="17"/>
  <c r="F827" i="17"/>
  <c r="F15" i="13"/>
  <c r="F39" i="13"/>
  <c r="F111" i="13"/>
  <c r="F167" i="13"/>
  <c r="J547" i="13" s="1"/>
  <c r="G197" i="13"/>
  <c r="F223" i="13"/>
  <c r="G237" i="13"/>
  <c r="M237" i="13" s="1"/>
  <c r="G277" i="13"/>
  <c r="G285" i="13"/>
  <c r="M665" i="13" s="1"/>
  <c r="G174" i="13"/>
  <c r="G202" i="13"/>
  <c r="G222" i="13"/>
  <c r="G218" i="13"/>
  <c r="G242" i="13"/>
  <c r="G274" i="13"/>
  <c r="G190" i="13"/>
  <c r="G326" i="13"/>
  <c r="I42" i="7"/>
  <c r="M39" i="13" s="1"/>
  <c r="I136" i="7"/>
  <c r="I103" i="7"/>
  <c r="I201" i="7"/>
  <c r="J198" i="13" s="1"/>
  <c r="I68" i="7"/>
  <c r="J65" i="13" s="1"/>
  <c r="I190" i="7"/>
  <c r="I153" i="7"/>
  <c r="I138" i="7"/>
  <c r="I293" i="7"/>
  <c r="J290" i="13" s="1"/>
  <c r="I60" i="7"/>
  <c r="M437" i="13" s="1"/>
  <c r="I89" i="7"/>
  <c r="I144" i="7"/>
  <c r="I175" i="7"/>
  <c r="I250" i="7"/>
  <c r="J247" i="13" s="1"/>
  <c r="I277" i="7"/>
  <c r="I185" i="7"/>
  <c r="J182" i="13" s="1"/>
  <c r="F369" i="13"/>
  <c r="I209" i="7"/>
  <c r="J206" i="13" s="1"/>
  <c r="I255" i="7"/>
  <c r="I145" i="7"/>
  <c r="I96" i="7"/>
  <c r="I55" i="7"/>
  <c r="I260" i="7"/>
  <c r="J257" i="13" s="1"/>
  <c r="I78" i="7"/>
  <c r="I81" i="7"/>
  <c r="I119" i="7"/>
  <c r="I226" i="7"/>
  <c r="I130" i="7"/>
  <c r="I25" i="7"/>
  <c r="I203" i="7"/>
  <c r="I132" i="7"/>
  <c r="I216" i="7"/>
  <c r="I252" i="7"/>
  <c r="J249" i="13" s="1"/>
  <c r="I114" i="7"/>
  <c r="M491" i="13" s="1"/>
  <c r="I249" i="7"/>
  <c r="I173" i="7"/>
  <c r="M170" i="13" s="1"/>
  <c r="I285" i="7"/>
  <c r="J282" i="13" s="1"/>
  <c r="I86" i="7"/>
  <c r="M463" i="13" s="1"/>
  <c r="I48" i="7"/>
  <c r="I104" i="7"/>
  <c r="M101" i="13" s="1"/>
  <c r="I210" i="7"/>
  <c r="J207" i="13" s="1"/>
  <c r="J485" i="13"/>
  <c r="F346" i="13"/>
  <c r="I247" i="7"/>
  <c r="J244" i="13" s="1"/>
  <c r="F334" i="17"/>
  <c r="F91" i="17"/>
  <c r="F496" i="17"/>
  <c r="F523" i="17"/>
  <c r="F847" i="17"/>
  <c r="F369" i="17"/>
  <c r="F234" i="17"/>
  <c r="F720" i="17"/>
  <c r="F558" i="17"/>
  <c r="F990" i="17"/>
  <c r="F8" i="13"/>
  <c r="G70" i="13"/>
  <c r="F96" i="13"/>
  <c r="G102" i="13"/>
  <c r="J482" i="13" s="1"/>
  <c r="G206" i="13"/>
  <c r="F264" i="13"/>
  <c r="G278" i="13"/>
  <c r="F328" i="13"/>
  <c r="F550" i="17"/>
  <c r="F118" i="17"/>
  <c r="F577" i="17"/>
  <c r="F739" i="17"/>
  <c r="F712" i="17"/>
  <c r="F774" i="17"/>
  <c r="F261" i="17"/>
  <c r="F396" i="17"/>
  <c r="F828" i="17"/>
  <c r="F24" i="13"/>
  <c r="G134" i="13"/>
  <c r="F200" i="13"/>
  <c r="G246" i="13"/>
  <c r="F272" i="13"/>
  <c r="G342" i="13"/>
  <c r="F469" i="17"/>
  <c r="F145" i="17"/>
  <c r="F361" i="17"/>
  <c r="F766" i="17"/>
  <c r="F928" i="17"/>
  <c r="F72" i="17"/>
  <c r="F450" i="17"/>
  <c r="F963" i="17"/>
  <c r="F855" i="17"/>
  <c r="G14" i="13"/>
  <c r="G30" i="13"/>
  <c r="J410" i="13" s="1"/>
  <c r="F40" i="13"/>
  <c r="M40" i="13" s="1"/>
  <c r="F56" i="13"/>
  <c r="M436" i="13" s="1"/>
  <c r="F112" i="13"/>
  <c r="G118" i="13"/>
  <c r="F128" i="13"/>
  <c r="F144" i="13"/>
  <c r="F160" i="13"/>
  <c r="G166" i="13"/>
  <c r="F176" i="13"/>
  <c r="G182" i="13"/>
  <c r="G230" i="13"/>
  <c r="M610" i="13" s="1"/>
  <c r="F280" i="13"/>
  <c r="J660" i="13" s="1"/>
  <c r="G294" i="13"/>
  <c r="F304" i="13"/>
  <c r="J304" i="13" s="1"/>
  <c r="F320" i="13"/>
  <c r="F344" i="13"/>
  <c r="F415" i="17"/>
  <c r="F172" i="17"/>
  <c r="F820" i="17"/>
  <c r="F388" i="17"/>
  <c r="F1009" i="17"/>
  <c r="F99" i="17"/>
  <c r="F747" i="17"/>
  <c r="F477" i="17"/>
  <c r="F585" i="17"/>
  <c r="G46" i="13"/>
  <c r="J426" i="13" s="1"/>
  <c r="G62" i="13"/>
  <c r="F72" i="13"/>
  <c r="M452" i="13" s="1"/>
  <c r="F88" i="13"/>
  <c r="G94" i="13"/>
  <c r="J94" i="13" s="1"/>
  <c r="G150" i="13"/>
  <c r="F192" i="13"/>
  <c r="F248" i="13"/>
  <c r="G254" i="13"/>
  <c r="F288" i="13"/>
  <c r="J105" i="13"/>
  <c r="F604" i="17"/>
  <c r="F199" i="17"/>
  <c r="F442" i="17"/>
  <c r="F658" i="17"/>
  <c r="F288" i="17"/>
  <c r="F126" i="17"/>
  <c r="F45" i="17"/>
  <c r="F612" i="17"/>
  <c r="F801" i="17"/>
  <c r="F10" i="17"/>
  <c r="G78" i="13"/>
  <c r="G198" i="13"/>
  <c r="F208" i="13"/>
  <c r="G214" i="13"/>
  <c r="F296" i="13"/>
  <c r="G322" i="13"/>
  <c r="J702" i="13" s="1"/>
  <c r="F352" i="13"/>
  <c r="Q18" i="3"/>
  <c r="F874" i="17"/>
  <c r="F226" i="17"/>
  <c r="F793" i="17"/>
  <c r="F685" i="17"/>
  <c r="F504" i="17"/>
  <c r="F153" i="17"/>
  <c r="F315" i="17"/>
  <c r="F639" i="17"/>
  <c r="F1017" i="17"/>
  <c r="F16" i="13"/>
  <c r="F32" i="13"/>
  <c r="F104" i="13"/>
  <c r="G110" i="13"/>
  <c r="G238" i="13"/>
  <c r="M618" i="13" s="1"/>
  <c r="G262" i="13"/>
  <c r="M642" i="13" s="1"/>
  <c r="F336" i="13"/>
  <c r="J397" i="13"/>
  <c r="F901" i="17"/>
  <c r="F253" i="17"/>
  <c r="F982" i="17"/>
  <c r="F955" i="17"/>
  <c r="F342" i="17"/>
  <c r="F180" i="17"/>
  <c r="F531" i="17"/>
  <c r="F909" i="17"/>
  <c r="F666" i="17"/>
  <c r="Q10" i="3"/>
  <c r="G6" i="13"/>
  <c r="G22" i="13"/>
  <c r="F48" i="13"/>
  <c r="M48" i="13" s="1"/>
  <c r="G54" i="13"/>
  <c r="G126" i="13"/>
  <c r="J126" i="13" s="1"/>
  <c r="F136" i="13"/>
  <c r="M136" i="13" s="1"/>
  <c r="G142" i="13"/>
  <c r="J522" i="13" s="1"/>
  <c r="F152" i="13"/>
  <c r="M152" i="13" s="1"/>
  <c r="F168" i="13"/>
  <c r="M548" i="13" s="1"/>
  <c r="F256" i="13"/>
  <c r="J636" i="13" s="1"/>
  <c r="G270" i="13"/>
  <c r="M270" i="13" s="1"/>
  <c r="I101" i="7"/>
  <c r="J98" i="13" s="1"/>
  <c r="F195" i="7"/>
  <c r="I122" i="7"/>
  <c r="J119" i="13" s="1"/>
  <c r="F85" i="7"/>
  <c r="F213" i="7"/>
  <c r="F148" i="7"/>
  <c r="I110" i="7"/>
  <c r="F43" i="7"/>
  <c r="G296" i="13"/>
  <c r="I85" i="7"/>
  <c r="I54" i="7"/>
  <c r="F59" i="7"/>
  <c r="I191" i="7"/>
  <c r="I206" i="7"/>
  <c r="I10" i="7"/>
  <c r="I8" i="7"/>
  <c r="M385" i="13" s="1"/>
  <c r="F67" i="7"/>
  <c r="I15" i="7"/>
  <c r="G338" i="13"/>
  <c r="F370" i="13"/>
  <c r="F355" i="13"/>
  <c r="F378" i="13"/>
  <c r="F356" i="13"/>
  <c r="F99" i="7"/>
  <c r="F308" i="13"/>
  <c r="F362" i="13"/>
  <c r="M128" i="13"/>
  <c r="F131" i="7"/>
  <c r="F238" i="7"/>
  <c r="F51" i="7"/>
  <c r="F315" i="13"/>
  <c r="F324" i="13"/>
  <c r="F350" i="13"/>
  <c r="G328" i="13"/>
  <c r="J328" i="13" s="1"/>
  <c r="G312" i="13"/>
  <c r="G288" i="13"/>
  <c r="G324" i="13"/>
  <c r="G308" i="13"/>
  <c r="F276" i="7"/>
  <c r="F134" i="7"/>
  <c r="F259" i="7"/>
  <c r="M427" i="13"/>
  <c r="J597" i="13"/>
  <c r="F291" i="7"/>
  <c r="J681" i="13"/>
  <c r="F169" i="7"/>
  <c r="F212" i="7"/>
  <c r="F149" i="7"/>
  <c r="F193" i="7"/>
  <c r="F182" i="7"/>
  <c r="F318" i="13"/>
  <c r="F343" i="13"/>
  <c r="F359" i="13"/>
  <c r="F375" i="13"/>
  <c r="F179" i="7"/>
  <c r="F307" i="7"/>
  <c r="F244" i="7"/>
  <c r="F181" i="7"/>
  <c r="F103" i="7"/>
  <c r="F231" i="7"/>
  <c r="F107" i="7"/>
  <c r="F211" i="7"/>
  <c r="F52" i="7"/>
  <c r="F308" i="7"/>
  <c r="F245" i="7"/>
  <c r="F338" i="13"/>
  <c r="J35" i="13"/>
  <c r="M209" i="13"/>
  <c r="M23" i="13"/>
  <c r="J555" i="13"/>
  <c r="M549" i="13"/>
  <c r="M121" i="13"/>
  <c r="M504" i="13"/>
  <c r="F115" i="7"/>
  <c r="F227" i="7"/>
  <c r="F84" i="7"/>
  <c r="F201" i="7"/>
  <c r="F293" i="7"/>
  <c r="F306" i="13"/>
  <c r="F314" i="13"/>
  <c r="F339" i="13"/>
  <c r="F351" i="13"/>
  <c r="F123" i="7"/>
  <c r="F243" i="7"/>
  <c r="F116" i="7"/>
  <c r="F53" i="7"/>
  <c r="F225" i="7"/>
  <c r="F147" i="7"/>
  <c r="F275" i="7"/>
  <c r="F180" i="7"/>
  <c r="F117" i="7"/>
  <c r="F371" i="13"/>
  <c r="F104" i="7"/>
  <c r="M493" i="13"/>
  <c r="M389" i="13"/>
  <c r="F86" i="7"/>
  <c r="M529" i="13"/>
  <c r="J565" i="13"/>
  <c r="F10" i="7"/>
  <c r="M185" i="13"/>
  <c r="G361" i="13"/>
  <c r="G374" i="13"/>
  <c r="J523" i="13"/>
  <c r="M143" i="13"/>
  <c r="M373" i="13"/>
  <c r="M451" i="13"/>
  <c r="J618" i="13"/>
  <c r="F171" i="7"/>
  <c r="F235" i="7"/>
  <c r="F299" i="7"/>
  <c r="F60" i="7"/>
  <c r="F124" i="7"/>
  <c r="F188" i="7"/>
  <c r="F252" i="7"/>
  <c r="F73" i="7"/>
  <c r="F61" i="7"/>
  <c r="F125" i="7"/>
  <c r="F189" i="7"/>
  <c r="F253" i="7"/>
  <c r="F46" i="7"/>
  <c r="F150" i="7"/>
  <c r="F246" i="7"/>
  <c r="F143" i="7"/>
  <c r="F208" i="7"/>
  <c r="F365" i="13"/>
  <c r="J454" i="13"/>
  <c r="J446" i="13"/>
  <c r="M49" i="13"/>
  <c r="J193" i="13"/>
  <c r="M761" i="13"/>
  <c r="F68" i="7"/>
  <c r="F132" i="7"/>
  <c r="F196" i="7"/>
  <c r="F260" i="7"/>
  <c r="F97" i="7"/>
  <c r="F69" i="7"/>
  <c r="F133" i="7"/>
  <c r="F197" i="7"/>
  <c r="F269" i="7"/>
  <c r="F54" i="7"/>
  <c r="F158" i="7"/>
  <c r="F302" i="7"/>
  <c r="F175" i="7"/>
  <c r="F240" i="7"/>
  <c r="F353" i="13"/>
  <c r="J66" i="13"/>
  <c r="M485" i="13"/>
  <c r="M457" i="13"/>
  <c r="J576" i="13"/>
  <c r="M725" i="13"/>
  <c r="F187" i="7"/>
  <c r="F251" i="7"/>
  <c r="F137" i="7"/>
  <c r="F76" i="7"/>
  <c r="F140" i="7"/>
  <c r="F204" i="7"/>
  <c r="F268" i="7"/>
  <c r="F153" i="7"/>
  <c r="F77" i="7"/>
  <c r="F141" i="7"/>
  <c r="F205" i="7"/>
  <c r="F277" i="7"/>
  <c r="F70" i="7"/>
  <c r="F174" i="7"/>
  <c r="F310" i="7"/>
  <c r="F207" i="7"/>
  <c r="F178" i="7"/>
  <c r="F306" i="7"/>
  <c r="J138" i="13"/>
  <c r="J153" i="13"/>
  <c r="M500" i="13"/>
  <c r="M434" i="13"/>
  <c r="M518" i="13"/>
  <c r="J573" i="13"/>
  <c r="M74" i="13"/>
  <c r="M520" i="13"/>
  <c r="M314" i="13"/>
  <c r="F75" i="7"/>
  <c r="F139" i="7"/>
  <c r="F203" i="7"/>
  <c r="F267" i="7"/>
  <c r="F217" i="7"/>
  <c r="F92" i="7"/>
  <c r="F156" i="7"/>
  <c r="F220" i="7"/>
  <c r="F284" i="7"/>
  <c r="F257" i="7"/>
  <c r="F93" i="7"/>
  <c r="F157" i="7"/>
  <c r="F221" i="7"/>
  <c r="F301" i="7"/>
  <c r="F94" i="7"/>
  <c r="F198" i="7"/>
  <c r="F39" i="7"/>
  <c r="F239" i="7"/>
  <c r="M139" i="13"/>
  <c r="F36" i="7"/>
  <c r="F100" i="7"/>
  <c r="F164" i="7"/>
  <c r="F228" i="7"/>
  <c r="F292" i="7"/>
  <c r="F37" i="7"/>
  <c r="F101" i="7"/>
  <c r="F165" i="7"/>
  <c r="F229" i="7"/>
  <c r="F41" i="7"/>
  <c r="F110" i="7"/>
  <c r="F214" i="7"/>
  <c r="F47" i="7"/>
  <c r="F40" i="7"/>
  <c r="F329" i="13"/>
  <c r="F349" i="13"/>
  <c r="J518" i="13"/>
  <c r="J497" i="13"/>
  <c r="J486" i="13"/>
  <c r="J540" i="13"/>
  <c r="J638" i="13"/>
  <c r="M555" i="13"/>
  <c r="M207" i="13"/>
  <c r="M446" i="13"/>
  <c r="F91" i="7"/>
  <c r="F155" i="7"/>
  <c r="F219" i="7"/>
  <c r="F283" i="7"/>
  <c r="F44" i="7"/>
  <c r="F108" i="7"/>
  <c r="F172" i="7"/>
  <c r="F236" i="7"/>
  <c r="F300" i="7"/>
  <c r="F45" i="7"/>
  <c r="F109" i="7"/>
  <c r="F173" i="7"/>
  <c r="F237" i="7"/>
  <c r="F177" i="7"/>
  <c r="F118" i="7"/>
  <c r="F222" i="7"/>
  <c r="F79" i="7"/>
  <c r="F80" i="7"/>
  <c r="G247" i="13"/>
  <c r="G271" i="13"/>
  <c r="M651" i="13" s="1"/>
  <c r="G291" i="13"/>
  <c r="G299" i="13"/>
  <c r="G315" i="13"/>
  <c r="F215" i="6"/>
  <c r="G263" i="13"/>
  <c r="G303" i="13"/>
  <c r="M683" i="13" s="1"/>
  <c r="M668" i="13"/>
  <c r="M506" i="13"/>
  <c r="M428" i="13"/>
  <c r="M35" i="13"/>
  <c r="J589" i="13"/>
  <c r="M81" i="13"/>
  <c r="J303" i="13"/>
  <c r="M104" i="13"/>
  <c r="J243" i="13"/>
  <c r="M445" i="13"/>
  <c r="M42" i="13"/>
  <c r="J578" i="13"/>
  <c r="M513" i="13"/>
  <c r="J390" i="13"/>
  <c r="M384" i="13"/>
  <c r="J617" i="13"/>
  <c r="J586" i="13"/>
  <c r="M105" i="13"/>
  <c r="M65" i="13"/>
  <c r="J624" i="13"/>
  <c r="J241" i="13"/>
  <c r="F167" i="7"/>
  <c r="F145" i="7"/>
  <c r="F176" i="7"/>
  <c r="F114" i="7"/>
  <c r="H365" i="6"/>
  <c r="F15" i="7"/>
  <c r="F23" i="7"/>
  <c r="J415" i="13"/>
  <c r="J489" i="13"/>
  <c r="J440" i="13"/>
  <c r="M440" i="13"/>
  <c r="J163" i="13"/>
  <c r="M420" i="13"/>
  <c r="J209" i="13"/>
  <c r="M419" i="13"/>
  <c r="J445" i="13"/>
  <c r="M109" i="13"/>
  <c r="F48" i="7"/>
  <c r="F232" i="7"/>
  <c r="F242" i="7"/>
  <c r="M712" i="13"/>
  <c r="J506" i="13"/>
  <c r="M126" i="13"/>
  <c r="M461" i="13"/>
  <c r="M728" i="13"/>
  <c r="F272" i="7"/>
  <c r="F297" i="7"/>
  <c r="G367" i="13"/>
  <c r="H58" i="6"/>
  <c r="F271" i="7"/>
  <c r="F112" i="7"/>
  <c r="F304" i="7"/>
  <c r="F13" i="7"/>
  <c r="F9" i="7"/>
  <c r="M621" i="13"/>
  <c r="J414" i="13"/>
  <c r="M284" i="13"/>
  <c r="J284" i="13"/>
  <c r="M484" i="13"/>
  <c r="J186" i="13"/>
  <c r="M396" i="13"/>
  <c r="J656" i="13"/>
  <c r="J621" i="13"/>
  <c r="M489" i="13"/>
  <c r="M89" i="13"/>
  <c r="J627" i="13"/>
  <c r="F278" i="7"/>
  <c r="F111" i="7"/>
  <c r="F295" i="7"/>
  <c r="F144" i="7"/>
  <c r="F161" i="7"/>
  <c r="J60" i="13"/>
  <c r="M278" i="13"/>
  <c r="F303" i="7"/>
  <c r="F168" i="7"/>
  <c r="F50" i="7"/>
  <c r="M249" i="13"/>
  <c r="J494" i="13"/>
  <c r="J392" i="13"/>
  <c r="M459" i="13"/>
  <c r="J668" i="13"/>
  <c r="M28" i="13"/>
  <c r="J615" i="13"/>
  <c r="M29" i="13"/>
  <c r="M414" i="13"/>
  <c r="M442" i="13"/>
  <c r="M499" i="13"/>
  <c r="J629" i="13"/>
  <c r="J610" i="13"/>
  <c r="M701" i="13"/>
  <c r="M750" i="13"/>
  <c r="M481" i="13"/>
  <c r="F286" i="7"/>
  <c r="F249" i="7"/>
  <c r="F87" i="7"/>
  <c r="F151" i="7"/>
  <c r="F215" i="7"/>
  <c r="F279" i="7"/>
  <c r="F233" i="7"/>
  <c r="F88" i="7"/>
  <c r="F152" i="7"/>
  <c r="F216" i="7"/>
  <c r="F280" i="7"/>
  <c r="F209" i="7"/>
  <c r="F90" i="7"/>
  <c r="F154" i="7"/>
  <c r="F218" i="7"/>
  <c r="F282" i="7"/>
  <c r="F273" i="7"/>
  <c r="F381" i="13"/>
  <c r="M629" i="13"/>
  <c r="M550" i="13"/>
  <c r="J45" i="13"/>
  <c r="M84" i="13"/>
  <c r="M83" i="13"/>
  <c r="M512" i="13"/>
  <c r="J167" i="13"/>
  <c r="M59" i="13"/>
  <c r="M490" i="13"/>
  <c r="J170" i="13"/>
  <c r="J562" i="13"/>
  <c r="J550" i="13"/>
  <c r="M375" i="13"/>
  <c r="J10" i="13"/>
  <c r="M161" i="13"/>
  <c r="J12" i="13"/>
  <c r="M113" i="13"/>
  <c r="M149" i="13"/>
  <c r="M154" i="13"/>
  <c r="M409" i="13"/>
  <c r="J662" i="13"/>
  <c r="M347" i="13"/>
  <c r="M365" i="13"/>
  <c r="M746" i="13"/>
  <c r="M56" i="13"/>
  <c r="M739" i="13"/>
  <c r="M740" i="13"/>
  <c r="F285" i="7"/>
  <c r="F38" i="7"/>
  <c r="F102" i="7"/>
  <c r="F166" i="7"/>
  <c r="F230" i="7"/>
  <c r="F294" i="7"/>
  <c r="F31" i="7"/>
  <c r="F95" i="7"/>
  <c r="F159" i="7"/>
  <c r="F223" i="7"/>
  <c r="F287" i="7"/>
  <c r="F32" i="7"/>
  <c r="F96" i="7"/>
  <c r="F160" i="7"/>
  <c r="F224" i="7"/>
  <c r="F288" i="7"/>
  <c r="F34" i="7"/>
  <c r="F98" i="7"/>
  <c r="F162" i="7"/>
  <c r="F226" i="7"/>
  <c r="F290" i="7"/>
  <c r="F35" i="7"/>
  <c r="F14" i="7"/>
  <c r="F296" i="7"/>
  <c r="F42" i="7"/>
  <c r="F106" i="7"/>
  <c r="F170" i="7"/>
  <c r="F234" i="7"/>
  <c r="F298" i="7"/>
  <c r="F289" i="7"/>
  <c r="F30" i="7"/>
  <c r="F373" i="13"/>
  <c r="J154" i="13"/>
  <c r="J59" i="13"/>
  <c r="J29" i="13"/>
  <c r="J101" i="13"/>
  <c r="M404" i="13"/>
  <c r="M516" i="13"/>
  <c r="J256" i="13"/>
  <c r="M27" i="13"/>
  <c r="J672" i="13"/>
  <c r="J307" i="13"/>
  <c r="J637" i="13"/>
  <c r="J581" i="13"/>
  <c r="M111" i="13"/>
  <c r="J631" i="13"/>
  <c r="M87" i="13"/>
  <c r="M339" i="13"/>
  <c r="M708" i="13"/>
  <c r="F309" i="7"/>
  <c r="F62" i="7"/>
  <c r="F126" i="7"/>
  <c r="F190" i="7"/>
  <c r="F254" i="7"/>
  <c r="F7" i="7"/>
  <c r="F55" i="7"/>
  <c r="F119" i="7"/>
  <c r="F183" i="7"/>
  <c r="F247" i="7"/>
  <c r="F311" i="7"/>
  <c r="F56" i="7"/>
  <c r="F120" i="7"/>
  <c r="F184" i="7"/>
  <c r="F248" i="7"/>
  <c r="F312" i="7"/>
  <c r="F58" i="7"/>
  <c r="F122" i="7"/>
  <c r="F186" i="7"/>
  <c r="F250" i="7"/>
  <c r="F49" i="7"/>
  <c r="F305" i="7"/>
  <c r="F29" i="7"/>
  <c r="J296" i="13"/>
  <c r="M313" i="13"/>
  <c r="J146" i="13"/>
  <c r="J481" i="13"/>
  <c r="M590" i="13"/>
  <c r="J262" i="13"/>
  <c r="J602" i="13"/>
  <c r="M11" i="13"/>
  <c r="J260" i="13"/>
  <c r="M68" i="13"/>
  <c r="J161" i="13"/>
  <c r="J255" i="13"/>
  <c r="J635" i="13"/>
  <c r="J5" i="13"/>
  <c r="F262" i="7"/>
  <c r="F65" i="7"/>
  <c r="F63" i="7"/>
  <c r="F127" i="7"/>
  <c r="F191" i="7"/>
  <c r="F255" i="7"/>
  <c r="F81" i="7"/>
  <c r="F64" i="7"/>
  <c r="F128" i="7"/>
  <c r="F192" i="7"/>
  <c r="F256" i="7"/>
  <c r="F33" i="7"/>
  <c r="F66" i="7"/>
  <c r="F130" i="7"/>
  <c r="F194" i="7"/>
  <c r="F258" i="7"/>
  <c r="F129" i="7"/>
  <c r="F57" i="7"/>
  <c r="F21" i="7"/>
  <c r="F281" i="7"/>
  <c r="J439" i="13"/>
  <c r="M288" i="13"/>
  <c r="M262" i="13"/>
  <c r="M210" i="13"/>
  <c r="M397" i="13"/>
  <c r="M10" i="13"/>
  <c r="M706" i="13"/>
  <c r="J385" i="13"/>
  <c r="M14" i="13"/>
  <c r="M710" i="13"/>
  <c r="F261" i="7"/>
  <c r="F121" i="7"/>
  <c r="F78" i="7"/>
  <c r="F142" i="7"/>
  <c r="F206" i="7"/>
  <c r="F270" i="7"/>
  <c r="F113" i="7"/>
  <c r="F71" i="7"/>
  <c r="F135" i="7"/>
  <c r="F199" i="7"/>
  <c r="F263" i="7"/>
  <c r="F89" i="7"/>
  <c r="F72" i="7"/>
  <c r="F136" i="7"/>
  <c r="F200" i="7"/>
  <c r="F264" i="7"/>
  <c r="F105" i="7"/>
  <c r="F74" i="7"/>
  <c r="F138" i="7"/>
  <c r="F202" i="7"/>
  <c r="F266" i="7"/>
  <c r="F185" i="7"/>
  <c r="F376" i="13"/>
  <c r="F82" i="7"/>
  <c r="F146" i="7"/>
  <c r="F210" i="7"/>
  <c r="F274" i="7"/>
  <c r="F265" i="7"/>
  <c r="F19" i="7"/>
  <c r="F28" i="7"/>
  <c r="G329" i="13"/>
  <c r="G354" i="13"/>
  <c r="G363" i="13"/>
  <c r="G345" i="13"/>
  <c r="G358" i="13"/>
  <c r="B6" i="7"/>
  <c r="G258" i="13"/>
  <c r="G333" i="13"/>
  <c r="G376" i="13"/>
  <c r="G266" i="13"/>
  <c r="M266" i="13" s="1"/>
  <c r="F12" i="7"/>
  <c r="J606" i="13"/>
  <c r="G310" i="13"/>
  <c r="G349" i="13"/>
  <c r="G356" i="13"/>
  <c r="M594" i="13"/>
  <c r="M658" i="13"/>
  <c r="F26" i="7"/>
  <c r="F16" i="7"/>
  <c r="G365" i="13"/>
  <c r="G383" i="13"/>
  <c r="J293" i="13"/>
  <c r="F22" i="7"/>
  <c r="M214" i="13"/>
  <c r="M664" i="13"/>
  <c r="J647" i="13"/>
  <c r="M430" i="13"/>
  <c r="J658" i="13"/>
  <c r="J529" i="13"/>
  <c r="M18" i="13"/>
  <c r="J676" i="13"/>
  <c r="M494" i="13"/>
  <c r="J226" i="13"/>
  <c r="J17" i="13"/>
  <c r="J594" i="13"/>
  <c r="J675" i="13"/>
  <c r="M736" i="13"/>
  <c r="F241" i="7"/>
  <c r="F27" i="7"/>
  <c r="M744" i="13"/>
  <c r="F11" i="7"/>
  <c r="M234" i="13"/>
  <c r="J499" i="13"/>
  <c r="J43" i="13"/>
  <c r="J533" i="13"/>
  <c r="J423" i="13"/>
  <c r="M46" i="13"/>
  <c r="J289" i="13"/>
  <c r="M30" i="13"/>
  <c r="M354" i="13"/>
  <c r="J201" i="13"/>
  <c r="M716" i="13"/>
  <c r="M368" i="13"/>
  <c r="F17" i="7"/>
  <c r="I9" i="7"/>
  <c r="M6" i="13" s="1"/>
  <c r="J492" i="13"/>
  <c r="J697" i="13"/>
  <c r="F330" i="13"/>
  <c r="J368" i="13"/>
  <c r="J452" i="13"/>
  <c r="F251" i="6"/>
  <c r="F39" i="6"/>
  <c r="F11" i="6"/>
  <c r="J498" i="13"/>
  <c r="M391" i="13"/>
  <c r="J234" i="13"/>
  <c r="J268" i="13"/>
  <c r="M88" i="13"/>
  <c r="M72" i="13"/>
  <c r="M123" i="13"/>
  <c r="M472" i="13"/>
  <c r="M703" i="13"/>
  <c r="M743" i="13"/>
  <c r="M353" i="13"/>
  <c r="M320" i="13"/>
  <c r="F18" i="7"/>
  <c r="J52" i="13"/>
  <c r="J150" i="13"/>
  <c r="M614" i="13"/>
  <c r="M497" i="13"/>
  <c r="J238" i="13"/>
  <c r="J552" i="13"/>
  <c r="M606" i="13"/>
  <c r="M570" i="13"/>
  <c r="M190" i="13"/>
  <c r="J118" i="13"/>
  <c r="M53" i="13"/>
  <c r="M456" i="13"/>
  <c r="J306" i="13"/>
  <c r="J300" i="13"/>
  <c r="M25" i="13"/>
  <c r="M43" i="13"/>
  <c r="J558" i="13"/>
  <c r="J309" i="13"/>
  <c r="M112" i="13"/>
  <c r="M418" i="13"/>
  <c r="M61" i="13"/>
  <c r="M119" i="13"/>
  <c r="M498" i="13"/>
  <c r="M117" i="13"/>
  <c r="M752" i="13"/>
  <c r="M760" i="13"/>
  <c r="F20" i="7"/>
  <c r="J110" i="13"/>
  <c r="F357" i="13"/>
  <c r="F372" i="13"/>
  <c r="J28" i="13"/>
  <c r="J74" i="13"/>
  <c r="M524" i="13"/>
  <c r="J608" i="13"/>
  <c r="M726" i="13"/>
  <c r="F25" i="7"/>
  <c r="F8" i="7"/>
  <c r="J444" i="13"/>
  <c r="J398" i="13"/>
  <c r="J44" i="13"/>
  <c r="M196" i="13"/>
  <c r="J432" i="13"/>
  <c r="M576" i="13"/>
  <c r="G16" i="13"/>
  <c r="M16" i="13" s="1"/>
  <c r="M242" i="13"/>
  <c r="J748" i="13"/>
  <c r="F176" i="17"/>
  <c r="F797" i="17"/>
  <c r="F535" i="17"/>
  <c r="G32" i="13"/>
  <c r="G76" i="13"/>
  <c r="J76" i="13" s="1"/>
  <c r="G124" i="13"/>
  <c r="J504" i="13" s="1"/>
  <c r="G128" i="13"/>
  <c r="J508" i="13" s="1"/>
  <c r="G152" i="13"/>
  <c r="G228" i="13"/>
  <c r="M608" i="13" s="1"/>
  <c r="F232" i="13"/>
  <c r="G256" i="13"/>
  <c r="M636" i="13" s="1"/>
  <c r="G295" i="13"/>
  <c r="G344" i="13"/>
  <c r="F379" i="13"/>
  <c r="F19" i="3"/>
  <c r="F856" i="17"/>
  <c r="F532" i="17"/>
  <c r="F154" i="17"/>
  <c r="F829" i="17"/>
  <c r="F46" i="17"/>
  <c r="F19" i="17"/>
  <c r="F640" i="17"/>
  <c r="F316" i="17"/>
  <c r="F100" i="17"/>
  <c r="F424" i="17"/>
  <c r="F613" i="17"/>
  <c r="F451" i="17"/>
  <c r="F775" i="17"/>
  <c r="F883" i="17"/>
  <c r="F1018" i="17"/>
  <c r="F964" i="17"/>
  <c r="F262" i="17"/>
  <c r="F370" i="17"/>
  <c r="F586" i="17"/>
  <c r="F721" i="17"/>
  <c r="F694" i="17"/>
  <c r="F181" i="17"/>
  <c r="F289" i="17"/>
  <c r="F478" i="17"/>
  <c r="F385" i="6"/>
  <c r="F380" i="13"/>
  <c r="F365" i="6"/>
  <c r="F360" i="13"/>
  <c r="F230" i="6"/>
  <c r="F225" i="13"/>
  <c r="J225" i="13" s="1"/>
  <c r="F222" i="6"/>
  <c r="F217" i="13"/>
  <c r="F207" i="6"/>
  <c r="F202" i="13"/>
  <c r="F192" i="6"/>
  <c r="F187" i="13"/>
  <c r="F50" i="13"/>
  <c r="F55" i="6"/>
  <c r="F18" i="6"/>
  <c r="F13" i="13"/>
  <c r="J490" i="13"/>
  <c r="F508" i="17"/>
  <c r="F481" i="17"/>
  <c r="J317" i="13"/>
  <c r="G92" i="13"/>
  <c r="G220" i="13"/>
  <c r="G224" i="13"/>
  <c r="G252" i="13"/>
  <c r="H318" i="6"/>
  <c r="G313" i="13"/>
  <c r="H311" i="6"/>
  <c r="G306" i="13"/>
  <c r="M686" i="13" s="1"/>
  <c r="H303" i="6"/>
  <c r="G298" i="13"/>
  <c r="H288" i="6"/>
  <c r="G283" i="13"/>
  <c r="H272" i="6"/>
  <c r="G267" i="13"/>
  <c r="H264" i="6"/>
  <c r="G259" i="13"/>
  <c r="H256" i="6"/>
  <c r="G251" i="13"/>
  <c r="H248" i="6"/>
  <c r="G243" i="13"/>
  <c r="H240" i="6"/>
  <c r="G235" i="13"/>
  <c r="H232" i="6"/>
  <c r="G227" i="13"/>
  <c r="M227" i="13" s="1"/>
  <c r="H224" i="6"/>
  <c r="G219" i="13"/>
  <c r="M219" i="13" s="1"/>
  <c r="H216" i="6"/>
  <c r="G211" i="13"/>
  <c r="M591" i="13" s="1"/>
  <c r="H208" i="6"/>
  <c r="G203" i="13"/>
  <c r="H200" i="6"/>
  <c r="G195" i="13"/>
  <c r="H192" i="6"/>
  <c r="G187" i="13"/>
  <c r="H184" i="6"/>
  <c r="G179" i="13"/>
  <c r="M559" i="13" s="1"/>
  <c r="H176" i="6"/>
  <c r="G171" i="13"/>
  <c r="M551" i="13" s="1"/>
  <c r="H168" i="6"/>
  <c r="G163" i="13"/>
  <c r="M543" i="13" s="1"/>
  <c r="H160" i="6"/>
  <c r="G155" i="13"/>
  <c r="J535" i="13" s="1"/>
  <c r="H152" i="6"/>
  <c r="G147" i="13"/>
  <c r="H144" i="6"/>
  <c r="G139" i="13"/>
  <c r="H136" i="6"/>
  <c r="G131" i="13"/>
  <c r="H128" i="6"/>
  <c r="G123" i="13"/>
  <c r="H120" i="6"/>
  <c r="G115" i="13"/>
  <c r="H112" i="6"/>
  <c r="G107" i="13"/>
  <c r="H104" i="6"/>
  <c r="G99" i="13"/>
  <c r="H96" i="6"/>
  <c r="G91" i="13"/>
  <c r="H88" i="6"/>
  <c r="G83" i="13"/>
  <c r="H80" i="6"/>
  <c r="G75" i="13"/>
  <c r="H72" i="6"/>
  <c r="G67" i="13"/>
  <c r="H52" i="6"/>
  <c r="G47" i="13"/>
  <c r="H44" i="6"/>
  <c r="G39" i="13"/>
  <c r="H36" i="6"/>
  <c r="G31" i="13"/>
  <c r="H28" i="6"/>
  <c r="G23" i="13"/>
  <c r="H20" i="6"/>
  <c r="G15" i="13"/>
  <c r="M15" i="13" s="1"/>
  <c r="H12" i="6"/>
  <c r="G7" i="13"/>
  <c r="M387" i="13" s="1"/>
  <c r="F303" i="6"/>
  <c r="F298" i="13"/>
  <c r="J298" i="13" s="1"/>
  <c r="F274" i="6"/>
  <c r="F269" i="13"/>
  <c r="M649" i="13" s="1"/>
  <c r="F266" i="6"/>
  <c r="F261" i="13"/>
  <c r="M261" i="13" s="1"/>
  <c r="F258" i="6"/>
  <c r="F253" i="13"/>
  <c r="J633" i="13" s="1"/>
  <c r="F244" i="6"/>
  <c r="F239" i="13"/>
  <c r="M239" i="13" s="1"/>
  <c r="F236" i="6"/>
  <c r="F231" i="13"/>
  <c r="M231" i="13" s="1"/>
  <c r="H66" i="6"/>
  <c r="G61" i="13"/>
  <c r="F47" i="6"/>
  <c r="F42" i="13"/>
  <c r="J42" i="13" s="1"/>
  <c r="F32" i="6"/>
  <c r="F27" i="13"/>
  <c r="J18" i="13"/>
  <c r="J408" i="13"/>
  <c r="J478" i="13"/>
  <c r="F311" i="17"/>
  <c r="F454" i="17"/>
  <c r="F562" i="17"/>
  <c r="F22" i="17"/>
  <c r="G24" i="13"/>
  <c r="G48" i="13"/>
  <c r="J428" i="13" s="1"/>
  <c r="G68" i="13"/>
  <c r="G116" i="13"/>
  <c r="G140" i="13"/>
  <c r="G144" i="13"/>
  <c r="G188" i="13"/>
  <c r="G192" i="13"/>
  <c r="F224" i="13"/>
  <c r="J224" i="13" s="1"/>
  <c r="G248" i="13"/>
  <c r="M628" i="13" s="1"/>
  <c r="G272" i="13"/>
  <c r="F8" i="3"/>
  <c r="F8" i="17"/>
  <c r="F872" i="17"/>
  <c r="F386" i="17"/>
  <c r="F224" i="17"/>
  <c r="F62" i="17"/>
  <c r="F35" i="17"/>
  <c r="F656" i="17"/>
  <c r="F359" i="17"/>
  <c r="F710" i="17"/>
  <c r="F845" i="17"/>
  <c r="Q8" i="3"/>
  <c r="F521" i="17"/>
  <c r="F305" i="17"/>
  <c r="F764" i="17"/>
  <c r="F575" i="17"/>
  <c r="F1007" i="17"/>
  <c r="F494" i="17"/>
  <c r="F926" i="17"/>
  <c r="F791" i="17"/>
  <c r="F278" i="17"/>
  <c r="F737" i="17"/>
  <c r="F413" i="17"/>
  <c r="F602" i="17"/>
  <c r="F143" i="17"/>
  <c r="F89" i="17"/>
  <c r="H386" i="6"/>
  <c r="G381" i="13"/>
  <c r="J761" i="13" s="1"/>
  <c r="H356" i="6"/>
  <c r="G351" i="13"/>
  <c r="H340" i="6"/>
  <c r="G335" i="13"/>
  <c r="H295" i="6"/>
  <c r="G290" i="13"/>
  <c r="M670" i="13" s="1"/>
  <c r="F317" i="6"/>
  <c r="F312" i="13"/>
  <c r="F310" i="6"/>
  <c r="F305" i="13"/>
  <c r="J305" i="13" s="1"/>
  <c r="F302" i="6"/>
  <c r="F297" i="13"/>
  <c r="J677" i="13" s="1"/>
  <c r="F287" i="6"/>
  <c r="F282" i="13"/>
  <c r="F280" i="6"/>
  <c r="F275" i="13"/>
  <c r="J275" i="13" s="1"/>
  <c r="F86" i="13"/>
  <c r="F91" i="6"/>
  <c r="F84" i="6"/>
  <c r="F79" i="13"/>
  <c r="M79" i="13" s="1"/>
  <c r="F76" i="6"/>
  <c r="F71" i="13"/>
  <c r="H281" i="6"/>
  <c r="G276" i="13"/>
  <c r="F259" i="6"/>
  <c r="F254" i="13"/>
  <c r="M634" i="13" s="1"/>
  <c r="J172" i="13"/>
  <c r="F878" i="17"/>
  <c r="F697" i="17"/>
  <c r="F832" i="17"/>
  <c r="Q22" i="3"/>
  <c r="G164" i="13"/>
  <c r="G212" i="13"/>
  <c r="M592" i="13" s="1"/>
  <c r="G216" i="13"/>
  <c r="G244" i="13"/>
  <c r="M624" i="13" s="1"/>
  <c r="G268" i="13"/>
  <c r="M648" i="13" s="1"/>
  <c r="G297" i="13"/>
  <c r="G347" i="13"/>
  <c r="F354" i="13"/>
  <c r="F367" i="13"/>
  <c r="F23" i="3"/>
  <c r="F725" i="17"/>
  <c r="F968" i="17"/>
  <c r="F158" i="17"/>
  <c r="F293" i="17"/>
  <c r="F860" i="17"/>
  <c r="F671" i="17"/>
  <c r="F131" i="17"/>
  <c r="F563" i="17"/>
  <c r="F23" i="17"/>
  <c r="F1022" i="17"/>
  <c r="F617" i="17"/>
  <c r="F320" i="17"/>
  <c r="F455" i="17"/>
  <c r="F77" i="17"/>
  <c r="F995" i="17"/>
  <c r="F482" i="17"/>
  <c r="F266" i="17"/>
  <c r="F752" i="17"/>
  <c r="F50" i="17"/>
  <c r="F941" i="17"/>
  <c r="F401" i="17"/>
  <c r="F185" i="17"/>
  <c r="F509" i="17"/>
  <c r="F347" i="17"/>
  <c r="F15" i="3"/>
  <c r="F717" i="17"/>
  <c r="F231" i="17"/>
  <c r="F879" i="17"/>
  <c r="F933" i="17"/>
  <c r="F1014" i="17"/>
  <c r="F528" i="17"/>
  <c r="F204" i="17"/>
  <c r="F582" i="17"/>
  <c r="F663" i="17"/>
  <c r="F636" i="17"/>
  <c r="F744" i="17"/>
  <c r="F150" i="17"/>
  <c r="F906" i="17"/>
  <c r="F393" i="17"/>
  <c r="F987" i="17"/>
  <c r="F447" i="17"/>
  <c r="F123" i="17"/>
  <c r="F609" i="17"/>
  <c r="F96" i="17"/>
  <c r="F690" i="17"/>
  <c r="F258" i="17"/>
  <c r="F285" i="17"/>
  <c r="F42" i="17"/>
  <c r="F7" i="3"/>
  <c r="F898" i="17"/>
  <c r="F871" i="17"/>
  <c r="F223" i="17"/>
  <c r="F655" i="17"/>
  <c r="F763" i="17"/>
  <c r="F682" i="17"/>
  <c r="F574" i="17"/>
  <c r="F196" i="17"/>
  <c r="F547" i="17"/>
  <c r="F520" i="17"/>
  <c r="Q7" i="3"/>
  <c r="F601" i="17"/>
  <c r="F925" i="17"/>
  <c r="F142" i="17"/>
  <c r="F709" i="17"/>
  <c r="F790" i="17"/>
  <c r="F628" i="17"/>
  <c r="F115" i="17"/>
  <c r="F466" i="17"/>
  <c r="F7" i="17"/>
  <c r="F979" i="17"/>
  <c r="F34" i="17"/>
  <c r="F250" i="17"/>
  <c r="F952" i="17"/>
  <c r="F439" i="17"/>
  <c r="F342" i="13"/>
  <c r="F347" i="6"/>
  <c r="F332" i="6"/>
  <c r="F327" i="13"/>
  <c r="F316" i="6"/>
  <c r="F311" i="13"/>
  <c r="F98" i="6"/>
  <c r="F93" i="13"/>
  <c r="F20" i="13"/>
  <c r="M400" i="13" s="1"/>
  <c r="G84" i="13"/>
  <c r="G108" i="13"/>
  <c r="J488" i="13" s="1"/>
  <c r="G132" i="13"/>
  <c r="F216" i="13"/>
  <c r="F14" i="3"/>
  <c r="F986" i="17"/>
  <c r="F662" i="17"/>
  <c r="F743" i="17"/>
  <c r="F122" i="17"/>
  <c r="F338" i="17"/>
  <c r="Q14" i="3"/>
  <c r="F1013" i="17"/>
  <c r="F473" i="17"/>
  <c r="F446" i="17"/>
  <c r="F95" i="17"/>
  <c r="F41" i="17"/>
  <c r="F581" i="17"/>
  <c r="F689" i="17"/>
  <c r="F257" i="17"/>
  <c r="F851" i="17"/>
  <c r="F419" i="17"/>
  <c r="F14" i="17"/>
  <c r="F932" i="17"/>
  <c r="F392" i="17"/>
  <c r="F230" i="17"/>
  <c r="F824" i="17"/>
  <c r="F608" i="17"/>
  <c r="F635" i="17"/>
  <c r="F770" i="17"/>
  <c r="F149" i="17"/>
  <c r="F554" i="17"/>
  <c r="G280" i="13"/>
  <c r="H285" i="6"/>
  <c r="F353" i="6"/>
  <c r="F348" i="13"/>
  <c r="F339" i="6"/>
  <c r="F334" i="13"/>
  <c r="F331" i="6"/>
  <c r="F326" i="13"/>
  <c r="J706" i="13" s="1"/>
  <c r="F130" i="13"/>
  <c r="J130" i="13" s="1"/>
  <c r="F135" i="6"/>
  <c r="F127" i="6"/>
  <c r="F122" i="13"/>
  <c r="J122" i="13" s="1"/>
  <c r="F120" i="6"/>
  <c r="F115" i="13"/>
  <c r="J474" i="13"/>
  <c r="J114" i="13"/>
  <c r="F500" i="17"/>
  <c r="F905" i="17"/>
  <c r="F211" i="17"/>
  <c r="G40" i="13"/>
  <c r="G180" i="13"/>
  <c r="M560" i="13" s="1"/>
  <c r="G204" i="13"/>
  <c r="M204" i="13" s="1"/>
  <c r="G208" i="13"/>
  <c r="M588" i="13" s="1"/>
  <c r="G236" i="13"/>
  <c r="F240" i="13"/>
  <c r="M240" i="13" s="1"/>
  <c r="G264" i="13"/>
  <c r="H345" i="6"/>
  <c r="G340" i="13"/>
  <c r="H307" i="6"/>
  <c r="G302" i="13"/>
  <c r="H292" i="6"/>
  <c r="G287" i="13"/>
  <c r="F352" i="6"/>
  <c r="F347" i="13"/>
  <c r="F179" i="6"/>
  <c r="F174" i="13"/>
  <c r="J174" i="13" s="1"/>
  <c r="F171" i="6"/>
  <c r="F166" i="13"/>
  <c r="F164" i="6"/>
  <c r="F159" i="13"/>
  <c r="J539" i="13" s="1"/>
  <c r="F156" i="6"/>
  <c r="F151" i="13"/>
  <c r="M151" i="13" s="1"/>
  <c r="F150" i="6"/>
  <c r="F145" i="13"/>
  <c r="F142" i="6"/>
  <c r="F137" i="13"/>
  <c r="M137" i="13" s="1"/>
  <c r="F134" i="6"/>
  <c r="F129" i="13"/>
  <c r="J129" i="13" s="1"/>
  <c r="F126" i="6"/>
  <c r="F121" i="13"/>
  <c r="F112" i="6"/>
  <c r="F107" i="13"/>
  <c r="F104" i="6"/>
  <c r="F99" i="13"/>
  <c r="F22" i="3"/>
  <c r="F967" i="17"/>
  <c r="F859" i="17"/>
  <c r="F643" i="17"/>
  <c r="F157" i="17"/>
  <c r="F292" i="17"/>
  <c r="F751" i="17"/>
  <c r="F589" i="17"/>
  <c r="F400" i="17"/>
  <c r="F130" i="17"/>
  <c r="F373" i="17"/>
  <c r="F670" i="17"/>
  <c r="F346" i="17"/>
  <c r="F319" i="17"/>
  <c r="F76" i="17"/>
  <c r="F805" i="17"/>
  <c r="F616" i="17"/>
  <c r="F265" i="17"/>
  <c r="F724" i="17"/>
  <c r="F994" i="17"/>
  <c r="F427" i="17"/>
  <c r="F913" i="17"/>
  <c r="F184" i="17"/>
  <c r="F778" i="17"/>
  <c r="M162" i="13"/>
  <c r="F68" i="17"/>
  <c r="F716" i="17"/>
  <c r="F238" i="17"/>
  <c r="F1021" i="17"/>
  <c r="G8" i="13"/>
  <c r="M8" i="13" s="1"/>
  <c r="G100" i="13"/>
  <c r="G156" i="13"/>
  <c r="J156" i="13" s="1"/>
  <c r="G176" i="13"/>
  <c r="G232" i="13"/>
  <c r="G260" i="13"/>
  <c r="F552" i="17"/>
  <c r="F336" i="17"/>
  <c r="F633" i="17"/>
  <c r="F39" i="17"/>
  <c r="F525" i="17"/>
  <c r="F309" i="17"/>
  <c r="F660" i="17"/>
  <c r="F12" i="17"/>
  <c r="F12" i="3"/>
  <c r="F984" i="17"/>
  <c r="F471" i="17"/>
  <c r="F849" i="17"/>
  <c r="F687" i="17"/>
  <c r="F768" i="17"/>
  <c r="F822" i="17"/>
  <c r="F444" i="17"/>
  <c r="F579" i="17"/>
  <c r="F228" i="17"/>
  <c r="F255" i="17"/>
  <c r="Q12" i="3"/>
  <c r="F741" i="17"/>
  <c r="F363" i="17"/>
  <c r="F903" i="17"/>
  <c r="F93" i="17"/>
  <c r="F66" i="17"/>
  <c r="H382" i="6"/>
  <c r="G377" i="13"/>
  <c r="H375" i="6"/>
  <c r="G370" i="13"/>
  <c r="J370" i="13" s="1"/>
  <c r="F374" i="13"/>
  <c r="F379" i="6"/>
  <c r="F366" i="6"/>
  <c r="F361" i="13"/>
  <c r="F208" i="6"/>
  <c r="F203" i="13"/>
  <c r="J583" i="13" s="1"/>
  <c r="F200" i="6"/>
  <c r="F195" i="13"/>
  <c r="J575" i="13" s="1"/>
  <c r="F186" i="6"/>
  <c r="F181" i="13"/>
  <c r="M561" i="13" s="1"/>
  <c r="F178" i="6"/>
  <c r="F173" i="13"/>
  <c r="F170" i="6"/>
  <c r="F165" i="13"/>
  <c r="M545" i="13" s="1"/>
  <c r="F163" i="6"/>
  <c r="F158" i="13"/>
  <c r="J538" i="13" s="1"/>
  <c r="J322" i="13"/>
  <c r="F19" i="13"/>
  <c r="M399" i="13" s="1"/>
  <c r="F55" i="13"/>
  <c r="M435" i="13" s="1"/>
  <c r="F63" i="13"/>
  <c r="M443" i="13" s="1"/>
  <c r="F294" i="13"/>
  <c r="J674" i="13" s="1"/>
  <c r="G319" i="13"/>
  <c r="F345" i="13"/>
  <c r="F377" i="13"/>
  <c r="F383" i="13"/>
  <c r="M671" i="13"/>
  <c r="G57" i="13"/>
  <c r="J57" i="13" s="1"/>
  <c r="F331" i="13"/>
  <c r="J331" i="13" s="1"/>
  <c r="F358" i="13"/>
  <c r="M684" i="13"/>
  <c r="J120" i="13"/>
  <c r="J88" i="13"/>
  <c r="F41" i="13"/>
  <c r="M421" i="13" s="1"/>
  <c r="F49" i="13"/>
  <c r="F85" i="13"/>
  <c r="F265" i="13"/>
  <c r="J645" i="13" s="1"/>
  <c r="F273" i="13"/>
  <c r="M653" i="13" s="1"/>
  <c r="F287" i="13"/>
  <c r="J287" i="13" s="1"/>
  <c r="F316" i="13"/>
  <c r="F364" i="13"/>
  <c r="M574" i="13"/>
  <c r="F26" i="13"/>
  <c r="J406" i="13" s="1"/>
  <c r="F70" i="13"/>
  <c r="M70" i="13" s="1"/>
  <c r="F78" i="13"/>
  <c r="F279" i="13"/>
  <c r="J279" i="13" s="1"/>
  <c r="F323" i="13"/>
  <c r="M657" i="13"/>
  <c r="J58" i="13"/>
  <c r="F302" i="13"/>
  <c r="J682" i="13" s="1"/>
  <c r="G372" i="13"/>
  <c r="J560" i="13"/>
  <c r="J180" i="13"/>
  <c r="J607" i="13"/>
  <c r="J227" i="13"/>
  <c r="J554" i="13"/>
  <c r="J215" i="13"/>
  <c r="J595" i="13"/>
  <c r="M103" i="13"/>
  <c r="M483" i="13"/>
  <c r="J563" i="13"/>
  <c r="M183" i="13"/>
  <c r="J630" i="13"/>
  <c r="J250" i="13"/>
  <c r="J561" i="13"/>
  <c r="J181" i="13"/>
  <c r="M566" i="13"/>
  <c r="M186" i="13"/>
  <c r="J528" i="13"/>
  <c r="M148" i="13"/>
  <c r="M528" i="13"/>
  <c r="J148" i="13"/>
  <c r="J460" i="13"/>
  <c r="M80" i="13"/>
  <c r="M108" i="13"/>
  <c r="M488" i="13"/>
  <c r="M9" i="13"/>
  <c r="J9" i="13"/>
  <c r="J183" i="13"/>
  <c r="M460" i="13"/>
  <c r="J157" i="13"/>
  <c r="M277" i="13"/>
  <c r="J584" i="13"/>
  <c r="J286" i="13"/>
  <c r="M534" i="13"/>
  <c r="J670" i="13"/>
  <c r="M100" i="13"/>
  <c r="M480" i="13"/>
  <c r="J652" i="13"/>
  <c r="J272" i="13"/>
  <c r="M233" i="13"/>
  <c r="J613" i="13"/>
  <c r="J233" i="13"/>
  <c r="M613" i="13"/>
  <c r="M563" i="13"/>
  <c r="J204" i="13"/>
  <c r="M510" i="13"/>
  <c r="J264" i="13"/>
  <c r="J291" i="13"/>
  <c r="J671" i="13"/>
  <c r="M57" i="13"/>
  <c r="J205" i="13"/>
  <c r="J585" i="13"/>
  <c r="M585" i="13"/>
  <c r="J33" i="13"/>
  <c r="J413" i="13"/>
  <c r="M33" i="13"/>
  <c r="M413" i="13"/>
  <c r="M205" i="13"/>
  <c r="M525" i="13"/>
  <c r="M145" i="13"/>
  <c r="M565" i="13"/>
  <c r="M55" i="13"/>
  <c r="M130" i="13"/>
  <c r="J571" i="13"/>
  <c r="M571" i="13"/>
  <c r="J191" i="13"/>
  <c r="M475" i="13"/>
  <c r="M95" i="13"/>
  <c r="J475" i="13"/>
  <c r="J208" i="13"/>
  <c r="J177" i="13"/>
  <c r="M177" i="13"/>
  <c r="J476" i="13"/>
  <c r="M96" i="13"/>
  <c r="M557" i="13"/>
  <c r="J96" i="13"/>
  <c r="J211" i="13"/>
  <c r="J189" i="13"/>
  <c r="J569" i="13"/>
  <c r="J545" i="13"/>
  <c r="J601" i="13"/>
  <c r="J221" i="13"/>
  <c r="M601" i="13"/>
  <c r="M221" i="13"/>
  <c r="J277" i="13"/>
  <c r="J657" i="13"/>
  <c r="J559" i="13"/>
  <c r="J179" i="13"/>
  <c r="J164" i="13"/>
  <c r="J544" i="13"/>
  <c r="M425" i="13"/>
  <c r="M45" i="13"/>
  <c r="M75" i="13"/>
  <c r="M455" i="13"/>
  <c r="J500" i="13"/>
  <c r="M468" i="13"/>
  <c r="M317" i="13"/>
  <c r="M718" i="13"/>
  <c r="M371" i="13"/>
  <c r="F24" i="7"/>
  <c r="M757" i="13"/>
  <c r="M329" i="13"/>
  <c r="G275" i="13"/>
  <c r="G279" i="13"/>
  <c r="G307" i="13"/>
  <c r="G311" i="13"/>
  <c r="G323" i="13"/>
  <c r="G327" i="13"/>
  <c r="G339" i="13"/>
  <c r="G343" i="13"/>
  <c r="G355" i="13"/>
  <c r="G359" i="13"/>
  <c r="G371" i="13"/>
  <c r="G375" i="13"/>
  <c r="G379" i="13"/>
  <c r="H373" i="6"/>
  <c r="H309" i="6"/>
  <c r="J46" i="13"/>
  <c r="M732" i="13"/>
  <c r="M720" i="13"/>
  <c r="G300" i="13"/>
  <c r="G316" i="13"/>
  <c r="G320" i="13"/>
  <c r="G332" i="13"/>
  <c r="G336" i="13"/>
  <c r="G348" i="13"/>
  <c r="G352" i="13"/>
  <c r="J352" i="13" s="1"/>
  <c r="G364" i="13"/>
  <c r="G380" i="13"/>
  <c r="G289" i="13"/>
  <c r="G293" i="13"/>
  <c r="G305" i="13"/>
  <c r="G309" i="13"/>
  <c r="G321" i="13"/>
  <c r="G325" i="13"/>
  <c r="G337" i="13"/>
  <c r="G341" i="13"/>
  <c r="G353" i="13"/>
  <c r="G357" i="13"/>
  <c r="G369" i="13"/>
  <c r="G373" i="13"/>
  <c r="G282" i="13"/>
  <c r="G286" i="13"/>
  <c r="M666" i="13" s="1"/>
  <c r="G314" i="13"/>
  <c r="G318" i="13"/>
  <c r="G330" i="13"/>
  <c r="G334" i="13"/>
  <c r="G346" i="13"/>
  <c r="G350" i="13"/>
  <c r="G362" i="13"/>
  <c r="G366" i="13"/>
  <c r="G378" i="13"/>
  <c r="G382" i="13"/>
  <c r="J384" i="13"/>
  <c r="M299" i="13"/>
  <c r="J4" i="13"/>
  <c r="J650" i="13"/>
  <c r="J299" i="13"/>
  <c r="J72" i="13"/>
  <c r="M542" i="13"/>
  <c r="M679" i="13"/>
  <c r="J240" i="13"/>
  <c r="J162" i="13"/>
  <c r="M438" i="13"/>
  <c r="M724" i="13"/>
  <c r="J661" i="13"/>
  <c r="M433" i="13"/>
  <c r="J248" i="13"/>
  <c r="J574" i="13"/>
  <c r="M405" i="13"/>
  <c r="M707" i="13"/>
  <c r="M324" i="13"/>
  <c r="M281" i="13"/>
  <c r="J281" i="13"/>
  <c r="J628" i="13"/>
  <c r="J194" i="13"/>
  <c r="M194" i="13"/>
  <c r="J270" i="13"/>
  <c r="J53" i="13"/>
  <c r="M331" i="13"/>
  <c r="M5" i="13"/>
  <c r="M376" i="13"/>
  <c r="M625" i="13"/>
  <c r="M650" i="13"/>
  <c r="J25" i="13"/>
  <c r="J572" i="13"/>
  <c r="J166" i="13"/>
  <c r="M444" i="13"/>
  <c r="J596" i="13"/>
  <c r="J171" i="13"/>
  <c r="J684" i="13"/>
  <c r="J245" i="13"/>
  <c r="J548" i="13"/>
  <c r="J280" i="13"/>
  <c r="J271" i="13"/>
  <c r="M532" i="13"/>
  <c r="M26" i="13"/>
  <c r="M58" i="13"/>
  <c r="J438" i="13"/>
  <c r="J64" i="13"/>
  <c r="M245" i="13"/>
  <c r="M226" i="13" l="1"/>
  <c r="J288" i="13"/>
  <c r="J62" i="13"/>
  <c r="M492" i="13"/>
  <c r="M222" i="13"/>
  <c r="J417" i="13"/>
  <c r="J588" i="13"/>
  <c r="J556" i="13"/>
  <c r="J134" i="13"/>
  <c r="J192" i="13"/>
  <c r="M540" i="13"/>
  <c r="J14" i="13"/>
  <c r="J210" i="13"/>
  <c r="J54" i="13"/>
  <c r="M411" i="13"/>
  <c r="J434" i="13"/>
  <c r="J491" i="13"/>
  <c r="M197" i="13"/>
  <c r="J391" i="13"/>
  <c r="J197" i="13"/>
  <c r="J688" i="13"/>
  <c r="J190" i="13"/>
  <c r="J577" i="13"/>
  <c r="J470" i="13"/>
  <c r="J600" i="13"/>
  <c r="J308" i="13"/>
  <c r="M291" i="13"/>
  <c r="M482" i="13"/>
  <c r="J468" i="13"/>
  <c r="M602" i="13"/>
  <c r="M470" i="13"/>
  <c r="J644" i="13"/>
  <c r="M622" i="13"/>
  <c r="J95" i="13"/>
  <c r="M215" i="13"/>
  <c r="J347" i="13"/>
  <c r="M579" i="13"/>
  <c r="J409" i="13"/>
  <c r="J80" i="13"/>
  <c r="J90" i="13"/>
  <c r="J87" i="13"/>
  <c r="J461" i="13"/>
  <c r="J653" i="13"/>
  <c r="J273" i="13"/>
  <c r="M125" i="13"/>
  <c r="M505" i="13"/>
  <c r="J483" i="13"/>
  <c r="J667" i="13"/>
  <c r="M417" i="13"/>
  <c r="M37" i="13"/>
  <c r="J639" i="13"/>
  <c r="J259" i="13"/>
  <c r="M578" i="13"/>
  <c r="M134" i="13"/>
  <c r="M514" i="13"/>
  <c r="M424" i="13"/>
  <c r="M44" i="13"/>
  <c r="M106" i="13"/>
  <c r="M486" i="13"/>
  <c r="J242" i="13"/>
  <c r="J622" i="13"/>
  <c r="J199" i="13"/>
  <c r="J579" i="13"/>
  <c r="M85" i="13"/>
  <c r="M465" i="13"/>
  <c r="M94" i="13"/>
  <c r="M474" i="13"/>
  <c r="M146" i="13"/>
  <c r="M526" i="13"/>
  <c r="J592" i="13"/>
  <c r="J212" i="13"/>
  <c r="M533" i="13"/>
  <c r="M153" i="13"/>
  <c r="J598" i="13"/>
  <c r="J218" i="13"/>
  <c r="J169" i="13"/>
  <c r="J549" i="13"/>
  <c r="J111" i="13"/>
  <c r="M157" i="13"/>
  <c r="M166" i="13"/>
  <c r="J516" i="13"/>
  <c r="M202" i="13"/>
  <c r="M192" i="13"/>
  <c r="M198" i="13"/>
  <c r="M672" i="13"/>
  <c r="M271" i="13"/>
  <c r="J30" i="13"/>
  <c r="J708" i="13"/>
  <c r="J136" i="13"/>
  <c r="J743" i="13"/>
  <c r="J263" i="13"/>
  <c r="J109" i="13"/>
  <c r="M573" i="13"/>
  <c r="M586" i="13"/>
  <c r="M562" i="13"/>
  <c r="F24" i="3"/>
  <c r="M199" i="13"/>
  <c r="J530" i="13"/>
  <c r="J425" i="13"/>
  <c r="J469" i="13"/>
  <c r="J89" i="13"/>
  <c r="J582" i="13"/>
  <c r="J261" i="13"/>
  <c r="M73" i="13"/>
  <c r="J73" i="13"/>
  <c r="J453" i="13"/>
  <c r="M453" i="13"/>
  <c r="M99" i="13"/>
  <c r="M479" i="13"/>
  <c r="M41" i="13"/>
  <c r="M184" i="13"/>
  <c r="M580" i="13"/>
  <c r="M581" i="13"/>
  <c r="M201" i="13"/>
  <c r="J541" i="13"/>
  <c r="M541" i="13"/>
  <c r="J616" i="13"/>
  <c r="J236" i="13"/>
  <c r="M175" i="13"/>
  <c r="J175" i="13"/>
  <c r="M255" i="13"/>
  <c r="M637" i="13"/>
  <c r="M67" i="13"/>
  <c r="M447" i="13"/>
  <c r="J195" i="13"/>
  <c r="J178" i="13"/>
  <c r="M178" i="13"/>
  <c r="M558" i="13"/>
  <c r="M477" i="13"/>
  <c r="J97" i="13"/>
  <c r="M97" i="13"/>
  <c r="J266" i="13"/>
  <c r="J646" i="13"/>
  <c r="J704" i="13"/>
  <c r="M91" i="13"/>
  <c r="M471" i="13"/>
  <c r="J184" i="13"/>
  <c r="J564" i="13"/>
  <c r="J202" i="13"/>
  <c r="M401" i="13"/>
  <c r="M21" i="13"/>
  <c r="J477" i="13"/>
  <c r="J663" i="13"/>
  <c r="J283" i="13"/>
  <c r="M168" i="13"/>
  <c r="M250" i="13"/>
  <c r="J442" i="13"/>
  <c r="M681" i="13"/>
  <c r="M257" i="13"/>
  <c r="M308" i="13"/>
  <c r="J152" i="13"/>
  <c r="M635" i="13"/>
  <c r="M230" i="13"/>
  <c r="J37" i="13"/>
  <c r="J449" i="13"/>
  <c r="J103" i="13"/>
  <c r="M264" i="13"/>
  <c r="M564" i="13"/>
  <c r="J467" i="13"/>
  <c r="M285" i="13"/>
  <c r="M303" i="13"/>
  <c r="J112" i="13"/>
  <c r="M652" i="13"/>
  <c r="M646" i="13"/>
  <c r="M675" i="13"/>
  <c r="M595" i="13"/>
  <c r="M200" i="13"/>
  <c r="J513" i="13"/>
  <c r="M181" i="13"/>
  <c r="J77" i="13"/>
  <c r="M238" i="13"/>
  <c r="J56" i="13"/>
  <c r="J38" i="13"/>
  <c r="M182" i="13"/>
  <c r="J484" i="13"/>
  <c r="M304" i="13"/>
  <c r="J436" i="13"/>
  <c r="M191" i="13"/>
  <c r="J48" i="13"/>
  <c r="J659" i="13"/>
  <c r="M495" i="13"/>
  <c r="M115" i="13"/>
  <c r="M122" i="13"/>
  <c r="M517" i="13"/>
  <c r="J604" i="13"/>
  <c r="M502" i="13"/>
  <c r="J634" i="13"/>
  <c r="M107" i="13"/>
  <c r="J643" i="13"/>
  <c r="J612" i="13"/>
  <c r="J232" i="13"/>
  <c r="J269" i="13"/>
  <c r="J655" i="13"/>
  <c r="J685" i="13"/>
  <c r="J611" i="13"/>
  <c r="J165" i="13"/>
  <c r="J649" i="13"/>
  <c r="J159" i="13"/>
  <c r="J254" i="13"/>
  <c r="J265" i="13"/>
  <c r="J620" i="13"/>
  <c r="M406" i="13"/>
  <c r="M547" i="13"/>
  <c r="M167" i="13"/>
  <c r="M617" i="13"/>
  <c r="M609" i="13"/>
  <c r="M229" i="13"/>
  <c r="M246" i="13"/>
  <c r="J155" i="13"/>
  <c r="M189" i="13"/>
  <c r="M569" i="13"/>
  <c r="J21" i="13"/>
  <c r="J401" i="13"/>
  <c r="M676" i="13"/>
  <c r="M598" i="13"/>
  <c r="M218" i="13"/>
  <c r="J536" i="13"/>
  <c r="J102" i="13"/>
  <c r="M599" i="13"/>
  <c r="J756" i="13"/>
  <c r="M626" i="13"/>
  <c r="J587" i="13"/>
  <c r="J729" i="13"/>
  <c r="M487" i="13"/>
  <c r="M20" i="13"/>
  <c r="M19" i="13"/>
  <c r="F24" i="17"/>
  <c r="B24" i="17" s="1"/>
  <c r="M395" i="13"/>
  <c r="M393" i="13"/>
  <c r="M13" i="13"/>
  <c r="M587" i="13"/>
  <c r="J246" i="13"/>
  <c r="J363" i="13"/>
  <c r="M388" i="13"/>
  <c r="J626" i="13"/>
  <c r="M7" i="13"/>
  <c r="M394" i="13"/>
  <c r="J203" i="13"/>
  <c r="J553" i="13"/>
  <c r="M553" i="13"/>
  <c r="M173" i="13"/>
  <c r="J294" i="13"/>
  <c r="M603" i="13"/>
  <c r="M223" i="13"/>
  <c r="J223" i="13"/>
  <c r="J603" i="13"/>
  <c r="M450" i="13"/>
  <c r="M93" i="13"/>
  <c r="M473" i="13"/>
  <c r="M63" i="13"/>
  <c r="M141" i="13"/>
  <c r="M521" i="13"/>
  <c r="J521" i="13"/>
  <c r="J141" i="13"/>
  <c r="M546" i="13"/>
  <c r="J641" i="13"/>
  <c r="J402" i="13"/>
  <c r="M116" i="13"/>
  <c r="M496" i="13"/>
  <c r="J678" i="13"/>
  <c r="M522" i="13"/>
  <c r="M142" i="13"/>
  <c r="M86" i="13"/>
  <c r="M466" i="13"/>
  <c r="J158" i="13"/>
  <c r="J239" i="13"/>
  <c r="J231" i="13"/>
  <c r="J605" i="13"/>
  <c r="J160" i="13"/>
  <c r="J632" i="13"/>
  <c r="J252" i="13"/>
  <c r="J213" i="13"/>
  <c r="J593" i="13"/>
  <c r="M593" i="13"/>
  <c r="M213" i="13"/>
  <c r="M133" i="13"/>
  <c r="J133" i="13"/>
  <c r="J302" i="13"/>
  <c r="M531" i="13"/>
  <c r="M509" i="13"/>
  <c r="M129" i="13"/>
  <c r="M78" i="13"/>
  <c r="M458" i="13"/>
  <c r="J253" i="13"/>
  <c r="J718" i="13"/>
  <c r="M32" i="13"/>
  <c r="M412" i="13"/>
  <c r="J200" i="13"/>
  <c r="J580" i="13"/>
  <c r="M654" i="13"/>
  <c r="J274" i="13"/>
  <c r="J654" i="13"/>
  <c r="M274" i="13"/>
  <c r="M135" i="13"/>
  <c r="M515" i="13"/>
  <c r="J515" i="13"/>
  <c r="J135" i="13"/>
  <c r="M22" i="13"/>
  <c r="M402" i="13"/>
  <c r="M530" i="13"/>
  <c r="M150" i="13"/>
  <c r="J176" i="13"/>
  <c r="M127" i="13"/>
  <c r="M507" i="13"/>
  <c r="J127" i="13"/>
  <c r="J507" i="13"/>
  <c r="J297" i="13"/>
  <c r="M52" i="13"/>
  <c r="M432" i="13"/>
  <c r="M552" i="13"/>
  <c r="M172" i="13"/>
  <c r="J567" i="13"/>
  <c r="J187" i="13"/>
  <c r="J619" i="13"/>
  <c r="J104" i="13"/>
  <c r="J142" i="13"/>
  <c r="J514" i="13"/>
  <c r="J394" i="13"/>
  <c r="J338" i="13"/>
  <c r="M160" i="13"/>
  <c r="M296" i="13"/>
  <c r="J324" i="13"/>
  <c r="M206" i="13"/>
  <c r="J22" i="13"/>
  <c r="J188" i="13"/>
  <c r="J568" i="13"/>
  <c r="M392" i="13"/>
  <c r="M12" i="13"/>
  <c r="M51" i="13"/>
  <c r="J431" i="13"/>
  <c r="M431" i="13"/>
  <c r="J51" i="13"/>
  <c r="M462" i="13"/>
  <c r="J82" i="13"/>
  <c r="J462" i="13"/>
  <c r="M82" i="13"/>
  <c r="M98" i="13"/>
  <c r="M478" i="13"/>
  <c r="M275" i="13"/>
  <c r="J376" i="13"/>
  <c r="M171" i="13"/>
  <c r="J437" i="13"/>
  <c r="J757" i="13"/>
  <c r="J26" i="13"/>
  <c r="M582" i="13"/>
  <c r="M619" i="13"/>
  <c r="M655" i="13"/>
  <c r="M677" i="13"/>
  <c r="M287" i="13"/>
  <c r="J456" i="13"/>
  <c r="J349" i="13"/>
  <c r="M180" i="13"/>
  <c r="J358" i="13"/>
  <c r="M216" i="13"/>
  <c r="M386" i="13"/>
  <c r="M244" i="13"/>
  <c r="M298" i="13"/>
  <c r="M248" i="13"/>
  <c r="J326" i="13"/>
  <c r="M641" i="13"/>
  <c r="J509" i="13"/>
  <c r="M263" i="13"/>
  <c r="M643" i="13"/>
  <c r="J695" i="13"/>
  <c r="J315" i="13"/>
  <c r="M627" i="13"/>
  <c r="M247" i="13"/>
  <c r="M179" i="13"/>
  <c r="M211" i="13"/>
  <c r="J108" i="13"/>
  <c r="J115" i="13"/>
  <c r="J532" i="13"/>
  <c r="M208" i="13"/>
  <c r="J386" i="13"/>
  <c r="M685" i="13"/>
  <c r="M254" i="13"/>
  <c r="J6" i="13"/>
  <c r="M620" i="13"/>
  <c r="J510" i="13"/>
  <c r="J333" i="13"/>
  <c r="J713" i="13"/>
  <c r="M258" i="13"/>
  <c r="M638" i="13"/>
  <c r="J377" i="13"/>
  <c r="M195" i="13"/>
  <c r="J329" i="13"/>
  <c r="J709" i="13"/>
  <c r="M572" i="13"/>
  <c r="M302" i="13"/>
  <c r="M584" i="13"/>
  <c r="M306" i="13"/>
  <c r="J124" i="13"/>
  <c r="F6" i="7"/>
  <c r="M607" i="13"/>
  <c r="M644" i="13"/>
  <c r="M163" i="13"/>
  <c r="M272" i="13"/>
  <c r="M575" i="13"/>
  <c r="J736" i="13"/>
  <c r="J356" i="13"/>
  <c r="J99" i="13"/>
  <c r="M256" i="13"/>
  <c r="M203" i="13"/>
  <c r="J750" i="13"/>
  <c r="J107" i="13"/>
  <c r="M268" i="13"/>
  <c r="M224" i="13"/>
  <c r="J310" i="13"/>
  <c r="J690" i="13"/>
  <c r="J365" i="13"/>
  <c r="J745" i="13"/>
  <c r="M611" i="13"/>
  <c r="M567" i="13"/>
  <c r="J502" i="13"/>
  <c r="M273" i="13"/>
  <c r="M583" i="13"/>
  <c r="M269" i="13"/>
  <c r="M612" i="13"/>
  <c r="M165" i="13"/>
  <c r="J465" i="13"/>
  <c r="J85" i="13"/>
  <c r="J319" i="13"/>
  <c r="J699" i="13"/>
  <c r="J512" i="13"/>
  <c r="J132" i="13"/>
  <c r="J354" i="13"/>
  <c r="J734" i="13"/>
  <c r="M656" i="13"/>
  <c r="M276" i="13"/>
  <c r="J692" i="13"/>
  <c r="J312" i="13"/>
  <c r="M188" i="13"/>
  <c r="M568" i="13"/>
  <c r="J23" i="13"/>
  <c r="J403" i="13"/>
  <c r="J447" i="13"/>
  <c r="J67" i="13"/>
  <c r="J479" i="13"/>
  <c r="J131" i="13"/>
  <c r="J511" i="13"/>
  <c r="M639" i="13"/>
  <c r="M259" i="13"/>
  <c r="M187" i="13"/>
  <c r="J360" i="13"/>
  <c r="J740" i="13"/>
  <c r="J16" i="13"/>
  <c r="J396" i="13"/>
  <c r="J422" i="13"/>
  <c r="J49" i="13"/>
  <c r="J429" i="13"/>
  <c r="M294" i="13"/>
  <c r="M674" i="13"/>
  <c r="J374" i="13"/>
  <c r="J754" i="13"/>
  <c r="M176" i="13"/>
  <c r="M556" i="13"/>
  <c r="M159" i="13"/>
  <c r="M539" i="13"/>
  <c r="M667" i="13"/>
  <c r="M236" i="13"/>
  <c r="M616" i="13"/>
  <c r="J727" i="13"/>
  <c r="J524" i="13"/>
  <c r="J144" i="13"/>
  <c r="M232" i="13"/>
  <c r="M290" i="13"/>
  <c r="J41" i="13"/>
  <c r="J421" i="13"/>
  <c r="J63" i="13"/>
  <c r="J443" i="13"/>
  <c r="M158" i="13"/>
  <c r="M538" i="13"/>
  <c r="M156" i="13"/>
  <c r="M536" i="13"/>
  <c r="M660" i="13"/>
  <c r="M280" i="13"/>
  <c r="J84" i="13"/>
  <c r="J464" i="13"/>
  <c r="J71" i="13"/>
  <c r="J451" i="13"/>
  <c r="J520" i="13"/>
  <c r="J140" i="13"/>
  <c r="J407" i="13"/>
  <c r="J27" i="13"/>
  <c r="J411" i="13"/>
  <c r="J31" i="13"/>
  <c r="J75" i="13"/>
  <c r="J455" i="13"/>
  <c r="J487" i="13"/>
  <c r="J139" i="13"/>
  <c r="J519" i="13"/>
  <c r="M615" i="13"/>
  <c r="M235" i="13"/>
  <c r="M267" i="13"/>
  <c r="M647" i="13"/>
  <c r="J693" i="13"/>
  <c r="J313" i="13"/>
  <c r="J55" i="13"/>
  <c r="J435" i="13"/>
  <c r="J100" i="13"/>
  <c r="J480" i="13"/>
  <c r="J137" i="13"/>
  <c r="J517" i="13"/>
  <c r="M682" i="13"/>
  <c r="J400" i="13"/>
  <c r="J20" i="13"/>
  <c r="J722" i="13"/>
  <c r="J342" i="13"/>
  <c r="J116" i="13"/>
  <c r="J496" i="13"/>
  <c r="J173" i="13"/>
  <c r="M228" i="13"/>
  <c r="J711" i="13"/>
  <c r="J458" i="13"/>
  <c r="J78" i="13"/>
  <c r="J19" i="13"/>
  <c r="J399" i="13"/>
  <c r="J388" i="13"/>
  <c r="J8" i="13"/>
  <c r="J93" i="13"/>
  <c r="J473" i="13"/>
  <c r="J79" i="13"/>
  <c r="J459" i="13"/>
  <c r="M297" i="13"/>
  <c r="J715" i="13"/>
  <c r="J335" i="13"/>
  <c r="J448" i="13"/>
  <c r="J68" i="13"/>
  <c r="M633" i="13"/>
  <c r="M253" i="13"/>
  <c r="J7" i="13"/>
  <c r="J387" i="13"/>
  <c r="J419" i="13"/>
  <c r="J39" i="13"/>
  <c r="J83" i="13"/>
  <c r="J463" i="13"/>
  <c r="J495" i="13"/>
  <c r="J147" i="13"/>
  <c r="J527" i="13"/>
  <c r="M243" i="13"/>
  <c r="M623" i="13"/>
  <c r="M663" i="13"/>
  <c r="M283" i="13"/>
  <c r="M252" i="13"/>
  <c r="M632" i="13"/>
  <c r="J13" i="13"/>
  <c r="J393" i="13"/>
  <c r="M217" i="13"/>
  <c r="M597" i="13"/>
  <c r="J738" i="13"/>
  <c r="M295" i="13"/>
  <c r="J372" i="13"/>
  <c r="J752" i="13"/>
  <c r="J450" i="13"/>
  <c r="J70" i="13"/>
  <c r="J383" i="13"/>
  <c r="J763" i="13"/>
  <c r="J525" i="13"/>
  <c r="J145" i="13"/>
  <c r="M174" i="13"/>
  <c r="M554" i="13"/>
  <c r="J720" i="13"/>
  <c r="J340" i="13"/>
  <c r="J420" i="13"/>
  <c r="J40" i="13"/>
  <c r="M596" i="13"/>
  <c r="M604" i="13"/>
  <c r="J128" i="13"/>
  <c r="J361" i="13"/>
  <c r="J741" i="13"/>
  <c r="J731" i="13"/>
  <c r="J351" i="13"/>
  <c r="J24" i="13"/>
  <c r="J404" i="13"/>
  <c r="J441" i="13"/>
  <c r="J61" i="13"/>
  <c r="J15" i="13"/>
  <c r="J395" i="13"/>
  <c r="J47" i="13"/>
  <c r="J427" i="13"/>
  <c r="J91" i="13"/>
  <c r="J471" i="13"/>
  <c r="J503" i="13"/>
  <c r="J123" i="13"/>
  <c r="M155" i="13"/>
  <c r="M535" i="13"/>
  <c r="J219" i="13"/>
  <c r="J599" i="13"/>
  <c r="M251" i="13"/>
  <c r="M631" i="13"/>
  <c r="M678" i="13"/>
  <c r="M600" i="13"/>
  <c r="M220" i="13"/>
  <c r="M225" i="13"/>
  <c r="M605" i="13"/>
  <c r="J344" i="13"/>
  <c r="J724" i="13"/>
  <c r="J381" i="13"/>
  <c r="M212" i="13"/>
  <c r="M265" i="13"/>
  <c r="M645" i="13"/>
  <c r="J725" i="13"/>
  <c r="J345" i="13"/>
  <c r="M640" i="13"/>
  <c r="M260" i="13"/>
  <c r="J121" i="13"/>
  <c r="J501" i="13"/>
  <c r="J151" i="13"/>
  <c r="J531" i="13"/>
  <c r="J747" i="13"/>
  <c r="J367" i="13"/>
  <c r="M164" i="13"/>
  <c r="M544" i="13"/>
  <c r="J86" i="13"/>
  <c r="J466" i="13"/>
  <c r="J472" i="13"/>
  <c r="J92" i="13"/>
  <c r="J50" i="13"/>
  <c r="J430" i="13"/>
  <c r="J412" i="13"/>
  <c r="J32" i="13"/>
  <c r="J714" i="13"/>
  <c r="J334" i="13"/>
  <c r="J357" i="13"/>
  <c r="J737" i="13"/>
  <c r="M293" i="13"/>
  <c r="M673" i="13"/>
  <c r="J700" i="13"/>
  <c r="J320" i="13"/>
  <c r="J355" i="13"/>
  <c r="J735" i="13"/>
  <c r="M286" i="13"/>
  <c r="J710" i="13"/>
  <c r="J330" i="13"/>
  <c r="J353" i="13"/>
  <c r="J733" i="13"/>
  <c r="M669" i="13"/>
  <c r="M289" i="13"/>
  <c r="J316" i="13"/>
  <c r="J696" i="13"/>
  <c r="J343" i="13"/>
  <c r="J723" i="13"/>
  <c r="J705" i="13"/>
  <c r="J325" i="13"/>
  <c r="J382" i="13"/>
  <c r="J762" i="13"/>
  <c r="J698" i="13"/>
  <c r="J318" i="13"/>
  <c r="J721" i="13"/>
  <c r="J341" i="13"/>
  <c r="J760" i="13"/>
  <c r="J380" i="13"/>
  <c r="M680" i="13"/>
  <c r="M300" i="13"/>
  <c r="J719" i="13"/>
  <c r="J339" i="13"/>
  <c r="J732" i="13"/>
  <c r="J758" i="13"/>
  <c r="J378" i="13"/>
  <c r="J694" i="13"/>
  <c r="J314" i="13"/>
  <c r="J717" i="13"/>
  <c r="J337" i="13"/>
  <c r="J744" i="13"/>
  <c r="J364" i="13"/>
  <c r="J707" i="13"/>
  <c r="J327" i="13"/>
  <c r="J366" i="13"/>
  <c r="J746" i="13"/>
  <c r="J759" i="13"/>
  <c r="J379" i="13"/>
  <c r="J742" i="13"/>
  <c r="J362" i="13"/>
  <c r="M282" i="13"/>
  <c r="M662" i="13"/>
  <c r="J321" i="13"/>
  <c r="J701" i="13"/>
  <c r="J348" i="13"/>
  <c r="J728" i="13"/>
  <c r="J375" i="13"/>
  <c r="J755" i="13"/>
  <c r="J311" i="13"/>
  <c r="J691" i="13"/>
  <c r="M305" i="13"/>
  <c r="J323" i="13"/>
  <c r="J703" i="13"/>
  <c r="J730" i="13"/>
  <c r="J350" i="13"/>
  <c r="J373" i="13"/>
  <c r="J753" i="13"/>
  <c r="M309" i="13"/>
  <c r="M689" i="13"/>
  <c r="J336" i="13"/>
  <c r="J716" i="13"/>
  <c r="J371" i="13"/>
  <c r="J751" i="13"/>
  <c r="M687" i="13"/>
  <c r="M307" i="13"/>
  <c r="J346" i="13"/>
  <c r="J726" i="13"/>
  <c r="J749" i="13"/>
  <c r="J369" i="13"/>
  <c r="J332" i="13"/>
  <c r="J712" i="13"/>
  <c r="J739" i="13"/>
  <c r="J359" i="13"/>
  <c r="M279" i="13"/>
  <c r="M659" i="13"/>
  <c r="F26" i="3"/>
  <c r="B24" i="3"/>
  <c r="BD12" i="6" l="1" a="1"/>
  <c r="BD12" i="6" s="1"/>
  <c r="BG12" i="6" s="1"/>
  <c r="BD13" i="6" a="1"/>
  <c r="BD13" i="6" s="1"/>
  <c r="BG13" i="6" s="1"/>
  <c r="BD21" i="6" a="1"/>
  <c r="BD21" i="6" s="1"/>
  <c r="BG21" i="6" s="1"/>
  <c r="BD29" i="6" a="1"/>
  <c r="BD29" i="6" s="1"/>
  <c r="BG29" i="6" s="1"/>
  <c r="BD37" i="6" a="1"/>
  <c r="BD37" i="6" s="1"/>
  <c r="BG37" i="6" s="1"/>
  <c r="BD45" i="6" a="1"/>
  <c r="BD45" i="6" s="1"/>
  <c r="BG45" i="6" s="1"/>
  <c r="BD14" i="6" a="1"/>
  <c r="BD14" i="6" s="1"/>
  <c r="BG14" i="6" s="1"/>
  <c r="BD22" i="6" a="1"/>
  <c r="BD22" i="6" s="1"/>
  <c r="BG22" i="6" s="1"/>
  <c r="BD30" i="6" a="1"/>
  <c r="BD30" i="6" s="1"/>
  <c r="BG30" i="6" s="1"/>
  <c r="BD38" i="6" a="1"/>
  <c r="BD38" i="6" s="1"/>
  <c r="BG38" i="6" s="1"/>
  <c r="BD46" i="6" a="1"/>
  <c r="BD46" i="6" s="1"/>
  <c r="BG46" i="6" s="1"/>
  <c r="BD15" i="6" a="1"/>
  <c r="BD15" i="6" s="1"/>
  <c r="BG15" i="6" s="1"/>
  <c r="BD23" i="6" a="1"/>
  <c r="BD23" i="6" s="1"/>
  <c r="BG23" i="6" s="1"/>
  <c r="BD31" i="6" a="1"/>
  <c r="BD31" i="6" s="1"/>
  <c r="BG31" i="6" s="1"/>
  <c r="BD39" i="6" a="1"/>
  <c r="BD39" i="6" s="1"/>
  <c r="BG39" i="6" s="1"/>
  <c r="BD9" i="6" a="1"/>
  <c r="BD9" i="6" s="1"/>
  <c r="BG9" i="6" s="1"/>
  <c r="BD24" i="6" a="1"/>
  <c r="BD24" i="6" s="1"/>
  <c r="BG24" i="6" s="1"/>
  <c r="BD32" i="6" a="1"/>
  <c r="BD32" i="6" s="1"/>
  <c r="BG32" i="6" s="1"/>
  <c r="BD40" i="6" a="1"/>
  <c r="BD40" i="6" s="1"/>
  <c r="BG40" i="6" s="1"/>
  <c r="BD16" i="6" a="1"/>
  <c r="BD16" i="6" s="1"/>
  <c r="BG16" i="6" s="1"/>
  <c r="BD17" i="6" a="1"/>
  <c r="BD17" i="6" s="1"/>
  <c r="BG17" i="6" s="1"/>
  <c r="BD25" i="6" a="1"/>
  <c r="BD25" i="6" s="1"/>
  <c r="BG25" i="6" s="1"/>
  <c r="BD33" i="6" a="1"/>
  <c r="BD33" i="6" s="1"/>
  <c r="BG33" i="6" s="1"/>
  <c r="BD41" i="6" a="1"/>
  <c r="BD41" i="6" s="1"/>
  <c r="BG41" i="6" s="1"/>
  <c r="BD10" i="6" a="1"/>
  <c r="BD10" i="6" s="1"/>
  <c r="BG10" i="6" s="1"/>
  <c r="BD18" i="6" a="1"/>
  <c r="BD18" i="6" s="1"/>
  <c r="BG18" i="6" s="1"/>
  <c r="BD26" i="6" a="1"/>
  <c r="BD26" i="6" s="1"/>
  <c r="BG26" i="6" s="1"/>
  <c r="BD34" i="6" a="1"/>
  <c r="BD34" i="6" s="1"/>
  <c r="BG34" i="6" s="1"/>
  <c r="BD42" i="6" a="1"/>
  <c r="BD42" i="6" s="1"/>
  <c r="BG42" i="6" s="1"/>
  <c r="BD11" i="6" a="1"/>
  <c r="BD11" i="6" s="1"/>
  <c r="BG11" i="6" s="1"/>
  <c r="BD19" i="6" a="1"/>
  <c r="BD19" i="6" s="1"/>
  <c r="BG19" i="6" s="1"/>
  <c r="BD27" i="6" a="1"/>
  <c r="BD27" i="6" s="1"/>
  <c r="BG27" i="6" s="1"/>
  <c r="BD35" i="6" a="1"/>
  <c r="BD35" i="6" s="1"/>
  <c r="BG35" i="6" s="1"/>
  <c r="BD43" i="6" a="1"/>
  <c r="BD43" i="6" s="1"/>
  <c r="BG43" i="6" s="1"/>
  <c r="BD20" i="6" a="1"/>
  <c r="BD20" i="6" s="1"/>
  <c r="BG20" i="6" s="1"/>
  <c r="BD28" i="6" a="1"/>
  <c r="BD28" i="6" s="1"/>
  <c r="BG28" i="6" s="1"/>
  <c r="BD36" i="6" a="1"/>
  <c r="BD36" i="6" s="1"/>
  <c r="BG36" i="6" s="1"/>
  <c r="BD44" i="6" a="1"/>
  <c r="BD44" i="6" s="1"/>
  <c r="BG44" i="6" s="1"/>
  <c r="F26" i="17"/>
  <c r="I383" i="13"/>
  <c r="P383" i="13" s="1"/>
  <c r="I381" i="13"/>
  <c r="P381" i="13" s="1"/>
  <c r="I379" i="13"/>
  <c r="P379" i="13" s="1"/>
  <c r="I377" i="13"/>
  <c r="P377" i="13" s="1"/>
  <c r="I375" i="13"/>
  <c r="P375" i="13" s="1"/>
  <c r="I373" i="13"/>
  <c r="P373" i="13" s="1"/>
  <c r="I371" i="13"/>
  <c r="P371" i="13" s="1"/>
  <c r="I369" i="13"/>
  <c r="P369" i="13" s="1"/>
  <c r="I367" i="13"/>
  <c r="P367" i="13" s="1"/>
  <c r="I365" i="13"/>
  <c r="P365" i="13" s="1"/>
  <c r="I363" i="13"/>
  <c r="P363" i="13" s="1"/>
  <c r="I361" i="13"/>
  <c r="P361" i="13" s="1"/>
  <c r="I359" i="13"/>
  <c r="P359" i="13" s="1"/>
  <c r="I357" i="13"/>
  <c r="P357" i="13" s="1"/>
  <c r="I355" i="13"/>
  <c r="P355" i="13" s="1"/>
  <c r="I353" i="13"/>
  <c r="P353" i="13" s="1"/>
  <c r="I351" i="13"/>
  <c r="P351" i="13" s="1"/>
  <c r="I349" i="13"/>
  <c r="P349" i="13" s="1"/>
  <c r="I347" i="13"/>
  <c r="P347" i="13" s="1"/>
  <c r="I345" i="13"/>
  <c r="P345" i="13" s="1"/>
  <c r="I343" i="13"/>
  <c r="P343" i="13" s="1"/>
  <c r="I341" i="13"/>
  <c r="P341" i="13" s="1"/>
  <c r="I339" i="13"/>
  <c r="P339" i="13" s="1"/>
  <c r="I337" i="13"/>
  <c r="P337" i="13" s="1"/>
  <c r="I335" i="13"/>
  <c r="P335" i="13" s="1"/>
  <c r="I333" i="13"/>
  <c r="P333" i="13" s="1"/>
  <c r="I331" i="13"/>
  <c r="P331" i="13" s="1"/>
  <c r="I329" i="13"/>
  <c r="P329" i="13" s="1"/>
  <c r="I327" i="13"/>
  <c r="P327" i="13" s="1"/>
  <c r="I325" i="13"/>
  <c r="P325" i="13" s="1"/>
  <c r="I323" i="13"/>
  <c r="P323" i="13" s="1"/>
  <c r="I321" i="13"/>
  <c r="P321" i="13" s="1"/>
  <c r="I319" i="13"/>
  <c r="P319" i="13" s="1"/>
  <c r="I317" i="13"/>
  <c r="P317" i="13" s="1"/>
  <c r="I315" i="13"/>
  <c r="P315" i="13" s="1"/>
  <c r="I313" i="13"/>
  <c r="P313" i="13" s="1"/>
  <c r="I311" i="13"/>
  <c r="P311" i="13" s="1"/>
  <c r="I309" i="13"/>
  <c r="P309" i="13" s="1"/>
  <c r="I307" i="13"/>
  <c r="P307" i="13" s="1"/>
  <c r="I305" i="13"/>
  <c r="P305" i="13" s="1"/>
  <c r="I303" i="13"/>
  <c r="P303" i="13" s="1"/>
  <c r="I301" i="13"/>
  <c r="P301" i="13" s="1"/>
  <c r="I299" i="13"/>
  <c r="P299" i="13" s="1"/>
  <c r="I297" i="13"/>
  <c r="P297" i="13" s="1"/>
  <c r="I295" i="13"/>
  <c r="P295" i="13" s="1"/>
  <c r="I293" i="13"/>
  <c r="P293" i="13" s="1"/>
  <c r="H383" i="13"/>
  <c r="H381" i="13"/>
  <c r="H379" i="13"/>
  <c r="H377" i="13"/>
  <c r="H375" i="13"/>
  <c r="H373" i="13"/>
  <c r="H371" i="13"/>
  <c r="H369" i="13"/>
  <c r="H367" i="13"/>
  <c r="H365" i="13"/>
  <c r="H363" i="13"/>
  <c r="H361" i="13"/>
  <c r="H359" i="13"/>
  <c r="H357" i="13"/>
  <c r="H355" i="13"/>
  <c r="H353" i="13"/>
  <c r="H351" i="13"/>
  <c r="H349" i="13"/>
  <c r="H347" i="13"/>
  <c r="H345" i="13"/>
  <c r="H343" i="13"/>
  <c r="I382" i="13"/>
  <c r="P382" i="13" s="1"/>
  <c r="I380" i="13"/>
  <c r="P380" i="13" s="1"/>
  <c r="I378" i="13"/>
  <c r="P378" i="13" s="1"/>
  <c r="I376" i="13"/>
  <c r="P376" i="13" s="1"/>
  <c r="I374" i="13"/>
  <c r="P374" i="13" s="1"/>
  <c r="I372" i="13"/>
  <c r="P372" i="13" s="1"/>
  <c r="I370" i="13"/>
  <c r="P370" i="13" s="1"/>
  <c r="I368" i="13"/>
  <c r="P368" i="13" s="1"/>
  <c r="I366" i="13"/>
  <c r="P366" i="13" s="1"/>
  <c r="I364" i="13"/>
  <c r="P364" i="13" s="1"/>
  <c r="I362" i="13"/>
  <c r="P362" i="13" s="1"/>
  <c r="I360" i="13"/>
  <c r="P360" i="13" s="1"/>
  <c r="I358" i="13"/>
  <c r="P358" i="13" s="1"/>
  <c r="I356" i="13"/>
  <c r="P356" i="13" s="1"/>
  <c r="I354" i="13"/>
  <c r="P354" i="13" s="1"/>
  <c r="I352" i="13"/>
  <c r="P352" i="13" s="1"/>
  <c r="I350" i="13"/>
  <c r="P350" i="13" s="1"/>
  <c r="I348" i="13"/>
  <c r="P348" i="13" s="1"/>
  <c r="I346" i="13"/>
  <c r="P346" i="13" s="1"/>
  <c r="I344" i="13"/>
  <c r="P344" i="13" s="1"/>
  <c r="I342" i="13"/>
  <c r="P342" i="13" s="1"/>
  <c r="I340" i="13"/>
  <c r="P340" i="13" s="1"/>
  <c r="I338" i="13"/>
  <c r="P338" i="13" s="1"/>
  <c r="I336" i="13"/>
  <c r="P336" i="13" s="1"/>
  <c r="I334" i="13"/>
  <c r="P334" i="13" s="1"/>
  <c r="I332" i="13"/>
  <c r="P332" i="13" s="1"/>
  <c r="I330" i="13"/>
  <c r="P330" i="13" s="1"/>
  <c r="I328" i="13"/>
  <c r="P328" i="13" s="1"/>
  <c r="I326" i="13"/>
  <c r="P326" i="13" s="1"/>
  <c r="I324" i="13"/>
  <c r="P324" i="13" s="1"/>
  <c r="I322" i="13"/>
  <c r="P322" i="13" s="1"/>
  <c r="I320" i="13"/>
  <c r="P320" i="13" s="1"/>
  <c r="I318" i="13"/>
  <c r="P318" i="13" s="1"/>
  <c r="I316" i="13"/>
  <c r="P316" i="13" s="1"/>
  <c r="I314" i="13"/>
  <c r="P314" i="13" s="1"/>
  <c r="I312" i="13"/>
  <c r="P312" i="13" s="1"/>
  <c r="I310" i="13"/>
  <c r="I308" i="13"/>
  <c r="P308" i="13" s="1"/>
  <c r="I306" i="13"/>
  <c r="P306" i="13" s="1"/>
  <c r="I304" i="13"/>
  <c r="P304" i="13" s="1"/>
  <c r="I302" i="13"/>
  <c r="P302" i="13" s="1"/>
  <c r="I300" i="13"/>
  <c r="P300" i="13" s="1"/>
  <c r="I298" i="13"/>
  <c r="P298" i="13" s="1"/>
  <c r="I296" i="13"/>
  <c r="P296" i="13" s="1"/>
  <c r="I294" i="13"/>
  <c r="P294" i="13" s="1"/>
  <c r="I292" i="13"/>
  <c r="P292" i="13" s="1"/>
  <c r="I290" i="13"/>
  <c r="P290" i="13" s="1"/>
  <c r="I288" i="13"/>
  <c r="P288" i="13" s="1"/>
  <c r="I286" i="13"/>
  <c r="P286" i="13" s="1"/>
  <c r="I284" i="13"/>
  <c r="P284" i="13" s="1"/>
  <c r="I282" i="13"/>
  <c r="P282" i="13" s="1"/>
  <c r="I280" i="13"/>
  <c r="P280" i="13" s="1"/>
  <c r="I278" i="13"/>
  <c r="P278" i="13" s="1"/>
  <c r="I276" i="13"/>
  <c r="P276" i="13" s="1"/>
  <c r="I274" i="13"/>
  <c r="P274" i="13" s="1"/>
  <c r="I272" i="13"/>
  <c r="P272" i="13" s="1"/>
  <c r="I270" i="13"/>
  <c r="P270" i="13" s="1"/>
  <c r="I268" i="13"/>
  <c r="P268" i="13" s="1"/>
  <c r="I266" i="13"/>
  <c r="P266" i="13" s="1"/>
  <c r="I264" i="13"/>
  <c r="P264" i="13" s="1"/>
  <c r="I262" i="13"/>
  <c r="P262" i="13" s="1"/>
  <c r="I260" i="13"/>
  <c r="P260" i="13" s="1"/>
  <c r="I258" i="13"/>
  <c r="P258" i="13" s="1"/>
  <c r="I256" i="13"/>
  <c r="P256" i="13" s="1"/>
  <c r="I254" i="13"/>
  <c r="P254" i="13" s="1"/>
  <c r="I252" i="13"/>
  <c r="P252" i="13" s="1"/>
  <c r="I250" i="13"/>
  <c r="P250" i="13" s="1"/>
  <c r="I248" i="13"/>
  <c r="P248" i="13" s="1"/>
  <c r="I246" i="13"/>
  <c r="P246" i="13" s="1"/>
  <c r="I244" i="13"/>
  <c r="P244" i="13" s="1"/>
  <c r="I242" i="13"/>
  <c r="P242" i="13" s="1"/>
  <c r="I240" i="13"/>
  <c r="P240" i="13" s="1"/>
  <c r="I238" i="13"/>
  <c r="P238" i="13" s="1"/>
  <c r="I236" i="13"/>
  <c r="P236" i="13" s="1"/>
  <c r="I234" i="13"/>
  <c r="P234" i="13" s="1"/>
  <c r="I232" i="13"/>
  <c r="P232" i="13" s="1"/>
  <c r="I230" i="13"/>
  <c r="P230" i="13" s="1"/>
  <c r="I228" i="13"/>
  <c r="P228" i="13" s="1"/>
  <c r="I226" i="13"/>
  <c r="P226" i="13" s="1"/>
  <c r="H370" i="13"/>
  <c r="H354" i="13"/>
  <c r="H336" i="13"/>
  <c r="H328" i="13"/>
  <c r="H320" i="13"/>
  <c r="H312" i="13"/>
  <c r="H304" i="13"/>
  <c r="H296" i="13"/>
  <c r="H291" i="13"/>
  <c r="H284" i="13"/>
  <c r="I277" i="13"/>
  <c r="P277" i="13" s="1"/>
  <c r="H275" i="13"/>
  <c r="H268" i="13"/>
  <c r="I261" i="13"/>
  <c r="P261" i="13" s="1"/>
  <c r="H259" i="13"/>
  <c r="H252" i="13"/>
  <c r="I245" i="13"/>
  <c r="P245" i="13" s="1"/>
  <c r="H243" i="13"/>
  <c r="H236" i="13"/>
  <c r="I229" i="13"/>
  <c r="P229" i="13" s="1"/>
  <c r="H227" i="13"/>
  <c r="H376" i="13"/>
  <c r="H360" i="13"/>
  <c r="H344" i="13"/>
  <c r="H341" i="13"/>
  <c r="H333" i="13"/>
  <c r="H325" i="13"/>
  <c r="H317" i="13"/>
  <c r="H309" i="13"/>
  <c r="H301" i="13"/>
  <c r="H293" i="13"/>
  <c r="H286" i="13"/>
  <c r="I279" i="13"/>
  <c r="P279" i="13" s="1"/>
  <c r="H277" i="13"/>
  <c r="H270" i="13"/>
  <c r="I263" i="13"/>
  <c r="P263" i="13" s="1"/>
  <c r="H261" i="13"/>
  <c r="H254" i="13"/>
  <c r="I247" i="13"/>
  <c r="P247" i="13" s="1"/>
  <c r="H245" i="13"/>
  <c r="H238" i="13"/>
  <c r="I231" i="13"/>
  <c r="P231" i="13" s="1"/>
  <c r="H229" i="13"/>
  <c r="H382" i="13"/>
  <c r="H366" i="13"/>
  <c r="H350" i="13"/>
  <c r="H338" i="13"/>
  <c r="H330" i="13"/>
  <c r="H322" i="13"/>
  <c r="H314" i="13"/>
  <c r="H306" i="13"/>
  <c r="H298" i="13"/>
  <c r="H288" i="13"/>
  <c r="I281" i="13"/>
  <c r="P281" i="13" s="1"/>
  <c r="H279" i="13"/>
  <c r="H272" i="13"/>
  <c r="I265" i="13"/>
  <c r="P265" i="13" s="1"/>
  <c r="H263" i="13"/>
  <c r="H256" i="13"/>
  <c r="H372" i="13"/>
  <c r="H356" i="13"/>
  <c r="H335" i="13"/>
  <c r="H327" i="13"/>
  <c r="H319" i="13"/>
  <c r="H311" i="13"/>
  <c r="H303" i="13"/>
  <c r="H295" i="13"/>
  <c r="H290" i="13"/>
  <c r="I283" i="13"/>
  <c r="P283" i="13" s="1"/>
  <c r="H281" i="13"/>
  <c r="H274" i="13"/>
  <c r="I267" i="13"/>
  <c r="P267" i="13" s="1"/>
  <c r="H265" i="13"/>
  <c r="H258" i="13"/>
  <c r="I251" i="13"/>
  <c r="P251" i="13" s="1"/>
  <c r="H249" i="13"/>
  <c r="H242" i="13"/>
  <c r="I235" i="13"/>
  <c r="P235" i="13" s="1"/>
  <c r="H233" i="13"/>
  <c r="H226" i="13"/>
  <c r="H224" i="13"/>
  <c r="H222" i="13"/>
  <c r="H220" i="13"/>
  <c r="H218" i="13"/>
  <c r="H216" i="13"/>
  <c r="H214" i="13"/>
  <c r="H212" i="13"/>
  <c r="H210" i="13"/>
  <c r="H208" i="13"/>
  <c r="H206" i="13"/>
  <c r="H204" i="13"/>
  <c r="H202" i="13"/>
  <c r="H200" i="13"/>
  <c r="H198" i="13"/>
  <c r="H196" i="13"/>
  <c r="H194" i="13"/>
  <c r="H192" i="13"/>
  <c r="H190" i="13"/>
  <c r="H188" i="13"/>
  <c r="H186" i="13"/>
  <c r="H184" i="13"/>
  <c r="H182" i="13"/>
  <c r="H180" i="13"/>
  <c r="H178" i="13"/>
  <c r="H176" i="13"/>
  <c r="H174" i="13"/>
  <c r="H172" i="13"/>
  <c r="H170" i="13"/>
  <c r="H168" i="13"/>
  <c r="H166" i="13"/>
  <c r="H164" i="13"/>
  <c r="H162" i="13"/>
  <c r="H160" i="13"/>
  <c r="H158" i="13"/>
  <c r="H156" i="13"/>
  <c r="H154" i="13"/>
  <c r="H152" i="13"/>
  <c r="H150" i="13"/>
  <c r="H148" i="13"/>
  <c r="H146" i="13"/>
  <c r="H144" i="13"/>
  <c r="H142" i="13"/>
  <c r="H140" i="13"/>
  <c r="H138" i="13"/>
  <c r="H136" i="13"/>
  <c r="H134" i="13"/>
  <c r="H132" i="13"/>
  <c r="H130" i="13"/>
  <c r="H128" i="13"/>
  <c r="H126" i="13"/>
  <c r="H124" i="13"/>
  <c r="H122" i="13"/>
  <c r="H120" i="13"/>
  <c r="H118" i="13"/>
  <c r="H116" i="13"/>
  <c r="H114" i="13"/>
  <c r="H112" i="13"/>
  <c r="H110" i="13"/>
  <c r="H108" i="13"/>
  <c r="H106" i="13"/>
  <c r="H104" i="13"/>
  <c r="H102" i="13"/>
  <c r="H100" i="13"/>
  <c r="H378" i="13"/>
  <c r="H362" i="13"/>
  <c r="H346" i="13"/>
  <c r="H340" i="13"/>
  <c r="H332" i="13"/>
  <c r="H324" i="13"/>
  <c r="H316" i="13"/>
  <c r="H308" i="13"/>
  <c r="H300" i="13"/>
  <c r="H292" i="13"/>
  <c r="I285" i="13"/>
  <c r="P285" i="13" s="1"/>
  <c r="H283" i="13"/>
  <c r="H276" i="13"/>
  <c r="I269" i="13"/>
  <c r="P269" i="13" s="1"/>
  <c r="H267" i="13"/>
  <c r="H260" i="13"/>
  <c r="I253" i="13"/>
  <c r="P253" i="13" s="1"/>
  <c r="H251" i="13"/>
  <c r="H244" i="13"/>
  <c r="I237" i="13"/>
  <c r="P237" i="13" s="1"/>
  <c r="H235" i="13"/>
  <c r="H228" i="13"/>
  <c r="H368" i="13"/>
  <c r="H352" i="13"/>
  <c r="H337" i="13"/>
  <c r="H329" i="13"/>
  <c r="H321" i="13"/>
  <c r="H313" i="13"/>
  <c r="H305" i="13"/>
  <c r="H297" i="13"/>
  <c r="I287" i="13"/>
  <c r="P287" i="13" s="1"/>
  <c r="H285" i="13"/>
  <c r="H278" i="13"/>
  <c r="I271" i="13"/>
  <c r="P271" i="13" s="1"/>
  <c r="H269" i="13"/>
  <c r="H262" i="13"/>
  <c r="I255" i="13"/>
  <c r="P255" i="13" s="1"/>
  <c r="H253" i="13"/>
  <c r="H246" i="13"/>
  <c r="I239" i="13"/>
  <c r="P239" i="13" s="1"/>
  <c r="H237" i="13"/>
  <c r="H230" i="13"/>
  <c r="H374" i="13"/>
  <c r="H358" i="13"/>
  <c r="H342" i="13"/>
  <c r="H334" i="13"/>
  <c r="H326" i="13"/>
  <c r="H318" i="13"/>
  <c r="H310" i="13"/>
  <c r="H302" i="13"/>
  <c r="H380" i="13"/>
  <c r="H364" i="13"/>
  <c r="H348" i="13"/>
  <c r="H339" i="13"/>
  <c r="H331" i="13"/>
  <c r="H323" i="13"/>
  <c r="H315" i="13"/>
  <c r="H307" i="13"/>
  <c r="H299" i="13"/>
  <c r="I291" i="13"/>
  <c r="P291" i="13" s="1"/>
  <c r="H289" i="13"/>
  <c r="H282" i="13"/>
  <c r="I275" i="13"/>
  <c r="P275" i="13" s="1"/>
  <c r="H273" i="13"/>
  <c r="H266" i="13"/>
  <c r="I259" i="13"/>
  <c r="P259" i="13" s="1"/>
  <c r="H257" i="13"/>
  <c r="H250" i="13"/>
  <c r="I243" i="13"/>
  <c r="P243" i="13" s="1"/>
  <c r="H241" i="13"/>
  <c r="H234" i="13"/>
  <c r="I227" i="13"/>
  <c r="P227" i="13" s="1"/>
  <c r="H225" i="13"/>
  <c r="H223" i="13"/>
  <c r="H221" i="13"/>
  <c r="H219" i="13"/>
  <c r="H217" i="13"/>
  <c r="H215" i="13"/>
  <c r="H213" i="13"/>
  <c r="H211" i="13"/>
  <c r="H209" i="13"/>
  <c r="H207" i="13"/>
  <c r="H205" i="13"/>
  <c r="H203" i="13"/>
  <c r="H201" i="13"/>
  <c r="H199" i="13"/>
  <c r="H197" i="13"/>
  <c r="H195" i="13"/>
  <c r="H193" i="13"/>
  <c r="H191" i="13"/>
  <c r="H189" i="13"/>
  <c r="H187" i="13"/>
  <c r="H185" i="13"/>
  <c r="H183" i="13"/>
  <c r="H181" i="13"/>
  <c r="H179" i="13"/>
  <c r="H177" i="13"/>
  <c r="H175" i="13"/>
  <c r="H173" i="13"/>
  <c r="H171" i="13"/>
  <c r="H169" i="13"/>
  <c r="H167" i="13"/>
  <c r="H165" i="13"/>
  <c r="H163" i="13"/>
  <c r="H161" i="13"/>
  <c r="H159" i="13"/>
  <c r="H157" i="13"/>
  <c r="H155" i="13"/>
  <c r="H153" i="13"/>
  <c r="H151" i="13"/>
  <c r="H149" i="13"/>
  <c r="H147" i="13"/>
  <c r="H145" i="13"/>
  <c r="H143" i="13"/>
  <c r="H141" i="13"/>
  <c r="H139" i="13"/>
  <c r="H137" i="13"/>
  <c r="H135" i="13"/>
  <c r="H133" i="13"/>
  <c r="H131" i="13"/>
  <c r="H129" i="13"/>
  <c r="H127" i="13"/>
  <c r="H125" i="13"/>
  <c r="H123" i="13"/>
  <c r="H121" i="13"/>
  <c r="H119" i="13"/>
  <c r="H117" i="13"/>
  <c r="H115" i="13"/>
  <c r="H113" i="13"/>
  <c r="H111" i="13"/>
  <c r="H109" i="13"/>
  <c r="H107" i="13"/>
  <c r="H105" i="13"/>
  <c r="H103" i="13"/>
  <c r="H101" i="13"/>
  <c r="I273" i="13"/>
  <c r="P273" i="13" s="1"/>
  <c r="H255" i="13"/>
  <c r="H248" i="13"/>
  <c r="I241" i="13"/>
  <c r="P241" i="13" s="1"/>
  <c r="I219" i="13"/>
  <c r="P219" i="13" s="1"/>
  <c r="I211" i="13"/>
  <c r="P211" i="13" s="1"/>
  <c r="I203" i="13"/>
  <c r="P203" i="13" s="1"/>
  <c r="I195" i="13"/>
  <c r="P195" i="13" s="1"/>
  <c r="I187" i="13"/>
  <c r="P187" i="13" s="1"/>
  <c r="I179" i="13"/>
  <c r="P179" i="13" s="1"/>
  <c r="I171" i="13"/>
  <c r="P171" i="13" s="1"/>
  <c r="I163" i="13"/>
  <c r="P163" i="13" s="1"/>
  <c r="I155" i="13"/>
  <c r="P155" i="13" s="1"/>
  <c r="I147" i="13"/>
  <c r="P147" i="13" s="1"/>
  <c r="I139" i="13"/>
  <c r="P139" i="13" s="1"/>
  <c r="I131" i="13"/>
  <c r="P131" i="13" s="1"/>
  <c r="I123" i="13"/>
  <c r="P123" i="13" s="1"/>
  <c r="I115" i="13"/>
  <c r="P115" i="13" s="1"/>
  <c r="I107" i="13"/>
  <c r="P107" i="13" s="1"/>
  <c r="I99" i="13"/>
  <c r="P99" i="13" s="1"/>
  <c r="I97" i="13"/>
  <c r="P97" i="13" s="1"/>
  <c r="I95" i="13"/>
  <c r="P95" i="13" s="1"/>
  <c r="I93" i="13"/>
  <c r="P93" i="13" s="1"/>
  <c r="I91" i="13"/>
  <c r="P91" i="13" s="1"/>
  <c r="I89" i="13"/>
  <c r="P89" i="13" s="1"/>
  <c r="I87" i="13"/>
  <c r="P87" i="13" s="1"/>
  <c r="I85" i="13"/>
  <c r="P85" i="13" s="1"/>
  <c r="I83" i="13"/>
  <c r="P83" i="13" s="1"/>
  <c r="I81" i="13"/>
  <c r="P81" i="13" s="1"/>
  <c r="I79" i="13"/>
  <c r="P79" i="13" s="1"/>
  <c r="I77" i="13"/>
  <c r="P77" i="13" s="1"/>
  <c r="I75" i="13"/>
  <c r="P75" i="13" s="1"/>
  <c r="I73" i="13"/>
  <c r="P73" i="13" s="1"/>
  <c r="I71" i="13"/>
  <c r="P71" i="13" s="1"/>
  <c r="I69" i="13"/>
  <c r="P69" i="13" s="1"/>
  <c r="I67" i="13"/>
  <c r="P67" i="13" s="1"/>
  <c r="I65" i="13"/>
  <c r="P65" i="13" s="1"/>
  <c r="I63" i="13"/>
  <c r="P63" i="13" s="1"/>
  <c r="I61" i="13"/>
  <c r="P61" i="13" s="1"/>
  <c r="I59" i="13"/>
  <c r="P59" i="13" s="1"/>
  <c r="I57" i="13"/>
  <c r="P57" i="13" s="1"/>
  <c r="I55" i="13"/>
  <c r="P55" i="13" s="1"/>
  <c r="I53" i="13"/>
  <c r="P53" i="13" s="1"/>
  <c r="I51" i="13"/>
  <c r="P51" i="13" s="1"/>
  <c r="I49" i="13"/>
  <c r="P49" i="13" s="1"/>
  <c r="I47" i="13"/>
  <c r="P47" i="13" s="1"/>
  <c r="I45" i="13"/>
  <c r="P45" i="13" s="1"/>
  <c r="I43" i="13"/>
  <c r="P43" i="13" s="1"/>
  <c r="I41" i="13"/>
  <c r="P41" i="13" s="1"/>
  <c r="I39" i="13"/>
  <c r="P39" i="13" s="1"/>
  <c r="I37" i="13"/>
  <c r="P37" i="13" s="1"/>
  <c r="I35" i="13"/>
  <c r="P35" i="13" s="1"/>
  <c r="I33" i="13"/>
  <c r="P33" i="13" s="1"/>
  <c r="I31" i="13"/>
  <c r="P31" i="13" s="1"/>
  <c r="I29" i="13"/>
  <c r="P29" i="13" s="1"/>
  <c r="I27" i="13"/>
  <c r="P27" i="13" s="1"/>
  <c r="I25" i="13"/>
  <c r="P25" i="13" s="1"/>
  <c r="I23" i="13"/>
  <c r="P23" i="13" s="1"/>
  <c r="I21" i="13"/>
  <c r="I19" i="13"/>
  <c r="I17" i="13"/>
  <c r="I15" i="13"/>
  <c r="I13" i="13"/>
  <c r="I11" i="13"/>
  <c r="I9" i="13"/>
  <c r="I7" i="13"/>
  <c r="I5" i="13"/>
  <c r="H280" i="13"/>
  <c r="H231" i="13"/>
  <c r="I224" i="13"/>
  <c r="P224" i="13" s="1"/>
  <c r="I216" i="13"/>
  <c r="P216" i="13" s="1"/>
  <c r="I208" i="13"/>
  <c r="P208" i="13" s="1"/>
  <c r="I200" i="13"/>
  <c r="P200" i="13" s="1"/>
  <c r="I192" i="13"/>
  <c r="P192" i="13" s="1"/>
  <c r="I184" i="13"/>
  <c r="P184" i="13" s="1"/>
  <c r="I176" i="13"/>
  <c r="P176" i="13" s="1"/>
  <c r="I168" i="13"/>
  <c r="P168" i="13" s="1"/>
  <c r="I160" i="13"/>
  <c r="P160" i="13" s="1"/>
  <c r="I152" i="13"/>
  <c r="P152" i="13" s="1"/>
  <c r="I144" i="13"/>
  <c r="P144" i="13" s="1"/>
  <c r="I136" i="13"/>
  <c r="P136" i="13" s="1"/>
  <c r="I128" i="13"/>
  <c r="P128" i="13" s="1"/>
  <c r="I120" i="13"/>
  <c r="P120" i="13" s="1"/>
  <c r="I112" i="13"/>
  <c r="P112" i="13" s="1"/>
  <c r="I104" i="13"/>
  <c r="P104" i="13" s="1"/>
  <c r="H99" i="13"/>
  <c r="H97" i="13"/>
  <c r="H95" i="13"/>
  <c r="H93" i="13"/>
  <c r="H91" i="13"/>
  <c r="H89" i="13"/>
  <c r="H87" i="13"/>
  <c r="H85" i="13"/>
  <c r="H83" i="13"/>
  <c r="H81" i="13"/>
  <c r="H79" i="13"/>
  <c r="H77" i="13"/>
  <c r="H75" i="13"/>
  <c r="H73" i="13"/>
  <c r="H71" i="13"/>
  <c r="H69" i="13"/>
  <c r="H67" i="13"/>
  <c r="H65" i="13"/>
  <c r="H63" i="13"/>
  <c r="H61" i="13"/>
  <c r="H59" i="13"/>
  <c r="H57" i="13"/>
  <c r="H55" i="13"/>
  <c r="H53" i="13"/>
  <c r="H51" i="13"/>
  <c r="H49" i="13"/>
  <c r="H47" i="13"/>
  <c r="H45" i="13"/>
  <c r="H43" i="13"/>
  <c r="H41" i="13"/>
  <c r="H39" i="13"/>
  <c r="H37" i="13"/>
  <c r="H35" i="13"/>
  <c r="H33" i="13"/>
  <c r="H31" i="13"/>
  <c r="H29" i="13"/>
  <c r="H27" i="13"/>
  <c r="H25" i="13"/>
  <c r="H23" i="13"/>
  <c r="H21" i="13"/>
  <c r="H19" i="13"/>
  <c r="H17" i="13"/>
  <c r="H15" i="13"/>
  <c r="H13" i="13"/>
  <c r="H11" i="13"/>
  <c r="H9" i="13"/>
  <c r="H7" i="13"/>
  <c r="H5" i="13"/>
  <c r="H294" i="13"/>
  <c r="H287" i="13"/>
  <c r="I221" i="13"/>
  <c r="P221" i="13" s="1"/>
  <c r="I213" i="13"/>
  <c r="P213" i="13" s="1"/>
  <c r="I205" i="13"/>
  <c r="P205" i="13" s="1"/>
  <c r="I197" i="13"/>
  <c r="P197" i="13" s="1"/>
  <c r="I189" i="13"/>
  <c r="P189" i="13" s="1"/>
  <c r="I181" i="13"/>
  <c r="P181" i="13" s="1"/>
  <c r="I173" i="13"/>
  <c r="P173" i="13" s="1"/>
  <c r="I165" i="13"/>
  <c r="P165" i="13" s="1"/>
  <c r="I157" i="13"/>
  <c r="P157" i="13" s="1"/>
  <c r="I149" i="13"/>
  <c r="P149" i="13" s="1"/>
  <c r="I141" i="13"/>
  <c r="P141" i="13" s="1"/>
  <c r="I133" i="13"/>
  <c r="P133" i="13" s="1"/>
  <c r="I125" i="13"/>
  <c r="P125" i="13" s="1"/>
  <c r="I117" i="13"/>
  <c r="P117" i="13" s="1"/>
  <c r="I109" i="13"/>
  <c r="P109" i="13" s="1"/>
  <c r="I101" i="13"/>
  <c r="P101" i="13" s="1"/>
  <c r="I257" i="13"/>
  <c r="P257" i="13" s="1"/>
  <c r="H247" i="13"/>
  <c r="H240" i="13"/>
  <c r="I233" i="13"/>
  <c r="P233" i="13" s="1"/>
  <c r="I218" i="13"/>
  <c r="P218" i="13" s="1"/>
  <c r="I210" i="13"/>
  <c r="P210" i="13" s="1"/>
  <c r="I202" i="13"/>
  <c r="P202" i="13" s="1"/>
  <c r="I194" i="13"/>
  <c r="P194" i="13" s="1"/>
  <c r="I186" i="13"/>
  <c r="P186" i="13" s="1"/>
  <c r="I178" i="13"/>
  <c r="P178" i="13" s="1"/>
  <c r="I170" i="13"/>
  <c r="P170" i="13" s="1"/>
  <c r="I162" i="13"/>
  <c r="P162" i="13" s="1"/>
  <c r="I154" i="13"/>
  <c r="P154" i="13" s="1"/>
  <c r="I146" i="13"/>
  <c r="P146" i="13" s="1"/>
  <c r="I138" i="13"/>
  <c r="P138" i="13" s="1"/>
  <c r="I130" i="13"/>
  <c r="P130" i="13" s="1"/>
  <c r="I122" i="13"/>
  <c r="P122" i="13" s="1"/>
  <c r="I114" i="13"/>
  <c r="P114" i="13" s="1"/>
  <c r="I106" i="13"/>
  <c r="P106" i="13" s="1"/>
  <c r="H264" i="13"/>
  <c r="I223" i="13"/>
  <c r="P223" i="13" s="1"/>
  <c r="I215" i="13"/>
  <c r="P215" i="13" s="1"/>
  <c r="I207" i="13"/>
  <c r="P207" i="13" s="1"/>
  <c r="I199" i="13"/>
  <c r="P199" i="13" s="1"/>
  <c r="I191" i="13"/>
  <c r="P191" i="13" s="1"/>
  <c r="I183" i="13"/>
  <c r="P183" i="13" s="1"/>
  <c r="I175" i="13"/>
  <c r="P175" i="13" s="1"/>
  <c r="I167" i="13"/>
  <c r="P167" i="13" s="1"/>
  <c r="I159" i="13"/>
  <c r="P159" i="13" s="1"/>
  <c r="I151" i="13"/>
  <c r="P151" i="13" s="1"/>
  <c r="I143" i="13"/>
  <c r="P143" i="13" s="1"/>
  <c r="I135" i="13"/>
  <c r="P135" i="13" s="1"/>
  <c r="I127" i="13"/>
  <c r="P127" i="13" s="1"/>
  <c r="I119" i="13"/>
  <c r="P119" i="13" s="1"/>
  <c r="I111" i="13"/>
  <c r="P111" i="13" s="1"/>
  <c r="I103" i="13"/>
  <c r="P103" i="13" s="1"/>
  <c r="I98" i="13"/>
  <c r="P98" i="13" s="1"/>
  <c r="I96" i="13"/>
  <c r="P96" i="13" s="1"/>
  <c r="I94" i="13"/>
  <c r="P94" i="13" s="1"/>
  <c r="I92" i="13"/>
  <c r="P92" i="13" s="1"/>
  <c r="I90" i="13"/>
  <c r="P90" i="13" s="1"/>
  <c r="I88" i="13"/>
  <c r="P88" i="13" s="1"/>
  <c r="I86" i="13"/>
  <c r="P86" i="13" s="1"/>
  <c r="I84" i="13"/>
  <c r="P84" i="13" s="1"/>
  <c r="I82" i="13"/>
  <c r="P82" i="13" s="1"/>
  <c r="I80" i="13"/>
  <c r="P80" i="13" s="1"/>
  <c r="I78" i="13"/>
  <c r="P78" i="13" s="1"/>
  <c r="I76" i="13"/>
  <c r="P76" i="13" s="1"/>
  <c r="I74" i="13"/>
  <c r="P74" i="13" s="1"/>
  <c r="I72" i="13"/>
  <c r="P72" i="13" s="1"/>
  <c r="I70" i="13"/>
  <c r="P70" i="13" s="1"/>
  <c r="I68" i="13"/>
  <c r="P68" i="13" s="1"/>
  <c r="I66" i="13"/>
  <c r="P66" i="13" s="1"/>
  <c r="I64" i="13"/>
  <c r="P64" i="13" s="1"/>
  <c r="I62" i="13"/>
  <c r="P62" i="13" s="1"/>
  <c r="I60" i="13"/>
  <c r="P60" i="13" s="1"/>
  <c r="I58" i="13"/>
  <c r="P58" i="13" s="1"/>
  <c r="I56" i="13"/>
  <c r="P56" i="13" s="1"/>
  <c r="I54" i="13"/>
  <c r="P54" i="13" s="1"/>
  <c r="I52" i="13"/>
  <c r="P52" i="13" s="1"/>
  <c r="I50" i="13"/>
  <c r="P50" i="13" s="1"/>
  <c r="I48" i="13"/>
  <c r="P48" i="13" s="1"/>
  <c r="I46" i="13"/>
  <c r="P46" i="13" s="1"/>
  <c r="I44" i="13"/>
  <c r="P44" i="13" s="1"/>
  <c r="I42" i="13"/>
  <c r="P42" i="13" s="1"/>
  <c r="I40" i="13"/>
  <c r="P40" i="13" s="1"/>
  <c r="I38" i="13"/>
  <c r="P38" i="13" s="1"/>
  <c r="I36" i="13"/>
  <c r="P36" i="13" s="1"/>
  <c r="I34" i="13"/>
  <c r="P34" i="13" s="1"/>
  <c r="I32" i="13"/>
  <c r="P32" i="13" s="1"/>
  <c r="I30" i="13"/>
  <c r="P30" i="13" s="1"/>
  <c r="I28" i="13"/>
  <c r="P28" i="13" s="1"/>
  <c r="I26" i="13"/>
  <c r="P26" i="13" s="1"/>
  <c r="I24" i="13"/>
  <c r="P24" i="13" s="1"/>
  <c r="I22" i="13"/>
  <c r="P22" i="13" s="1"/>
  <c r="I20" i="13"/>
  <c r="I18" i="13"/>
  <c r="I16" i="13"/>
  <c r="I14" i="13"/>
  <c r="I12" i="13"/>
  <c r="I10" i="13"/>
  <c r="I8" i="13"/>
  <c r="I6" i="13"/>
  <c r="I4" i="13"/>
  <c r="I289" i="13"/>
  <c r="P289" i="13" s="1"/>
  <c r="H271" i="13"/>
  <c r="I249" i="13"/>
  <c r="P249" i="13" s="1"/>
  <c r="I220" i="13"/>
  <c r="P220" i="13" s="1"/>
  <c r="I212" i="13"/>
  <c r="P212" i="13" s="1"/>
  <c r="I204" i="13"/>
  <c r="P204" i="13" s="1"/>
  <c r="I196" i="13"/>
  <c r="P196" i="13" s="1"/>
  <c r="I188" i="13"/>
  <c r="P188" i="13" s="1"/>
  <c r="I180" i="13"/>
  <c r="P180" i="13" s="1"/>
  <c r="I172" i="13"/>
  <c r="P172" i="13" s="1"/>
  <c r="I164" i="13"/>
  <c r="P164" i="13" s="1"/>
  <c r="I156" i="13"/>
  <c r="P156" i="13" s="1"/>
  <c r="I148" i="13"/>
  <c r="P148" i="13" s="1"/>
  <c r="I140" i="13"/>
  <c r="P140" i="13" s="1"/>
  <c r="I132" i="13"/>
  <c r="P132" i="13" s="1"/>
  <c r="I124" i="13"/>
  <c r="P124" i="13" s="1"/>
  <c r="I116" i="13"/>
  <c r="P116" i="13" s="1"/>
  <c r="I108" i="13"/>
  <c r="P108" i="13" s="1"/>
  <c r="I100" i="13"/>
  <c r="P100" i="13" s="1"/>
  <c r="H98" i="13"/>
  <c r="H96" i="13"/>
  <c r="H94" i="13"/>
  <c r="H92" i="13"/>
  <c r="H90" i="13"/>
  <c r="H88" i="13"/>
  <c r="H86" i="13"/>
  <c r="H84" i="13"/>
  <c r="H82" i="13"/>
  <c r="H80" i="13"/>
  <c r="H78" i="13"/>
  <c r="H76" i="13"/>
  <c r="H74" i="13"/>
  <c r="H72" i="13"/>
  <c r="H70" i="13"/>
  <c r="H68" i="13"/>
  <c r="H66" i="13"/>
  <c r="H64" i="13"/>
  <c r="H62" i="13"/>
  <c r="H60" i="13"/>
  <c r="H58" i="13"/>
  <c r="H56" i="13"/>
  <c r="H54" i="13"/>
  <c r="H52" i="13"/>
  <c r="H50" i="13"/>
  <c r="H48" i="13"/>
  <c r="H46" i="13"/>
  <c r="H44" i="13"/>
  <c r="H42" i="13"/>
  <c r="H40" i="13"/>
  <c r="H38" i="13"/>
  <c r="H36" i="13"/>
  <c r="H34" i="13"/>
  <c r="H32" i="13"/>
  <c r="H30" i="13"/>
  <c r="H28" i="13"/>
  <c r="H26" i="13"/>
  <c r="H24" i="13"/>
  <c r="H22" i="13"/>
  <c r="H20" i="13"/>
  <c r="H18" i="13"/>
  <c r="H16" i="13"/>
  <c r="H14" i="13"/>
  <c r="H12" i="13"/>
  <c r="H10" i="13"/>
  <c r="H8" i="13"/>
  <c r="H6" i="13"/>
  <c r="H4" i="13"/>
  <c r="H239" i="13"/>
  <c r="H232" i="13"/>
  <c r="I225" i="13"/>
  <c r="P225" i="13" s="1"/>
  <c r="I217" i="13"/>
  <c r="P217" i="13" s="1"/>
  <c r="I209" i="13"/>
  <c r="P209" i="13" s="1"/>
  <c r="I201" i="13"/>
  <c r="P201" i="13" s="1"/>
  <c r="I193" i="13"/>
  <c r="P193" i="13" s="1"/>
  <c r="I185" i="13"/>
  <c r="P185" i="13" s="1"/>
  <c r="I177" i="13"/>
  <c r="P177" i="13" s="1"/>
  <c r="I169" i="13"/>
  <c r="P169" i="13" s="1"/>
  <c r="I161" i="13"/>
  <c r="P161" i="13" s="1"/>
  <c r="I153" i="13"/>
  <c r="P153" i="13" s="1"/>
  <c r="I145" i="13"/>
  <c r="P145" i="13" s="1"/>
  <c r="I137" i="13"/>
  <c r="P137" i="13" s="1"/>
  <c r="I129" i="13"/>
  <c r="P129" i="13" s="1"/>
  <c r="I121" i="13"/>
  <c r="P121" i="13" s="1"/>
  <c r="I113" i="13"/>
  <c r="P113" i="13" s="1"/>
  <c r="I105" i="13"/>
  <c r="P105" i="13" s="1"/>
  <c r="I222" i="13"/>
  <c r="P222" i="13" s="1"/>
  <c r="I214" i="13"/>
  <c r="P214" i="13" s="1"/>
  <c r="I206" i="13"/>
  <c r="P206" i="13" s="1"/>
  <c r="I198" i="13"/>
  <c r="P198" i="13" s="1"/>
  <c r="I190" i="13"/>
  <c r="P190" i="13" s="1"/>
  <c r="I182" i="13"/>
  <c r="P182" i="13" s="1"/>
  <c r="I174" i="13"/>
  <c r="P174" i="13" s="1"/>
  <c r="I166" i="13"/>
  <c r="P166" i="13" s="1"/>
  <c r="I158" i="13"/>
  <c r="P158" i="13" s="1"/>
  <c r="I150" i="13"/>
  <c r="P150" i="13" s="1"/>
  <c r="I142" i="13"/>
  <c r="P142" i="13" s="1"/>
  <c r="I134" i="13"/>
  <c r="P134" i="13" s="1"/>
  <c r="I126" i="13"/>
  <c r="P126" i="13" s="1"/>
  <c r="I118" i="13"/>
  <c r="P118" i="13" s="1"/>
  <c r="I110" i="13"/>
  <c r="P110" i="13" s="1"/>
  <c r="I102" i="13"/>
  <c r="P102" i="13" s="1"/>
  <c r="V37" i="6" a="1"/>
  <c r="V37" i="6" s="1"/>
  <c r="T35" i="6" a="1"/>
  <c r="T35" i="6" s="1"/>
  <c r="L375" i="7"/>
  <c r="U37" i="6" a="1"/>
  <c r="U37" i="6" s="1"/>
  <c r="V36" i="6" a="1"/>
  <c r="V36" i="6" s="1"/>
  <c r="B150" i="6"/>
  <c r="L212" i="7"/>
  <c r="B351" i="6"/>
  <c r="B260" i="6"/>
  <c r="B268" i="6"/>
  <c r="B247" i="6"/>
  <c r="B379" i="6"/>
  <c r="B358" i="6"/>
  <c r="B130" i="6"/>
  <c r="L72" i="7"/>
  <c r="L303" i="7"/>
  <c r="B331" i="6"/>
  <c r="L208" i="7"/>
  <c r="B192" i="6"/>
  <c r="B44" i="6"/>
  <c r="B318" i="6"/>
  <c r="L191" i="7"/>
  <c r="B167" i="6"/>
  <c r="L322" i="7"/>
  <c r="L219" i="7"/>
  <c r="B70" i="6"/>
  <c r="X37" i="6" a="1"/>
  <c r="X37" i="6" s="1"/>
  <c r="Y36" i="6" a="1"/>
  <c r="Y36" i="6" s="1"/>
  <c r="B233" i="6"/>
  <c r="Y37" i="6" a="1"/>
  <c r="Y37" i="6" s="1"/>
  <c r="L385" i="7"/>
  <c r="L94" i="7"/>
  <c r="L384" i="7"/>
  <c r="B42" i="6"/>
  <c r="B109" i="6"/>
  <c r="B117" i="6"/>
  <c r="B375" i="6"/>
  <c r="B212" i="6"/>
  <c r="B191" i="6"/>
  <c r="B323" i="6"/>
  <c r="B302" i="6"/>
  <c r="B362" i="6"/>
  <c r="B100" i="6"/>
  <c r="L57" i="7"/>
  <c r="L283" i="7"/>
  <c r="B172" i="6"/>
  <c r="B34" i="6"/>
  <c r="L40" i="7"/>
  <c r="L42" i="7"/>
  <c r="L315" i="7"/>
  <c r="B145" i="6"/>
  <c r="L378" i="7"/>
  <c r="B180" i="6"/>
  <c r="L350" i="7"/>
  <c r="L172" i="7"/>
  <c r="B287" i="6"/>
  <c r="L342" i="7"/>
  <c r="L324" i="7"/>
  <c r="L320" i="7"/>
  <c r="T37" i="6" a="1"/>
  <c r="T37" i="6" s="1"/>
  <c r="Y35" i="6" a="1"/>
  <c r="Y35" i="6" s="1"/>
  <c r="U35" i="6" a="1"/>
  <c r="U35" i="6" s="1"/>
  <c r="X35" i="6" a="1"/>
  <c r="X35" i="6" s="1"/>
  <c r="T36" i="6" a="1"/>
  <c r="T36" i="6" s="1"/>
  <c r="L13" i="7"/>
  <c r="B328" i="6"/>
  <c r="L374" i="7"/>
  <c r="B93" i="6"/>
  <c r="B299" i="6"/>
  <c r="B242" i="6"/>
  <c r="L184" i="7"/>
  <c r="B121" i="6"/>
  <c r="B61" i="6"/>
  <c r="B319" i="6"/>
  <c r="B156" i="6"/>
  <c r="B135" i="6"/>
  <c r="L267" i="7"/>
  <c r="L231" i="7"/>
  <c r="B271" i="6"/>
  <c r="B169" i="6"/>
  <c r="B21" i="6"/>
  <c r="B291" i="6"/>
  <c r="L168" i="7"/>
  <c r="L244" i="7"/>
  <c r="L365" i="7"/>
  <c r="L344" i="7"/>
  <c r="X36" i="6" a="1"/>
  <c r="X36" i="6" s="1"/>
  <c r="L296" i="7"/>
  <c r="B16" i="6"/>
  <c r="U36" i="6" a="1"/>
  <c r="U36" i="6" s="1"/>
  <c r="V35" i="6" a="1"/>
  <c r="V35" i="6" s="1"/>
  <c r="L117" i="7"/>
  <c r="L371" i="7"/>
  <c r="L366" i="7"/>
  <c r="B265" i="6"/>
  <c r="B132" i="6"/>
  <c r="L54" i="7"/>
  <c r="L33" i="7"/>
  <c r="B186" i="6"/>
  <c r="L128" i="7"/>
  <c r="L360" i="7"/>
  <c r="L287" i="7"/>
  <c r="B263" i="6"/>
  <c r="B74" i="6"/>
  <c r="L80" i="7"/>
  <c r="L196" i="7"/>
  <c r="B211" i="6"/>
  <c r="L152" i="7"/>
  <c r="B60" i="6"/>
  <c r="L17" i="7"/>
  <c r="B32" i="6"/>
  <c r="L12" i="7"/>
  <c r="B303" i="6"/>
  <c r="L285" i="7"/>
  <c r="B344" i="6"/>
  <c r="L48" i="7"/>
  <c r="L46" i="7"/>
  <c r="B30" i="6"/>
  <c r="B125" i="6"/>
  <c r="L223" i="7"/>
  <c r="B10" i="6"/>
  <c r="L43" i="7"/>
  <c r="L88" i="7"/>
  <c r="B334" i="6"/>
  <c r="L340" i="7"/>
  <c r="L259" i="7"/>
  <c r="B282" i="6"/>
  <c r="B22" i="6"/>
  <c r="L101" i="7"/>
  <c r="B105" i="6"/>
  <c r="L50" i="7"/>
  <c r="L286" i="7"/>
  <c r="L226" i="7"/>
  <c r="B104" i="6"/>
  <c r="B120" i="6"/>
  <c r="B155" i="6"/>
  <c r="L187" i="7"/>
  <c r="B124" i="6"/>
  <c r="L20" i="7"/>
  <c r="L118" i="7"/>
  <c r="B256" i="6"/>
  <c r="L269" i="7"/>
  <c r="B354" i="6"/>
  <c r="B385" i="6"/>
  <c r="L41" i="7"/>
  <c r="L83" i="7"/>
  <c r="B196" i="6"/>
  <c r="L161" i="7"/>
  <c r="L256" i="7"/>
  <c r="B69" i="6"/>
  <c r="B267" i="6"/>
  <c r="L369" i="7"/>
  <c r="B254" i="6"/>
  <c r="B103" i="6"/>
  <c r="B322" i="6"/>
  <c r="B336" i="6"/>
  <c r="B304" i="6"/>
  <c r="L247" i="7"/>
  <c r="B81" i="6"/>
  <c r="B232" i="6"/>
  <c r="B279" i="6"/>
  <c r="B289" i="6"/>
  <c r="L307" i="7"/>
  <c r="B223" i="6"/>
  <c r="B262" i="6"/>
  <c r="B144" i="6"/>
  <c r="B382" i="6"/>
  <c r="L136" i="7"/>
  <c r="L263" i="7"/>
  <c r="L298" i="7"/>
  <c r="B313" i="6"/>
  <c r="L52" i="7"/>
  <c r="B143" i="6"/>
  <c r="B276" i="6"/>
  <c r="B97" i="6"/>
  <c r="L310" i="7"/>
  <c r="B45" i="6"/>
  <c r="B311" i="6"/>
  <c r="L105" i="7"/>
  <c r="L200" i="7"/>
  <c r="L14" i="7"/>
  <c r="L155" i="7"/>
  <c r="B87" i="6"/>
  <c r="B231" i="6"/>
  <c r="L27" i="7"/>
  <c r="L274" i="7"/>
  <c r="L370" i="7"/>
  <c r="B283" i="6"/>
  <c r="L258" i="7"/>
  <c r="L331" i="7"/>
  <c r="B95" i="6"/>
  <c r="B48" i="6"/>
  <c r="L92" i="7"/>
  <c r="B31" i="6"/>
  <c r="L321" i="7"/>
  <c r="B29" i="6"/>
  <c r="L175" i="7"/>
  <c r="B387" i="6"/>
  <c r="B106" i="6"/>
  <c r="L309" i="7"/>
  <c r="B65" i="6"/>
  <c r="B178" i="6"/>
  <c r="L352" i="7"/>
  <c r="B255" i="6"/>
  <c r="L49" i="7"/>
  <c r="B228" i="6"/>
  <c r="L355" i="7"/>
  <c r="B227" i="6"/>
  <c r="L107" i="7"/>
  <c r="L61" i="7"/>
  <c r="L141" i="7"/>
  <c r="L337" i="7"/>
  <c r="B26" i="6"/>
  <c r="L123" i="7"/>
  <c r="B281" i="6"/>
  <c r="L137" i="7"/>
  <c r="L319" i="7"/>
  <c r="L333" i="7"/>
  <c r="L330" i="7"/>
  <c r="B198" i="6"/>
  <c r="L222" i="7"/>
  <c r="L116" i="7"/>
  <c r="L67" i="7"/>
  <c r="B18" i="6"/>
  <c r="L164" i="7"/>
  <c r="L112" i="7"/>
  <c r="L383" i="7"/>
  <c r="L234" i="7"/>
  <c r="L209" i="7"/>
  <c r="B138" i="6"/>
  <c r="L97" i="7"/>
  <c r="B312" i="6"/>
  <c r="B175" i="6"/>
  <c r="L84" i="7"/>
  <c r="B371" i="6"/>
  <c r="B122" i="6"/>
  <c r="L292" i="7"/>
  <c r="B199" i="6"/>
  <c r="B77" i="6"/>
  <c r="B82" i="6"/>
  <c r="B355" i="6"/>
  <c r="L329" i="7"/>
  <c r="L201" i="7"/>
  <c r="B353" i="6"/>
  <c r="L44" i="7"/>
  <c r="B112" i="6"/>
  <c r="L346" i="7"/>
  <c r="L288" i="7"/>
  <c r="L89" i="7"/>
  <c r="L211" i="7"/>
  <c r="L237" i="7"/>
  <c r="L132" i="7"/>
  <c r="L224" i="7"/>
  <c r="L26" i="7"/>
  <c r="B330" i="6"/>
  <c r="L173" i="7"/>
  <c r="L312" i="7"/>
  <c r="L192" i="7"/>
  <c r="L53" i="7"/>
  <c r="B214" i="6"/>
  <c r="B370" i="6"/>
  <c r="L255" i="7"/>
  <c r="L361" i="7"/>
  <c r="B332" i="6"/>
  <c r="L343" i="7"/>
  <c r="L334" i="7"/>
  <c r="B218" i="6"/>
  <c r="B204" i="6"/>
  <c r="B315" i="6"/>
  <c r="B66" i="6"/>
  <c r="L180" i="7"/>
  <c r="L144" i="7"/>
  <c r="B339" i="6"/>
  <c r="B188" i="6"/>
  <c r="B280" i="6"/>
  <c r="L147" i="7"/>
  <c r="L96" i="7"/>
  <c r="L157" i="7"/>
  <c r="B337" i="6"/>
  <c r="L349" i="7"/>
  <c r="L202" i="7"/>
  <c r="L32" i="7"/>
  <c r="L240" i="7"/>
  <c r="L60" i="7"/>
  <c r="B306" i="6"/>
  <c r="L245" i="7"/>
  <c r="B285" i="6"/>
  <c r="B193" i="6"/>
  <c r="L335" i="7"/>
  <c r="L51" i="7"/>
  <c r="B310" i="6"/>
  <c r="L62" i="7"/>
  <c r="L158" i="7"/>
  <c r="L183" i="7"/>
  <c r="B113" i="6"/>
  <c r="B98" i="6"/>
  <c r="B366" i="6"/>
  <c r="B114" i="6"/>
  <c r="B224" i="6"/>
  <c r="B53" i="6"/>
  <c r="B148" i="6"/>
  <c r="B259" i="6"/>
  <c r="B160" i="6"/>
  <c r="B374" i="6"/>
  <c r="B108" i="6"/>
  <c r="B37" i="6"/>
  <c r="L203" i="7"/>
  <c r="L162" i="7"/>
  <c r="B347" i="6"/>
  <c r="B137" i="6"/>
  <c r="B111" i="6"/>
  <c r="L140" i="7"/>
  <c r="B321" i="6"/>
  <c r="B52" i="6"/>
  <c r="B349" i="6"/>
  <c r="B272" i="6"/>
  <c r="B41" i="6"/>
  <c r="B249" i="6"/>
  <c r="L55" i="7"/>
  <c r="L99" i="7"/>
  <c r="B116" i="6"/>
  <c r="B314" i="6"/>
  <c r="B164" i="6"/>
  <c r="L276" i="7"/>
  <c r="L29" i="7"/>
  <c r="B170" i="6"/>
  <c r="B181" i="6"/>
  <c r="L279" i="7"/>
  <c r="B92" i="6"/>
  <c r="L133" i="7"/>
  <c r="B207" i="6"/>
  <c r="L239" i="7"/>
  <c r="L104" i="7"/>
  <c r="L299" i="7"/>
  <c r="L332" i="7"/>
  <c r="B278" i="6"/>
  <c r="L243" i="7"/>
  <c r="B352" i="6"/>
  <c r="B320" i="6"/>
  <c r="B219" i="6"/>
  <c r="L119" i="7"/>
  <c r="L326" i="7"/>
  <c r="L75" i="7"/>
  <c r="L228" i="7"/>
  <c r="B91" i="6"/>
  <c r="B17" i="6"/>
  <c r="L90" i="7"/>
  <c r="B270" i="6"/>
  <c r="L347" i="7"/>
  <c r="L248" i="7"/>
  <c r="L73" i="7"/>
  <c r="L171" i="7"/>
  <c r="L363" i="7"/>
  <c r="B275" i="6"/>
  <c r="B128" i="6"/>
  <c r="L306" i="7"/>
  <c r="B26" i="3"/>
  <c r="L24" i="7"/>
  <c r="B13" i="6"/>
  <c r="B220" i="6"/>
  <c r="L77" i="7"/>
  <c r="B58" i="6"/>
  <c r="B296" i="6"/>
  <c r="B363" i="6"/>
  <c r="L153" i="7"/>
  <c r="B73" i="6"/>
  <c r="L98" i="7"/>
  <c r="B297" i="6"/>
  <c r="B154" i="6"/>
  <c r="L186" i="7"/>
  <c r="B64" i="6"/>
  <c r="B51" i="6"/>
  <c r="B250" i="6"/>
  <c r="B194" i="6"/>
  <c r="L154" i="7"/>
  <c r="B335" i="6"/>
  <c r="L216" i="7"/>
  <c r="B295" i="6"/>
  <c r="L235" i="7"/>
  <c r="L35" i="7"/>
  <c r="L174" i="7"/>
  <c r="L289" i="7"/>
  <c r="L233" i="7"/>
  <c r="L177" i="7"/>
  <c r="B205" i="6"/>
  <c r="L86" i="7"/>
  <c r="B165" i="6"/>
  <c r="B201" i="6"/>
  <c r="L314" i="7"/>
  <c r="B27" i="6"/>
  <c r="B386" i="6"/>
  <c r="B72" i="6"/>
  <c r="L9" i="7"/>
  <c r="L182" i="7"/>
  <c r="L126" i="7"/>
  <c r="L70" i="7"/>
  <c r="B136" i="6"/>
  <c r="L376" i="7"/>
  <c r="L65" i="7"/>
  <c r="L336" i="7"/>
  <c r="B290" i="6"/>
  <c r="L301" i="7"/>
  <c r="B9" i="6"/>
  <c r="L122" i="7"/>
  <c r="L66" i="7"/>
  <c r="L10" i="7"/>
  <c r="B54" i="6"/>
  <c r="B300" i="6"/>
  <c r="B14" i="6"/>
  <c r="L250" i="7"/>
  <c r="L300" i="7"/>
  <c r="L252" i="7"/>
  <c r="L238" i="7"/>
  <c r="B55" i="6"/>
  <c r="L297" i="7"/>
  <c r="L241" i="7"/>
  <c r="B269" i="6"/>
  <c r="L150" i="7"/>
  <c r="B229" i="6"/>
  <c r="B266" i="6"/>
  <c r="L19" i="7"/>
  <c r="L135" i="7"/>
  <c r="B360" i="6"/>
  <c r="B184" i="6"/>
  <c r="L138" i="7"/>
  <c r="B182" i="6"/>
  <c r="L47" i="7"/>
  <c r="B142" i="6"/>
  <c r="L188" i="7"/>
  <c r="B239" i="6"/>
  <c r="L359" i="7"/>
  <c r="B235" i="6"/>
  <c r="B350" i="6"/>
  <c r="B294" i="6"/>
  <c r="B238" i="6"/>
  <c r="L167" i="7"/>
  <c r="B147" i="6"/>
  <c r="L127" i="7"/>
  <c r="L275" i="7"/>
  <c r="L115" i="7"/>
  <c r="L372" i="7"/>
  <c r="L338" i="7"/>
  <c r="L382" i="7"/>
  <c r="B343" i="6"/>
  <c r="L15" i="7"/>
  <c r="B340" i="6"/>
  <c r="B284" i="6"/>
  <c r="B202" i="6"/>
  <c r="L170" i="7"/>
  <c r="B162" i="6"/>
  <c r="L68" i="7"/>
  <c r="L213" i="7"/>
  <c r="B240" i="6"/>
  <c r="B237" i="6"/>
  <c r="L131" i="7"/>
  <c r="B361" i="6"/>
  <c r="B185" i="6"/>
  <c r="L185" i="7"/>
  <c r="B149" i="6"/>
  <c r="L145" i="7"/>
  <c r="B151" i="6"/>
  <c r="L34" i="7"/>
  <c r="L179" i="7"/>
  <c r="L71" i="7"/>
  <c r="B152" i="6"/>
  <c r="L130" i="7"/>
  <c r="L74" i="7"/>
  <c r="B273" i="6"/>
  <c r="L260" i="7"/>
  <c r="L30" i="7"/>
  <c r="B245" i="6"/>
  <c r="B189" i="6"/>
  <c r="B133" i="6"/>
  <c r="L78" i="7"/>
  <c r="B168" i="6"/>
  <c r="L38" i="7"/>
  <c r="L379" i="7"/>
  <c r="B241" i="6"/>
  <c r="L11" i="7"/>
  <c r="B115" i="6"/>
  <c r="B59" i="6"/>
  <c r="B258" i="6"/>
  <c r="L282" i="7"/>
  <c r="L18" i="7"/>
  <c r="L280" i="7"/>
  <c r="B359" i="6"/>
  <c r="B90" i="6"/>
  <c r="L242" i="7"/>
  <c r="L381" i="7"/>
  <c r="B301" i="6"/>
  <c r="L261" i="7"/>
  <c r="L149" i="7"/>
  <c r="B384" i="6"/>
  <c r="L249" i="7"/>
  <c r="B213" i="6"/>
  <c r="L109" i="7"/>
  <c r="B208" i="6"/>
  <c r="L251" i="7"/>
  <c r="B243" i="6"/>
  <c r="B187" i="6"/>
  <c r="B131" i="6"/>
  <c r="B129" i="6"/>
  <c r="L146" i="7"/>
  <c r="B126" i="6"/>
  <c r="L106" i="7"/>
  <c r="B326" i="6"/>
  <c r="B56" i="6"/>
  <c r="B209" i="6"/>
  <c r="L199" i="7"/>
  <c r="L148" i="7"/>
  <c r="B378" i="6"/>
  <c r="B216" i="6"/>
  <c r="B246" i="6"/>
  <c r="L111" i="7"/>
  <c r="B206" i="6"/>
  <c r="B305" i="6"/>
  <c r="L364" i="7"/>
  <c r="L265" i="7"/>
  <c r="L93" i="7"/>
  <c r="L341" i="7"/>
  <c r="B234" i="6"/>
  <c r="B94" i="6"/>
  <c r="B38" i="6"/>
  <c r="L264" i="7"/>
  <c r="B292" i="6"/>
  <c r="B146" i="6"/>
  <c r="B252" i="6"/>
  <c r="L358" i="7"/>
  <c r="L108" i="7"/>
  <c r="L197" i="7"/>
  <c r="L246" i="7"/>
  <c r="L190" i="7"/>
  <c r="L134" i="7"/>
  <c r="B346" i="6"/>
  <c r="B217" i="6"/>
  <c r="L129" i="7"/>
  <c r="B57" i="6"/>
  <c r="L189" i="7"/>
  <c r="B367" i="6"/>
  <c r="B40" i="6"/>
  <c r="L311" i="7"/>
  <c r="L367" i="7"/>
  <c r="L110" i="7"/>
  <c r="L225" i="7"/>
  <c r="L169" i="7"/>
  <c r="L113" i="7"/>
  <c r="B141" i="6"/>
  <c r="L22" i="7"/>
  <c r="B101" i="6"/>
  <c r="B372" i="6"/>
  <c r="B225" i="6"/>
  <c r="B134" i="6"/>
  <c r="L79" i="7"/>
  <c r="L23" i="7"/>
  <c r="B348" i="6"/>
  <c r="B11" i="6"/>
  <c r="L295" i="7"/>
  <c r="B226" i="6"/>
  <c r="L218" i="7"/>
  <c r="L380" i="7"/>
  <c r="L195" i="7"/>
  <c r="B25" i="6"/>
  <c r="B12" i="6"/>
  <c r="L254" i="7"/>
  <c r="L198" i="7"/>
  <c r="L139" i="7"/>
  <c r="L21" i="7"/>
  <c r="L193" i="7"/>
  <c r="B274" i="6"/>
  <c r="B49" i="6"/>
  <c r="B157" i="6"/>
  <c r="L207" i="7"/>
  <c r="L151" i="7"/>
  <c r="L95" i="7"/>
  <c r="B139" i="6"/>
  <c r="B161" i="6"/>
  <c r="B99" i="6"/>
  <c r="L7" i="7"/>
  <c r="L357" i="7"/>
  <c r="L221" i="7"/>
  <c r="L28" i="7"/>
  <c r="B307" i="6"/>
  <c r="B251" i="6"/>
  <c r="B195" i="6"/>
  <c r="B345" i="6"/>
  <c r="B248" i="6"/>
  <c r="B190" i="6"/>
  <c r="B88" i="6"/>
  <c r="L325" i="7"/>
  <c r="B298" i="6"/>
  <c r="B244" i="6"/>
  <c r="L266" i="7"/>
  <c r="L36" i="7"/>
  <c r="B324" i="6"/>
  <c r="L58" i="7"/>
  <c r="B383" i="6"/>
  <c r="B327" i="6"/>
  <c r="L272" i="7"/>
  <c r="B236" i="6"/>
  <c r="L232" i="7"/>
  <c r="L227" i="7"/>
  <c r="L100" i="7"/>
  <c r="B159" i="6"/>
  <c r="B309" i="6"/>
  <c r="B253" i="6"/>
  <c r="B197" i="6"/>
  <c r="L142" i="7"/>
  <c r="B369" i="6"/>
  <c r="L102" i="7"/>
  <c r="B264" i="6"/>
  <c r="L210" i="7"/>
  <c r="L45" i="7"/>
  <c r="L160" i="7"/>
  <c r="L143" i="7"/>
  <c r="L87" i="7"/>
  <c r="L31" i="7"/>
  <c r="B75" i="6"/>
  <c r="L291" i="7"/>
  <c r="L236" i="7"/>
  <c r="B173" i="6"/>
  <c r="B338" i="6"/>
  <c r="B153" i="6"/>
  <c r="L368" i="7"/>
  <c r="L121" i="7"/>
  <c r="B85" i="6"/>
  <c r="L81" i="7"/>
  <c r="B177" i="6"/>
  <c r="B47" i="6"/>
  <c r="B43" i="6"/>
  <c r="B158" i="6"/>
  <c r="B102" i="6"/>
  <c r="B46" i="6"/>
  <c r="B356" i="6"/>
  <c r="B210" i="6"/>
  <c r="B316" i="6"/>
  <c r="L290" i="7"/>
  <c r="L327" i="7"/>
  <c r="L373" i="7"/>
  <c r="L217" i="7"/>
  <c r="B373" i="6"/>
  <c r="B317" i="6"/>
  <c r="B261" i="6"/>
  <c r="L206" i="7"/>
  <c r="L156" i="7"/>
  <c r="L166" i="7"/>
  <c r="B377" i="6"/>
  <c r="L76" i="7"/>
  <c r="B171" i="6"/>
  <c r="B286" i="6"/>
  <c r="B230" i="6"/>
  <c r="B174" i="6"/>
  <c r="L103" i="7"/>
  <c r="B83" i="6"/>
  <c r="L63" i="7"/>
  <c r="L351" i="7"/>
  <c r="L328" i="7"/>
  <c r="B215" i="6"/>
  <c r="B308" i="6"/>
  <c r="L271" i="7"/>
  <c r="L215" i="7"/>
  <c r="L159" i="7"/>
  <c r="B203" i="6"/>
  <c r="B368" i="6"/>
  <c r="B163" i="6"/>
  <c r="B257" i="6"/>
  <c r="L25" i="7"/>
  <c r="L281" i="7"/>
  <c r="B179" i="6"/>
  <c r="B118" i="6"/>
  <c r="B78" i="6"/>
  <c r="L317" i="7"/>
  <c r="L345" i="7"/>
  <c r="L165" i="7"/>
  <c r="B277" i="6"/>
  <c r="L377" i="7"/>
  <c r="B33" i="6"/>
  <c r="B183" i="6"/>
  <c r="B71" i="6"/>
  <c r="L278" i="7"/>
  <c r="B176" i="6"/>
  <c r="L91" i="7"/>
  <c r="B222" i="6"/>
  <c r="L82" i="7"/>
  <c r="L37" i="7"/>
  <c r="L125" i="7"/>
  <c r="B20" i="6"/>
  <c r="L268" i="7"/>
  <c r="L257" i="7"/>
  <c r="L124" i="7"/>
  <c r="L205" i="7"/>
  <c r="B96" i="6"/>
  <c r="L293" i="7"/>
  <c r="B341" i="6"/>
  <c r="B80" i="6"/>
  <c r="L114" i="7"/>
  <c r="B123" i="6"/>
  <c r="L362" i="7"/>
  <c r="B200" i="6"/>
  <c r="B342" i="6"/>
  <c r="B381" i="6"/>
  <c r="L270" i="7"/>
  <c r="L230" i="7"/>
  <c r="L339" i="7"/>
  <c r="B24" i="6"/>
  <c r="B84" i="6"/>
  <c r="L348" i="7"/>
  <c r="B23" i="6"/>
  <c r="L220" i="7"/>
  <c r="B166" i="6"/>
  <c r="B19" i="6"/>
  <c r="L313" i="7"/>
  <c r="L302" i="7"/>
  <c r="B63" i="6"/>
  <c r="B333" i="6"/>
  <c r="B293" i="6"/>
  <c r="B329" i="6"/>
  <c r="B86" i="6"/>
  <c r="L64" i="7"/>
  <c r="B36" i="6"/>
  <c r="L294" i="7"/>
  <c r="B288" i="6"/>
  <c r="B67" i="6"/>
  <c r="B364" i="6"/>
  <c r="L176" i="7"/>
  <c r="B365" i="6"/>
  <c r="L277" i="7"/>
  <c r="B15" i="6"/>
  <c r="L273" i="7"/>
  <c r="L318" i="7"/>
  <c r="B68" i="6"/>
  <c r="B127" i="6"/>
  <c r="L16" i="7"/>
  <c r="B357" i="6"/>
  <c r="L69" i="7"/>
  <c r="B110" i="6"/>
  <c r="B62" i="6"/>
  <c r="B221" i="6"/>
  <c r="B76" i="6"/>
  <c r="L262" i="7"/>
  <c r="L181" i="7"/>
  <c r="L85" i="7"/>
  <c r="L253" i="7"/>
  <c r="B50" i="6"/>
  <c r="L353" i="7"/>
  <c r="B79" i="6"/>
  <c r="B39" i="6"/>
  <c r="L163" i="7"/>
  <c r="L354" i="7"/>
  <c r="B35" i="6"/>
  <c r="B89" i="6"/>
  <c r="L56" i="7"/>
  <c r="B325" i="6"/>
  <c r="L284" i="7"/>
  <c r="L204" i="7"/>
  <c r="L178" i="7"/>
  <c r="B140" i="6"/>
  <c r="B28" i="6"/>
  <c r="L304" i="7"/>
  <c r="L229" i="7"/>
  <c r="L59" i="7"/>
  <c r="B107" i="6"/>
  <c r="L39" i="7"/>
  <c r="B380" i="6"/>
  <c r="L323" i="7"/>
  <c r="B119" i="6"/>
  <c r="L305" i="7"/>
  <c r="L214" i="7"/>
  <c r="B376" i="6"/>
  <c r="L308" i="7"/>
  <c r="L120" i="7"/>
  <c r="L8" i="7"/>
  <c r="L356" i="7"/>
  <c r="L316" i="7"/>
  <c r="L194" i="7"/>
  <c r="BF9" i="6" l="1"/>
  <c r="O6" i="6" s="1" a="1"/>
  <c r="O6" i="6" s="1"/>
  <c r="G751" i="17"/>
  <c r="H103" i="17"/>
  <c r="G508" i="17"/>
  <c r="G211" i="17"/>
  <c r="H454" i="17"/>
  <c r="H751" i="17"/>
  <c r="H455" i="17"/>
  <c r="G49" i="17"/>
  <c r="H373" i="17"/>
  <c r="H562" i="17"/>
  <c r="H157" i="17"/>
  <c r="H238" i="17"/>
  <c r="G887" i="17"/>
  <c r="G589" i="17"/>
  <c r="G130" i="17"/>
  <c r="G617" i="17"/>
  <c r="H914" i="17"/>
  <c r="G670" i="17"/>
  <c r="H833" i="17"/>
  <c r="H50" i="17"/>
  <c r="G401" i="17"/>
  <c r="H913" i="17"/>
  <c r="G293" i="17"/>
  <c r="H292" i="17"/>
  <c r="H158" i="17"/>
  <c r="G535" i="17"/>
  <c r="B26" i="17"/>
  <c r="G265" i="17"/>
  <c r="H563" i="17"/>
  <c r="G346" i="17"/>
  <c r="G724" i="17"/>
  <c r="G22" i="17"/>
  <c r="H589" i="17"/>
  <c r="G725" i="17"/>
  <c r="G455" i="17"/>
  <c r="H104" i="17"/>
  <c r="H752" i="17"/>
  <c r="G131" i="17"/>
  <c r="G319" i="17"/>
  <c r="H806" i="17"/>
  <c r="H428" i="17"/>
  <c r="H374" i="17"/>
  <c r="G859" i="17"/>
  <c r="G778" i="17"/>
  <c r="H347" i="17"/>
  <c r="G103" i="17"/>
  <c r="H184" i="17"/>
  <c r="G266" i="17"/>
  <c r="G104" i="17"/>
  <c r="H644" i="17"/>
  <c r="H697" i="17"/>
  <c r="H671" i="17"/>
  <c r="H427" i="17"/>
  <c r="G697" i="17"/>
  <c r="G590" i="17"/>
  <c r="G77" i="17"/>
  <c r="H49" i="17"/>
  <c r="H859" i="17"/>
  <c r="H536" i="17"/>
  <c r="H508" i="17"/>
  <c r="H23" i="17"/>
  <c r="H616" i="17"/>
  <c r="G779" i="17"/>
  <c r="H319" i="17"/>
  <c r="H643" i="17"/>
  <c r="G238" i="17"/>
  <c r="H778" i="17"/>
  <c r="G158" i="17"/>
  <c r="G698" i="17"/>
  <c r="H131" i="17"/>
  <c r="G157" i="17"/>
  <c r="H400" i="17"/>
  <c r="H860" i="17"/>
  <c r="H724" i="17"/>
  <c r="G185" i="17"/>
  <c r="H698" i="17"/>
  <c r="H590" i="17"/>
  <c r="H481" i="17"/>
  <c r="G50" i="17"/>
  <c r="G347" i="17"/>
  <c r="G671" i="17"/>
  <c r="H401" i="17"/>
  <c r="H293" i="17"/>
  <c r="H482" i="17"/>
  <c r="H346" i="17"/>
  <c r="G860" i="17"/>
  <c r="G454" i="17"/>
  <c r="G643" i="17"/>
  <c r="H886" i="17"/>
  <c r="G914" i="17"/>
  <c r="G427" i="17"/>
  <c r="H670" i="17"/>
  <c r="H185" i="17"/>
  <c r="H265" i="17"/>
  <c r="G212" i="17"/>
  <c r="G320" i="17"/>
  <c r="H266" i="17"/>
  <c r="G509" i="17"/>
  <c r="H617" i="17"/>
  <c r="G644" i="17"/>
  <c r="H832" i="17"/>
  <c r="H77" i="17"/>
  <c r="H887" i="17"/>
  <c r="G374" i="17"/>
  <c r="G805" i="17"/>
  <c r="G76" i="17"/>
  <c r="H239" i="17"/>
  <c r="G833" i="17"/>
  <c r="G428" i="17"/>
  <c r="G562" i="17"/>
  <c r="G239" i="17"/>
  <c r="H805" i="17"/>
  <c r="G292" i="17"/>
  <c r="H535" i="17"/>
  <c r="G563" i="17"/>
  <c r="H211" i="17"/>
  <c r="G536" i="17"/>
  <c r="G482" i="17"/>
  <c r="H22" i="17"/>
  <c r="H320" i="17"/>
  <c r="H130" i="17"/>
  <c r="H212" i="17"/>
  <c r="H725" i="17"/>
  <c r="G373" i="17"/>
  <c r="G832" i="17"/>
  <c r="I832" i="17" s="1"/>
  <c r="G23" i="17"/>
  <c r="G616" i="17"/>
  <c r="G913" i="17"/>
  <c r="G481" i="17"/>
  <c r="G886" i="17"/>
  <c r="H509" i="17"/>
  <c r="H779" i="17"/>
  <c r="G400" i="17"/>
  <c r="G184" i="17"/>
  <c r="H76" i="17"/>
  <c r="G752" i="17"/>
  <c r="G806" i="17"/>
  <c r="M7" i="3" a="1"/>
  <c r="M7" i="3" s="1"/>
  <c r="G22" i="3"/>
  <c r="G16" i="3"/>
  <c r="G4" i="3"/>
  <c r="G13" i="3"/>
  <c r="G5" i="3"/>
  <c r="H23" i="3"/>
  <c r="Z37" i="6"/>
  <c r="H14" i="3"/>
  <c r="G18" i="3"/>
  <c r="H7" i="3"/>
  <c r="G19" i="3"/>
  <c r="G23" i="3"/>
  <c r="G21" i="3"/>
  <c r="Z35" i="6"/>
  <c r="H18" i="3"/>
  <c r="H4" i="3"/>
  <c r="G12" i="3"/>
  <c r="H6" i="3"/>
  <c r="H20" i="3"/>
  <c r="G14" i="3"/>
  <c r="M20" i="3" a="1"/>
  <c r="M20" i="3" s="1"/>
  <c r="M15" i="3" a="1"/>
  <c r="M15" i="3" s="1"/>
  <c r="L11" i="3" a="1"/>
  <c r="L11" i="3" s="1"/>
  <c r="G9" i="3"/>
  <c r="H22" i="3"/>
  <c r="I22" i="3" s="1"/>
  <c r="G20" i="3"/>
  <c r="H19" i="3"/>
  <c r="M17" i="3" a="1"/>
  <c r="M17" i="3" s="1"/>
  <c r="M11" i="3" a="1"/>
  <c r="M11" i="3" s="1"/>
  <c r="H8" i="3"/>
  <c r="L10" i="3" a="1"/>
  <c r="L10" i="3" s="1"/>
  <c r="N17" i="3" a="1"/>
  <c r="N17" i="3" s="1"/>
  <c r="H11" i="3"/>
  <c r="N9" i="3" a="1"/>
  <c r="N9" i="3" s="1"/>
  <c r="G15" i="3"/>
  <c r="N4" i="3" a="1"/>
  <c r="N4" i="3" s="1"/>
  <c r="G6" i="3"/>
  <c r="I6" i="3" s="1"/>
  <c r="L16" i="3" a="1"/>
  <c r="L16" i="3" s="1"/>
  <c r="H16" i="3"/>
  <c r="M19" i="3" a="1"/>
  <c r="M19" i="3" s="1"/>
  <c r="G11" i="3"/>
  <c r="N22" i="3" a="1"/>
  <c r="N22" i="3" s="1"/>
  <c r="H15" i="3"/>
  <c r="N5" i="3" a="1"/>
  <c r="N5" i="3" s="1"/>
  <c r="M6" i="3" a="1"/>
  <c r="M6" i="3" s="1"/>
  <c r="N18" i="3" a="1"/>
  <c r="N18" i="3" s="1"/>
  <c r="L9" i="3" a="1"/>
  <c r="L9" i="3" s="1"/>
  <c r="N19" i="3" a="1"/>
  <c r="N19" i="3" s="1"/>
  <c r="N12" i="3" a="1"/>
  <c r="N12" i="3" s="1"/>
  <c r="L7" i="3" a="1"/>
  <c r="L7" i="3" s="1"/>
  <c r="N20" i="3" a="1"/>
  <c r="N20" i="3" s="1"/>
  <c r="G8" i="3"/>
  <c r="M9" i="3" a="1"/>
  <c r="M9" i="3" s="1"/>
  <c r="M14" i="3" a="1"/>
  <c r="M14" i="3" s="1"/>
  <c r="L23" i="3" a="1"/>
  <c r="L23" i="3" s="1"/>
  <c r="M21" i="3" a="1"/>
  <c r="M21" i="3" s="1"/>
  <c r="N15" i="3" a="1"/>
  <c r="N15" i="3" s="1"/>
  <c r="H12" i="3"/>
  <c r="H21" i="3"/>
  <c r="L14" i="3" a="1"/>
  <c r="L14" i="3" s="1"/>
  <c r="M10" i="3" a="1"/>
  <c r="M10" i="3" s="1"/>
  <c r="M16" i="3" a="1"/>
  <c r="M16" i="3" s="1"/>
  <c r="L22" i="3" a="1"/>
  <c r="L22" i="3" s="1"/>
  <c r="N11" i="3" a="1"/>
  <c r="N11" i="3" s="1"/>
  <c r="N6" i="3" a="1"/>
  <c r="N6" i="3" s="1"/>
  <c r="M22" i="3" a="1"/>
  <c r="M22" i="3" s="1"/>
  <c r="M8" i="3" a="1"/>
  <c r="M8" i="3" s="1"/>
  <c r="M23" i="3" a="1"/>
  <c r="M23" i="3" s="1"/>
  <c r="N10" i="3" a="1"/>
  <c r="N10" i="3" s="1"/>
  <c r="L17" i="3" a="1"/>
  <c r="L17" i="3" s="1"/>
  <c r="M5" i="3" a="1"/>
  <c r="M5" i="3" s="1"/>
  <c r="N23" i="3" a="1"/>
  <c r="N23" i="3" s="1"/>
  <c r="N8" i="3" a="1"/>
  <c r="N8" i="3" s="1"/>
  <c r="L4" i="3" a="1"/>
  <c r="L4" i="3" s="1"/>
  <c r="L12" i="3" a="1"/>
  <c r="L12" i="3" s="1"/>
  <c r="M12" i="3" a="1"/>
  <c r="M12" i="3" s="1"/>
  <c r="L18" i="3" a="1"/>
  <c r="L18" i="3" s="1"/>
  <c r="M18" i="3" a="1"/>
  <c r="M18" i="3" s="1"/>
  <c r="N21" i="3" a="1"/>
  <c r="N21" i="3" s="1"/>
  <c r="N13" i="3" a="1"/>
  <c r="N13" i="3" s="1"/>
  <c r="M4" i="3" a="1"/>
  <c r="M4" i="3" s="1"/>
  <c r="L13" i="3" a="1"/>
  <c r="L13" i="3" s="1"/>
  <c r="H9" i="3"/>
  <c r="N16" i="3" a="1"/>
  <c r="N16" i="3" s="1"/>
  <c r="L21" i="3" a="1"/>
  <c r="L21" i="3" s="1"/>
  <c r="N14" i="3" a="1"/>
  <c r="N14" i="3" s="1"/>
  <c r="L19" i="3" a="1"/>
  <c r="L19" i="3" s="1"/>
  <c r="L15" i="3" a="1"/>
  <c r="L15" i="3" s="1"/>
  <c r="L8" i="3" a="1"/>
  <c r="L8" i="3" s="1"/>
  <c r="N7" i="3" a="1"/>
  <c r="N7" i="3" s="1"/>
  <c r="M13" i="3" a="1"/>
  <c r="M13" i="3" s="1"/>
  <c r="L20" i="3" a="1"/>
  <c r="L20" i="3" s="1"/>
  <c r="L5" i="3" a="1"/>
  <c r="L5" i="3" s="1"/>
  <c r="H5" i="3"/>
  <c r="G17" i="3"/>
  <c r="H17" i="3"/>
  <c r="H10" i="3"/>
  <c r="O10" i="13"/>
  <c r="K10" i="13"/>
  <c r="G95" i="17"/>
  <c r="G14" i="17"/>
  <c r="G284" i="17"/>
  <c r="G338" i="17"/>
  <c r="G41" i="17"/>
  <c r="H9" i="17"/>
  <c r="G203" i="17"/>
  <c r="G176" i="17"/>
  <c r="G68" i="17"/>
  <c r="G257" i="17"/>
  <c r="G149" i="17"/>
  <c r="G230" i="17"/>
  <c r="G122" i="17"/>
  <c r="G311" i="17"/>
  <c r="G770" i="17"/>
  <c r="G392" i="17"/>
  <c r="G365" i="17"/>
  <c r="G662" i="17"/>
  <c r="G878" i="17"/>
  <c r="G635" i="17"/>
  <c r="G932" i="17"/>
  <c r="G1013" i="17"/>
  <c r="G959" i="17"/>
  <c r="G581" i="17"/>
  <c r="G824" i="17"/>
  <c r="G500" i="17"/>
  <c r="G716" i="17"/>
  <c r="G608" i="17"/>
  <c r="G905" i="17"/>
  <c r="G527" i="17"/>
  <c r="G689" i="17"/>
  <c r="G986" i="17"/>
  <c r="G851" i="17"/>
  <c r="G743" i="17"/>
  <c r="G473" i="17"/>
  <c r="G419" i="17"/>
  <c r="G554" i="17"/>
  <c r="G446" i="17"/>
  <c r="G797" i="17"/>
  <c r="O26" i="13"/>
  <c r="K26" i="13"/>
  <c r="O42" i="13"/>
  <c r="K42" i="13"/>
  <c r="O58" i="13"/>
  <c r="K58" i="13"/>
  <c r="O74" i="13"/>
  <c r="K74" i="13"/>
  <c r="O90" i="13"/>
  <c r="K90" i="13"/>
  <c r="P4" i="13"/>
  <c r="H94" i="17"/>
  <c r="H985" i="17"/>
  <c r="H931" i="17"/>
  <c r="H580" i="17"/>
  <c r="H472" i="17"/>
  <c r="H904" i="17"/>
  <c r="H229" i="17"/>
  <c r="H175" i="17"/>
  <c r="H67" i="17"/>
  <c r="H958" i="17"/>
  <c r="H283" i="17"/>
  <c r="H1012" i="17"/>
  <c r="H688" i="17"/>
  <c r="H823" i="17"/>
  <c r="H121" i="17"/>
  <c r="H526" i="17"/>
  <c r="H391" i="17"/>
  <c r="H742" i="17"/>
  <c r="H499" i="17"/>
  <c r="H13" i="17"/>
  <c r="H40" i="17"/>
  <c r="H364" i="17"/>
  <c r="G16" i="17"/>
  <c r="H877" i="17"/>
  <c r="H796" i="17"/>
  <c r="H310" i="17"/>
  <c r="H148" i="17"/>
  <c r="H661" i="17"/>
  <c r="H607" i="17"/>
  <c r="H769" i="17"/>
  <c r="H715" i="17"/>
  <c r="H418" i="17"/>
  <c r="H202" i="17"/>
  <c r="H850" i="17"/>
  <c r="H634" i="17"/>
  <c r="H445" i="17"/>
  <c r="H256" i="17"/>
  <c r="H553" i="17"/>
  <c r="H337" i="17"/>
  <c r="P20" i="13"/>
  <c r="H495" i="17"/>
  <c r="H117" i="17"/>
  <c r="H198" i="17"/>
  <c r="H549" i="17"/>
  <c r="H954" i="17"/>
  <c r="H576" i="17"/>
  <c r="H981" i="17"/>
  <c r="H603" i="17"/>
  <c r="H738" i="17"/>
  <c r="H279" i="17"/>
  <c r="H441" i="17"/>
  <c r="H144" i="17"/>
  <c r="H306" i="17"/>
  <c r="H360" i="17"/>
  <c r="H522" i="17"/>
  <c r="H171" i="17"/>
  <c r="H63" i="17"/>
  <c r="H684" i="17"/>
  <c r="H819" i="17"/>
  <c r="H657" i="17"/>
  <c r="H846" i="17"/>
  <c r="H1008" i="17"/>
  <c r="H873" i="17"/>
  <c r="H414" i="17"/>
  <c r="H630" i="17"/>
  <c r="H900" i="17"/>
  <c r="H711" i="17"/>
  <c r="H90" i="17"/>
  <c r="H468" i="17"/>
  <c r="H927" i="17"/>
  <c r="H225" i="17"/>
  <c r="H792" i="17"/>
  <c r="H252" i="17"/>
  <c r="H765" i="17"/>
  <c r="H36" i="17"/>
  <c r="H333" i="17"/>
  <c r="H387" i="17"/>
  <c r="O264" i="13"/>
  <c r="K264" i="13"/>
  <c r="O9" i="13"/>
  <c r="K9" i="13"/>
  <c r="H21" i="17"/>
  <c r="G58" i="17"/>
  <c r="G85" i="17"/>
  <c r="G139" i="17"/>
  <c r="G166" i="17"/>
  <c r="G760" i="17"/>
  <c r="G247" i="17"/>
  <c r="G733" i="17"/>
  <c r="G490" i="17"/>
  <c r="G328" i="17"/>
  <c r="G409" i="17"/>
  <c r="G787" i="17"/>
  <c r="G112" i="17"/>
  <c r="G382" i="17"/>
  <c r="G517" i="17"/>
  <c r="G841" i="17"/>
  <c r="G598" i="17"/>
  <c r="G949" i="17"/>
  <c r="G814" i="17"/>
  <c r="G1003" i="17"/>
  <c r="G571" i="17"/>
  <c r="G976" i="17"/>
  <c r="G679" i="17"/>
  <c r="G463" i="17"/>
  <c r="G31" i="17"/>
  <c r="G922" i="17"/>
  <c r="G193" i="17"/>
  <c r="G274" i="17"/>
  <c r="G652" i="17"/>
  <c r="G4" i="17"/>
  <c r="G625" i="17"/>
  <c r="G868" i="17"/>
  <c r="G301" i="17"/>
  <c r="G220" i="17"/>
  <c r="G544" i="17"/>
  <c r="G706" i="17"/>
  <c r="G355" i="17"/>
  <c r="G895" i="17"/>
  <c r="G436" i="17"/>
  <c r="O25" i="13"/>
  <c r="K25" i="13"/>
  <c r="O41" i="13"/>
  <c r="K41" i="13"/>
  <c r="O57" i="13"/>
  <c r="K57" i="13"/>
  <c r="O73" i="13"/>
  <c r="K73" i="13"/>
  <c r="O89" i="13"/>
  <c r="K89" i="13"/>
  <c r="P5" i="13"/>
  <c r="H359" i="17"/>
  <c r="H791" i="17"/>
  <c r="H116" i="17"/>
  <c r="H8" i="17"/>
  <c r="H602" i="17"/>
  <c r="H35" i="17"/>
  <c r="H764" i="17"/>
  <c r="H845" i="17"/>
  <c r="H953" i="17"/>
  <c r="G19" i="17"/>
  <c r="H818" i="17"/>
  <c r="H656" i="17"/>
  <c r="H629" i="17"/>
  <c r="H737" i="17"/>
  <c r="H521" i="17"/>
  <c r="H494" i="17"/>
  <c r="H251" i="17"/>
  <c r="H548" i="17"/>
  <c r="H467" i="17"/>
  <c r="H62" i="17"/>
  <c r="H332" i="17"/>
  <c r="H683" i="17"/>
  <c r="H278" i="17"/>
  <c r="H926" i="17"/>
  <c r="H170" i="17"/>
  <c r="H872" i="17"/>
  <c r="H386" i="17"/>
  <c r="H575" i="17"/>
  <c r="H143" i="17"/>
  <c r="H440" i="17"/>
  <c r="H197" i="17"/>
  <c r="H710" i="17"/>
  <c r="H224" i="17"/>
  <c r="H980" i="17"/>
  <c r="H305" i="17"/>
  <c r="H89" i="17"/>
  <c r="H413" i="17"/>
  <c r="H1007" i="17"/>
  <c r="H899" i="17"/>
  <c r="P21" i="13"/>
  <c r="H464" i="17"/>
  <c r="H923" i="17"/>
  <c r="H842" i="17"/>
  <c r="H275" i="17"/>
  <c r="H599" i="17"/>
  <c r="H167" i="17"/>
  <c r="H32" i="17"/>
  <c r="H437" i="17"/>
  <c r="H896" i="17"/>
  <c r="H626" i="17"/>
  <c r="H491" i="17"/>
  <c r="H410" i="17"/>
  <c r="H356" i="17"/>
  <c r="H329" i="17"/>
  <c r="H518" i="17"/>
  <c r="H59" i="17"/>
  <c r="H977" i="17"/>
  <c r="H140" i="17"/>
  <c r="H788" i="17"/>
  <c r="H680" i="17"/>
  <c r="H545" i="17"/>
  <c r="H1004" i="17"/>
  <c r="H653" i="17"/>
  <c r="H194" i="17"/>
  <c r="H383" i="17"/>
  <c r="H707" i="17"/>
  <c r="H950" i="17"/>
  <c r="H302" i="17"/>
  <c r="H86" i="17"/>
  <c r="H761" i="17"/>
  <c r="H221" i="17"/>
  <c r="H734" i="17"/>
  <c r="H869" i="17"/>
  <c r="H248" i="17"/>
  <c r="H572" i="17"/>
  <c r="H113" i="17"/>
  <c r="H815" i="17"/>
  <c r="O248" i="13"/>
  <c r="K248" i="13"/>
  <c r="O111" i="13"/>
  <c r="K111" i="13"/>
  <c r="O127" i="13"/>
  <c r="K127" i="13"/>
  <c r="O143" i="13"/>
  <c r="K143" i="13"/>
  <c r="O159" i="13"/>
  <c r="K159" i="13"/>
  <c r="O175" i="13"/>
  <c r="K175" i="13"/>
  <c r="K191" i="13"/>
  <c r="O191" i="13"/>
  <c r="O207" i="13"/>
  <c r="K207" i="13"/>
  <c r="O223" i="13"/>
  <c r="K223" i="13"/>
  <c r="O307" i="13"/>
  <c r="K307" i="13"/>
  <c r="O302" i="13"/>
  <c r="K302" i="13"/>
  <c r="O230" i="13"/>
  <c r="K230" i="13"/>
  <c r="O329" i="13"/>
  <c r="K329" i="13"/>
  <c r="O251" i="13"/>
  <c r="K251" i="13"/>
  <c r="O292" i="13"/>
  <c r="K292" i="13"/>
  <c r="O362" i="13"/>
  <c r="K362" i="13"/>
  <c r="O112" i="13"/>
  <c r="K112" i="13"/>
  <c r="O128" i="13"/>
  <c r="K128" i="13"/>
  <c r="O144" i="13"/>
  <c r="K144" i="13"/>
  <c r="O160" i="13"/>
  <c r="K160" i="13"/>
  <c r="O176" i="13"/>
  <c r="K176" i="13"/>
  <c r="O192" i="13"/>
  <c r="K192" i="13"/>
  <c r="O208" i="13"/>
  <c r="K208" i="13"/>
  <c r="O224" i="13"/>
  <c r="K224" i="13"/>
  <c r="O265" i="13"/>
  <c r="K265" i="13"/>
  <c r="O311" i="13"/>
  <c r="K311" i="13"/>
  <c r="O322" i="13"/>
  <c r="K322" i="13"/>
  <c r="O238" i="13"/>
  <c r="K238" i="13"/>
  <c r="O341" i="13"/>
  <c r="K341" i="13"/>
  <c r="O291" i="13"/>
  <c r="K291" i="13"/>
  <c r="O370" i="13"/>
  <c r="K370" i="13"/>
  <c r="O357" i="13"/>
  <c r="K357" i="13"/>
  <c r="O373" i="13"/>
  <c r="K373" i="13"/>
  <c r="O12" i="13"/>
  <c r="K12" i="13"/>
  <c r="G442" i="17"/>
  <c r="G847" i="17"/>
  <c r="G496" i="17"/>
  <c r="G955" i="17"/>
  <c r="G685" i="17"/>
  <c r="G307" i="17"/>
  <c r="G145" i="17"/>
  <c r="G658" i="17"/>
  <c r="G982" i="17"/>
  <c r="G550" i="17"/>
  <c r="G253" i="17"/>
  <c r="G928" i="17"/>
  <c r="G820" i="17"/>
  <c r="G361" i="17"/>
  <c r="G577" i="17"/>
  <c r="G766" i="17"/>
  <c r="G604" i="17"/>
  <c r="H15" i="17"/>
  <c r="G226" i="17"/>
  <c r="G631" i="17"/>
  <c r="G1009" i="17"/>
  <c r="G739" i="17"/>
  <c r="G118" i="17"/>
  <c r="G91" i="17"/>
  <c r="G523" i="17"/>
  <c r="G37" i="17"/>
  <c r="G793" i="17"/>
  <c r="G469" i="17"/>
  <c r="G901" i="17"/>
  <c r="G64" i="17"/>
  <c r="G199" i="17"/>
  <c r="G172" i="17"/>
  <c r="G712" i="17"/>
  <c r="G10" i="17"/>
  <c r="G415" i="17"/>
  <c r="G388" i="17"/>
  <c r="G334" i="17"/>
  <c r="G874" i="17"/>
  <c r="G280" i="17"/>
  <c r="O28" i="13"/>
  <c r="K28" i="13"/>
  <c r="O44" i="13"/>
  <c r="K44" i="13"/>
  <c r="O60" i="13"/>
  <c r="K60" i="13"/>
  <c r="O76" i="13"/>
  <c r="K76" i="13"/>
  <c r="O92" i="13"/>
  <c r="K92" i="13"/>
  <c r="P6" i="13"/>
  <c r="H92" i="17"/>
  <c r="H659" i="17"/>
  <c r="H173" i="17"/>
  <c r="H605" i="17"/>
  <c r="H578" i="17"/>
  <c r="H686" i="17"/>
  <c r="H524" i="17"/>
  <c r="H227" i="17"/>
  <c r="H713" i="17"/>
  <c r="G18" i="17"/>
  <c r="H929" i="17"/>
  <c r="H956" i="17"/>
  <c r="H767" i="17"/>
  <c r="H1010" i="17"/>
  <c r="H740" i="17"/>
  <c r="H416" i="17"/>
  <c r="H362" i="17"/>
  <c r="H794" i="17"/>
  <c r="H551" i="17"/>
  <c r="H470" i="17"/>
  <c r="H119" i="17"/>
  <c r="H11" i="17"/>
  <c r="H848" i="17"/>
  <c r="H146" i="17"/>
  <c r="H983" i="17"/>
  <c r="H200" i="17"/>
  <c r="H281" i="17"/>
  <c r="H902" i="17"/>
  <c r="H38" i="17"/>
  <c r="H821" i="17"/>
  <c r="H65" i="17"/>
  <c r="H254" i="17"/>
  <c r="H443" i="17"/>
  <c r="H389" i="17"/>
  <c r="H497" i="17"/>
  <c r="H308" i="17"/>
  <c r="H632" i="17"/>
  <c r="H335" i="17"/>
  <c r="H875" i="17"/>
  <c r="O240" i="13"/>
  <c r="K240" i="13"/>
  <c r="K11" i="13"/>
  <c r="O11" i="13"/>
  <c r="G331" i="17"/>
  <c r="G736" i="17"/>
  <c r="G871" i="17"/>
  <c r="G412" i="17"/>
  <c r="G196" i="17"/>
  <c r="G88" i="17"/>
  <c r="G709" i="17"/>
  <c r="G574" i="17"/>
  <c r="G61" i="17"/>
  <c r="G898" i="17"/>
  <c r="G7" i="17"/>
  <c r="G34" i="17"/>
  <c r="G925" i="17"/>
  <c r="G439" i="17"/>
  <c r="G817" i="17"/>
  <c r="G790" i="17"/>
  <c r="G385" i="17"/>
  <c r="G952" i="17"/>
  <c r="G520" i="17"/>
  <c r="G601" i="17"/>
  <c r="G169" i="17"/>
  <c r="G493" i="17"/>
  <c r="G844" i="17"/>
  <c r="G250" i="17"/>
  <c r="G223" i="17"/>
  <c r="H5" i="17"/>
  <c r="G763" i="17"/>
  <c r="G142" i="17"/>
  <c r="G358" i="17"/>
  <c r="G547" i="17"/>
  <c r="G466" i="17"/>
  <c r="G655" i="17"/>
  <c r="G682" i="17"/>
  <c r="G304" i="17"/>
  <c r="G1006" i="17"/>
  <c r="G115" i="17"/>
  <c r="G979" i="17"/>
  <c r="G277" i="17"/>
  <c r="G628" i="17"/>
  <c r="O27" i="13"/>
  <c r="K27" i="13"/>
  <c r="O43" i="13"/>
  <c r="K43" i="13"/>
  <c r="O59" i="13"/>
  <c r="K59" i="13"/>
  <c r="O75" i="13"/>
  <c r="K75" i="13"/>
  <c r="O91" i="13"/>
  <c r="K91" i="13"/>
  <c r="P7" i="13"/>
  <c r="H530" i="17"/>
  <c r="H98" i="17"/>
  <c r="H395" i="17"/>
  <c r="H206" i="17"/>
  <c r="H422" i="17"/>
  <c r="H638" i="17"/>
  <c r="H908" i="17"/>
  <c r="H314" i="17"/>
  <c r="H44" i="17"/>
  <c r="H692" i="17"/>
  <c r="H260" i="17"/>
  <c r="H1016" i="17"/>
  <c r="H449" i="17"/>
  <c r="H341" i="17"/>
  <c r="H881" i="17"/>
  <c r="H368" i="17"/>
  <c r="H125" i="17"/>
  <c r="H746" i="17"/>
  <c r="H233" i="17"/>
  <c r="H584" i="17"/>
  <c r="H611" i="17"/>
  <c r="H989" i="17"/>
  <c r="H719" i="17"/>
  <c r="G12" i="17"/>
  <c r="H854" i="17"/>
  <c r="H503" i="17"/>
  <c r="H827" i="17"/>
  <c r="H935" i="17"/>
  <c r="H71" i="17"/>
  <c r="H152" i="17"/>
  <c r="H773" i="17"/>
  <c r="H665" i="17"/>
  <c r="H17" i="17"/>
  <c r="H962" i="17"/>
  <c r="H287" i="17"/>
  <c r="H557" i="17"/>
  <c r="H800" i="17"/>
  <c r="H476" i="17"/>
  <c r="H179" i="17"/>
  <c r="O255" i="13"/>
  <c r="K255" i="13"/>
  <c r="O113" i="13"/>
  <c r="K113" i="13"/>
  <c r="O129" i="13"/>
  <c r="K129" i="13"/>
  <c r="O145" i="13"/>
  <c r="K145" i="13"/>
  <c r="O161" i="13"/>
  <c r="K161" i="13"/>
  <c r="O177" i="13"/>
  <c r="K177" i="13"/>
  <c r="O193" i="13"/>
  <c r="K193" i="13"/>
  <c r="O209" i="13"/>
  <c r="K209" i="13"/>
  <c r="O225" i="13"/>
  <c r="K225" i="13"/>
  <c r="O266" i="13"/>
  <c r="K266" i="13"/>
  <c r="O315" i="13"/>
  <c r="K315" i="13"/>
  <c r="K310" i="13"/>
  <c r="O310" i="13"/>
  <c r="G940" i="17"/>
  <c r="G967" i="17"/>
  <c r="G1021" i="17"/>
  <c r="G1022" i="17"/>
  <c r="G994" i="17"/>
  <c r="G968" i="17"/>
  <c r="G941" i="17"/>
  <c r="G995" i="17"/>
  <c r="O237" i="13"/>
  <c r="K237" i="13"/>
  <c r="O278" i="13"/>
  <c r="K278" i="13"/>
  <c r="O337" i="13"/>
  <c r="K337" i="13"/>
  <c r="O300" i="13"/>
  <c r="K300" i="13"/>
  <c r="O378" i="13"/>
  <c r="K378" i="13"/>
  <c r="O114" i="13"/>
  <c r="K114" i="13"/>
  <c r="O130" i="13"/>
  <c r="K130" i="13"/>
  <c r="O146" i="13"/>
  <c r="K146" i="13"/>
  <c r="O162" i="13"/>
  <c r="K162" i="13"/>
  <c r="O178" i="13"/>
  <c r="K178" i="13"/>
  <c r="O194" i="13"/>
  <c r="K194" i="13"/>
  <c r="O210" i="13"/>
  <c r="K210" i="13"/>
  <c r="O226" i="13"/>
  <c r="K226" i="13"/>
  <c r="O319" i="13"/>
  <c r="K319" i="13"/>
  <c r="O272" i="13"/>
  <c r="K272" i="13"/>
  <c r="O330" i="13"/>
  <c r="K330" i="13"/>
  <c r="O245" i="13"/>
  <c r="K245" i="13"/>
  <c r="O286" i="13"/>
  <c r="K286" i="13"/>
  <c r="O344" i="13"/>
  <c r="K344" i="13"/>
  <c r="K252" i="13"/>
  <c r="O252" i="13"/>
  <c r="O296" i="13"/>
  <c r="K296" i="13"/>
  <c r="O343" i="13"/>
  <c r="K343" i="13"/>
  <c r="O359" i="13"/>
  <c r="K359" i="13"/>
  <c r="O375" i="13"/>
  <c r="K375" i="13"/>
  <c r="O14" i="13"/>
  <c r="K14" i="13"/>
  <c r="G1015" i="17"/>
  <c r="G853" i="17"/>
  <c r="G556" i="17"/>
  <c r="G745" i="17"/>
  <c r="G151" i="17"/>
  <c r="G178" i="17"/>
  <c r="G232" i="17"/>
  <c r="G718" i="17"/>
  <c r="G448" i="17"/>
  <c r="G475" i="17"/>
  <c r="G394" i="17"/>
  <c r="G772" i="17"/>
  <c r="G340" i="17"/>
  <c r="G907" i="17"/>
  <c r="G97" i="17"/>
  <c r="G826" i="17"/>
  <c r="G70" i="17"/>
  <c r="G637" i="17"/>
  <c r="G313" i="17"/>
  <c r="G43" i="17"/>
  <c r="G259" i="17"/>
  <c r="G799" i="17"/>
  <c r="G691" i="17"/>
  <c r="G367" i="17"/>
  <c r="G529" i="17"/>
  <c r="G664" i="17"/>
  <c r="G961" i="17"/>
  <c r="G988" i="17"/>
  <c r="G934" i="17"/>
  <c r="G124" i="17"/>
  <c r="G880" i="17"/>
  <c r="G583" i="17"/>
  <c r="G286" i="17"/>
  <c r="G205" i="17"/>
  <c r="G502" i="17"/>
  <c r="G421" i="17"/>
  <c r="G610" i="17"/>
  <c r="K30" i="13"/>
  <c r="O30" i="13"/>
  <c r="O46" i="13"/>
  <c r="K46" i="13"/>
  <c r="O62" i="13"/>
  <c r="K62" i="13"/>
  <c r="O78" i="13"/>
  <c r="K78" i="13"/>
  <c r="O94" i="13"/>
  <c r="K94" i="13"/>
  <c r="P8" i="13"/>
  <c r="H6" i="17"/>
  <c r="H33" i="17"/>
  <c r="G20" i="17"/>
  <c r="H735" i="17"/>
  <c r="H897" i="17"/>
  <c r="H762" i="17"/>
  <c r="H627" i="17"/>
  <c r="H789" i="17"/>
  <c r="H843" i="17"/>
  <c r="H1005" i="17"/>
  <c r="H465" i="17"/>
  <c r="H870" i="17"/>
  <c r="H546" i="17"/>
  <c r="H60" i="17"/>
  <c r="H249" i="17"/>
  <c r="H519" i="17"/>
  <c r="H303" i="17"/>
  <c r="H141" i="17"/>
  <c r="H357" i="17"/>
  <c r="H681" i="17"/>
  <c r="H816" i="17"/>
  <c r="H924" i="17"/>
  <c r="H276" i="17"/>
  <c r="H951" i="17"/>
  <c r="H573" i="17"/>
  <c r="H195" i="17"/>
  <c r="H384" i="17"/>
  <c r="H222" i="17"/>
  <c r="H87" i="17"/>
  <c r="H654" i="17"/>
  <c r="H330" i="17"/>
  <c r="H600" i="17"/>
  <c r="H411" i="17"/>
  <c r="H708" i="17"/>
  <c r="H978" i="17"/>
  <c r="H438" i="17"/>
  <c r="H114" i="17"/>
  <c r="H168" i="17"/>
  <c r="H492" i="17"/>
  <c r="O247" i="13"/>
  <c r="K247" i="13"/>
  <c r="O13" i="13"/>
  <c r="K13" i="13"/>
  <c r="G960" i="17"/>
  <c r="G231" i="17"/>
  <c r="G393" i="17"/>
  <c r="G177" i="17"/>
  <c r="G447" i="17"/>
  <c r="G42" i="17"/>
  <c r="G798" i="17"/>
  <c r="G123" i="17"/>
  <c r="G150" i="17"/>
  <c r="G906" i="17"/>
  <c r="G555" i="17"/>
  <c r="G609" i="17"/>
  <c r="G852" i="17"/>
  <c r="G258" i="17"/>
  <c r="G717" i="17"/>
  <c r="G366" i="17"/>
  <c r="G474" i="17"/>
  <c r="G582" i="17"/>
  <c r="G987" i="17"/>
  <c r="G204" i="17"/>
  <c r="G825" i="17"/>
  <c r="G285" i="17"/>
  <c r="G771" i="17"/>
  <c r="G339" i="17"/>
  <c r="G69" i="17"/>
  <c r="G420" i="17"/>
  <c r="G96" i="17"/>
  <c r="G1014" i="17"/>
  <c r="G690" i="17"/>
  <c r="G879" i="17"/>
  <c r="G933" i="17"/>
  <c r="G663" i="17"/>
  <c r="G501" i="17"/>
  <c r="G312" i="17"/>
  <c r="G744" i="17"/>
  <c r="G528" i="17"/>
  <c r="G636" i="17"/>
  <c r="O29" i="13"/>
  <c r="K29" i="13"/>
  <c r="O45" i="13"/>
  <c r="K45" i="13"/>
  <c r="O61" i="13"/>
  <c r="K61" i="13"/>
  <c r="O77" i="13"/>
  <c r="K77" i="13"/>
  <c r="O93" i="13"/>
  <c r="K93" i="13"/>
  <c r="P9" i="13"/>
  <c r="H328" i="17"/>
  <c r="H679" i="17"/>
  <c r="H733" i="17"/>
  <c r="H976" i="17"/>
  <c r="H58" i="17"/>
  <c r="H760" i="17"/>
  <c r="H706" i="17"/>
  <c r="H4" i="17"/>
  <c r="H193" i="17"/>
  <c r="H301" i="17"/>
  <c r="H841" i="17"/>
  <c r="H922" i="17"/>
  <c r="H409" i="17"/>
  <c r="H571" i="17"/>
  <c r="H382" i="17"/>
  <c r="H355" i="17"/>
  <c r="H220" i="17"/>
  <c r="H814" i="17"/>
  <c r="H625" i="17"/>
  <c r="G21" i="17"/>
  <c r="H274" i="17"/>
  <c r="H517" i="17"/>
  <c r="H652" i="17"/>
  <c r="H463" i="17"/>
  <c r="H598" i="17"/>
  <c r="H139" i="17"/>
  <c r="H868" i="17"/>
  <c r="H247" i="17"/>
  <c r="H85" i="17"/>
  <c r="I85" i="17" s="1"/>
  <c r="H31" i="17"/>
  <c r="H787" i="17"/>
  <c r="H949" i="17"/>
  <c r="H112" i="17"/>
  <c r="H544" i="17"/>
  <c r="H895" i="17"/>
  <c r="H166" i="17"/>
  <c r="H1003" i="17"/>
  <c r="H436" i="17"/>
  <c r="H490" i="17"/>
  <c r="O115" i="13"/>
  <c r="K115" i="13"/>
  <c r="O131" i="13"/>
  <c r="K131" i="13"/>
  <c r="O147" i="13"/>
  <c r="K147" i="13"/>
  <c r="O163" i="13"/>
  <c r="K163" i="13"/>
  <c r="O179" i="13"/>
  <c r="K179" i="13"/>
  <c r="O195" i="13"/>
  <c r="K195" i="13"/>
  <c r="O211" i="13"/>
  <c r="K211" i="13"/>
  <c r="O273" i="13"/>
  <c r="K273" i="13"/>
  <c r="O323" i="13"/>
  <c r="K323" i="13"/>
  <c r="O318" i="13"/>
  <c r="K318" i="13"/>
  <c r="O285" i="13"/>
  <c r="K285" i="13"/>
  <c r="O352" i="13"/>
  <c r="K352" i="13"/>
  <c r="O260" i="13"/>
  <c r="K260" i="13"/>
  <c r="O308" i="13"/>
  <c r="K308" i="13"/>
  <c r="O100" i="13"/>
  <c r="K100" i="13"/>
  <c r="O116" i="13"/>
  <c r="K116" i="13"/>
  <c r="O132" i="13"/>
  <c r="K132" i="13"/>
  <c r="O148" i="13"/>
  <c r="K148" i="13"/>
  <c r="O164" i="13"/>
  <c r="K164" i="13"/>
  <c r="O180" i="13"/>
  <c r="K180" i="13"/>
  <c r="O196" i="13"/>
  <c r="K196" i="13"/>
  <c r="O212" i="13"/>
  <c r="K212" i="13"/>
  <c r="O233" i="13"/>
  <c r="K233" i="13"/>
  <c r="O274" i="13"/>
  <c r="K274" i="13"/>
  <c r="O327" i="13"/>
  <c r="K327" i="13"/>
  <c r="O279" i="13"/>
  <c r="K279" i="13"/>
  <c r="O338" i="13"/>
  <c r="K338" i="13"/>
  <c r="O293" i="13"/>
  <c r="K293" i="13"/>
  <c r="O360" i="13"/>
  <c r="K360" i="13"/>
  <c r="O259" i="13"/>
  <c r="K259" i="13"/>
  <c r="O304" i="13"/>
  <c r="K304" i="13"/>
  <c r="O345" i="13"/>
  <c r="K345" i="13"/>
  <c r="O361" i="13"/>
  <c r="K361" i="13"/>
  <c r="O377" i="13"/>
  <c r="K377" i="13"/>
  <c r="G10" i="3"/>
  <c r="H13" i="3"/>
  <c r="Z36" i="6"/>
  <c r="K232" i="13"/>
  <c r="O232" i="13"/>
  <c r="O16" i="13"/>
  <c r="K16" i="13"/>
  <c r="G641" i="17"/>
  <c r="G398" i="17"/>
  <c r="G587" i="17"/>
  <c r="G1019" i="17"/>
  <c r="G776" i="17"/>
  <c r="G209" i="17"/>
  <c r="G857" i="17"/>
  <c r="G317" i="17"/>
  <c r="G992" i="17"/>
  <c r="G533" i="17"/>
  <c r="G722" i="17"/>
  <c r="G101" i="17"/>
  <c r="G938" i="17"/>
  <c r="G155" i="17"/>
  <c r="G614" i="17"/>
  <c r="G128" i="17"/>
  <c r="G263" i="17"/>
  <c r="G371" i="17"/>
  <c r="G560" i="17"/>
  <c r="G182" i="17"/>
  <c r="G803" i="17"/>
  <c r="G290" i="17"/>
  <c r="G911" i="17"/>
  <c r="G236" i="17"/>
  <c r="G965" i="17"/>
  <c r="G479" i="17"/>
  <c r="G74" i="17"/>
  <c r="G830" i="17"/>
  <c r="G749" i="17"/>
  <c r="G506" i="17"/>
  <c r="G344" i="17"/>
  <c r="G452" i="17"/>
  <c r="G695" i="17"/>
  <c r="G884" i="17"/>
  <c r="G668" i="17"/>
  <c r="G47" i="17"/>
  <c r="G425" i="17"/>
  <c r="O32" i="13"/>
  <c r="K32" i="13"/>
  <c r="O48" i="13"/>
  <c r="K48" i="13"/>
  <c r="O64" i="13"/>
  <c r="K64" i="13"/>
  <c r="O80" i="13"/>
  <c r="K80" i="13"/>
  <c r="O96" i="13"/>
  <c r="K96" i="13"/>
  <c r="P10" i="13"/>
  <c r="H257" i="17"/>
  <c r="H338" i="17"/>
  <c r="H635" i="17"/>
  <c r="H932" i="17"/>
  <c r="H446" i="17"/>
  <c r="H986" i="17"/>
  <c r="H41" i="17"/>
  <c r="H122" i="17"/>
  <c r="H14" i="17"/>
  <c r="H905" i="17"/>
  <c r="H365" i="17"/>
  <c r="H824" i="17"/>
  <c r="H473" i="17"/>
  <c r="H716" i="17"/>
  <c r="H554" i="17"/>
  <c r="H851" i="17"/>
  <c r="H203" i="17"/>
  <c r="H284" i="17"/>
  <c r="H311" i="17"/>
  <c r="H959" i="17"/>
  <c r="G9" i="17"/>
  <c r="H581" i="17"/>
  <c r="H527" i="17"/>
  <c r="H743" i="17"/>
  <c r="H392" i="17"/>
  <c r="H689" i="17"/>
  <c r="H95" i="17"/>
  <c r="H1013" i="17"/>
  <c r="H797" i="17"/>
  <c r="H149" i="17"/>
  <c r="H500" i="17"/>
  <c r="H230" i="17"/>
  <c r="H770" i="17"/>
  <c r="H419" i="17"/>
  <c r="H662" i="17"/>
  <c r="H68" i="17"/>
  <c r="H608" i="17"/>
  <c r="H176" i="17"/>
  <c r="H878" i="17"/>
  <c r="K15" i="13"/>
  <c r="O15" i="13"/>
  <c r="G72" i="17"/>
  <c r="G126" i="17"/>
  <c r="G558" i="17"/>
  <c r="G990" i="17"/>
  <c r="G99" i="17"/>
  <c r="G801" i="17"/>
  <c r="G369" i="17"/>
  <c r="G315" i="17"/>
  <c r="G504" i="17"/>
  <c r="G261" i="17"/>
  <c r="G612" i="17"/>
  <c r="G693" i="17"/>
  <c r="G774" i="17"/>
  <c r="G450" i="17"/>
  <c r="G288" i="17"/>
  <c r="G747" i="17"/>
  <c r="G720" i="17"/>
  <c r="G882" i="17"/>
  <c r="G531" i="17"/>
  <c r="G936" i="17"/>
  <c r="G585" i="17"/>
  <c r="G477" i="17"/>
  <c r="G234" i="17"/>
  <c r="G207" i="17"/>
  <c r="G855" i="17"/>
  <c r="G666" i="17"/>
  <c r="G153" i="17"/>
  <c r="G1017" i="17"/>
  <c r="G828" i="17"/>
  <c r="G396" i="17"/>
  <c r="G963" i="17"/>
  <c r="G909" i="17"/>
  <c r="G639" i="17"/>
  <c r="G45" i="17"/>
  <c r="G342" i="17"/>
  <c r="G423" i="17"/>
  <c r="G180" i="17"/>
  <c r="O31" i="13"/>
  <c r="K31" i="13"/>
  <c r="O47" i="13"/>
  <c r="K47" i="13"/>
  <c r="O63" i="13"/>
  <c r="K63" i="13"/>
  <c r="O79" i="13"/>
  <c r="K79" i="13"/>
  <c r="O95" i="13"/>
  <c r="K95" i="13"/>
  <c r="P11" i="13"/>
  <c r="H169" i="17"/>
  <c r="H520" i="17"/>
  <c r="H736" i="17"/>
  <c r="H466" i="17"/>
  <c r="H304" i="17"/>
  <c r="H1006" i="17"/>
  <c r="H979" i="17"/>
  <c r="H61" i="17"/>
  <c r="H439" i="17"/>
  <c r="H142" i="17"/>
  <c r="H601" i="17"/>
  <c r="H34" i="17"/>
  <c r="H628" i="17"/>
  <c r="G5" i="17"/>
  <c r="H358" i="17"/>
  <c r="H709" i="17"/>
  <c r="H574" i="17"/>
  <c r="H790" i="17"/>
  <c r="H88" i="17"/>
  <c r="H682" i="17"/>
  <c r="H250" i="17"/>
  <c r="H763" i="17"/>
  <c r="H871" i="17"/>
  <c r="H223" i="17"/>
  <c r="H7" i="17"/>
  <c r="H385" i="17"/>
  <c r="H196" i="17"/>
  <c r="H115" i="17"/>
  <c r="H655" i="17"/>
  <c r="H898" i="17"/>
  <c r="H844" i="17"/>
  <c r="H412" i="17"/>
  <c r="H493" i="17"/>
  <c r="H277" i="17"/>
  <c r="H952" i="17"/>
  <c r="H925" i="17"/>
  <c r="H331" i="17"/>
  <c r="H547" i="17"/>
  <c r="H817" i="17"/>
  <c r="O101" i="13"/>
  <c r="K101" i="13"/>
  <c r="O117" i="13"/>
  <c r="K117" i="13"/>
  <c r="O133" i="13"/>
  <c r="K133" i="13"/>
  <c r="O149" i="13"/>
  <c r="K149" i="13"/>
  <c r="O165" i="13"/>
  <c r="K165" i="13"/>
  <c r="O181" i="13"/>
  <c r="K181" i="13"/>
  <c r="O197" i="13"/>
  <c r="K197" i="13"/>
  <c r="O213" i="13"/>
  <c r="K213" i="13"/>
  <c r="O234" i="13"/>
  <c r="K234" i="13"/>
  <c r="O331" i="13"/>
  <c r="K331" i="13"/>
  <c r="O326" i="13"/>
  <c r="K326" i="13"/>
  <c r="O246" i="13"/>
  <c r="K246" i="13"/>
  <c r="O368" i="13"/>
  <c r="K368" i="13"/>
  <c r="O267" i="13"/>
  <c r="K267" i="13"/>
  <c r="O316" i="13"/>
  <c r="K316" i="13"/>
  <c r="O102" i="13"/>
  <c r="K102" i="13"/>
  <c r="O118" i="13"/>
  <c r="K118" i="13"/>
  <c r="O134" i="13"/>
  <c r="K134" i="13"/>
  <c r="O150" i="13"/>
  <c r="K150" i="13"/>
  <c r="O166" i="13"/>
  <c r="K166" i="13"/>
  <c r="O182" i="13"/>
  <c r="K182" i="13"/>
  <c r="O198" i="13"/>
  <c r="K198" i="13"/>
  <c r="O214" i="13"/>
  <c r="K214" i="13"/>
  <c r="O281" i="13"/>
  <c r="K281" i="13"/>
  <c r="O335" i="13"/>
  <c r="K335" i="13"/>
  <c r="O350" i="13"/>
  <c r="K350" i="13"/>
  <c r="O254" i="13"/>
  <c r="K254" i="13"/>
  <c r="O301" i="13"/>
  <c r="K301" i="13"/>
  <c r="O376" i="13"/>
  <c r="K376" i="13"/>
  <c r="O312" i="13"/>
  <c r="K312" i="13"/>
  <c r="O347" i="13"/>
  <c r="K347" i="13"/>
  <c r="O363" i="13"/>
  <c r="K363" i="13"/>
  <c r="O379" i="13"/>
  <c r="K379" i="13"/>
  <c r="O239" i="13"/>
  <c r="K239" i="13"/>
  <c r="K18" i="13"/>
  <c r="O18" i="13"/>
  <c r="G39" i="17"/>
  <c r="G390" i="17"/>
  <c r="G984" i="17"/>
  <c r="G795" i="17"/>
  <c r="G93" i="17"/>
  <c r="G525" i="17"/>
  <c r="G282" i="17"/>
  <c r="G498" i="17"/>
  <c r="G606" i="17"/>
  <c r="G714" i="17"/>
  <c r="G741" i="17"/>
  <c r="G147" i="17"/>
  <c r="G201" i="17"/>
  <c r="G471" i="17"/>
  <c r="G822" i="17"/>
  <c r="G552" i="17"/>
  <c r="G876" i="17"/>
  <c r="G957" i="17"/>
  <c r="G768" i="17"/>
  <c r="G579" i="17"/>
  <c r="G174" i="17"/>
  <c r="G255" i="17"/>
  <c r="G633" i="17"/>
  <c r="G687" i="17"/>
  <c r="G66" i="17"/>
  <c r="G444" i="17"/>
  <c r="G120" i="17"/>
  <c r="G1011" i="17"/>
  <c r="G660" i="17"/>
  <c r="G849" i="17"/>
  <c r="G363" i="17"/>
  <c r="G228" i="17"/>
  <c r="G309" i="17"/>
  <c r="G417" i="17"/>
  <c r="G336" i="17"/>
  <c r="G903" i="17"/>
  <c r="G930" i="17"/>
  <c r="O34" i="13"/>
  <c r="K34" i="13"/>
  <c r="O50" i="13"/>
  <c r="K50" i="13"/>
  <c r="O66" i="13"/>
  <c r="K66" i="13"/>
  <c r="O82" i="13"/>
  <c r="K82" i="13"/>
  <c r="O98" i="13"/>
  <c r="K98" i="13"/>
  <c r="P12" i="13"/>
  <c r="H658" i="17"/>
  <c r="H496" i="17"/>
  <c r="H145" i="17"/>
  <c r="H91" i="17"/>
  <c r="H982" i="17"/>
  <c r="H550" i="17"/>
  <c r="H307" i="17"/>
  <c r="H685" i="17"/>
  <c r="H847" i="17"/>
  <c r="H64" i="17"/>
  <c r="H226" i="17"/>
  <c r="H37" i="17"/>
  <c r="H928" i="17"/>
  <c r="H901" i="17"/>
  <c r="H712" i="17"/>
  <c r="H1009" i="17"/>
  <c r="H631" i="17"/>
  <c r="H793" i="17"/>
  <c r="H388" i="17"/>
  <c r="H280" i="17"/>
  <c r="H10" i="17"/>
  <c r="H415" i="17"/>
  <c r="H739" i="17"/>
  <c r="H118" i="17"/>
  <c r="H172" i="17"/>
  <c r="H523" i="17"/>
  <c r="H253" i="17"/>
  <c r="H577" i="17"/>
  <c r="H334" i="17"/>
  <c r="H469" i="17"/>
  <c r="H874" i="17"/>
  <c r="H361" i="17"/>
  <c r="G15" i="17"/>
  <c r="H955" i="17"/>
  <c r="H820" i="17"/>
  <c r="H199" i="17"/>
  <c r="H604" i="17"/>
  <c r="H766" i="17"/>
  <c r="H442" i="17"/>
  <c r="O287" i="13"/>
  <c r="K287" i="13"/>
  <c r="O17" i="13"/>
  <c r="K17" i="13"/>
  <c r="G235" i="17"/>
  <c r="G424" i="17"/>
  <c r="G127" i="17"/>
  <c r="G154" i="17"/>
  <c r="G505" i="17"/>
  <c r="G316" i="17"/>
  <c r="G1018" i="17"/>
  <c r="G100" i="17"/>
  <c r="G451" i="17"/>
  <c r="G775" i="17"/>
  <c r="G370" i="17"/>
  <c r="G208" i="17"/>
  <c r="G181" i="17"/>
  <c r="G856" i="17"/>
  <c r="G748" i="17"/>
  <c r="G694" i="17"/>
  <c r="G937" i="17"/>
  <c r="G478" i="17"/>
  <c r="G640" i="17"/>
  <c r="G910" i="17"/>
  <c r="G802" i="17"/>
  <c r="G46" i="17"/>
  <c r="G559" i="17"/>
  <c r="G964" i="17"/>
  <c r="G667" i="17"/>
  <c r="G613" i="17"/>
  <c r="G883" i="17"/>
  <c r="G991" i="17"/>
  <c r="G586" i="17"/>
  <c r="G343" i="17"/>
  <c r="G532" i="17"/>
  <c r="G73" i="17"/>
  <c r="G829" i="17"/>
  <c r="G289" i="17"/>
  <c r="G721" i="17"/>
  <c r="G397" i="17"/>
  <c r="G262" i="17"/>
  <c r="K33" i="13"/>
  <c r="O33" i="13"/>
  <c r="O49" i="13"/>
  <c r="K49" i="13"/>
  <c r="O65" i="13"/>
  <c r="K65" i="13"/>
  <c r="O81" i="13"/>
  <c r="K81" i="13"/>
  <c r="O97" i="13"/>
  <c r="K97" i="13"/>
  <c r="P13" i="13"/>
  <c r="H852" i="17"/>
  <c r="H744" i="17"/>
  <c r="H393" i="17"/>
  <c r="H447" i="17"/>
  <c r="H123" i="17"/>
  <c r="H555" i="17"/>
  <c r="H177" i="17"/>
  <c r="H987" i="17"/>
  <c r="H501" i="17"/>
  <c r="H879" i="17"/>
  <c r="H771" i="17"/>
  <c r="H366" i="17"/>
  <c r="H339" i="17"/>
  <c r="H825" i="17"/>
  <c r="H42" i="17"/>
  <c r="H1014" i="17"/>
  <c r="H906" i="17"/>
  <c r="H285" i="17"/>
  <c r="H150" i="17"/>
  <c r="H798" i="17"/>
  <c r="H69" i="17"/>
  <c r="H231" i="17"/>
  <c r="H663" i="17"/>
  <c r="H717" i="17"/>
  <c r="H258" i="17"/>
  <c r="H312" i="17"/>
  <c r="H609" i="17"/>
  <c r="H474" i="17"/>
  <c r="H690" i="17"/>
  <c r="H528" i="17"/>
  <c r="H636" i="17"/>
  <c r="H933" i="17"/>
  <c r="H582" i="17"/>
  <c r="H420" i="17"/>
  <c r="H960" i="17"/>
  <c r="H204" i="17"/>
  <c r="H96" i="17"/>
  <c r="O103" i="13"/>
  <c r="K103" i="13"/>
  <c r="O119" i="13"/>
  <c r="K119" i="13"/>
  <c r="O135" i="13"/>
  <c r="K135" i="13"/>
  <c r="O151" i="13"/>
  <c r="K151" i="13"/>
  <c r="O167" i="13"/>
  <c r="K167" i="13"/>
  <c r="O183" i="13"/>
  <c r="K183" i="13"/>
  <c r="O199" i="13"/>
  <c r="K199" i="13"/>
  <c r="O215" i="13"/>
  <c r="K215" i="13"/>
  <c r="K241" i="13"/>
  <c r="O241" i="13"/>
  <c r="O282" i="13"/>
  <c r="K282" i="13"/>
  <c r="O339" i="13"/>
  <c r="K339" i="13"/>
  <c r="O334" i="13"/>
  <c r="K334" i="13"/>
  <c r="O253" i="13"/>
  <c r="K253" i="13"/>
  <c r="O297" i="13"/>
  <c r="K297" i="13"/>
  <c r="O228" i="13"/>
  <c r="K228" i="13"/>
  <c r="O324" i="13"/>
  <c r="K324" i="13"/>
  <c r="O104" i="13"/>
  <c r="K104" i="13"/>
  <c r="O120" i="13"/>
  <c r="K120" i="13"/>
  <c r="O136" i="13"/>
  <c r="K136" i="13"/>
  <c r="O152" i="13"/>
  <c r="K152" i="13"/>
  <c r="O168" i="13"/>
  <c r="K168" i="13"/>
  <c r="O184" i="13"/>
  <c r="K184" i="13"/>
  <c r="O200" i="13"/>
  <c r="K200" i="13"/>
  <c r="O216" i="13"/>
  <c r="K216" i="13"/>
  <c r="O242" i="13"/>
  <c r="K242" i="13"/>
  <c r="O356" i="13"/>
  <c r="K356" i="13"/>
  <c r="O288" i="13"/>
  <c r="K288" i="13"/>
  <c r="O366" i="13"/>
  <c r="K366" i="13"/>
  <c r="O261" i="13"/>
  <c r="K261" i="13"/>
  <c r="O309" i="13"/>
  <c r="K309" i="13"/>
  <c r="O227" i="13"/>
  <c r="K227" i="13"/>
  <c r="O268" i="13"/>
  <c r="K268" i="13"/>
  <c r="O320" i="13"/>
  <c r="K320" i="13"/>
  <c r="P310" i="13"/>
  <c r="H994" i="17"/>
  <c r="H995" i="17"/>
  <c r="H967" i="17"/>
  <c r="H940" i="17"/>
  <c r="H941" i="17"/>
  <c r="H968" i="17"/>
  <c r="H1022" i="17"/>
  <c r="H1021" i="17"/>
  <c r="K349" i="13"/>
  <c r="O349" i="13"/>
  <c r="O365" i="13"/>
  <c r="K365" i="13"/>
  <c r="O381" i="13"/>
  <c r="K381" i="13"/>
  <c r="O4" i="13"/>
  <c r="K4" i="13"/>
  <c r="M76" i="17" a="1"/>
  <c r="M76" i="17" s="1"/>
  <c r="L366" i="17" a="1"/>
  <c r="L366" i="17" s="1"/>
  <c r="L369" i="17" a="1"/>
  <c r="L369" i="17" s="1"/>
  <c r="L96" i="17" a="1"/>
  <c r="L96" i="17" s="1"/>
  <c r="M559" i="17" a="1"/>
  <c r="M559" i="17" s="1"/>
  <c r="M455" i="17" a="1"/>
  <c r="M455" i="17" s="1"/>
  <c r="L964" i="17" a="1"/>
  <c r="L964" i="17" s="1"/>
  <c r="L50" i="17" a="1"/>
  <c r="L50" i="17" s="1"/>
  <c r="L74" i="17" a="1"/>
  <c r="L74" i="17" s="1"/>
  <c r="L468" i="17" a="1"/>
  <c r="L468" i="17" s="1"/>
  <c r="M198" i="17" a="1"/>
  <c r="M198" i="17" s="1"/>
  <c r="L640" i="17" a="1"/>
  <c r="L640" i="17" s="1"/>
  <c r="L69" i="17" a="1"/>
  <c r="L69" i="17" s="1"/>
  <c r="L359" i="17" a="1"/>
  <c r="L359" i="17" s="1"/>
  <c r="M170" i="17" a="1"/>
  <c r="M170" i="17" s="1"/>
  <c r="M211" i="17" a="1"/>
  <c r="M211" i="17" s="1"/>
  <c r="L653" i="17" a="1"/>
  <c r="L653" i="17" s="1"/>
  <c r="G229" i="17"/>
  <c r="I229" i="17" s="1"/>
  <c r="N882" i="17" a="1"/>
  <c r="N882" i="17" s="1"/>
  <c r="N344" i="17" a="1"/>
  <c r="N344" i="17" s="1"/>
  <c r="M308" i="17" a="1"/>
  <c r="M308" i="17" s="1"/>
  <c r="M256" i="17" a="1"/>
  <c r="M256" i="17" s="1"/>
  <c r="M364" i="17" a="1"/>
  <c r="M364" i="17" s="1"/>
  <c r="G94" i="17"/>
  <c r="N498" i="17" a="1"/>
  <c r="N498" i="17" s="1"/>
  <c r="N384" i="17" a="1"/>
  <c r="N384" i="17" s="1"/>
  <c r="N575" i="17" a="1"/>
  <c r="N575" i="17" s="1"/>
  <c r="N475" i="17" a="1"/>
  <c r="N475" i="17" s="1"/>
  <c r="M526" i="17" a="1"/>
  <c r="M526" i="17" s="1"/>
  <c r="N797" i="17" a="1"/>
  <c r="N797" i="17" s="1"/>
  <c r="M69" i="17" a="1"/>
  <c r="M69" i="17" s="1"/>
  <c r="G742" i="17"/>
  <c r="N499" i="17" a="1"/>
  <c r="N499" i="17" s="1"/>
  <c r="M443" i="17" a="1"/>
  <c r="M443" i="17" s="1"/>
  <c r="L305" i="17" a="1"/>
  <c r="L305" i="17" s="1"/>
  <c r="L212" i="17" a="1"/>
  <c r="L212" i="17" s="1"/>
  <c r="L389" i="17" a="1"/>
  <c r="L389" i="17" s="1"/>
  <c r="N198" i="17" a="1"/>
  <c r="N198" i="17" s="1"/>
  <c r="L690" i="17" a="1"/>
  <c r="L690" i="17" s="1"/>
  <c r="N282" i="17" a="1"/>
  <c r="N282" i="17" s="1"/>
  <c r="M902" i="17" a="1"/>
  <c r="M902" i="17" s="1"/>
  <c r="L967" i="17" a="1"/>
  <c r="L967" i="17" s="1"/>
  <c r="M691" i="17" a="1"/>
  <c r="M691" i="17" s="1"/>
  <c r="L923" i="17" a="1"/>
  <c r="L923" i="17" s="1"/>
  <c r="N950" i="17" a="1"/>
  <c r="N950" i="17" s="1"/>
  <c r="L926" i="17" a="1"/>
  <c r="L926" i="17" s="1"/>
  <c r="M740" i="17" a="1"/>
  <c r="M740" i="17" s="1"/>
  <c r="M355" i="17" a="1"/>
  <c r="M355" i="17" s="1"/>
  <c r="N823" i="17" a="1"/>
  <c r="N823" i="17" s="1"/>
  <c r="N409" i="17" a="1"/>
  <c r="N409" i="17" s="1"/>
  <c r="N207" i="17" a="1"/>
  <c r="N207" i="17" s="1"/>
  <c r="M913" i="17" a="1"/>
  <c r="M913" i="17" s="1"/>
  <c r="L499" i="17" a="1"/>
  <c r="L499" i="17" s="1"/>
  <c r="N858" i="17" a="1"/>
  <c r="N858" i="17" s="1"/>
  <c r="N609" i="17" a="1"/>
  <c r="N609" i="17" s="1"/>
  <c r="N589" i="17" a="1"/>
  <c r="N589" i="17" s="1"/>
  <c r="N533" i="17" a="1"/>
  <c r="N533" i="17" s="1"/>
  <c r="M879" i="17" a="1"/>
  <c r="M879" i="17" s="1"/>
  <c r="L897" i="17" a="1"/>
  <c r="L897" i="17" s="1"/>
  <c r="M19" i="17" a="1"/>
  <c r="M19" i="17" s="1"/>
  <c r="M771" i="17" a="1"/>
  <c r="M771" i="17" s="1"/>
  <c r="M696" i="17" a="1"/>
  <c r="M696" i="17" s="1"/>
  <c r="N177" i="17" a="1"/>
  <c r="N177" i="17" s="1"/>
  <c r="M439" i="17" a="1"/>
  <c r="M439" i="17" s="1"/>
  <c r="M531" i="17" a="1"/>
  <c r="M531" i="17" s="1"/>
  <c r="N1022" i="17" a="1"/>
  <c r="N1022" i="17" s="1"/>
  <c r="L500" i="17" a="1"/>
  <c r="L500" i="17" s="1"/>
  <c r="G607" i="17"/>
  <c r="L599" i="17" a="1"/>
  <c r="L599" i="17" s="1"/>
  <c r="N707" i="17" a="1"/>
  <c r="N707" i="17" s="1"/>
  <c r="L819" i="17" a="1"/>
  <c r="L819" i="17" s="1"/>
  <c r="N686" i="17" a="1"/>
  <c r="N686" i="17" s="1"/>
  <c r="M611" i="17" a="1"/>
  <c r="M611" i="17" s="1"/>
  <c r="L583" i="17" a="1"/>
  <c r="L583" i="17" s="1"/>
  <c r="N665" i="17" a="1"/>
  <c r="N665" i="17" s="1"/>
  <c r="L870" i="17" a="1"/>
  <c r="L870" i="17" s="1"/>
  <c r="L656" i="17" a="1"/>
  <c r="L656" i="17" s="1"/>
  <c r="N260" i="17" a="1"/>
  <c r="N260" i="17" s="1"/>
  <c r="L574" i="17" a="1"/>
  <c r="L574" i="17" s="1"/>
  <c r="N1004" i="17" a="1"/>
  <c r="N1004" i="17" s="1"/>
  <c r="H16" i="17"/>
  <c r="M48" i="17" a="1"/>
  <c r="M48" i="17" s="1"/>
  <c r="M230" i="17" a="1"/>
  <c r="M230" i="17" s="1"/>
  <c r="N818" i="17" a="1"/>
  <c r="N818" i="17" s="1"/>
  <c r="M374" i="17" a="1"/>
  <c r="M374" i="17" s="1"/>
  <c r="M385" i="17" a="1"/>
  <c r="M385" i="17" s="1"/>
  <c r="M171" i="17" a="1"/>
  <c r="M171" i="17" s="1"/>
  <c r="L147" i="17" a="1"/>
  <c r="L147" i="17" s="1"/>
  <c r="L356" i="17" a="1"/>
  <c r="L356" i="17" s="1"/>
  <c r="M344" i="17" a="1"/>
  <c r="M344" i="17" s="1"/>
  <c r="N393" i="17" a="1"/>
  <c r="N393" i="17" s="1"/>
  <c r="N789" i="17" a="1"/>
  <c r="N789" i="17" s="1"/>
  <c r="N101" i="17" a="1"/>
  <c r="N101" i="17" s="1"/>
  <c r="L604" i="17" a="1"/>
  <c r="L604" i="17" s="1"/>
  <c r="L409" i="17" a="1"/>
  <c r="L409" i="17" s="1"/>
  <c r="N875" i="17" a="1"/>
  <c r="N875" i="17" s="1"/>
  <c r="L662" i="17" a="1"/>
  <c r="L662" i="17" s="1"/>
  <c r="G850" i="17"/>
  <c r="M930" i="17" a="1"/>
  <c r="M930" i="17" s="1"/>
  <c r="N767" i="17" a="1"/>
  <c r="N767" i="17" s="1"/>
  <c r="M157" i="17" a="1"/>
  <c r="M157" i="17" s="1"/>
  <c r="M532" i="17" a="1"/>
  <c r="M532" i="17" s="1"/>
  <c r="L872" i="17" a="1"/>
  <c r="L872" i="17" s="1"/>
  <c r="N474" i="17" a="1"/>
  <c r="N474" i="17" s="1"/>
  <c r="N239" i="17" a="1"/>
  <c r="N239" i="17" s="1"/>
  <c r="L182" i="17" a="1"/>
  <c r="L182" i="17" s="1"/>
  <c r="N453" i="17" a="1"/>
  <c r="N453" i="17" s="1"/>
  <c r="G904" i="17"/>
  <c r="I904" i="17" s="1"/>
  <c r="L73" i="17" a="1"/>
  <c r="L73" i="17" s="1"/>
  <c r="N706" i="17" a="1"/>
  <c r="N706" i="17" s="1"/>
  <c r="L229" i="17" a="1"/>
  <c r="L229" i="17" s="1"/>
  <c r="M804" i="17" a="1"/>
  <c r="M804" i="17" s="1"/>
  <c r="L390" i="17" a="1"/>
  <c r="L390" i="17" s="1"/>
  <c r="M742" i="17" a="1"/>
  <c r="M742" i="17" s="1"/>
  <c r="L448" i="17" a="1"/>
  <c r="L448" i="17" s="1"/>
  <c r="M35" i="17" a="1"/>
  <c r="M35" i="17" s="1"/>
  <c r="L148" i="17" a="1"/>
  <c r="L148" i="17" s="1"/>
  <c r="M561" i="17" a="1"/>
  <c r="M561" i="17" s="1"/>
  <c r="N496" i="17" a="1"/>
  <c r="N496" i="17" s="1"/>
  <c r="N280" i="17" a="1"/>
  <c r="N280" i="17" s="1"/>
  <c r="M679" i="17" a="1"/>
  <c r="M679" i="17" s="1"/>
  <c r="L340" i="17" a="1"/>
  <c r="L340" i="17" s="1"/>
  <c r="N804" i="17" a="1"/>
  <c r="N804" i="17" s="1"/>
  <c r="M724" i="17" a="1"/>
  <c r="M724" i="17" s="1"/>
  <c r="L613" i="17" a="1"/>
  <c r="L613" i="17" s="1"/>
  <c r="M545" i="17" a="1"/>
  <c r="M545" i="17" s="1"/>
  <c r="M976" i="17" a="1"/>
  <c r="M976" i="17" s="1"/>
  <c r="N959" i="17" a="1"/>
  <c r="N959" i="17" s="1"/>
  <c r="L234" i="17" a="1"/>
  <c r="L234" i="17" s="1"/>
  <c r="M518" i="17" a="1"/>
  <c r="M518" i="17" s="1"/>
  <c r="N960" i="17" a="1"/>
  <c r="N960" i="17" s="1"/>
  <c r="N301" i="17" a="1"/>
  <c r="N301" i="17" s="1"/>
  <c r="L262" i="17" a="1"/>
  <c r="L262" i="17" s="1"/>
  <c r="L774" i="17" a="1"/>
  <c r="L774" i="17" s="1"/>
  <c r="L1005" i="17" a="1"/>
  <c r="L1005" i="17" s="1"/>
  <c r="M689" i="17" a="1"/>
  <c r="M689" i="17" s="1"/>
  <c r="M826" i="17" a="1"/>
  <c r="M826" i="17" s="1"/>
  <c r="N562" i="17" a="1"/>
  <c r="N562" i="17" s="1"/>
  <c r="N302" i="17" a="1"/>
  <c r="N302" i="17" s="1"/>
  <c r="M581" i="17" a="1"/>
  <c r="M581" i="17" s="1"/>
  <c r="N815" i="17" a="1"/>
  <c r="N815" i="17" s="1"/>
  <c r="M793" i="17" a="1"/>
  <c r="M793" i="17" s="1"/>
  <c r="N504" i="17" a="1"/>
  <c r="N504" i="17" s="1"/>
  <c r="L710" i="17" a="1"/>
  <c r="L710" i="17" s="1"/>
  <c r="M39" i="17" a="1"/>
  <c r="M39" i="17" s="1"/>
  <c r="L251" i="17" a="1"/>
  <c r="L251" i="17" s="1"/>
  <c r="N158" i="17" a="1"/>
  <c r="N158" i="17" s="1"/>
  <c r="M506" i="17" a="1"/>
  <c r="M506" i="17" s="1"/>
  <c r="N185" i="17" a="1"/>
  <c r="N185" i="17" s="1"/>
  <c r="N826" i="17" a="1"/>
  <c r="N826" i="17" s="1"/>
  <c r="N388" i="17" a="1"/>
  <c r="N388" i="17" s="1"/>
  <c r="N657" i="17" a="1"/>
  <c r="N657" i="17" s="1"/>
  <c r="L871" i="17" a="1"/>
  <c r="L871" i="17" s="1"/>
  <c r="M639" i="17" a="1"/>
  <c r="M639" i="17" s="1"/>
  <c r="L58" i="17" a="1"/>
  <c r="L58" i="17" s="1"/>
  <c r="M259" i="17" a="1"/>
  <c r="M259" i="17" s="1"/>
  <c r="L900" i="17" a="1"/>
  <c r="L900" i="17" s="1"/>
  <c r="L94" i="17" a="1"/>
  <c r="L94" i="17" s="1"/>
  <c r="M103" i="17" a="1"/>
  <c r="M103" i="17" s="1"/>
  <c r="M60" i="17" a="1"/>
  <c r="M60" i="17" s="1"/>
  <c r="M277" i="17" a="1"/>
  <c r="M277" i="17" s="1"/>
  <c r="L467" i="17" a="1"/>
  <c r="L467" i="17" s="1"/>
  <c r="L852" i="17" a="1"/>
  <c r="L852" i="17" s="1"/>
  <c r="L682" i="17" a="1"/>
  <c r="L682" i="17" s="1"/>
  <c r="M316" i="17" a="1"/>
  <c r="M316" i="17" s="1"/>
  <c r="M33" i="17" a="1"/>
  <c r="M33" i="17" s="1"/>
  <c r="N857" i="17" a="1"/>
  <c r="N857" i="17" s="1"/>
  <c r="L709" i="17" a="1"/>
  <c r="L709" i="17" s="1"/>
  <c r="L644" i="17" a="1"/>
  <c r="L644" i="17" s="1"/>
  <c r="N85" i="17" a="1"/>
  <c r="N85" i="17" s="1"/>
  <c r="M1005" i="17" a="1"/>
  <c r="M1005" i="17" s="1"/>
  <c r="L954" i="17" a="1"/>
  <c r="L954" i="17" s="1"/>
  <c r="N643" i="17" a="1"/>
  <c r="N643" i="17" s="1"/>
  <c r="M184" i="17" a="1"/>
  <c r="M184" i="17" s="1"/>
  <c r="N203" i="17" a="1"/>
  <c r="N203" i="17" s="1"/>
  <c r="L739" i="17" a="1"/>
  <c r="L739" i="17" s="1"/>
  <c r="N61" i="17" a="1"/>
  <c r="N61" i="17" s="1"/>
  <c r="M766" i="17" a="1"/>
  <c r="M766" i="17" s="1"/>
  <c r="G256" i="17"/>
  <c r="I256" i="17" s="1"/>
  <c r="L86" i="17" a="1"/>
  <c r="L86" i="17" s="1"/>
  <c r="M576" i="17" a="1"/>
  <c r="M576" i="17" s="1"/>
  <c r="M767" i="17" a="1"/>
  <c r="M767" i="17" s="1"/>
  <c r="M391" i="17" a="1"/>
  <c r="M391" i="17" s="1"/>
  <c r="M141" i="17" a="1"/>
  <c r="M141" i="17" s="1"/>
  <c r="M714" i="17" a="1"/>
  <c r="M714" i="17" s="1"/>
  <c r="N338" i="17" a="1"/>
  <c r="N338" i="17" s="1"/>
  <c r="L571" i="17" a="1"/>
  <c r="L571" i="17" s="1"/>
  <c r="N964" i="17" a="1"/>
  <c r="N964" i="17" s="1"/>
  <c r="N368" i="17" a="1"/>
  <c r="N368" i="17" s="1"/>
  <c r="L341" i="17" a="1"/>
  <c r="L341" i="17" s="1"/>
  <c r="N1005" i="17" a="1"/>
  <c r="N1005" i="17" s="1"/>
  <c r="M737" i="17" a="1"/>
  <c r="M737" i="17" s="1"/>
  <c r="L663" i="17" a="1"/>
  <c r="L663" i="17" s="1"/>
  <c r="L775" i="17" a="1"/>
  <c r="L775" i="17" s="1"/>
  <c r="L707" i="17" a="1"/>
  <c r="L707" i="17" s="1"/>
  <c r="N49" i="17" a="1"/>
  <c r="N49" i="17" s="1"/>
  <c r="L464" i="17" a="1"/>
  <c r="L464" i="17" s="1"/>
  <c r="L859" i="17" a="1"/>
  <c r="L859" i="17" s="1"/>
  <c r="M17" i="17" a="1"/>
  <c r="M17" i="17" s="1"/>
  <c r="M718" i="17" a="1"/>
  <c r="M718" i="17" s="1"/>
  <c r="N878" i="17" a="1"/>
  <c r="N878" i="17" s="1"/>
  <c r="M588" i="17" a="1"/>
  <c r="M588" i="17" s="1"/>
  <c r="L858" i="17" a="1"/>
  <c r="L858" i="17" s="1"/>
  <c r="L841" i="17" a="1"/>
  <c r="L841" i="17" s="1"/>
  <c r="L881" i="17" a="1"/>
  <c r="L881" i="17" s="1"/>
  <c r="L501" i="17" a="1"/>
  <c r="L501" i="17" s="1"/>
  <c r="L345" i="17" a="1"/>
  <c r="L345" i="17" s="1"/>
  <c r="L697" i="17" a="1"/>
  <c r="L697" i="17" s="1"/>
  <c r="N961" i="17" a="1"/>
  <c r="N961" i="17" s="1"/>
  <c r="N472" i="17" a="1"/>
  <c r="N472" i="17" s="1"/>
  <c r="M494" i="17" a="1"/>
  <c r="M494" i="17" s="1"/>
  <c r="M234" i="17" a="1"/>
  <c r="M234" i="17" s="1"/>
  <c r="N235" i="17" a="1"/>
  <c r="N235" i="17" s="1"/>
  <c r="L694" i="17" a="1"/>
  <c r="L694" i="17" s="1"/>
  <c r="N178" i="17" a="1"/>
  <c r="N178" i="17" s="1"/>
  <c r="N193" i="17" a="1"/>
  <c r="N193" i="17" s="1"/>
  <c r="N899" i="17" a="1"/>
  <c r="N899" i="17" s="1"/>
  <c r="N66" i="17" a="1"/>
  <c r="N66" i="17" s="1"/>
  <c r="N490" i="17" a="1"/>
  <c r="N490" i="17" s="1"/>
  <c r="L529" i="17" a="1"/>
  <c r="L529" i="17" s="1"/>
  <c r="N874" i="17" a="1"/>
  <c r="N874" i="17" s="1"/>
  <c r="L903" i="17" a="1"/>
  <c r="L903" i="17" s="1"/>
  <c r="M713" i="17" a="1"/>
  <c r="M713" i="17" s="1"/>
  <c r="N532" i="17" a="1"/>
  <c r="N532" i="17" s="1"/>
  <c r="N578" i="17" a="1"/>
  <c r="N578" i="17" s="1"/>
  <c r="M360" i="17" a="1"/>
  <c r="M360" i="17" s="1"/>
  <c r="N335" i="17" a="1"/>
  <c r="N335" i="17" s="1"/>
  <c r="N60" i="17" a="1"/>
  <c r="N60" i="17" s="1"/>
  <c r="M682" i="17" a="1"/>
  <c r="M682" i="17" s="1"/>
  <c r="L32" i="17" a="1"/>
  <c r="L32" i="17" s="1"/>
  <c r="N374" i="17" a="1"/>
  <c r="N374" i="17" s="1"/>
  <c r="L288" i="17" a="1"/>
  <c r="L288" i="17" s="1"/>
  <c r="M251" i="17" a="1"/>
  <c r="M251" i="17" s="1"/>
  <c r="N341" i="17" a="1"/>
  <c r="N341" i="17" s="1"/>
  <c r="G1012" i="17"/>
  <c r="L400" i="17" a="1"/>
  <c r="L400" i="17" s="1"/>
  <c r="L331" i="17" a="1"/>
  <c r="L331" i="17" s="1"/>
  <c r="N401" i="17" a="1"/>
  <c r="N401" i="17" s="1"/>
  <c r="M223" i="17" a="1"/>
  <c r="M223" i="17" s="1"/>
  <c r="L551" i="17" a="1"/>
  <c r="L551" i="17" s="1"/>
  <c r="L196" i="17" a="1"/>
  <c r="L196" i="17" s="1"/>
  <c r="N157" i="17" a="1"/>
  <c r="N157" i="17" s="1"/>
  <c r="M869" i="17" a="1"/>
  <c r="M869" i="17" s="1"/>
  <c r="L981" i="17" a="1"/>
  <c r="L981" i="17" s="1"/>
  <c r="N358" i="17" a="1"/>
  <c r="N358" i="17" s="1"/>
  <c r="M98" i="17" a="1"/>
  <c r="M98" i="17" s="1"/>
  <c r="G283" i="17"/>
  <c r="L578" i="17" a="1"/>
  <c r="L578" i="17" s="1"/>
  <c r="N365" i="17" a="1"/>
  <c r="N365" i="17" s="1"/>
  <c r="N69" i="17" a="1"/>
  <c r="N69" i="17" s="1"/>
  <c r="M870" i="17" a="1"/>
  <c r="M870" i="17" s="1"/>
  <c r="L441" i="17" a="1"/>
  <c r="L441" i="17" s="1"/>
  <c r="L396" i="17" a="1"/>
  <c r="L396" i="17" s="1"/>
  <c r="N329" i="17" a="1"/>
  <c r="N329" i="17" s="1"/>
  <c r="N77" i="17" a="1"/>
  <c r="N77" i="17" s="1"/>
  <c r="N277" i="17" a="1"/>
  <c r="N277" i="17" s="1"/>
  <c r="M366" i="17" a="1"/>
  <c r="M366" i="17" s="1"/>
  <c r="L155" i="17" a="1"/>
  <c r="L155" i="17" s="1"/>
  <c r="G472" i="17"/>
  <c r="I472" i="17" s="1"/>
  <c r="M653" i="17" a="1"/>
  <c r="M653" i="17" s="1"/>
  <c r="N129" i="17" a="1"/>
  <c r="N129" i="17" s="1"/>
  <c r="M574" i="17" a="1"/>
  <c r="M574" i="17" s="1"/>
  <c r="L734" i="17" a="1"/>
  <c r="L734" i="17" s="1"/>
  <c r="L853" i="17" a="1"/>
  <c r="L853" i="17" s="1"/>
  <c r="M734" i="17" a="1"/>
  <c r="M734" i="17" s="1"/>
  <c r="L627" i="17" a="1"/>
  <c r="L627" i="17" s="1"/>
  <c r="L995" i="17" a="1"/>
  <c r="L995" i="17" s="1"/>
  <c r="L531" i="17" a="1"/>
  <c r="L531" i="17" s="1"/>
  <c r="L904" i="17" a="1"/>
  <c r="L904" i="17" s="1"/>
  <c r="M341" i="17" a="1"/>
  <c r="M341" i="17" s="1"/>
  <c r="N337" i="17" a="1"/>
  <c r="N337" i="17" s="1"/>
  <c r="N905" i="17" a="1"/>
  <c r="N905" i="17" s="1"/>
  <c r="M502" i="17" a="1"/>
  <c r="M502" i="17" s="1"/>
  <c r="L911" i="17" a="1"/>
  <c r="L911" i="17" s="1"/>
  <c r="M995" i="17" a="1"/>
  <c r="M995" i="17" s="1"/>
  <c r="N845" i="17" a="1"/>
  <c r="N845" i="17" s="1"/>
  <c r="M275" i="17" a="1"/>
  <c r="M275" i="17" s="1"/>
  <c r="M490" i="17" a="1"/>
  <c r="M490" i="17" s="1"/>
  <c r="N546" i="17" a="1"/>
  <c r="N546" i="17" s="1"/>
  <c r="N683" i="17" a="1"/>
  <c r="N683" i="17" s="1"/>
  <c r="L884" i="17" a="1"/>
  <c r="L884" i="17" s="1"/>
  <c r="M481" i="17" a="1"/>
  <c r="M481" i="17" s="1"/>
  <c r="M533" i="17" a="1"/>
  <c r="M533" i="17" s="1"/>
  <c r="N279" i="17" a="1"/>
  <c r="N279" i="17" s="1"/>
  <c r="M789" i="17" a="1"/>
  <c r="M789" i="17" s="1"/>
  <c r="L588" i="17" a="1"/>
  <c r="L588" i="17" s="1"/>
  <c r="L803" i="17" a="1"/>
  <c r="L803" i="17" s="1"/>
  <c r="L939" i="17" a="1"/>
  <c r="L939" i="17" s="1"/>
  <c r="L100" i="17" a="1"/>
  <c r="L100" i="17" s="1"/>
  <c r="N626" i="17" a="1"/>
  <c r="N626" i="17" s="1"/>
  <c r="M658" i="17" a="1"/>
  <c r="M658" i="17" s="1"/>
  <c r="N696" i="17" a="1"/>
  <c r="N696" i="17" s="1"/>
  <c r="M953" i="17" a="1"/>
  <c r="M953" i="17" s="1"/>
  <c r="L927" i="17" a="1"/>
  <c r="L927" i="17" s="1"/>
  <c r="L498" i="17" a="1"/>
  <c r="L498" i="17" s="1"/>
  <c r="M472" i="17" a="1"/>
  <c r="M472" i="17" s="1"/>
  <c r="L536" i="17" a="1"/>
  <c r="L536" i="17" s="1"/>
  <c r="N15" i="17" a="1"/>
  <c r="N15" i="17" s="1"/>
  <c r="N252" i="17" a="1"/>
  <c r="N252" i="17" s="1"/>
  <c r="M842" i="17" a="1"/>
  <c r="M842" i="17" s="1"/>
  <c r="N305" i="17" a="1"/>
  <c r="N305" i="17" s="1"/>
  <c r="N605" i="17" a="1"/>
  <c r="N605" i="17" s="1"/>
  <c r="N258" i="17" a="1"/>
  <c r="N258" i="17" s="1"/>
  <c r="M232" i="17" a="1"/>
  <c r="M232" i="17" s="1"/>
  <c r="L31" i="17" a="1"/>
  <c r="L31" i="17" s="1"/>
  <c r="M62" i="17" a="1"/>
  <c r="M62" i="17" s="1"/>
  <c r="L393" i="17" a="1"/>
  <c r="L393" i="17" s="1"/>
  <c r="M453" i="17" a="1"/>
  <c r="M453" i="17" s="1"/>
  <c r="M503" i="17" a="1"/>
  <c r="M503" i="17" s="1"/>
  <c r="N721" i="17" a="1"/>
  <c r="N721" i="17" s="1"/>
  <c r="G391" i="17"/>
  <c r="L544" i="17" a="1"/>
  <c r="L544" i="17" s="1"/>
  <c r="N44" i="17" a="1"/>
  <c r="N44" i="17" s="1"/>
  <c r="N131" i="17" a="1"/>
  <c r="N131" i="17" s="1"/>
  <c r="L984" i="17" a="1"/>
  <c r="L984" i="17" s="1"/>
  <c r="L639" i="17" a="1"/>
  <c r="L639" i="17" s="1"/>
  <c r="M266" i="17" a="1"/>
  <c r="M266" i="17" s="1"/>
  <c r="N254" i="17" a="1"/>
  <c r="N254" i="17" s="1"/>
  <c r="L382" i="17" a="1"/>
  <c r="L382" i="17" s="1"/>
  <c r="L221" i="17" a="1"/>
  <c r="L221" i="17" s="1"/>
  <c r="M763" i="17" a="1"/>
  <c r="M763" i="17" s="1"/>
  <c r="M86" i="17" a="1"/>
  <c r="M86" i="17" s="1"/>
  <c r="L119" i="17" a="1"/>
  <c r="L119" i="17" s="1"/>
  <c r="N312" i="17" a="1"/>
  <c r="N312" i="17" s="1"/>
  <c r="L771" i="17" a="1"/>
  <c r="L771" i="17" s="1"/>
  <c r="M492" i="17" a="1"/>
  <c r="M492" i="17" s="1"/>
  <c r="L204" i="17" a="1"/>
  <c r="L204" i="17" s="1"/>
  <c r="M122" i="17" a="1"/>
  <c r="M122" i="17" s="1"/>
  <c r="L126" i="17" a="1"/>
  <c r="L126" i="17" s="1"/>
  <c r="N343" i="17" a="1"/>
  <c r="N343" i="17" s="1"/>
  <c r="L209" i="17" a="1"/>
  <c r="L209" i="17" s="1"/>
  <c r="N141" i="17" a="1"/>
  <c r="N141" i="17" s="1"/>
  <c r="G40" i="17"/>
  <c r="I40" i="17" s="1"/>
  <c r="N122" i="17" a="1"/>
  <c r="N122" i="17" s="1"/>
  <c r="N371" i="17" a="1"/>
  <c r="N371" i="17" s="1"/>
  <c r="M129" i="17" a="1"/>
  <c r="M129" i="17" s="1"/>
  <c r="N557" i="17" a="1"/>
  <c r="N557" i="17" s="1"/>
  <c r="G823" i="17"/>
  <c r="I823" i="17" s="1"/>
  <c r="M43" i="17" a="1"/>
  <c r="M43" i="17" s="1"/>
  <c r="G688" i="17"/>
  <c r="I688" i="17" s="1"/>
  <c r="M498" i="17" a="1"/>
  <c r="M498" i="17" s="1"/>
  <c r="N881" i="17" a="1"/>
  <c r="N881" i="17" s="1"/>
  <c r="M371" i="17" a="1"/>
  <c r="M371" i="17" s="1"/>
  <c r="L846" i="17" a="1"/>
  <c r="L846" i="17" s="1"/>
  <c r="L874" i="17" a="1"/>
  <c r="L874" i="17" s="1"/>
  <c r="M448" i="17" a="1"/>
  <c r="M448" i="17" s="1"/>
  <c r="M833" i="17" a="1"/>
  <c r="M833" i="17" s="1"/>
  <c r="L387" i="17" a="1"/>
  <c r="L387" i="17" s="1"/>
  <c r="M968" i="17" a="1"/>
  <c r="M968" i="17" s="1"/>
  <c r="N548" i="17" a="1"/>
  <c r="N548" i="17" s="1"/>
  <c r="N603" i="17" a="1"/>
  <c r="N603" i="17" s="1"/>
  <c r="N16" i="17" a="1"/>
  <c r="N16" i="17" s="1"/>
  <c r="L193" i="17" a="1"/>
  <c r="L193" i="17" s="1"/>
  <c r="N680" i="17" a="1"/>
  <c r="N680" i="17" s="1"/>
  <c r="M413" i="17" a="1"/>
  <c r="M413" i="17" s="1"/>
  <c r="N625" i="17" a="1"/>
  <c r="N625" i="17" s="1"/>
  <c r="N926" i="17" a="1"/>
  <c r="N926" i="17" s="1"/>
  <c r="N831" i="17" a="1"/>
  <c r="N831" i="17" s="1"/>
  <c r="N600" i="17" a="1"/>
  <c r="N600" i="17" s="1"/>
  <c r="M467" i="17" a="1"/>
  <c r="M467" i="17" s="1"/>
  <c r="M824" i="17" a="1"/>
  <c r="M824" i="17" s="1"/>
  <c r="M885" i="17" a="1"/>
  <c r="M885" i="17" s="1"/>
  <c r="N493" i="17" a="1"/>
  <c r="N493" i="17" s="1"/>
  <c r="M415" i="17" a="1"/>
  <c r="M415" i="17" s="1"/>
  <c r="L121" i="17" a="1"/>
  <c r="L121" i="17" s="1"/>
  <c r="M858" i="17" a="1"/>
  <c r="M858" i="17" s="1"/>
  <c r="L614" i="17" a="1"/>
  <c r="L614" i="17" s="1"/>
  <c r="L308" i="17" a="1"/>
  <c r="L308" i="17" s="1"/>
  <c r="M978" i="17" a="1"/>
  <c r="M978" i="17" s="1"/>
  <c r="L905" i="17" a="1"/>
  <c r="L905" i="17" s="1"/>
  <c r="L987" i="17" a="1"/>
  <c r="L987" i="17" s="1"/>
  <c r="L584" i="17" a="1"/>
  <c r="L584" i="17" s="1"/>
  <c r="L615" i="17" a="1"/>
  <c r="L615" i="17" s="1"/>
  <c r="M895" i="17" a="1"/>
  <c r="M895" i="17" s="1"/>
  <c r="L1007" i="17" a="1"/>
  <c r="L1007" i="17" s="1"/>
  <c r="M851" i="17" a="1"/>
  <c r="M851" i="17" s="1"/>
  <c r="N389" i="17" a="1"/>
  <c r="N389" i="17" s="1"/>
  <c r="M197" i="17" a="1"/>
  <c r="M197" i="17" s="1"/>
  <c r="L439" i="17" a="1"/>
  <c r="L439" i="17" s="1"/>
  <c r="N598" i="17" a="1"/>
  <c r="N598" i="17" s="1"/>
  <c r="N933" i="17" a="1"/>
  <c r="N933" i="17" s="1"/>
  <c r="L805" i="17" a="1"/>
  <c r="L805" i="17" s="1"/>
  <c r="N222" i="17" a="1"/>
  <c r="N222" i="17" s="1"/>
  <c r="N724" i="17" a="1"/>
  <c r="N724" i="17" s="1"/>
  <c r="G121" i="17"/>
  <c r="I121" i="17" s="1"/>
  <c r="N521" i="17" a="1"/>
  <c r="N521" i="17" s="1"/>
  <c r="L426" i="17" a="1"/>
  <c r="L426" i="17" s="1"/>
  <c r="N223" i="17" a="1"/>
  <c r="N223" i="17" s="1"/>
  <c r="M440" i="17" a="1"/>
  <c r="M440" i="17" s="1"/>
  <c r="L40" i="17" a="1"/>
  <c r="L40" i="17" s="1"/>
  <c r="M149" i="17" a="1"/>
  <c r="M149" i="17" s="1"/>
  <c r="N249" i="17" a="1"/>
  <c r="N249" i="17" s="1"/>
  <c r="L652" i="17" a="1"/>
  <c r="L652" i="17" s="1"/>
  <c r="N309" i="17" a="1"/>
  <c r="N309" i="17" s="1"/>
  <c r="L425" i="17" a="1"/>
  <c r="L425" i="17" s="1"/>
  <c r="N174" i="17" a="1"/>
  <c r="N174" i="17" s="1"/>
  <c r="M949" i="17" a="1"/>
  <c r="M949" i="17" s="1"/>
  <c r="M124" i="17" a="1"/>
  <c r="M124" i="17" s="1"/>
  <c r="N658" i="17" a="1"/>
  <c r="N658" i="17" s="1"/>
  <c r="L661" i="17" a="1"/>
  <c r="L661" i="17" s="1"/>
  <c r="N336" i="17" a="1"/>
  <c r="N336" i="17" s="1"/>
  <c r="M389" i="17" a="1"/>
  <c r="M389" i="17" s="1"/>
  <c r="M450" i="17" a="1"/>
  <c r="M450" i="17" s="1"/>
  <c r="N590" i="17" a="1"/>
  <c r="N590" i="17" s="1"/>
  <c r="M637" i="17" a="1"/>
  <c r="M637" i="17" s="1"/>
  <c r="M359" i="17" a="1"/>
  <c r="M359" i="17" s="1"/>
  <c r="L237" i="17" a="1"/>
  <c r="L237" i="17" s="1"/>
  <c r="L102" i="17" a="1"/>
  <c r="L102" i="17" s="1"/>
  <c r="L520" i="17" a="1"/>
  <c r="L520" i="17" s="1"/>
  <c r="L504" i="17" a="1"/>
  <c r="L504" i="17" s="1"/>
  <c r="M210" i="17" a="1"/>
  <c r="M210" i="17" s="1"/>
  <c r="G499" i="17"/>
  <c r="L385" i="17" a="1"/>
  <c r="L385" i="17" s="1"/>
  <c r="L284" i="17" a="1"/>
  <c r="L284" i="17" s="1"/>
  <c r="N1015" i="17" a="1"/>
  <c r="N1015" i="17" s="1"/>
  <c r="N554" i="17" a="1"/>
  <c r="N554" i="17" s="1"/>
  <c r="L558" i="17" a="1"/>
  <c r="L558" i="17" s="1"/>
  <c r="M774" i="17" a="1"/>
  <c r="M774" i="17" s="1"/>
  <c r="N476" i="17" a="1"/>
  <c r="N476" i="17" s="1"/>
  <c r="L692" i="17" a="1"/>
  <c r="L692" i="17" s="1"/>
  <c r="M626" i="17" a="1"/>
  <c r="M626" i="17" s="1"/>
  <c r="L1009" i="17" a="1"/>
  <c r="L1009" i="17" s="1"/>
  <c r="N985" i="17" a="1"/>
  <c r="N985" i="17" s="1"/>
  <c r="L508" i="17" a="1"/>
  <c r="L508" i="17" s="1"/>
  <c r="L17" i="17" a="1"/>
  <c r="L17" i="17" s="1"/>
  <c r="N966" i="17" a="1"/>
  <c r="N966" i="17" s="1"/>
  <c r="L339" i="17" a="1"/>
  <c r="L339" i="17" s="1"/>
  <c r="M499" i="17" a="1"/>
  <c r="M499" i="17" s="1"/>
  <c r="M609" i="17" a="1"/>
  <c r="M609" i="17" s="1"/>
  <c r="N1009" i="17" a="1"/>
  <c r="N1009" i="17" s="1"/>
  <c r="N936" i="17" a="1"/>
  <c r="N936" i="17" s="1"/>
  <c r="L476" i="17" a="1"/>
  <c r="L476" i="17" s="1"/>
  <c r="L555" i="17" a="1"/>
  <c r="L555" i="17" s="1"/>
  <c r="L951" i="17" a="1"/>
  <c r="L951" i="17" s="1"/>
  <c r="M961" i="17" a="1"/>
  <c r="M961" i="17" s="1"/>
  <c r="N668" i="17" a="1"/>
  <c r="N668" i="17" s="1"/>
  <c r="M204" i="17" a="1"/>
  <c r="M204" i="17" s="1"/>
  <c r="L280" i="17" a="1"/>
  <c r="L280" i="17" s="1"/>
  <c r="L36" i="17" a="1"/>
  <c r="L36" i="17" s="1"/>
  <c r="L718" i="17" a="1"/>
  <c r="L718" i="17" s="1"/>
  <c r="M688" i="17" a="1"/>
  <c r="M688" i="17" s="1"/>
  <c r="M400" i="17" a="1"/>
  <c r="M400" i="17" s="1"/>
  <c r="N708" i="17" a="1"/>
  <c r="N708" i="17" s="1"/>
  <c r="L738" i="17" a="1"/>
  <c r="L738" i="17" s="1"/>
  <c r="L491" i="17" a="1"/>
  <c r="L491" i="17" s="1"/>
  <c r="N275" i="17" a="1"/>
  <c r="N275" i="17" s="1"/>
  <c r="N870" i="17" a="1"/>
  <c r="N870" i="17" s="1"/>
  <c r="M905" i="17" a="1"/>
  <c r="M905" i="17" s="1"/>
  <c r="L523" i="17" a="1"/>
  <c r="L523" i="17" s="1"/>
  <c r="G13" i="17"/>
  <c r="I13" i="17" s="1"/>
  <c r="N552" i="17" a="1"/>
  <c r="N552" i="17" s="1"/>
  <c r="L61" i="17" a="1"/>
  <c r="L61" i="17" s="1"/>
  <c r="L118" i="17" a="1"/>
  <c r="L118" i="17" s="1"/>
  <c r="N274" i="17" a="1"/>
  <c r="N274" i="17" s="1"/>
  <c r="L526" i="17" a="1"/>
  <c r="L526" i="17" s="1"/>
  <c r="L535" i="17" a="1"/>
  <c r="L535" i="17" s="1"/>
  <c r="L505" i="17" a="1"/>
  <c r="L505" i="17" s="1"/>
  <c r="M395" i="17" a="1"/>
  <c r="M395" i="17" s="1"/>
  <c r="N923" i="17" a="1"/>
  <c r="N923" i="17" s="1"/>
  <c r="G175" i="17"/>
  <c r="N411" i="17" a="1"/>
  <c r="N411" i="17" s="1"/>
  <c r="L365" i="17" a="1"/>
  <c r="L365" i="17" s="1"/>
  <c r="N478" i="17" a="1"/>
  <c r="N478" i="17" s="1"/>
  <c r="L317" i="17" a="1"/>
  <c r="L317" i="17" s="1"/>
  <c r="N317" i="17" a="1"/>
  <c r="N317" i="17" s="1"/>
  <c r="M102" i="17" a="1"/>
  <c r="M102" i="17" s="1"/>
  <c r="M168" i="17" a="1"/>
  <c r="M168" i="17" s="1"/>
  <c r="G661" i="17"/>
  <c r="I661" i="17" s="1"/>
  <c r="M183" i="17" a="1"/>
  <c r="M183" i="17" s="1"/>
  <c r="L220" i="17" a="1"/>
  <c r="L220" i="17" s="1"/>
  <c r="L263" i="17" a="1"/>
  <c r="L263" i="17" s="1"/>
  <c r="M104" i="17" a="1"/>
  <c r="M104" i="17" s="1"/>
  <c r="N36" i="17" a="1"/>
  <c r="N36" i="17" s="1"/>
  <c r="N392" i="17" a="1"/>
  <c r="N392" i="17" s="1"/>
  <c r="N144" i="17" a="1"/>
  <c r="N144" i="17" s="1"/>
  <c r="L796" i="17" a="1"/>
  <c r="L796" i="17" s="1"/>
  <c r="L528" i="17" a="1"/>
  <c r="L528" i="17" s="1"/>
  <c r="N492" i="17" a="1"/>
  <c r="N492" i="17" s="1"/>
  <c r="M88" i="17" a="1"/>
  <c r="M88" i="17" s="1"/>
  <c r="M399" i="17" a="1"/>
  <c r="M399" i="17" s="1"/>
  <c r="L367" i="17" a="1"/>
  <c r="L367" i="17" s="1"/>
  <c r="L525" i="17" a="1"/>
  <c r="L525" i="17" s="1"/>
  <c r="M203" i="17" a="1"/>
  <c r="M203" i="17" s="1"/>
  <c r="L303" i="17" a="1"/>
  <c r="L303" i="17" s="1"/>
  <c r="L97" i="17" a="1"/>
  <c r="L97" i="17" s="1"/>
  <c r="M936" i="17" a="1"/>
  <c r="M936" i="17" s="1"/>
  <c r="G553" i="17"/>
  <c r="I553" i="17" s="1"/>
  <c r="L266" i="17" a="1"/>
  <c r="L266" i="17" s="1"/>
  <c r="M158" i="17" a="1"/>
  <c r="M158" i="17" s="1"/>
  <c r="L740" i="17" a="1"/>
  <c r="L740" i="17" s="1"/>
  <c r="N779" i="17" a="1"/>
  <c r="N779" i="17" s="1"/>
  <c r="L908" i="17" a="1"/>
  <c r="L908" i="17" s="1"/>
  <c r="N438" i="17" a="1"/>
  <c r="N438" i="17" s="1"/>
  <c r="N1012" i="17" a="1"/>
  <c r="N1012" i="17" s="1"/>
  <c r="N833" i="17" a="1"/>
  <c r="N833" i="17" s="1"/>
  <c r="M579" i="17" a="1"/>
  <c r="M579" i="17" s="1"/>
  <c r="L589" i="17" a="1"/>
  <c r="L589" i="17" s="1"/>
  <c r="M795" i="17" a="1"/>
  <c r="M795" i="17" s="1"/>
  <c r="M898" i="17" a="1"/>
  <c r="M898" i="17" s="1"/>
  <c r="N387" i="17" a="1"/>
  <c r="N387" i="17" s="1"/>
  <c r="N264" i="17" a="1"/>
  <c r="N264" i="17" s="1"/>
  <c r="G364" i="17"/>
  <c r="I364" i="17" s="1"/>
  <c r="L546" i="17" a="1"/>
  <c r="L546" i="17" s="1"/>
  <c r="L67" i="17" a="1"/>
  <c r="L67" i="17" s="1"/>
  <c r="L641" i="17" a="1"/>
  <c r="L641" i="17" s="1"/>
  <c r="M365" i="17" a="1"/>
  <c r="M365" i="17" s="1"/>
  <c r="L665" i="17" a="1"/>
  <c r="L665" i="17" s="1"/>
  <c r="N681" i="17" a="1"/>
  <c r="N681" i="17" s="1"/>
  <c r="L983" i="17" a="1"/>
  <c r="L983" i="17" s="1"/>
  <c r="L725" i="17" a="1"/>
  <c r="L725" i="17" s="1"/>
  <c r="N769" i="17" a="1"/>
  <c r="N769" i="17" s="1"/>
  <c r="N1010" i="17" a="1"/>
  <c r="N1010" i="17" s="1"/>
  <c r="N253" i="17" a="1"/>
  <c r="N253" i="17" s="1"/>
  <c r="M346" i="17" a="1"/>
  <c r="M346" i="17" s="1"/>
  <c r="N519" i="17" a="1"/>
  <c r="N519" i="17" s="1"/>
  <c r="L1020" i="17" a="1"/>
  <c r="L1020" i="17" s="1"/>
  <c r="M571" i="17" a="1"/>
  <c r="M571" i="17" s="1"/>
  <c r="L990" i="17" a="1"/>
  <c r="L990" i="17" s="1"/>
  <c r="N615" i="17" a="1"/>
  <c r="N615" i="17" s="1"/>
  <c r="N939" i="17" a="1"/>
  <c r="N939" i="17" s="1"/>
  <c r="L438" i="17" a="1"/>
  <c r="L438" i="17" s="1"/>
  <c r="M393" i="17" a="1"/>
  <c r="M393" i="17" s="1"/>
  <c r="M629" i="17" a="1"/>
  <c r="M629" i="17" s="1"/>
  <c r="L956" i="17" a="1"/>
  <c r="L956" i="17" s="1"/>
  <c r="M1006" i="17" a="1"/>
  <c r="M1006" i="17" s="1"/>
  <c r="L713" i="17" a="1"/>
  <c r="L713" i="17" s="1"/>
  <c r="L178" i="17" a="1"/>
  <c r="L178" i="17" s="1"/>
  <c r="N989" i="17" a="1"/>
  <c r="N989" i="17" s="1"/>
  <c r="M709" i="17" a="1"/>
  <c r="M709" i="17" s="1"/>
  <c r="N320" i="17" a="1"/>
  <c r="N320" i="17" s="1"/>
  <c r="M1012" i="17" a="1"/>
  <c r="M1012" i="17" s="1"/>
  <c r="L479" i="17" a="1"/>
  <c r="L479" i="17" s="1"/>
  <c r="N447" i="17" a="1"/>
  <c r="N447" i="17" s="1"/>
  <c r="M806" i="17" a="1"/>
  <c r="M806" i="17" s="1"/>
  <c r="N276" i="17" a="1"/>
  <c r="N276" i="17" s="1"/>
  <c r="M95" i="17" a="1"/>
  <c r="M95" i="17" s="1"/>
  <c r="L139" i="17" a="1"/>
  <c r="L139" i="17" s="1"/>
  <c r="L290" i="17" a="1"/>
  <c r="L290" i="17" s="1"/>
  <c r="M150" i="17" a="1"/>
  <c r="M150" i="17" s="1"/>
  <c r="N347" i="17" a="1"/>
  <c r="N347" i="17" s="1"/>
  <c r="L169" i="17" a="1"/>
  <c r="L169" i="17" s="1"/>
  <c r="L85" i="17" a="1"/>
  <c r="L85" i="17" s="1"/>
  <c r="N293" i="17" a="1"/>
  <c r="N293" i="17" s="1"/>
  <c r="G715" i="17"/>
  <c r="I715" i="17" s="1"/>
  <c r="M114" i="17" a="1"/>
  <c r="M114" i="17" s="1"/>
  <c r="L440" i="17" a="1"/>
  <c r="L440" i="17" s="1"/>
  <c r="N653" i="17" a="1"/>
  <c r="N653" i="17" s="1"/>
  <c r="M386" i="17" a="1"/>
  <c r="M386" i="17" s="1"/>
  <c r="M154" i="17" a="1"/>
  <c r="M154" i="17" s="1"/>
  <c r="M142" i="17" a="1"/>
  <c r="M142" i="17" s="1"/>
  <c r="L115" i="17" a="1"/>
  <c r="L115" i="17" s="1"/>
  <c r="N584" i="17" a="1"/>
  <c r="N584" i="17" s="1"/>
  <c r="L128" i="17" a="1"/>
  <c r="L128" i="17" s="1"/>
  <c r="M73" i="17" a="1"/>
  <c r="M73" i="17" s="1"/>
  <c r="G67" i="17"/>
  <c r="N467" i="17" a="1"/>
  <c r="N467" i="17" s="1"/>
  <c r="L210" i="17" a="1"/>
  <c r="L210" i="17" s="1"/>
  <c r="N318" i="17" a="1"/>
  <c r="N318" i="17" s="1"/>
  <c r="N896" i="17" a="1"/>
  <c r="N896" i="17" s="1"/>
  <c r="M229" i="17" a="1"/>
  <c r="M229" i="17" s="1"/>
  <c r="N152" i="17" a="1"/>
  <c r="N152" i="17" s="1"/>
  <c r="L370" i="17" a="1"/>
  <c r="L370" i="17" s="1"/>
  <c r="G580" i="17"/>
  <c r="I580" i="17" s="1"/>
  <c r="N497" i="17" a="1"/>
  <c r="N497" i="17" s="1"/>
  <c r="N737" i="17" a="1"/>
  <c r="N737" i="17" s="1"/>
  <c r="L175" i="17" a="1"/>
  <c r="L175" i="17" s="1"/>
  <c r="M796" i="17" a="1"/>
  <c r="M796" i="17" s="1"/>
  <c r="L764" i="17" a="1"/>
  <c r="L764" i="17" s="1"/>
  <c r="M468" i="17" a="1"/>
  <c r="M468" i="17" s="1"/>
  <c r="N415" i="17" a="1"/>
  <c r="N415" i="17" s="1"/>
  <c r="L719" i="17" a="1"/>
  <c r="L719" i="17" s="1"/>
  <c r="N689" i="17" a="1"/>
  <c r="N689" i="17" s="1"/>
  <c r="M599" i="17" a="1"/>
  <c r="M599" i="17" s="1"/>
  <c r="L934" i="17" a="1"/>
  <c r="L934" i="17" s="1"/>
  <c r="N795" i="17" a="1"/>
  <c r="N795" i="17" s="1"/>
  <c r="N760" i="17" a="1"/>
  <c r="N760" i="17" s="1"/>
  <c r="N877" i="17" a="1"/>
  <c r="N877" i="17" s="1"/>
  <c r="M877" i="17" a="1"/>
  <c r="M877" i="17" s="1"/>
  <c r="G877" i="17"/>
  <c r="M274" i="17" a="1"/>
  <c r="M274" i="17" s="1"/>
  <c r="L1006" i="17" a="1"/>
  <c r="L1006" i="17" s="1"/>
  <c r="M631" i="17" a="1"/>
  <c r="M631" i="17" s="1"/>
  <c r="N733" i="17" a="1"/>
  <c r="N733" i="17" s="1"/>
  <c r="L420" i="17" a="1"/>
  <c r="L420" i="17" s="1"/>
  <c r="M993" i="17" a="1"/>
  <c r="M993" i="17" s="1"/>
  <c r="L909" i="17" a="1"/>
  <c r="L909" i="17" s="1"/>
  <c r="M589" i="17" a="1"/>
  <c r="M589" i="17" s="1"/>
  <c r="N561" i="17" a="1"/>
  <c r="N561" i="17" s="1"/>
  <c r="L832" i="17" a="1"/>
  <c r="L832" i="17" s="1"/>
  <c r="N7" i="17" a="1"/>
  <c r="N7" i="17" s="1"/>
  <c r="N937" i="17" a="1"/>
  <c r="N937" i="17" s="1"/>
  <c r="N14" i="17" a="1"/>
  <c r="N14" i="17" s="1"/>
  <c r="N805" i="17" a="1"/>
  <c r="N805" i="17" s="1"/>
  <c r="L207" i="17" a="1"/>
  <c r="L207" i="17" s="1"/>
  <c r="G769" i="17"/>
  <c r="I769" i="17" s="1"/>
  <c r="N776" i="17" a="1"/>
  <c r="N776" i="17" s="1"/>
  <c r="N846" i="17" a="1"/>
  <c r="N846" i="17" s="1"/>
  <c r="M958" i="17" a="1"/>
  <c r="M958" i="17" s="1"/>
  <c r="L642" i="17" a="1"/>
  <c r="L642" i="17" s="1"/>
  <c r="N751" i="17" a="1"/>
  <c r="N751" i="17" s="1"/>
  <c r="L519" i="17" a="1"/>
  <c r="L519" i="17" s="1"/>
  <c r="M1011" i="17" a="1"/>
  <c r="M1011" i="17" s="1"/>
  <c r="N794" i="17" a="1"/>
  <c r="N794" i="17" s="1"/>
  <c r="L850" i="17" a="1"/>
  <c r="L850" i="17" s="1"/>
  <c r="N616" i="17" a="1"/>
  <c r="N616" i="17" s="1"/>
  <c r="N71" i="17" a="1"/>
  <c r="N71" i="17" s="1"/>
  <c r="M421" i="17" a="1"/>
  <c r="M421" i="17" s="1"/>
  <c r="N688" i="17" a="1"/>
  <c r="N688" i="17" s="1"/>
  <c r="G931" i="17"/>
  <c r="I931" i="17" s="1"/>
  <c r="N832" i="17" a="1"/>
  <c r="N832" i="17" s="1"/>
  <c r="N697" i="17" a="1"/>
  <c r="N697" i="17" s="1"/>
  <c r="M604" i="17" a="1"/>
  <c r="M604" i="17" s="1"/>
  <c r="N906" i="17" a="1"/>
  <c r="N906" i="17" s="1"/>
  <c r="N465" i="17" a="1"/>
  <c r="N465" i="17" s="1"/>
  <c r="N256" i="17" a="1"/>
  <c r="N256" i="17" s="1"/>
  <c r="G202" i="17"/>
  <c r="L965" i="17" a="1"/>
  <c r="L965" i="17" s="1"/>
  <c r="N75" i="17" a="1"/>
  <c r="N75" i="17" s="1"/>
  <c r="L320" i="17" a="1"/>
  <c r="L320" i="17" s="1"/>
  <c r="L524" i="17" a="1"/>
  <c r="L524" i="17" s="1"/>
  <c r="L419" i="17" a="1"/>
  <c r="L419" i="17" s="1"/>
  <c r="N884" i="17" a="1"/>
  <c r="N884" i="17" s="1"/>
  <c r="L910" i="17" a="1"/>
  <c r="L910" i="17" s="1"/>
  <c r="L314" i="17" a="1"/>
  <c r="L314" i="17" s="1"/>
  <c r="L616" i="17" a="1"/>
  <c r="L616" i="17" s="1"/>
  <c r="M815" i="17" a="1"/>
  <c r="M815" i="17" s="1"/>
  <c r="N112" i="17" a="1"/>
  <c r="N112" i="17" s="1"/>
  <c r="N140" i="17" a="1"/>
  <c r="N140" i="17" s="1"/>
  <c r="M14" i="17" a="1"/>
  <c r="M14" i="17" s="1"/>
  <c r="N817" i="17" a="1"/>
  <c r="N817" i="17" s="1"/>
  <c r="L37" i="17" a="1"/>
  <c r="L37" i="17" s="1"/>
  <c r="N904" i="17" a="1"/>
  <c r="N904" i="17" s="1"/>
  <c r="L577" i="17" a="1"/>
  <c r="L577" i="17" s="1"/>
  <c r="M627" i="17" a="1"/>
  <c r="M627" i="17" s="1"/>
  <c r="L751" i="17" a="1"/>
  <c r="L751" i="17" s="1"/>
  <c r="M739" i="17" a="1"/>
  <c r="M739" i="17" s="1"/>
  <c r="M382" i="17" a="1"/>
  <c r="M382" i="17" s="1"/>
  <c r="M1007" i="17" a="1"/>
  <c r="M1007" i="17" s="1"/>
  <c r="L828" i="17" a="1"/>
  <c r="L828" i="17" s="1"/>
  <c r="L373" i="17" a="1"/>
  <c r="L373" i="17" s="1"/>
  <c r="N692" i="17" a="1"/>
  <c r="N692" i="17" s="1"/>
  <c r="L1013" i="17" a="1"/>
  <c r="L1013" i="17" s="1"/>
  <c r="N95" i="17" a="1"/>
  <c r="N95" i="17" s="1"/>
  <c r="N259" i="17" a="1"/>
  <c r="N259" i="17" s="1"/>
  <c r="M156" i="17" a="1"/>
  <c r="M156" i="17" s="1"/>
  <c r="N524" i="17" a="1"/>
  <c r="N524" i="17" s="1"/>
  <c r="L879" i="17" a="1"/>
  <c r="L879" i="17" s="1"/>
  <c r="N995" i="17" a="1"/>
  <c r="N995" i="17" s="1"/>
  <c r="M933" i="17" a="1"/>
  <c r="M933" i="17" s="1"/>
  <c r="M583" i="17" a="1"/>
  <c r="M583" i="17" s="1"/>
  <c r="M582" i="17" a="1"/>
  <c r="M582" i="17" s="1"/>
  <c r="L830" i="17" a="1"/>
  <c r="L830" i="17" s="1"/>
  <c r="N261" i="17" a="1"/>
  <c r="N261" i="17" s="1"/>
  <c r="N580" i="17" a="1"/>
  <c r="N580" i="17" s="1"/>
  <c r="N748" i="17" a="1"/>
  <c r="N748" i="17" s="1"/>
  <c r="L282" i="17" a="1"/>
  <c r="L282" i="17" s="1"/>
  <c r="L286" i="17" a="1"/>
  <c r="L286" i="17" s="1"/>
  <c r="N303" i="17" a="1"/>
  <c r="N303" i="17" s="1"/>
  <c r="N502" i="17" a="1"/>
  <c r="N502" i="17" s="1"/>
  <c r="N441" i="17" a="1"/>
  <c r="N441" i="17" s="1"/>
  <c r="L825" i="17" a="1"/>
  <c r="L825" i="17" s="1"/>
  <c r="M1018" i="17" a="1"/>
  <c r="M1018" i="17" s="1"/>
  <c r="N547" i="17" a="1"/>
  <c r="N547" i="17" s="1"/>
  <c r="N518" i="17" a="1"/>
  <c r="N518" i="17" s="1"/>
  <c r="L684" i="17" a="1"/>
  <c r="L684" i="17" s="1"/>
  <c r="N551" i="17" a="1"/>
  <c r="N551" i="17" s="1"/>
  <c r="N978" i="17" a="1"/>
  <c r="N978" i="17" s="1"/>
  <c r="L1012" i="17" a="1"/>
  <c r="L1012" i="17" s="1"/>
  <c r="L154" i="17" a="1"/>
  <c r="L154" i="17" s="1"/>
  <c r="N414" i="17" a="1"/>
  <c r="N414" i="17" s="1"/>
  <c r="M657" i="17" a="1"/>
  <c r="M657" i="17" s="1"/>
  <c r="N911" i="17" a="1"/>
  <c r="N911" i="17" s="1"/>
  <c r="M306" i="17" a="1"/>
  <c r="M306" i="17" s="1"/>
  <c r="N508" i="17" a="1"/>
  <c r="N508" i="17" s="1"/>
  <c r="N558" i="17" a="1"/>
  <c r="N558" i="17" s="1"/>
  <c r="M693" i="17" a="1"/>
  <c r="M693" i="17" s="1"/>
  <c r="M1013" i="17" a="1"/>
  <c r="M1013" i="17" s="1"/>
  <c r="M590" i="17" a="1"/>
  <c r="M590" i="17" s="1"/>
  <c r="M412" i="17" a="1"/>
  <c r="M412" i="17" s="1"/>
  <c r="M979" i="17" a="1"/>
  <c r="M979" i="17" s="1"/>
  <c r="M853" i="17" a="1"/>
  <c r="M853" i="17" s="1"/>
  <c r="M332" i="17" a="1"/>
  <c r="M332" i="17" s="1"/>
  <c r="M909" i="17" a="1"/>
  <c r="M909" i="17" s="1"/>
  <c r="M334" i="17" a="1"/>
  <c r="M334" i="17" s="1"/>
  <c r="L968" i="17" a="1"/>
  <c r="L968" i="17" s="1"/>
  <c r="L868" i="17" a="1"/>
  <c r="L868" i="17" s="1"/>
  <c r="M872" i="17" a="1"/>
  <c r="M872" i="17" s="1"/>
  <c r="N679" i="17" a="1"/>
  <c r="N679" i="17" s="1"/>
  <c r="L183" i="17" a="1"/>
  <c r="L183" i="17" s="1"/>
  <c r="N40" i="17" a="1"/>
  <c r="N40" i="17" s="1"/>
  <c r="L914" i="17" a="1"/>
  <c r="L914" i="17" s="1"/>
  <c r="M336" i="17" a="1"/>
  <c r="M336" i="17" s="1"/>
  <c r="M31" i="17" a="1"/>
  <c r="M31" i="17" s="1"/>
  <c r="M687" i="17" a="1"/>
  <c r="M687" i="17" s="1"/>
  <c r="L113" i="17" a="1"/>
  <c r="L113" i="17" s="1"/>
  <c r="N806" i="17" a="1"/>
  <c r="N806" i="17" s="1"/>
  <c r="L629" i="17" a="1"/>
  <c r="L629" i="17" s="1"/>
  <c r="M253" i="17" a="1"/>
  <c r="M253" i="17" s="1"/>
  <c r="M153" i="17" a="1"/>
  <c r="M153" i="17" s="1"/>
  <c r="L411" i="17" a="1"/>
  <c r="L411" i="17" s="1"/>
  <c r="M977" i="17" a="1"/>
  <c r="M977" i="17" s="1"/>
  <c r="M525" i="17" a="1"/>
  <c r="M525" i="17" s="1"/>
  <c r="M772" i="17" a="1"/>
  <c r="M772" i="17" s="1"/>
  <c r="N876" i="17" a="1"/>
  <c r="N876" i="17" s="1"/>
  <c r="M437" i="17" a="1"/>
  <c r="M437" i="17" s="1"/>
  <c r="N734" i="17" a="1"/>
  <c r="N734" i="17" s="1"/>
  <c r="L315" i="17" a="1"/>
  <c r="L315" i="17" s="1"/>
  <c r="L992" i="17" a="1"/>
  <c r="L992" i="17" s="1"/>
  <c r="N262" i="17" a="1"/>
  <c r="N262" i="17" s="1"/>
  <c r="M46" i="17" a="1"/>
  <c r="M46" i="17" s="1"/>
  <c r="L654" i="17" a="1"/>
  <c r="L654" i="17" s="1"/>
  <c r="N373" i="17" a="1"/>
  <c r="N373" i="17" s="1"/>
  <c r="L658" i="17" a="1"/>
  <c r="L658" i="17" s="1"/>
  <c r="N587" i="17" a="1"/>
  <c r="N587" i="17" s="1"/>
  <c r="M470" i="17" a="1"/>
  <c r="M470" i="17" s="1"/>
  <c r="N370" i="17" a="1"/>
  <c r="N370" i="17" s="1"/>
  <c r="M911" i="17" a="1"/>
  <c r="M911" i="17" s="1"/>
  <c r="N900" i="17" a="1"/>
  <c r="N900" i="17" s="1"/>
  <c r="N885" i="17" a="1"/>
  <c r="N885" i="17" s="1"/>
  <c r="M356" i="17" a="1"/>
  <c r="M356" i="17" s="1"/>
  <c r="N237" i="17" a="1"/>
  <c r="N237" i="17" s="1"/>
  <c r="M616" i="17" a="1"/>
  <c r="M616" i="17" s="1"/>
  <c r="N559" i="17" a="1"/>
  <c r="N559" i="17" s="1"/>
  <c r="M9" i="17" a="1"/>
  <c r="M9" i="17" s="1"/>
  <c r="N536" i="17" a="1"/>
  <c r="N536" i="17" s="1"/>
  <c r="L198" i="17" a="1"/>
  <c r="L198" i="17" s="1"/>
  <c r="K198" i="17" s="1"/>
  <c r="L688" i="17" a="1"/>
  <c r="L688" i="17" s="1"/>
  <c r="N41" i="17" a="1"/>
  <c r="N41" i="17" s="1"/>
  <c r="M844" i="17" a="1"/>
  <c r="M844" i="17" s="1"/>
  <c r="M667" i="17" a="1"/>
  <c r="M667" i="17" s="1"/>
  <c r="L478" i="17" a="1"/>
  <c r="L478" i="17" s="1"/>
  <c r="L38" i="17" a="1"/>
  <c r="L38" i="17" s="1"/>
  <c r="M899" i="17" a="1"/>
  <c r="M899" i="17" s="1"/>
  <c r="L337" i="17" a="1"/>
  <c r="L337" i="17" s="1"/>
  <c r="N292" i="17" a="1"/>
  <c r="N292" i="17" s="1"/>
  <c r="N663" i="17" a="1"/>
  <c r="N663" i="17" s="1"/>
  <c r="N67" i="17" a="1"/>
  <c r="N67" i="17" s="1"/>
  <c r="M578" i="17" a="1"/>
  <c r="M578" i="17" s="1"/>
  <c r="N772" i="17" a="1"/>
  <c r="N772" i="17" s="1"/>
  <c r="N124" i="17" a="1"/>
  <c r="N124" i="17" s="1"/>
  <c r="N841" i="17" a="1"/>
  <c r="N841" i="17" s="1"/>
  <c r="L200" i="17" a="1"/>
  <c r="L200" i="17" s="1"/>
  <c r="M852" i="17" a="1"/>
  <c r="M852" i="17" s="1"/>
  <c r="N601" i="17" a="1"/>
  <c r="N601" i="17" s="1"/>
  <c r="M719" i="17" a="1"/>
  <c r="M719" i="17" s="1"/>
  <c r="M745" i="17" a="1"/>
  <c r="M745" i="17" s="1"/>
  <c r="M254" i="17" a="1"/>
  <c r="M254" i="17" s="1"/>
  <c r="L695" i="17" a="1"/>
  <c r="L695" i="17" s="1"/>
  <c r="L90" i="17" a="1"/>
  <c r="L90" i="17" s="1"/>
  <c r="M333" i="17" a="1"/>
  <c r="M333" i="17" s="1"/>
  <c r="L257" i="17" a="1"/>
  <c r="L257" i="17" s="1"/>
  <c r="M765" i="17" a="1"/>
  <c r="M765" i="17" s="1"/>
  <c r="L177" i="17" a="1"/>
  <c r="L177" i="17" s="1"/>
  <c r="M139" i="17" a="1"/>
  <c r="M139" i="17" s="1"/>
  <c r="M981" i="17" a="1"/>
  <c r="M981" i="17" s="1"/>
  <c r="L208" i="17" a="1"/>
  <c r="L208" i="17" s="1"/>
  <c r="N844" i="17" a="1"/>
  <c r="N844" i="17" s="1"/>
  <c r="N428" i="17" a="1"/>
  <c r="N428" i="17" s="1"/>
  <c r="N180" i="17" a="1"/>
  <c r="N180" i="17" s="1"/>
  <c r="N332" i="17" a="1"/>
  <c r="N332" i="17" s="1"/>
  <c r="N100" i="17" a="1"/>
  <c r="N100" i="17" s="1"/>
  <c r="M814" i="17" a="1"/>
  <c r="M814" i="17" s="1"/>
  <c r="M388" i="17" a="1"/>
  <c r="M388" i="17" s="1"/>
  <c r="L941" i="17" a="1"/>
  <c r="L941" i="17" s="1"/>
  <c r="M283" i="17" a="1"/>
  <c r="M283" i="17" s="1"/>
  <c r="M182" i="17" a="1"/>
  <c r="M182" i="17" s="1"/>
  <c r="L878" i="17" a="1"/>
  <c r="L878" i="17" s="1"/>
  <c r="N791" i="17" a="1"/>
  <c r="N791" i="17" s="1"/>
  <c r="M390" i="17" a="1"/>
  <c r="M390" i="17" s="1"/>
  <c r="L68" i="17" a="1"/>
  <c r="L68" i="17" s="1"/>
  <c r="M950" i="17" a="1"/>
  <c r="M950" i="17" s="1"/>
  <c r="M329" i="17" a="1"/>
  <c r="M329" i="17" s="1"/>
  <c r="L982" i="17" a="1"/>
  <c r="L982" i="17" s="1"/>
  <c r="L521" i="17" a="1"/>
  <c r="L521" i="17" s="1"/>
  <c r="M602" i="17" a="1"/>
  <c r="M602" i="17" s="1"/>
  <c r="L496" i="17" a="1"/>
  <c r="L496" i="17" s="1"/>
  <c r="M706" i="17" a="1"/>
  <c r="M706" i="17" s="1"/>
  <c r="N168" i="17" a="1"/>
  <c r="N168" i="17" s="1"/>
  <c r="L302" i="17" a="1"/>
  <c r="L302" i="17" s="1"/>
  <c r="N531" i="17" a="1"/>
  <c r="N531" i="17" s="1"/>
  <c r="N390" i="17" a="1"/>
  <c r="N390" i="17" s="1"/>
  <c r="M411" i="17" a="1"/>
  <c r="M411" i="17" s="1"/>
  <c r="N8" i="17" a="1"/>
  <c r="N8" i="17" s="1"/>
  <c r="N556" i="17" a="1"/>
  <c r="N556" i="17" s="1"/>
  <c r="L664" i="17" a="1"/>
  <c r="L664" i="17" s="1"/>
  <c r="L70" i="17" a="1"/>
  <c r="L70" i="17" s="1"/>
  <c r="L522" i="17" a="1"/>
  <c r="L522" i="17" s="1"/>
  <c r="N725" i="17" a="1"/>
  <c r="N725" i="17" s="1"/>
  <c r="L1011" i="17" a="1"/>
  <c r="L1011" i="17" s="1"/>
  <c r="L585" i="17" a="1"/>
  <c r="L585" i="17" s="1"/>
  <c r="N426" i="17" a="1"/>
  <c r="N426" i="17" s="1"/>
  <c r="M1017" i="17" a="1"/>
  <c r="M1017" i="17" s="1"/>
  <c r="L259" i="17" a="1"/>
  <c r="L259" i="17" s="1"/>
  <c r="N829" i="17" a="1"/>
  <c r="N829" i="17" s="1"/>
  <c r="M587" i="17" a="1"/>
  <c r="M587" i="17" s="1"/>
  <c r="N150" i="17" a="1"/>
  <c r="N150" i="17" s="1"/>
  <c r="M1014" i="17" a="1"/>
  <c r="M1014" i="17" s="1"/>
  <c r="M194" i="17" a="1"/>
  <c r="M194" i="17" s="1"/>
  <c r="L723" i="17" a="1"/>
  <c r="L723" i="17" s="1"/>
  <c r="N803" i="17" a="1"/>
  <c r="N803" i="17" s="1"/>
  <c r="N1003" i="17" a="1"/>
  <c r="N1003" i="17" s="1"/>
  <c r="L1003" i="17" a="1"/>
  <c r="L1003" i="17" s="1"/>
  <c r="L1016" i="17" a="1"/>
  <c r="L1016" i="17" s="1"/>
  <c r="N146" i="17" a="1"/>
  <c r="N146" i="17" s="1"/>
  <c r="N357" i="17" a="1"/>
  <c r="N357" i="17" s="1"/>
  <c r="M857" i="17" a="1"/>
  <c r="M857" i="17" s="1"/>
  <c r="N175" i="17" a="1"/>
  <c r="N175" i="17" s="1"/>
  <c r="L481" i="17" a="1"/>
  <c r="L481" i="17" s="1"/>
  <c r="N1007" i="17" a="1"/>
  <c r="N1007" i="17" s="1"/>
  <c r="M15" i="17" a="1"/>
  <c r="M15" i="17" s="1"/>
  <c r="N173" i="17" a="1"/>
  <c r="N173" i="17" s="1"/>
  <c r="N940" i="17" a="1"/>
  <c r="N940" i="17" s="1"/>
  <c r="N307" i="17" a="1"/>
  <c r="N307" i="17" s="1"/>
  <c r="G634" i="17"/>
  <c r="I634" i="17" s="1"/>
  <c r="L391" i="17" a="1"/>
  <c r="L391" i="17" s="1"/>
  <c r="N851" i="17" a="1"/>
  <c r="N851" i="17" s="1"/>
  <c r="L1019" i="17" a="1"/>
  <c r="L1019" i="17" s="1"/>
  <c r="N792" i="17" a="1"/>
  <c r="N792" i="17" s="1"/>
  <c r="L413" i="17" a="1"/>
  <c r="L413" i="17" s="1"/>
  <c r="N383" i="17" a="1"/>
  <c r="N383" i="17" s="1"/>
  <c r="M282" i="17" a="1"/>
  <c r="M282" i="17" s="1"/>
  <c r="M670" i="17" a="1"/>
  <c r="M670" i="17" s="1"/>
  <c r="N391" i="17" a="1"/>
  <c r="N391" i="17" s="1"/>
  <c r="L197" i="17" a="1"/>
  <c r="L197" i="17" s="1"/>
  <c r="M442" i="17" a="1"/>
  <c r="M442" i="17" s="1"/>
  <c r="M712" i="17" a="1"/>
  <c r="M712" i="17" s="1"/>
  <c r="G445" i="17"/>
  <c r="I445" i="17" s="1"/>
  <c r="L773" i="17" a="1"/>
  <c r="L773" i="17" s="1"/>
  <c r="L471" i="17" a="1"/>
  <c r="L471" i="17" s="1"/>
  <c r="N278" i="17" a="1"/>
  <c r="N278" i="17" s="1"/>
  <c r="M497" i="17" a="1"/>
  <c r="M497" i="17" s="1"/>
  <c r="N494" i="17" a="1"/>
  <c r="N494" i="17" s="1"/>
  <c r="N777" i="17" a="1"/>
  <c r="N777" i="17" s="1"/>
  <c r="L712" i="17" a="1"/>
  <c r="L712" i="17" s="1"/>
  <c r="M313" i="17" a="1"/>
  <c r="M313" i="17" s="1"/>
  <c r="L744" i="17" a="1"/>
  <c r="L744" i="17" s="1"/>
  <c r="M654" i="17" a="1"/>
  <c r="M654" i="17" s="1"/>
  <c r="M152" i="17" a="1"/>
  <c r="M152" i="17" s="1"/>
  <c r="L572" i="17" a="1"/>
  <c r="L572" i="17" s="1"/>
  <c r="L720" i="17" a="1"/>
  <c r="L720" i="17" s="1"/>
  <c r="N652" i="17" a="1"/>
  <c r="N652" i="17" s="1"/>
  <c r="L473" i="17" a="1"/>
  <c r="L473" i="17" s="1"/>
  <c r="N10" i="17" a="1"/>
  <c r="N10" i="17" s="1"/>
  <c r="L761" i="17" a="1"/>
  <c r="L761" i="17" s="1"/>
  <c r="L716" i="17" a="1"/>
  <c r="L716" i="17" s="1"/>
  <c r="M967" i="17" a="1"/>
  <c r="M967" i="17" s="1"/>
  <c r="M794" i="17" a="1"/>
  <c r="M794" i="17" s="1"/>
  <c r="M409" i="17" a="1"/>
  <c r="M409" i="17" s="1"/>
  <c r="N481" i="17" a="1"/>
  <c r="N481" i="17" s="1"/>
  <c r="N356" i="17" a="1"/>
  <c r="N356" i="17" s="1"/>
  <c r="L184" i="17" a="1"/>
  <c r="L184" i="17" s="1"/>
  <c r="N957" i="17" a="1"/>
  <c r="N957" i="17" s="1"/>
  <c r="L617" i="17" a="1"/>
  <c r="L617" i="17" s="1"/>
  <c r="M423" i="17" a="1"/>
  <c r="M423" i="17" s="1"/>
  <c r="N505" i="17" a="1"/>
  <c r="N505" i="17" s="1"/>
  <c r="N59" i="17" a="1"/>
  <c r="N59" i="17" s="1"/>
  <c r="L875" i="17" a="1"/>
  <c r="L875" i="17" s="1"/>
  <c r="N495" i="17" a="1"/>
  <c r="N495" i="17" s="1"/>
  <c r="M665" i="17" a="1"/>
  <c r="M665" i="17" s="1"/>
  <c r="N739" i="17" a="1"/>
  <c r="N739" i="17" s="1"/>
  <c r="N151" i="17" a="1"/>
  <c r="N151" i="17" s="1"/>
  <c r="L736" i="17" a="1"/>
  <c r="L736" i="17" s="1"/>
  <c r="M447" i="17" a="1"/>
  <c r="M447" i="17" s="1"/>
  <c r="M445" i="17" a="1"/>
  <c r="M445" i="17" s="1"/>
  <c r="M264" i="17" a="1"/>
  <c r="M264" i="17" s="1"/>
  <c r="N62" i="17" a="1"/>
  <c r="N62" i="17" s="1"/>
  <c r="N579" i="17" a="1"/>
  <c r="N579" i="17" s="1"/>
  <c r="N87" i="17" a="1"/>
  <c r="N87" i="17" s="1"/>
  <c r="M884" i="17" a="1"/>
  <c r="M884" i="17" s="1"/>
  <c r="N636" i="17" a="1"/>
  <c r="N636" i="17" s="1"/>
  <c r="L62" i="17" a="1"/>
  <c r="L62" i="17" s="1"/>
  <c r="N440" i="17" a="1"/>
  <c r="N440" i="17" s="1"/>
  <c r="L444" i="17" a="1"/>
  <c r="L444" i="17" s="1"/>
  <c r="M441" i="17" a="1"/>
  <c r="M441" i="17" s="1"/>
  <c r="M34" i="17" a="1"/>
  <c r="M34" i="17" s="1"/>
  <c r="M752" i="17" a="1"/>
  <c r="M752" i="17" s="1"/>
  <c r="L607" i="17" a="1"/>
  <c r="L607" i="17" s="1"/>
  <c r="M112" i="17" a="1"/>
  <c r="M112" i="17" s="1"/>
  <c r="N1017" i="17" a="1"/>
  <c r="N1017" i="17" s="1"/>
  <c r="N507" i="17" a="1"/>
  <c r="N507" i="17" s="1"/>
  <c r="L334" i="17" a="1"/>
  <c r="L334" i="17" s="1"/>
  <c r="N400" i="17" a="1"/>
  <c r="N400" i="17" s="1"/>
  <c r="N169" i="17" a="1"/>
  <c r="N169" i="17" s="1"/>
  <c r="M822" i="17" a="1"/>
  <c r="M822" i="17" s="1"/>
  <c r="M397" i="17" a="1"/>
  <c r="M397" i="17" s="1"/>
  <c r="N448" i="17" a="1"/>
  <c r="N448" i="17" s="1"/>
  <c r="M769" i="17" a="1"/>
  <c r="M769" i="17" s="1"/>
  <c r="N208" i="17" a="1"/>
  <c r="N208" i="17" s="1"/>
  <c r="L49" i="17" a="1"/>
  <c r="L49" i="17" s="1"/>
  <c r="N247" i="17" a="1"/>
  <c r="N247" i="17" s="1"/>
  <c r="M722" i="17" a="1"/>
  <c r="M722" i="17" s="1"/>
  <c r="N452" i="17" a="1"/>
  <c r="N452" i="17" s="1"/>
  <c r="M22" i="17" a="1"/>
  <c r="M22" i="17" s="1"/>
  <c r="L961" i="17" a="1"/>
  <c r="L961" i="17" s="1"/>
  <c r="N588" i="17" a="1"/>
  <c r="N588" i="17" s="1"/>
  <c r="M414" i="17" a="1"/>
  <c r="M414" i="17" s="1"/>
  <c r="N1014" i="17" a="1"/>
  <c r="N1014" i="17" s="1"/>
  <c r="L16" i="17" a="1"/>
  <c r="L16" i="17" s="1"/>
  <c r="N868" i="17" a="1"/>
  <c r="N868" i="17" s="1"/>
  <c r="N617" i="17" a="1"/>
  <c r="N617" i="17" s="1"/>
  <c r="M177" i="17" a="1"/>
  <c r="M177" i="17" s="1"/>
  <c r="L384" i="17" a="1"/>
  <c r="L384" i="17" s="1"/>
  <c r="N422" i="17" a="1"/>
  <c r="N422" i="17" s="1"/>
  <c r="L989" i="17" a="1"/>
  <c r="L989" i="17" s="1"/>
  <c r="L346" i="17" a="1"/>
  <c r="L346" i="17" s="1"/>
  <c r="N18" i="17" a="1"/>
  <c r="N18" i="17" s="1"/>
  <c r="N986" i="17" a="1"/>
  <c r="N986" i="17" s="1"/>
  <c r="N43" i="17" a="1"/>
  <c r="N43" i="17" s="1"/>
  <c r="L6" i="17" a="1"/>
  <c r="L6" i="17" s="1"/>
  <c r="M535" i="17" a="1"/>
  <c r="M535" i="17" s="1"/>
  <c r="L12" i="17" a="1"/>
  <c r="L12" i="17" s="1"/>
  <c r="M847" i="17" a="1"/>
  <c r="M847" i="17" s="1"/>
  <c r="M361" i="17" a="1"/>
  <c r="M361" i="17" s="1"/>
  <c r="N70" i="17" a="1"/>
  <c r="N70" i="17" s="1"/>
  <c r="N359" i="17" a="1"/>
  <c r="N359" i="17" s="1"/>
  <c r="L33" i="17" a="1"/>
  <c r="L33" i="17" s="1"/>
  <c r="M634" i="17" a="1"/>
  <c r="M634" i="17" s="1"/>
  <c r="L95" i="17" a="1"/>
  <c r="L95" i="17" s="1"/>
  <c r="M420" i="17" a="1"/>
  <c r="M420" i="17" s="1"/>
  <c r="N955" i="17" a="1"/>
  <c r="N955" i="17" s="1"/>
  <c r="N283" i="17" a="1"/>
  <c r="N283" i="17" s="1"/>
  <c r="M116" i="17" a="1"/>
  <c r="M116" i="17" s="1"/>
  <c r="L452" i="17" a="1"/>
  <c r="L452" i="17" s="1"/>
  <c r="N156" i="17" a="1"/>
  <c r="N156" i="17" s="1"/>
  <c r="M787" i="17" a="1"/>
  <c r="M787" i="17" s="1"/>
  <c r="M328" i="17" a="1"/>
  <c r="M328" i="17" s="1"/>
  <c r="M992" i="17" a="1"/>
  <c r="M992" i="17" s="1"/>
  <c r="N473" i="17" a="1"/>
  <c r="N473" i="17" s="1"/>
  <c r="N127" i="17" a="1"/>
  <c r="N127" i="17" s="1"/>
  <c r="N847" i="17" a="1"/>
  <c r="N847" i="17" s="1"/>
  <c r="N263" i="17" a="1"/>
  <c r="N263" i="17" s="1"/>
  <c r="N614" i="17" a="1"/>
  <c r="N614" i="17" s="1"/>
  <c r="M175" i="17" a="1"/>
  <c r="M175" i="17" s="1"/>
  <c r="M876" i="17" a="1"/>
  <c r="M876" i="17" s="1"/>
  <c r="M904" i="17" a="1"/>
  <c r="M904" i="17" s="1"/>
  <c r="N796" i="17" a="1"/>
  <c r="N796" i="17" s="1"/>
  <c r="M185" i="17" a="1"/>
  <c r="M185" i="17" s="1"/>
  <c r="M957" i="17" a="1"/>
  <c r="M957" i="17" s="1"/>
  <c r="N412" i="17" a="1"/>
  <c r="N412" i="17" s="1"/>
  <c r="M828" i="17" a="1"/>
  <c r="M828" i="17" s="1"/>
  <c r="N694" i="17" a="1"/>
  <c r="N694" i="17" s="1"/>
  <c r="N887" i="17" a="1"/>
  <c r="N887" i="17" s="1"/>
  <c r="M966" i="17" a="1"/>
  <c r="M966" i="17" s="1"/>
  <c r="M519" i="17" a="1"/>
  <c r="M519" i="17" s="1"/>
  <c r="N585" i="17" a="1"/>
  <c r="N585" i="17" s="1"/>
  <c r="N736" i="17" a="1"/>
  <c r="N736" i="17" s="1"/>
  <c r="N954" i="17" a="1"/>
  <c r="N954" i="17" s="1"/>
  <c r="L634" i="17" a="1"/>
  <c r="L634" i="17" s="1"/>
  <c r="N586" i="17" a="1"/>
  <c r="N586" i="17" s="1"/>
  <c r="M227" i="17" a="1"/>
  <c r="M227" i="17" s="1"/>
  <c r="M555" i="17" a="1"/>
  <c r="M555" i="17" s="1"/>
  <c r="L708" i="17" a="1"/>
  <c r="L708" i="17" s="1"/>
  <c r="M850" i="17" a="1"/>
  <c r="M850" i="17" s="1"/>
  <c r="L185" i="17" a="1"/>
  <c r="L185" i="17" s="1"/>
  <c r="L655" i="17" a="1"/>
  <c r="L655" i="17" s="1"/>
  <c r="L168" i="17" a="1"/>
  <c r="L168" i="17" s="1"/>
  <c r="N469" i="17" a="1"/>
  <c r="N469" i="17" s="1"/>
  <c r="M830" i="17" a="1"/>
  <c r="M830" i="17" s="1"/>
  <c r="N963" i="17" a="1"/>
  <c r="N963" i="17" s="1"/>
  <c r="N816" i="17" a="1"/>
  <c r="N816" i="17" s="1"/>
  <c r="M495" i="17" a="1"/>
  <c r="M495" i="17" s="1"/>
  <c r="N545" i="17" a="1"/>
  <c r="N545" i="17" s="1"/>
  <c r="N860" i="17" a="1"/>
  <c r="N860" i="17" s="1"/>
  <c r="N525" i="17" a="1"/>
  <c r="N525" i="17" s="1"/>
  <c r="L554" i="17" a="1"/>
  <c r="L554" i="17" s="1"/>
  <c r="N117" i="17" a="1"/>
  <c r="N117" i="17" s="1"/>
  <c r="L1004" i="17" a="1"/>
  <c r="L1004" i="17" s="1"/>
  <c r="N819" i="17" a="1"/>
  <c r="N819" i="17" s="1"/>
  <c r="N550" i="17" a="1"/>
  <c r="N550" i="17" s="1"/>
  <c r="N928" i="17" a="1"/>
  <c r="N928" i="17" s="1"/>
  <c r="L831" i="17" a="1"/>
  <c r="L831" i="17" s="1"/>
  <c r="N656" i="17" a="1"/>
  <c r="N656" i="17" s="1"/>
  <c r="N762" i="17" a="1"/>
  <c r="N762" i="17" s="1"/>
  <c r="L630" i="17" a="1"/>
  <c r="L630" i="17" s="1"/>
  <c r="L605" i="17" a="1"/>
  <c r="L605" i="17" s="1"/>
  <c r="L307" i="17" a="1"/>
  <c r="L307" i="17" s="1"/>
  <c r="N602" i="17" a="1"/>
  <c r="N602" i="17" s="1"/>
  <c r="L586" i="17" a="1"/>
  <c r="L586" i="17" s="1"/>
  <c r="L23" i="17" a="1"/>
  <c r="L23" i="17" s="1"/>
  <c r="M398" i="17" a="1"/>
  <c r="M398" i="17" s="1"/>
  <c r="M910" i="17" a="1"/>
  <c r="M910" i="17" s="1"/>
  <c r="N334" i="17" a="1"/>
  <c r="N334" i="17" s="1"/>
  <c r="G337" i="17"/>
  <c r="I337" i="17" s="1"/>
  <c r="L358" i="17" a="1"/>
  <c r="L358" i="17" s="1"/>
  <c r="M929" i="17" a="1"/>
  <c r="M929" i="17" s="1"/>
  <c r="M798" i="17" a="1"/>
  <c r="M798" i="17" s="1"/>
  <c r="M964" i="17" a="1"/>
  <c r="M964" i="17" s="1"/>
  <c r="L657" i="17" a="1"/>
  <c r="L657" i="17" s="1"/>
  <c r="M337" i="17" a="1"/>
  <c r="M337" i="17" s="1"/>
  <c r="N220" i="17" a="1"/>
  <c r="N220" i="17" s="1"/>
  <c r="N715" i="17" a="1"/>
  <c r="N715" i="17" s="1"/>
  <c r="L877" i="17" a="1"/>
  <c r="L877" i="17" s="1"/>
  <c r="N500" i="17" a="1"/>
  <c r="N500" i="17" s="1"/>
  <c r="N319" i="17" a="1"/>
  <c r="N319" i="17" s="1"/>
  <c r="M922" i="17" a="1"/>
  <c r="M922" i="17" s="1"/>
  <c r="G310" i="17"/>
  <c r="I310" i="17" s="1"/>
  <c r="N642" i="17" a="1"/>
  <c r="N642" i="17" s="1"/>
  <c r="L935" i="17" a="1"/>
  <c r="L935" i="17" s="1"/>
  <c r="L791" i="17" a="1"/>
  <c r="L791" i="17" s="1"/>
  <c r="N396" i="17" a="1"/>
  <c r="N396" i="17" s="1"/>
  <c r="N633" i="17" a="1"/>
  <c r="N633" i="17" s="1"/>
  <c r="L687" i="17" a="1"/>
  <c r="L687" i="17" s="1"/>
  <c r="M683" i="17" a="1"/>
  <c r="M683" i="17" s="1"/>
  <c r="N610" i="17" a="1"/>
  <c r="N610" i="17" s="1"/>
  <c r="L422" i="17" a="1"/>
  <c r="L422" i="17" s="1"/>
  <c r="M821" i="17" a="1"/>
  <c r="M821" i="17" s="1"/>
  <c r="N176" i="17" a="1"/>
  <c r="N176" i="17" s="1"/>
  <c r="L848" i="17" a="1"/>
  <c r="L848" i="17" s="1"/>
  <c r="N977" i="17" a="1"/>
  <c r="N977" i="17" s="1"/>
  <c r="N640" i="17" a="1"/>
  <c r="N640" i="17" s="1"/>
  <c r="N765" i="17" a="1"/>
  <c r="N765" i="17" s="1"/>
  <c r="M250" i="17" a="1"/>
  <c r="M250" i="17" s="1"/>
  <c r="M823" i="17" a="1"/>
  <c r="M823" i="17" s="1"/>
  <c r="N64" i="17" a="1"/>
  <c r="N64" i="17" s="1"/>
  <c r="M239" i="17" a="1"/>
  <c r="M239" i="17" s="1"/>
  <c r="L806" i="17" a="1"/>
  <c r="L806" i="17" s="1"/>
  <c r="L372" i="17" a="1"/>
  <c r="L372" i="17" s="1"/>
  <c r="N224" i="17" a="1"/>
  <c r="N224" i="17" s="1"/>
  <c r="L239" i="17" a="1"/>
  <c r="L239" i="17" s="1"/>
  <c r="L173" i="17" a="1"/>
  <c r="L173" i="17" s="1"/>
  <c r="L963" i="17" a="1"/>
  <c r="L963" i="17" s="1"/>
  <c r="M883" i="17" a="1"/>
  <c r="M883" i="17" s="1"/>
  <c r="L643" i="17" a="1"/>
  <c r="L643" i="17" s="1"/>
  <c r="M625" i="17" a="1"/>
  <c r="M625" i="17" s="1"/>
  <c r="M196" i="17" a="1"/>
  <c r="M196" i="17" s="1"/>
  <c r="M831" i="17" a="1"/>
  <c r="M831" i="17" s="1"/>
  <c r="L203" i="17" a="1"/>
  <c r="L203" i="17" s="1"/>
  <c r="K203" i="17" s="1"/>
  <c r="L399" i="17" a="1"/>
  <c r="L399" i="17" s="1"/>
  <c r="N925" i="17" a="1"/>
  <c r="N925" i="17" s="1"/>
  <c r="M237" i="17" a="1"/>
  <c r="M237" i="17" s="1"/>
  <c r="N58" i="17" a="1"/>
  <c r="N58" i="17" s="1"/>
  <c r="L636" i="17" a="1"/>
  <c r="L636" i="17" s="1"/>
  <c r="N364" i="17" a="1"/>
  <c r="N364" i="17" s="1"/>
  <c r="N1018" i="17" a="1"/>
  <c r="N1018" i="17" s="1"/>
  <c r="L794" i="17" a="1"/>
  <c r="L794" i="17" s="1"/>
  <c r="M615" i="17" a="1"/>
  <c r="M615" i="17" s="1"/>
  <c r="L829" i="17" a="1"/>
  <c r="L829" i="17" s="1"/>
  <c r="N21" i="17" a="1"/>
  <c r="N21" i="17" s="1"/>
  <c r="L952" i="17" a="1"/>
  <c r="L952" i="17" s="1"/>
  <c r="M553" i="17" a="1"/>
  <c r="M553" i="17" s="1"/>
  <c r="L144" i="17" a="1"/>
  <c r="L144" i="17" s="1"/>
  <c r="L790" i="17" a="1"/>
  <c r="L790" i="17" s="1"/>
  <c r="L685" i="17" a="1"/>
  <c r="L685" i="17" s="1"/>
  <c r="M552" i="17" a="1"/>
  <c r="M552" i="17" s="1"/>
  <c r="L986" i="17" a="1"/>
  <c r="L986" i="17" s="1"/>
  <c r="N930" i="17" a="1"/>
  <c r="N930" i="17" s="1"/>
  <c r="M279" i="17" a="1"/>
  <c r="M279" i="17" s="1"/>
  <c r="L770" i="17" a="1"/>
  <c r="L770" i="17" s="1"/>
  <c r="L276" i="17" a="1"/>
  <c r="L276" i="17" s="1"/>
  <c r="M347" i="17" a="1"/>
  <c r="M347" i="17" s="1"/>
  <c r="M221" i="17" a="1"/>
  <c r="M221" i="17" s="1"/>
  <c r="L179" i="17" a="1"/>
  <c r="L179" i="17" s="1"/>
  <c r="M557" i="17" a="1"/>
  <c r="M557" i="17" s="1"/>
  <c r="N394" i="17" a="1"/>
  <c r="N394" i="17" s="1"/>
  <c r="L335" i="17" a="1"/>
  <c r="L335" i="17" s="1"/>
  <c r="M931" i="17" a="1"/>
  <c r="M931" i="17" s="1"/>
  <c r="L114" i="17" a="1"/>
  <c r="L114" i="17" s="1"/>
  <c r="M292" i="17" a="1"/>
  <c r="M292" i="17" s="1"/>
  <c r="N363" i="17" a="1"/>
  <c r="N363" i="17" s="1"/>
  <c r="L1018" i="17" a="1"/>
  <c r="L1018" i="17" s="1"/>
  <c r="M151" i="17" a="1"/>
  <c r="M151" i="17" s="1"/>
  <c r="M320" i="17" a="1"/>
  <c r="M320" i="17" s="1"/>
  <c r="M501" i="17" a="1"/>
  <c r="M501" i="17" s="1"/>
  <c r="M764" i="17" a="1"/>
  <c r="M764" i="17" s="1"/>
  <c r="M463" i="17" a="1"/>
  <c r="M463" i="17" s="1"/>
  <c r="M777" i="17" a="1"/>
  <c r="M777" i="17" s="1"/>
  <c r="L151" i="17" a="1"/>
  <c r="L151" i="17" s="1"/>
  <c r="L706" i="17" a="1"/>
  <c r="L706" i="17" s="1"/>
  <c r="M685" i="17" a="1"/>
  <c r="M685" i="17" s="1"/>
  <c r="L313" i="17" a="1"/>
  <c r="L313" i="17" s="1"/>
  <c r="M130" i="17" a="1"/>
  <c r="M130" i="17" s="1"/>
  <c r="N118" i="17" a="1"/>
  <c r="N118" i="17" s="1"/>
  <c r="M792" i="17" a="1"/>
  <c r="M792" i="17" s="1"/>
  <c r="M125" i="17" a="1"/>
  <c r="M125" i="17" s="1"/>
  <c r="L609" i="17" a="1"/>
  <c r="L609" i="17" s="1"/>
  <c r="N722" i="17" a="1"/>
  <c r="N722" i="17" s="1"/>
  <c r="L415" i="17" a="1"/>
  <c r="L415" i="17" s="1"/>
  <c r="L686" i="17" a="1"/>
  <c r="L686" i="17" s="1"/>
  <c r="M941" i="17" a="1"/>
  <c r="M941" i="17" s="1"/>
  <c r="N529" i="17" a="1"/>
  <c r="N529" i="17" s="1"/>
  <c r="N1011" i="17" a="1"/>
  <c r="N1011" i="17" s="1"/>
  <c r="N234" i="17" a="1"/>
  <c r="N234" i="17" s="1"/>
  <c r="N205" i="17" a="1"/>
  <c r="N205" i="17" s="1"/>
  <c r="M248" i="17" a="1"/>
  <c r="M248" i="17" s="1"/>
  <c r="M664" i="17" a="1"/>
  <c r="M664" i="17" s="1"/>
  <c r="M723" i="17" a="1"/>
  <c r="M723" i="17" s="1"/>
  <c r="M903" i="17" a="1"/>
  <c r="M903" i="17" s="1"/>
  <c r="M13" i="17" a="1"/>
  <c r="M13" i="17" s="1"/>
  <c r="M509" i="17" a="1"/>
  <c r="M509" i="17" s="1"/>
  <c r="N340" i="17" a="1"/>
  <c r="N340" i="17" s="1"/>
  <c r="M392" i="17" a="1"/>
  <c r="M392" i="17" s="1"/>
  <c r="M760" i="17" a="1"/>
  <c r="M760" i="17" s="1"/>
  <c r="L721" i="17" a="1"/>
  <c r="L721" i="17" s="1"/>
  <c r="L912" i="17" a="1"/>
  <c r="L912" i="17" s="1"/>
  <c r="N315" i="17" a="1"/>
  <c r="N315" i="17" s="1"/>
  <c r="N509" i="17" a="1"/>
  <c r="N509" i="17" s="1"/>
  <c r="L628" i="17" a="1"/>
  <c r="L628" i="17" s="1"/>
  <c r="N990" i="17" a="1"/>
  <c r="N990" i="17" s="1"/>
  <c r="L453" i="17" a="1"/>
  <c r="L453" i="17" s="1"/>
  <c r="N437" i="17" a="1"/>
  <c r="N437" i="17" s="1"/>
  <c r="M426" i="17" a="1"/>
  <c r="M426" i="17" s="1"/>
  <c r="L75" i="17" a="1"/>
  <c r="L75" i="17" s="1"/>
  <c r="N824" i="17" a="1"/>
  <c r="N824" i="17" s="1"/>
  <c r="L666" i="17" a="1"/>
  <c r="L666" i="17" s="1"/>
  <c r="N491" i="17" a="1"/>
  <c r="N491" i="17" s="1"/>
  <c r="N735" i="17" a="1"/>
  <c r="N735" i="17" s="1"/>
  <c r="M761" i="17" a="1"/>
  <c r="M761" i="17" s="1"/>
  <c r="L765" i="17" a="1"/>
  <c r="L765" i="17" s="1"/>
  <c r="M698" i="17" a="1"/>
  <c r="M698" i="17" s="1"/>
  <c r="L116" i="17" a="1"/>
  <c r="L116" i="17" s="1"/>
  <c r="M479" i="17" a="1"/>
  <c r="M479" i="17" s="1"/>
  <c r="M644" i="17" a="1"/>
  <c r="M644" i="17" s="1"/>
  <c r="L737" i="17" a="1"/>
  <c r="L737" i="17" s="1"/>
  <c r="N608" i="17" a="1"/>
  <c r="N608" i="17" s="1"/>
  <c r="M897" i="17" a="1"/>
  <c r="M897" i="17" s="1"/>
  <c r="M641" i="17" a="1"/>
  <c r="M641" i="17" s="1"/>
  <c r="N123" i="17" a="1"/>
  <c r="N123" i="17" s="1"/>
  <c r="N719" i="17" a="1"/>
  <c r="N719" i="17" s="1"/>
  <c r="L71" i="17" a="1"/>
  <c r="L71" i="17" s="1"/>
  <c r="M686" i="17" a="1"/>
  <c r="M686" i="17" s="1"/>
  <c r="N763" i="17" a="1"/>
  <c r="N763" i="17" s="1"/>
  <c r="N827" i="17" a="1"/>
  <c r="N827" i="17" s="1"/>
  <c r="N738" i="17" a="1"/>
  <c r="N738" i="17" s="1"/>
  <c r="L338" i="17" a="1"/>
  <c r="L338" i="17" s="1"/>
  <c r="M575" i="17" a="1"/>
  <c r="M575" i="17" s="1"/>
  <c r="L679" i="17" a="1"/>
  <c r="L679" i="17" s="1"/>
  <c r="M369" i="17" a="1"/>
  <c r="M369" i="17" s="1"/>
  <c r="N398" i="17" a="1"/>
  <c r="N398" i="17" s="1"/>
  <c r="M319" i="17" a="1"/>
  <c r="M319" i="17" s="1"/>
  <c r="N37" i="17" a="1"/>
  <c r="N37" i="17" s="1"/>
  <c r="M261" i="17" a="1"/>
  <c r="M261" i="17" s="1"/>
  <c r="L181" i="17" a="1"/>
  <c r="L181" i="17" s="1"/>
  <c r="M61" i="17" a="1"/>
  <c r="M61" i="17" s="1"/>
  <c r="L741" i="17" a="1"/>
  <c r="L741" i="17" s="1"/>
  <c r="M956" i="17" a="1"/>
  <c r="M956" i="17" s="1"/>
  <c r="L800" i="17" a="1"/>
  <c r="L800" i="17" s="1"/>
  <c r="L966" i="17" a="1"/>
  <c r="L966" i="17" s="1"/>
  <c r="M12" i="17" a="1"/>
  <c r="M12" i="17" s="1"/>
  <c r="M721" i="17" a="1"/>
  <c r="M721" i="17" s="1"/>
  <c r="L301" i="17" a="1"/>
  <c r="L301" i="17" s="1"/>
  <c r="M466" i="17" a="1"/>
  <c r="M466" i="17" s="1"/>
  <c r="M605" i="17" a="1"/>
  <c r="M605" i="17" s="1"/>
  <c r="M145" i="17" a="1"/>
  <c r="M145" i="17" s="1"/>
  <c r="N221" i="17" a="1"/>
  <c r="N221" i="17" s="1"/>
  <c r="M940" i="17" a="1"/>
  <c r="M940" i="17" s="1"/>
  <c r="M67" i="17" a="1"/>
  <c r="M67" i="17" s="1"/>
  <c r="M550" i="17" a="1"/>
  <c r="M550" i="17" s="1"/>
  <c r="M750" i="17" a="1"/>
  <c r="M750" i="17" s="1"/>
  <c r="L844" i="17" a="1"/>
  <c r="L844" i="17" s="1"/>
  <c r="L480" i="17" a="1"/>
  <c r="L480" i="17" s="1"/>
  <c r="M818" i="17" a="1"/>
  <c r="M818" i="17" s="1"/>
  <c r="L691" i="17" a="1"/>
  <c r="L691" i="17" s="1"/>
  <c r="N752" i="17" a="1"/>
  <c r="N752" i="17" s="1"/>
  <c r="L172" i="17" a="1"/>
  <c r="L172" i="17" s="1"/>
  <c r="L562" i="17" a="1"/>
  <c r="L562" i="17" s="1"/>
  <c r="L509" i="17" a="1"/>
  <c r="L509" i="17" s="1"/>
  <c r="N209" i="17" a="1"/>
  <c r="N209" i="17" s="1"/>
  <c r="L306" i="17" a="1"/>
  <c r="L306" i="17" s="1"/>
  <c r="L766" i="17" a="1"/>
  <c r="L766" i="17" s="1"/>
  <c r="L318" i="17" a="1"/>
  <c r="L318" i="17" s="1"/>
  <c r="M938" i="17" a="1"/>
  <c r="M938" i="17" s="1"/>
  <c r="N750" i="17" a="1"/>
  <c r="N750" i="17" s="1"/>
  <c r="M923" i="17" a="1"/>
  <c r="M923" i="17" s="1"/>
  <c r="N286" i="17" a="1"/>
  <c r="N286" i="17" s="1"/>
  <c r="M855" i="17" a="1"/>
  <c r="M855" i="17" s="1"/>
  <c r="L936" i="17" a="1"/>
  <c r="L936" i="17" s="1"/>
  <c r="M293" i="17" a="1"/>
  <c r="M293" i="17" s="1"/>
  <c r="M799" i="17" a="1"/>
  <c r="M799" i="17" s="1"/>
  <c r="N182" i="17" a="1"/>
  <c r="N182" i="17" s="1"/>
  <c r="L98" i="17" a="1"/>
  <c r="L98" i="17" s="1"/>
  <c r="M58" i="17" a="1"/>
  <c r="M58" i="17" s="1"/>
  <c r="L143" i="17" a="1"/>
  <c r="L143" i="17" s="1"/>
  <c r="M21" i="17" a="1"/>
  <c r="M21" i="17" s="1"/>
  <c r="L361" i="17" a="1"/>
  <c r="L361" i="17" s="1"/>
  <c r="M287" i="17" a="1"/>
  <c r="M287" i="17" s="1"/>
  <c r="M744" i="17" a="1"/>
  <c r="M744" i="17" s="1"/>
  <c r="L635" i="17" a="1"/>
  <c r="L635" i="17" s="1"/>
  <c r="M982" i="17" a="1"/>
  <c r="M982" i="17" s="1"/>
  <c r="N369" i="17" a="1"/>
  <c r="N369" i="17" s="1"/>
  <c r="N48" i="17" a="1"/>
  <c r="N48" i="17" s="1"/>
  <c r="N333" i="17" a="1"/>
  <c r="N333" i="17" s="1"/>
  <c r="N4" i="17" a="1"/>
  <c r="N4" i="17" s="1"/>
  <c r="L447" i="17" a="1"/>
  <c r="L447" i="17" s="1"/>
  <c r="L252" i="17" a="1"/>
  <c r="L252" i="17" s="1"/>
  <c r="M562" i="17" a="1"/>
  <c r="M562" i="17" s="1"/>
  <c r="M802" i="17" a="1"/>
  <c r="M802" i="17" s="1"/>
  <c r="M601" i="17" a="1"/>
  <c r="M601" i="17" s="1"/>
  <c r="L563" i="17" a="1"/>
  <c r="L563" i="17" s="1"/>
  <c r="N23" i="17" a="1"/>
  <c r="N23" i="17" s="1"/>
  <c r="L1017" i="17" a="1"/>
  <c r="L1017" i="17" s="1"/>
  <c r="N120" i="17" a="1"/>
  <c r="N120" i="17" s="1"/>
  <c r="M741" i="17" a="1"/>
  <c r="M741" i="17" s="1"/>
  <c r="N22" i="17" a="1"/>
  <c r="N22" i="17" s="1"/>
  <c r="M991" i="17" a="1"/>
  <c r="M991" i="17" s="1"/>
  <c r="L255" i="17" a="1"/>
  <c r="L255" i="17" s="1"/>
  <c r="L125" i="17" a="1"/>
  <c r="L125" i="17" s="1"/>
  <c r="N639" i="17" a="1"/>
  <c r="N639" i="17" s="1"/>
  <c r="L248" i="17" a="1"/>
  <c r="L248" i="17" s="1"/>
  <c r="M663" i="17" a="1"/>
  <c r="M663" i="17" s="1"/>
  <c r="N451" i="17" a="1"/>
  <c r="N451" i="17" s="1"/>
  <c r="N743" i="17" a="1"/>
  <c r="N743" i="17" s="1"/>
  <c r="L901" i="17" a="1"/>
  <c r="L901" i="17" s="1"/>
  <c r="L157" i="17" a="1"/>
  <c r="L157" i="17" s="1"/>
  <c r="L304" i="17" a="1"/>
  <c r="L304" i="17" s="1"/>
  <c r="L933" i="17" a="1"/>
  <c r="L933" i="17" s="1"/>
  <c r="M101" i="17" a="1"/>
  <c r="M101" i="17" s="1"/>
  <c r="L611" i="17" a="1"/>
  <c r="L611" i="17" s="1"/>
  <c r="M339" i="17" a="1"/>
  <c r="M339" i="17" s="1"/>
  <c r="M1009" i="17" a="1"/>
  <c r="M1009" i="17" s="1"/>
  <c r="N308" i="17" a="1"/>
  <c r="N308" i="17" s="1"/>
  <c r="L13" i="17" a="1"/>
  <c r="L13" i="17" s="1"/>
  <c r="M556" i="17" a="1"/>
  <c r="M556" i="17" s="1"/>
  <c r="M419" i="17" a="1"/>
  <c r="M419" i="17" s="1"/>
  <c r="M172" i="17" a="1"/>
  <c r="M172" i="17" s="1"/>
  <c r="L949" i="17" a="1"/>
  <c r="L949" i="17" s="1"/>
  <c r="M155" i="17" a="1"/>
  <c r="M155" i="17" s="1"/>
  <c r="M962" i="17" a="1"/>
  <c r="M962" i="17" s="1"/>
  <c r="N775" i="17" a="1"/>
  <c r="N775" i="17" s="1"/>
  <c r="M984" i="17" a="1"/>
  <c r="M984" i="17" s="1"/>
  <c r="M715" i="17" a="1"/>
  <c r="M715" i="17" s="1"/>
  <c r="N342" i="17" a="1"/>
  <c r="N342" i="17" s="1"/>
  <c r="M302" i="17" a="1"/>
  <c r="M302" i="17" s="1"/>
  <c r="M662" i="17" a="1"/>
  <c r="M662" i="17" s="1"/>
  <c r="M465" i="17" a="1"/>
  <c r="M465" i="17" s="1"/>
  <c r="N9" i="17" a="1"/>
  <c r="N9" i="17" s="1"/>
  <c r="N231" i="17" a="1"/>
  <c r="N231" i="17" s="1"/>
  <c r="L530" i="17" a="1"/>
  <c r="L530" i="17" s="1"/>
  <c r="L958" i="17" a="1"/>
  <c r="L958" i="17" s="1"/>
  <c r="L928" i="17" a="1"/>
  <c r="L928" i="17" s="1"/>
  <c r="L547" i="17" a="1"/>
  <c r="L547" i="17" s="1"/>
  <c r="L254" i="17" a="1"/>
  <c r="L254" i="17" s="1"/>
  <c r="L232" i="17" a="1"/>
  <c r="L232" i="17" s="1"/>
  <c r="N197" i="17" a="1"/>
  <c r="N197" i="17" s="1"/>
  <c r="N506" i="17" a="1"/>
  <c r="N506" i="17" s="1"/>
  <c r="M368" i="17" a="1"/>
  <c r="M368" i="17" s="1"/>
  <c r="N941" i="17" a="1"/>
  <c r="N941" i="17" s="1"/>
  <c r="M252" i="17" a="1"/>
  <c r="M252" i="17" s="1"/>
  <c r="M257" i="17" a="1"/>
  <c r="M257" i="17" s="1"/>
  <c r="L19" i="17" a="1"/>
  <c r="L19" i="17" s="1"/>
  <c r="M331" i="17" a="1"/>
  <c r="M331" i="17" s="1"/>
  <c r="L906" i="17" a="1"/>
  <c r="L906" i="17" s="1"/>
  <c r="M4" i="17" a="1"/>
  <c r="M4" i="17" s="1"/>
  <c r="L816" i="17" a="1"/>
  <c r="L816" i="17" s="1"/>
  <c r="N372" i="17" a="1"/>
  <c r="N372" i="17" s="1"/>
  <c r="N399" i="17" a="1"/>
  <c r="N399" i="17" s="1"/>
  <c r="N638" i="17" a="1"/>
  <c r="N638" i="17" s="1"/>
  <c r="L548" i="17" a="1"/>
  <c r="L548" i="17" s="1"/>
  <c r="N527" i="17" a="1"/>
  <c r="N527" i="17" s="1"/>
  <c r="M805" i="17" a="1"/>
  <c r="M805" i="17" s="1"/>
  <c r="M841" i="17" a="1"/>
  <c r="M841" i="17" s="1"/>
  <c r="M849" i="17" a="1"/>
  <c r="M849" i="17" s="1"/>
  <c r="L959" i="17" a="1"/>
  <c r="L959" i="17" s="1"/>
  <c r="M965" i="17" a="1"/>
  <c r="M965" i="17" s="1"/>
  <c r="M586" i="17" a="1"/>
  <c r="M586" i="17" s="1"/>
  <c r="M343" i="17" a="1"/>
  <c r="M343" i="17" s="1"/>
  <c r="M690" i="17" a="1"/>
  <c r="M690" i="17" s="1"/>
  <c r="M1010" i="17" a="1"/>
  <c r="M1010" i="17" s="1"/>
  <c r="L414" i="17" a="1"/>
  <c r="L414" i="17" s="1"/>
  <c r="L21" i="17" a="1"/>
  <c r="L21" i="17" s="1"/>
  <c r="M207" i="17" a="1"/>
  <c r="M207" i="17" s="1"/>
  <c r="L821" i="17" a="1"/>
  <c r="L821" i="17" s="1"/>
  <c r="L99" i="17" a="1"/>
  <c r="L99" i="17" s="1"/>
  <c r="G958" i="17"/>
  <c r="I958" i="17" s="1"/>
  <c r="L826" i="17" a="1"/>
  <c r="L826" i="17" s="1"/>
  <c r="K826" i="17" s="1"/>
  <c r="L581" i="17" a="1"/>
  <c r="L581" i="17" s="1"/>
  <c r="L979" i="17" a="1"/>
  <c r="L979" i="17" s="1"/>
  <c r="M635" i="17" a="1"/>
  <c r="M635" i="17" s="1"/>
  <c r="M770" i="17" a="1"/>
  <c r="M770" i="17" s="1"/>
  <c r="N709" i="17" a="1"/>
  <c r="N709" i="17" s="1"/>
  <c r="L1008" i="17" a="1"/>
  <c r="L1008" i="17" s="1"/>
  <c r="L360" i="17" a="1"/>
  <c r="L360" i="17" s="1"/>
  <c r="L601" i="17" a="1"/>
  <c r="L601" i="17" s="1"/>
  <c r="L749" i="17" a="1"/>
  <c r="L749" i="17" s="1"/>
  <c r="N814" i="17" a="1"/>
  <c r="N814" i="17" s="1"/>
  <c r="L633" i="17" a="1"/>
  <c r="L633" i="17" s="1"/>
  <c r="M600" i="17" a="1"/>
  <c r="M600" i="17" s="1"/>
  <c r="N666" i="17" a="1"/>
  <c r="N666" i="17" s="1"/>
  <c r="N454" i="17" a="1"/>
  <c r="N454" i="17" s="1"/>
  <c r="N723" i="17" a="1"/>
  <c r="N723" i="17" s="1"/>
  <c r="N599" i="17" a="1"/>
  <c r="N599" i="17" s="1"/>
  <c r="N799" i="17" a="1"/>
  <c r="N799" i="17" s="1"/>
  <c r="L724" i="17" a="1"/>
  <c r="L724" i="17" s="1"/>
  <c r="N629" i="17" a="1"/>
  <c r="N629" i="17" s="1"/>
  <c r="M367" i="17" a="1"/>
  <c r="M367" i="17" s="1"/>
  <c r="M989" i="17" a="1"/>
  <c r="M989" i="17" s="1"/>
  <c r="N479" i="17" a="1"/>
  <c r="N479" i="17" s="1"/>
  <c r="N641" i="17" a="1"/>
  <c r="N641" i="17" s="1"/>
  <c r="N181" i="17" a="1"/>
  <c r="N181" i="17" s="1"/>
  <c r="M85" i="17" a="1"/>
  <c r="M85" i="17" s="1"/>
  <c r="N745" i="17" a="1"/>
  <c r="N745" i="17" s="1"/>
  <c r="M11" i="17" a="1"/>
  <c r="M11" i="17" s="1"/>
  <c r="M530" i="17" a="1"/>
  <c r="M530" i="17" s="1"/>
  <c r="N793" i="17" a="1"/>
  <c r="N793" i="17" s="1"/>
  <c r="M363" i="17" a="1"/>
  <c r="M363" i="17" s="1"/>
  <c r="N446" i="17" a="1"/>
  <c r="N446" i="17" s="1"/>
  <c r="M544" i="17" a="1"/>
  <c r="M544" i="17" s="1"/>
  <c r="L715" i="17" a="1"/>
  <c r="L715" i="17" s="1"/>
  <c r="L799" i="17" a="1"/>
  <c r="L799" i="17" s="1"/>
  <c r="L873" i="17" a="1"/>
  <c r="L873" i="17" s="1"/>
  <c r="N691" i="17" a="1"/>
  <c r="N691" i="17" s="1"/>
  <c r="L854" i="17" a="1"/>
  <c r="L854" i="17" s="1"/>
  <c r="L490" i="17" a="1"/>
  <c r="L490" i="17" s="1"/>
  <c r="M45" i="17" a="1"/>
  <c r="M45" i="17" s="1"/>
  <c r="M819" i="17" a="1"/>
  <c r="M819" i="17" s="1"/>
  <c r="N660" i="17" a="1"/>
  <c r="N660" i="17" s="1"/>
  <c r="N397" i="17" a="1"/>
  <c r="N397" i="17" s="1"/>
  <c r="L264" i="17" a="1"/>
  <c r="L264" i="17" s="1"/>
  <c r="N873" i="17" a="1"/>
  <c r="N873" i="17" s="1"/>
  <c r="M762" i="17" a="1"/>
  <c r="M762" i="17" s="1"/>
  <c r="M548" i="17" a="1"/>
  <c r="M548" i="17" s="1"/>
  <c r="L442" i="17" a="1"/>
  <c r="L442" i="17" s="1"/>
  <c r="M312" i="17" a="1"/>
  <c r="M312" i="17" s="1"/>
  <c r="N644" i="17" a="1"/>
  <c r="N644" i="17" s="1"/>
  <c r="L180" i="17" a="1"/>
  <c r="L180" i="17" s="1"/>
  <c r="N464" i="17" a="1"/>
  <c r="N464" i="17" s="1"/>
  <c r="M527" i="17" a="1"/>
  <c r="M527" i="17" s="1"/>
  <c r="N119" i="17" a="1"/>
  <c r="N119" i="17" s="1"/>
  <c r="N116" i="17" a="1"/>
  <c r="N116" i="17" s="1"/>
  <c r="L717" i="17" a="1"/>
  <c r="L717" i="17" s="1"/>
  <c r="N255" i="17" a="1"/>
  <c r="N255" i="17" s="1"/>
  <c r="L153" i="17" a="1"/>
  <c r="L153" i="17" s="1"/>
  <c r="N828" i="17" a="1"/>
  <c r="N828" i="17" s="1"/>
  <c r="L281" i="17" a="1"/>
  <c r="L281" i="17" s="1"/>
  <c r="M16" i="17" a="1"/>
  <c r="M16" i="17" s="1"/>
  <c r="N669" i="17" a="1"/>
  <c r="N669" i="17" s="1"/>
  <c r="N908" i="17" a="1"/>
  <c r="N908" i="17" s="1"/>
  <c r="M289" i="17" a="1"/>
  <c r="M289" i="17" s="1"/>
  <c r="M954" i="17" a="1"/>
  <c r="M954" i="17" s="1"/>
  <c r="M873" i="17" a="1"/>
  <c r="M873" i="17" s="1"/>
  <c r="M881" i="17" a="1"/>
  <c r="M881" i="17" s="1"/>
  <c r="L823" i="17" a="1"/>
  <c r="L823" i="17" s="1"/>
  <c r="N126" i="17" a="1"/>
  <c r="N126" i="17" s="1"/>
  <c r="M791" i="17" a="1"/>
  <c r="M791" i="17" s="1"/>
  <c r="L671" i="17" a="1"/>
  <c r="L671" i="17" s="1"/>
  <c r="M18" i="17" a="1"/>
  <c r="M18" i="17" s="1"/>
  <c r="N571" i="17" a="1"/>
  <c r="N571" i="17" s="1"/>
  <c r="L152" i="17" a="1"/>
  <c r="L152" i="17" s="1"/>
  <c r="L668" i="17" a="1"/>
  <c r="L668" i="17" s="1"/>
  <c r="L124" i="17" a="1"/>
  <c r="L124" i="17" s="1"/>
  <c r="M684" i="17" a="1"/>
  <c r="M684" i="17" s="1"/>
  <c r="N902" i="17" a="1"/>
  <c r="N902" i="17" s="1"/>
  <c r="N13" i="17" a="1"/>
  <c r="N13" i="17" s="1"/>
  <c r="N821" i="17" a="1"/>
  <c r="N821" i="17" s="1"/>
  <c r="M6" i="17" a="1"/>
  <c r="M6" i="17" s="1"/>
  <c r="M1020" i="17" a="1"/>
  <c r="M1020" i="17" s="1"/>
  <c r="M817" i="17" a="1"/>
  <c r="M817" i="17" s="1"/>
  <c r="N226" i="17" a="1"/>
  <c r="N226" i="17" s="1"/>
  <c r="L714" i="17" a="1"/>
  <c r="L714" i="17" s="1"/>
  <c r="L9" i="17" a="1"/>
  <c r="L9" i="17" s="1"/>
  <c r="N825" i="17" a="1"/>
  <c r="N825" i="17" s="1"/>
  <c r="N35" i="17" a="1"/>
  <c r="N35" i="17" s="1"/>
  <c r="L5" i="17" a="1"/>
  <c r="L5" i="17" s="1"/>
  <c r="M711" i="17" a="1"/>
  <c r="M711" i="17" s="1"/>
  <c r="N418" i="17" a="1"/>
  <c r="N418" i="17" s="1"/>
  <c r="L994" i="17" a="1"/>
  <c r="L994" i="17" s="1"/>
  <c r="M127" i="17" a="1"/>
  <c r="M127" i="17" s="1"/>
  <c r="M746" i="17" a="1"/>
  <c r="M746" i="17" s="1"/>
  <c r="N627" i="17" a="1"/>
  <c r="N627" i="17" s="1"/>
  <c r="N450" i="17" a="1"/>
  <c r="N450" i="17" s="1"/>
  <c r="M71" i="17" a="1"/>
  <c r="M71" i="17" s="1"/>
  <c r="M549" i="17" a="1"/>
  <c r="M549" i="17" s="1"/>
  <c r="M1008" i="17" a="1"/>
  <c r="M1008" i="17" s="1"/>
  <c r="M720" i="17" a="1"/>
  <c r="M720" i="17" s="1"/>
  <c r="L76" i="17" a="1"/>
  <c r="L76" i="17" s="1"/>
  <c r="L227" i="17" a="1"/>
  <c r="L227" i="17" s="1"/>
  <c r="M661" i="17" a="1"/>
  <c r="M661" i="17" s="1"/>
  <c r="M906" i="17" a="1"/>
  <c r="M906" i="17" s="1"/>
  <c r="N416" i="17" a="1"/>
  <c r="N416" i="17" s="1"/>
  <c r="L347" i="17" a="1"/>
  <c r="L347" i="17" s="1"/>
  <c r="N994" i="17" a="1"/>
  <c r="N994" i="17" s="1"/>
  <c r="L228" i="17" a="1"/>
  <c r="L228" i="17" s="1"/>
  <c r="N534" i="17" a="1"/>
  <c r="N534" i="17" s="1"/>
  <c r="M845" i="17" a="1"/>
  <c r="M845" i="17" s="1"/>
  <c r="N115" i="17" a="1"/>
  <c r="N115" i="17" s="1"/>
  <c r="M231" i="17" a="1"/>
  <c r="M231" i="17" s="1"/>
  <c r="N583" i="17" a="1"/>
  <c r="N583" i="17" s="1"/>
  <c r="L309" i="17" a="1"/>
  <c r="L309" i="17" s="1"/>
  <c r="M554" i="17" a="1"/>
  <c r="M554" i="17" s="1"/>
  <c r="N662" i="17" a="1"/>
  <c r="N662" i="17" s="1"/>
  <c r="L793" i="17" a="1"/>
  <c r="L793" i="17" s="1"/>
  <c r="M829" i="17" a="1"/>
  <c r="M829" i="17" s="1"/>
  <c r="M47" i="17" a="1"/>
  <c r="M47" i="17" s="1"/>
  <c r="M247" i="17" a="1"/>
  <c r="M247" i="17" s="1"/>
  <c r="N184" i="17" a="1"/>
  <c r="N184" i="17" s="1"/>
  <c r="M373" i="17" a="1"/>
  <c r="M373" i="17" s="1"/>
  <c r="N477" i="17" a="1"/>
  <c r="N477" i="17" s="1"/>
  <c r="N155" i="17" a="1"/>
  <c r="N155" i="17" s="1"/>
  <c r="N934" i="17" a="1"/>
  <c r="N934" i="17" s="1"/>
  <c r="N716" i="17" a="1"/>
  <c r="N716" i="17" s="1"/>
  <c r="L238" i="17" a="1"/>
  <c r="L238" i="17" s="1"/>
  <c r="M504" i="17" a="1"/>
  <c r="M504" i="17" s="1"/>
  <c r="M338" i="17" a="1"/>
  <c r="M338" i="17" s="1"/>
  <c r="N952" i="17" a="1"/>
  <c r="N952" i="17" s="1"/>
  <c r="L293" i="17" a="1"/>
  <c r="L293" i="17" s="1"/>
  <c r="N50" i="17" a="1"/>
  <c r="N50" i="17" s="1"/>
  <c r="M505" i="17" a="1"/>
  <c r="M505" i="17" s="1"/>
  <c r="L386" i="17" a="1"/>
  <c r="L386" i="17" s="1"/>
  <c r="M362" i="17" a="1"/>
  <c r="M362" i="17" s="1"/>
  <c r="N522" i="17" a="1"/>
  <c r="N522" i="17" s="1"/>
  <c r="M65" i="17" a="1"/>
  <c r="M65" i="17" s="1"/>
  <c r="N581" i="17" a="1"/>
  <c r="N581" i="17" s="1"/>
  <c r="M694" i="17" a="1"/>
  <c r="M694" i="17" s="1"/>
  <c r="L902" i="17" a="1"/>
  <c r="L902" i="17" s="1"/>
  <c r="L748" i="17" a="1"/>
  <c r="L748" i="17" s="1"/>
  <c r="L752" i="17" a="1"/>
  <c r="L752" i="17" s="1"/>
  <c r="L552" i="17" a="1"/>
  <c r="L552" i="17" s="1"/>
  <c r="L497" i="17" a="1"/>
  <c r="L497" i="17" s="1"/>
  <c r="L681" i="17" a="1"/>
  <c r="L681" i="17" s="1"/>
  <c r="M932" i="17" a="1"/>
  <c r="M932" i="17" s="1"/>
  <c r="L899" i="17" a="1"/>
  <c r="L899" i="17" s="1"/>
  <c r="M72" i="17" a="1"/>
  <c r="M72" i="17" s="1"/>
  <c r="N142" i="17" a="1"/>
  <c r="N142" i="17" s="1"/>
  <c r="L985" i="17" a="1"/>
  <c r="L985" i="17" s="1"/>
  <c r="L11" i="17" a="1"/>
  <c r="L11" i="17" s="1"/>
  <c r="G148" i="17"/>
  <c r="I148" i="17" s="1"/>
  <c r="N848" i="17" a="1"/>
  <c r="N848" i="17" s="1"/>
  <c r="L357" i="17" a="1"/>
  <c r="L357" i="17" s="1"/>
  <c r="L549" i="17" a="1"/>
  <c r="L549" i="17" s="1"/>
  <c r="L576" i="17" a="1"/>
  <c r="L576" i="17" s="1"/>
  <c r="M451" i="17" a="1"/>
  <c r="M451" i="17" s="1"/>
  <c r="N967" i="17" a="1"/>
  <c r="N967" i="17" s="1"/>
  <c r="L869" i="17" a="1"/>
  <c r="L869" i="17" s="1"/>
  <c r="L922" i="17" a="1"/>
  <c r="L922" i="17" s="1"/>
  <c r="N576" i="17" a="1"/>
  <c r="N576" i="17" s="1"/>
  <c r="L887" i="17" a="1"/>
  <c r="L887" i="17" s="1"/>
  <c r="M710" i="17" a="1"/>
  <c r="M710" i="17" s="1"/>
  <c r="L598" i="17" a="1"/>
  <c r="L598" i="17" s="1"/>
  <c r="M288" i="17" a="1"/>
  <c r="M288" i="17" s="1"/>
  <c r="N953" i="17" a="1"/>
  <c r="N953" i="17" s="1"/>
  <c r="N228" i="17" a="1"/>
  <c r="N228" i="17" s="1"/>
  <c r="N634" i="17" a="1"/>
  <c r="N634" i="17" s="1"/>
  <c r="L446" i="17" a="1"/>
  <c r="L446" i="17" s="1"/>
  <c r="L418" i="17" a="1"/>
  <c r="L418" i="17" s="1"/>
  <c r="N935" i="17" a="1"/>
  <c r="N935" i="17" s="1"/>
  <c r="M717" i="17" a="1"/>
  <c r="M717" i="17" s="1"/>
  <c r="N664" i="17" a="1"/>
  <c r="N664" i="17" s="1"/>
  <c r="M825" i="17" a="1"/>
  <c r="M825" i="17" s="1"/>
  <c r="N869" i="17" a="1"/>
  <c r="N869" i="17" s="1"/>
  <c r="L626" i="17" a="1"/>
  <c r="L626" i="17" s="1"/>
  <c r="M935" i="17" a="1"/>
  <c r="M935" i="17" s="1"/>
  <c r="L10" i="17" a="1"/>
  <c r="L10" i="17" s="1"/>
  <c r="N843" i="17" a="1"/>
  <c r="N843" i="17" s="1"/>
  <c r="N631" i="17" a="1"/>
  <c r="N631" i="17" s="1"/>
  <c r="N951" i="17" a="1"/>
  <c r="N951" i="17" s="1"/>
  <c r="L330" i="17" a="1"/>
  <c r="L330" i="17" s="1"/>
  <c r="N470" i="17" a="1"/>
  <c r="N470" i="17" s="1"/>
  <c r="L445" i="17" a="1"/>
  <c r="L445" i="17" s="1"/>
  <c r="N853" i="17" a="1"/>
  <c r="N853" i="17" s="1"/>
  <c r="L1022" i="17" a="1"/>
  <c r="L1022" i="17" s="1"/>
  <c r="N968" i="17" a="1"/>
  <c r="N968" i="17" s="1"/>
  <c r="M832" i="17" a="1"/>
  <c r="M832" i="17" s="1"/>
  <c r="N993" i="17" a="1"/>
  <c r="N993" i="17" s="1"/>
  <c r="M630" i="17" a="1"/>
  <c r="M630" i="17" s="1"/>
  <c r="M733" i="17" a="1"/>
  <c r="M733" i="17" s="1"/>
  <c r="N637" i="17" a="1"/>
  <c r="N637" i="17" s="1"/>
  <c r="M636" i="17" a="1"/>
  <c r="M636" i="17" s="1"/>
  <c r="L66" i="17" a="1"/>
  <c r="L66" i="17" s="1"/>
  <c r="L763" i="17" a="1"/>
  <c r="L763" i="17" s="1"/>
  <c r="L310" i="17" a="1"/>
  <c r="L310" i="17" s="1"/>
  <c r="L798" i="17" a="1"/>
  <c r="L798" i="17" s="1"/>
  <c r="L768" i="17" a="1"/>
  <c r="L768" i="17" s="1"/>
  <c r="L769" i="17" a="1"/>
  <c r="L769" i="17" s="1"/>
  <c r="M547" i="17" a="1"/>
  <c r="M547" i="17" s="1"/>
  <c r="N1013" i="17" a="1"/>
  <c r="N1013" i="17" s="1"/>
  <c r="L450" i="17" a="1"/>
  <c r="L450" i="17" s="1"/>
  <c r="M416" i="17" a="1"/>
  <c r="M416" i="17" s="1"/>
  <c r="N979" i="17" a="1"/>
  <c r="N979" i="17" s="1"/>
  <c r="M551" i="17" a="1"/>
  <c r="M551" i="17" s="1"/>
  <c r="N314" i="17" a="1"/>
  <c r="N314" i="17" s="1"/>
  <c r="N199" i="17" a="1"/>
  <c r="N199" i="17" s="1"/>
  <c r="L960" i="17" a="1"/>
  <c r="L960" i="17" s="1"/>
  <c r="L436" i="17" a="1"/>
  <c r="L436" i="17" s="1"/>
  <c r="L117" i="17" a="1"/>
  <c r="L117" i="17" s="1"/>
  <c r="L788" i="17" a="1"/>
  <c r="L788" i="17" s="1"/>
  <c r="N718" i="17" a="1"/>
  <c r="N718" i="17" s="1"/>
  <c r="N113" i="17" a="1"/>
  <c r="N113" i="17" s="1"/>
  <c r="M1003" i="17" a="1"/>
  <c r="M1003" i="17" s="1"/>
  <c r="L779" i="17" a="1"/>
  <c r="L779" i="17" s="1"/>
  <c r="N99" i="17" a="1"/>
  <c r="N99" i="17" s="1"/>
  <c r="M886" i="17" a="1"/>
  <c r="M886" i="17" s="1"/>
  <c r="N97" i="17" a="1"/>
  <c r="N97" i="17" s="1"/>
  <c r="M92" i="17" a="1"/>
  <c r="M92" i="17" s="1"/>
  <c r="L746" i="17" a="1"/>
  <c r="L746" i="17" s="1"/>
  <c r="L465" i="17" a="1"/>
  <c r="L465" i="17" s="1"/>
  <c r="M990" i="17" a="1"/>
  <c r="M990" i="17" s="1"/>
  <c r="L797" i="17" a="1"/>
  <c r="L797" i="17" s="1"/>
  <c r="M656" i="17" a="1"/>
  <c r="M656" i="17" s="1"/>
  <c r="M868" i="17" a="1"/>
  <c r="M868" i="17" s="1"/>
  <c r="N154" i="17" a="1"/>
  <c r="N154" i="17" s="1"/>
  <c r="M617" i="17" a="1"/>
  <c r="M617" i="17" s="1"/>
  <c r="N96" i="17" a="1"/>
  <c r="N96" i="17" s="1"/>
  <c r="L857" i="17" a="1"/>
  <c r="L857" i="17" s="1"/>
  <c r="M580" i="17" a="1"/>
  <c r="M580" i="17" s="1"/>
  <c r="M523" i="17" a="1"/>
  <c r="M523" i="17" s="1"/>
  <c r="L424" i="17" a="1"/>
  <c r="L424" i="17" s="1"/>
  <c r="N523" i="17" a="1"/>
  <c r="N523" i="17" s="1"/>
  <c r="L801" i="17" a="1"/>
  <c r="L801" i="17" s="1"/>
  <c r="N924" i="17" a="1"/>
  <c r="N924" i="17" s="1"/>
  <c r="M285" i="17" a="1"/>
  <c r="M285" i="17" s="1"/>
  <c r="M896" i="17" a="1"/>
  <c r="M896" i="17" s="1"/>
  <c r="L225" i="17" a="1"/>
  <c r="L225" i="17" s="1"/>
  <c r="M874" i="17" a="1"/>
  <c r="M874" i="17" s="1"/>
  <c r="L311" i="17" a="1"/>
  <c r="L311" i="17" s="1"/>
  <c r="L149" i="17" a="1"/>
  <c r="L149" i="17" s="1"/>
  <c r="L802" i="17" a="1"/>
  <c r="L802" i="17" s="1"/>
  <c r="M290" i="17" a="1"/>
  <c r="M290" i="17" s="1"/>
  <c r="N304" i="17" a="1"/>
  <c r="N304" i="17" s="1"/>
  <c r="M144" i="17" a="1"/>
  <c r="M144" i="17" s="1"/>
  <c r="M738" i="17" a="1"/>
  <c r="M738" i="17" s="1"/>
  <c r="L120" i="17" a="1"/>
  <c r="L120" i="17" s="1"/>
  <c r="N291" i="17" a="1"/>
  <c r="N291" i="17" s="1"/>
  <c r="N436" i="17" a="1"/>
  <c r="N436" i="17" s="1"/>
  <c r="L92" i="17" a="1"/>
  <c r="L92" i="17" s="1"/>
  <c r="L693" i="17" a="1"/>
  <c r="L693" i="17" s="1"/>
  <c r="M521" i="17" a="1"/>
  <c r="M521" i="17" s="1"/>
  <c r="L843" i="17" a="1"/>
  <c r="L843" i="17" s="1"/>
  <c r="L477" i="17" a="1"/>
  <c r="L477" i="17" s="1"/>
  <c r="L236" i="17" a="1"/>
  <c r="L236" i="17" s="1"/>
  <c r="L822" i="17" a="1"/>
  <c r="L822" i="17" s="1"/>
  <c r="L201" i="17" a="1"/>
  <c r="L201" i="17" s="1"/>
  <c r="N444" i="17" a="1"/>
  <c r="N444" i="17" s="1"/>
  <c r="M146" i="17" a="1"/>
  <c r="M146" i="17" s="1"/>
  <c r="L401" i="17" a="1"/>
  <c r="L401" i="17" s="1"/>
  <c r="M790" i="17" a="1"/>
  <c r="M790" i="17" s="1"/>
  <c r="N981" i="17" a="1"/>
  <c r="N981" i="17" s="1"/>
  <c r="N316" i="17" a="1"/>
  <c r="N316" i="17" s="1"/>
  <c r="M23" i="17" a="1"/>
  <c r="M23" i="17" s="1"/>
  <c r="L277" i="17" a="1"/>
  <c r="L277" i="17" s="1"/>
  <c r="K277" i="17" s="1"/>
  <c r="M220" i="17" a="1"/>
  <c r="M220" i="17" s="1"/>
  <c r="N582" i="17" a="1"/>
  <c r="N582" i="17" s="1"/>
  <c r="M345" i="17" a="1"/>
  <c r="M345" i="17" s="1"/>
  <c r="L1015" i="17" a="1"/>
  <c r="L1015" i="17" s="1"/>
  <c r="M768" i="17" a="1"/>
  <c r="M768" i="17" s="1"/>
  <c r="M546" i="17" a="1"/>
  <c r="M546" i="17" s="1"/>
  <c r="L466" i="17" a="1"/>
  <c r="L466" i="17" s="1"/>
  <c r="M8" i="17" a="1"/>
  <c r="M8" i="17" s="1"/>
  <c r="M91" i="17" a="1"/>
  <c r="M91" i="17" s="1"/>
  <c r="N630" i="17" a="1"/>
  <c r="N630" i="17" s="1"/>
  <c r="N6" i="17" a="1"/>
  <c r="N6" i="17" s="1"/>
  <c r="L222" i="17" a="1"/>
  <c r="L222" i="17" s="1"/>
  <c r="N284" i="17" a="1"/>
  <c r="N284" i="17" s="1"/>
  <c r="L602" i="17" a="1"/>
  <c r="L602" i="17" s="1"/>
  <c r="N313" i="17" a="1"/>
  <c r="N313" i="17" s="1"/>
  <c r="M577" i="17" a="1"/>
  <c r="M577" i="17" s="1"/>
  <c r="L880" i="17" a="1"/>
  <c r="L880" i="17" s="1"/>
  <c r="L224" i="17" a="1"/>
  <c r="L224" i="17" s="1"/>
  <c r="L895" i="17" a="1"/>
  <c r="L895" i="17" s="1"/>
  <c r="M394" i="17" a="1"/>
  <c r="M394" i="17" s="1"/>
  <c r="N1020" i="17" a="1"/>
  <c r="N1020" i="17" s="1"/>
  <c r="M473" i="17" a="1"/>
  <c r="M473" i="17" s="1"/>
  <c r="N395" i="17" a="1"/>
  <c r="N395" i="17" s="1"/>
  <c r="N883" i="17" a="1"/>
  <c r="N883" i="17" s="1"/>
  <c r="N903" i="17" a="1"/>
  <c r="N903" i="17" s="1"/>
  <c r="M775" i="17" a="1"/>
  <c r="M775" i="17" s="1"/>
  <c r="N771" i="17" a="1"/>
  <c r="N771" i="17" s="1"/>
  <c r="N424" i="17" a="1"/>
  <c r="N424" i="17" s="1"/>
  <c r="M303" i="17" a="1"/>
  <c r="M303" i="17" s="1"/>
  <c r="N577" i="17" a="1"/>
  <c r="N577" i="17" s="1"/>
  <c r="L472" i="17" a="1"/>
  <c r="L472" i="17" s="1"/>
  <c r="N1008" i="17" a="1"/>
  <c r="N1008" i="17" s="1"/>
  <c r="L527" i="17" a="1"/>
  <c r="L527" i="17" s="1"/>
  <c r="L950" i="17" a="1"/>
  <c r="L950" i="17" s="1"/>
  <c r="N976" i="17" a="1"/>
  <c r="N976" i="17" s="1"/>
  <c r="L575" i="17" a="1"/>
  <c r="L575" i="17" s="1"/>
  <c r="N982" i="17" a="1"/>
  <c r="N982" i="17" s="1"/>
  <c r="L988" i="17" a="1"/>
  <c r="L988" i="17" s="1"/>
  <c r="L383" i="17" a="1"/>
  <c r="L383" i="17" s="1"/>
  <c r="M100" i="17" a="1"/>
  <c r="M100" i="17" s="1"/>
  <c r="L91" i="17" a="1"/>
  <c r="L91" i="17" s="1"/>
  <c r="L550" i="17" a="1"/>
  <c r="L550" i="17" s="1"/>
  <c r="L454" i="17" a="1"/>
  <c r="L454" i="17" s="1"/>
  <c r="G526" i="17"/>
  <c r="I526" i="17" s="1"/>
  <c r="N820" i="17" a="1"/>
  <c r="N820" i="17" s="1"/>
  <c r="L931" i="17" a="1"/>
  <c r="L931" i="17" s="1"/>
  <c r="L776" i="17" a="1"/>
  <c r="L776" i="17" s="1"/>
  <c r="L474" i="17" a="1"/>
  <c r="L474" i="17" s="1"/>
  <c r="L423" i="17" a="1"/>
  <c r="L423" i="17" s="1"/>
  <c r="M573" i="17" a="1"/>
  <c r="M573" i="17" s="1"/>
  <c r="L792" i="17" a="1"/>
  <c r="L792" i="17" s="1"/>
  <c r="N712" i="17" a="1"/>
  <c r="N712" i="17" s="1"/>
  <c r="N445" i="17" a="1"/>
  <c r="N445" i="17" s="1"/>
  <c r="L815" i="17" a="1"/>
  <c r="L815" i="17" s="1"/>
  <c r="N912" i="17" a="1"/>
  <c r="N912" i="17" s="1"/>
  <c r="L545" i="17" a="1"/>
  <c r="L545" i="17" s="1"/>
  <c r="L206" i="17" a="1"/>
  <c r="L206" i="17" s="1"/>
  <c r="G796" i="17"/>
  <c r="I796" i="17" s="1"/>
  <c r="M878" i="17" a="1"/>
  <c r="M878" i="17" s="1"/>
  <c r="N741" i="17" a="1"/>
  <c r="N741" i="17" s="1"/>
  <c r="M628" i="17" a="1"/>
  <c r="M628" i="17" s="1"/>
  <c r="M584" i="17" a="1"/>
  <c r="M584" i="17" s="1"/>
  <c r="L637" i="17" a="1"/>
  <c r="L637" i="17" s="1"/>
  <c r="L827" i="17" a="1"/>
  <c r="L827" i="17" s="1"/>
  <c r="L795" i="17" a="1"/>
  <c r="L795" i="17" s="1"/>
  <c r="L343" i="17" a="1"/>
  <c r="L343" i="17" s="1"/>
  <c r="M871" i="17" a="1"/>
  <c r="M871" i="17" s="1"/>
  <c r="L851" i="17" a="1"/>
  <c r="L851" i="17" s="1"/>
  <c r="N423" i="17" a="1"/>
  <c r="N423" i="17" s="1"/>
  <c r="M963" i="17" a="1"/>
  <c r="M963" i="17" s="1"/>
  <c r="N210" i="17" a="1"/>
  <c r="N210" i="17" s="1"/>
  <c r="M480" i="17" a="1"/>
  <c r="M480" i="17" s="1"/>
  <c r="L250" i="17" a="1"/>
  <c r="L250" i="17" s="1"/>
  <c r="N604" i="17" a="1"/>
  <c r="N604" i="17" s="1"/>
  <c r="L991" i="17" a="1"/>
  <c r="L991" i="17" s="1"/>
  <c r="N200" i="17" a="1"/>
  <c r="N200" i="17" s="1"/>
  <c r="M478" i="17" a="1"/>
  <c r="M478" i="17" s="1"/>
  <c r="M493" i="17" a="1"/>
  <c r="M493" i="17" s="1"/>
  <c r="L733" i="17" a="1"/>
  <c r="L733" i="17" s="1"/>
  <c r="N983" i="17" a="1"/>
  <c r="N983" i="17" s="1"/>
  <c r="L680" i="17" a="1"/>
  <c r="L680" i="17" s="1"/>
  <c r="N801" i="17" a="1"/>
  <c r="N801" i="17" s="1"/>
  <c r="N958" i="17" a="1"/>
  <c r="N958" i="17" s="1"/>
  <c r="N331" i="17" a="1"/>
  <c r="N331" i="17" s="1"/>
  <c r="L15" i="17" a="1"/>
  <c r="L15" i="17" s="1"/>
  <c r="M37" i="17" a="1"/>
  <c r="M37" i="17" s="1"/>
  <c r="N802" i="17" a="1"/>
  <c r="N802" i="17" s="1"/>
  <c r="L283" i="17" a="1"/>
  <c r="L283" i="17" s="1"/>
  <c r="N768" i="17" a="1"/>
  <c r="N768" i="17" s="1"/>
  <c r="N744" i="17" a="1"/>
  <c r="N744" i="17" s="1"/>
  <c r="L777" i="17" a="1"/>
  <c r="L777" i="17" s="1"/>
  <c r="M469" i="17" a="1"/>
  <c r="M469" i="17" s="1"/>
  <c r="N693" i="17" a="1"/>
  <c r="N693" i="17" s="1"/>
  <c r="M464" i="17" a="1"/>
  <c r="M464" i="17" s="1"/>
  <c r="N830" i="17" a="1"/>
  <c r="N830" i="17" s="1"/>
  <c r="L631" i="17" a="1"/>
  <c r="L631" i="17" s="1"/>
  <c r="L600" i="17" a="1"/>
  <c r="L600" i="17" s="1"/>
  <c r="M307" i="17" a="1"/>
  <c r="M307" i="17" s="1"/>
  <c r="N12" i="17" a="1"/>
  <c r="N12" i="17" s="1"/>
  <c r="N563" i="17" a="1"/>
  <c r="N563" i="17" s="1"/>
  <c r="N148" i="17" a="1"/>
  <c r="N148" i="17" s="1"/>
  <c r="N886" i="17" a="1"/>
  <c r="N886" i="17" s="1"/>
  <c r="M438" i="17" a="1"/>
  <c r="M438" i="17" s="1"/>
  <c r="L938" i="17" a="1"/>
  <c r="L938" i="17" s="1"/>
  <c r="L316" i="17" a="1"/>
  <c r="L316" i="17" s="1"/>
  <c r="M725" i="17" a="1"/>
  <c r="M725" i="17" s="1"/>
  <c r="M749" i="17" a="1"/>
  <c r="M749" i="17" s="1"/>
  <c r="M118" i="17" a="1"/>
  <c r="M118" i="17" s="1"/>
  <c r="M174" i="17" a="1"/>
  <c r="M174" i="17" s="1"/>
  <c r="M178" i="17" a="1"/>
  <c r="M178" i="17" s="1"/>
  <c r="M284" i="17" a="1"/>
  <c r="M284" i="17" s="1"/>
  <c r="L590" i="17" a="1"/>
  <c r="L590" i="17" s="1"/>
  <c r="K590" i="17" s="1"/>
  <c r="N153" i="17" a="1"/>
  <c r="N153" i="17" s="1"/>
  <c r="M860" i="17" a="1"/>
  <c r="M860" i="17" s="1"/>
  <c r="M225" i="17" a="1"/>
  <c r="M225" i="17" s="1"/>
  <c r="M38" i="17" a="1"/>
  <c r="M38" i="17" s="1"/>
  <c r="N790" i="17" a="1"/>
  <c r="N790" i="17" s="1"/>
  <c r="L735" i="17" a="1"/>
  <c r="L735" i="17" s="1"/>
  <c r="N289" i="17" a="1"/>
  <c r="N289" i="17" s="1"/>
  <c r="N34" i="17" a="1"/>
  <c r="N34" i="17" s="1"/>
  <c r="N1019" i="17" a="1"/>
  <c r="N1019" i="17" s="1"/>
  <c r="M143" i="17" a="1"/>
  <c r="M143" i="17" s="1"/>
  <c r="M126" i="17" a="1"/>
  <c r="M126" i="17" s="1"/>
  <c r="N711" i="17" a="1"/>
  <c r="N711" i="17" s="1"/>
  <c r="N194" i="17" a="1"/>
  <c r="N194" i="17" s="1"/>
  <c r="M342" i="17" a="1"/>
  <c r="M342" i="17" s="1"/>
  <c r="M751" i="17" a="1"/>
  <c r="M751" i="17" s="1"/>
  <c r="M500" i="17" a="1"/>
  <c r="M500" i="17" s="1"/>
  <c r="L937" i="17" a="1"/>
  <c r="L937" i="17" s="1"/>
  <c r="N572" i="17" a="1"/>
  <c r="N572" i="17" s="1"/>
  <c r="M36" i="17" a="1"/>
  <c r="M36" i="17" s="1"/>
  <c r="L416" i="17" a="1"/>
  <c r="L416" i="17" s="1"/>
  <c r="L507" i="17" a="1"/>
  <c r="L507" i="17" s="1"/>
  <c r="N232" i="17" a="1"/>
  <c r="N232" i="17" s="1"/>
  <c r="N419" i="17" a="1"/>
  <c r="N419" i="17" s="1"/>
  <c r="L205" i="17" a="1"/>
  <c r="L205" i="17" s="1"/>
  <c r="L824" i="17" a="1"/>
  <c r="L824" i="17" s="1"/>
  <c r="L482" i="17" a="1"/>
  <c r="L482" i="17" s="1"/>
  <c r="L64" i="17" a="1"/>
  <c r="L64" i="17" s="1"/>
  <c r="N850" i="17" a="1"/>
  <c r="N850" i="17" s="1"/>
  <c r="N88" i="17" a="1"/>
  <c r="N88" i="17" s="1"/>
  <c r="M925" i="17" a="1"/>
  <c r="M925" i="17" s="1"/>
  <c r="M304" i="17" a="1"/>
  <c r="M304" i="17" s="1"/>
  <c r="N907" i="17" a="1"/>
  <c r="N907" i="17" s="1"/>
  <c r="N713" i="17" a="1"/>
  <c r="N713" i="17" s="1"/>
  <c r="M358" i="17" a="1"/>
  <c r="M358" i="17" s="1"/>
  <c r="N183" i="17" a="1"/>
  <c r="N183" i="17" s="1"/>
  <c r="N842" i="17" a="1"/>
  <c r="N842" i="17" s="1"/>
  <c r="L230" i="17" a="1"/>
  <c r="L230" i="17" s="1"/>
  <c r="N980" i="17" a="1"/>
  <c r="N980" i="17" s="1"/>
  <c r="L449" i="17" a="1"/>
  <c r="L449" i="17" s="1"/>
  <c r="M180" i="17" a="1"/>
  <c r="M180" i="17" s="1"/>
  <c r="M607" i="17" a="1"/>
  <c r="M607" i="17" s="1"/>
  <c r="N139" i="17" a="1"/>
  <c r="N139" i="17" s="1"/>
  <c r="L978" i="17" a="1"/>
  <c r="L978" i="17" s="1"/>
  <c r="M927" i="17" a="1"/>
  <c r="M927" i="17" s="1"/>
  <c r="N248" i="17" a="1"/>
  <c r="N248" i="17" s="1"/>
  <c r="M695" i="17" a="1"/>
  <c r="M695" i="17" s="1"/>
  <c r="N128" i="17" a="1"/>
  <c r="N128" i="17" s="1"/>
  <c r="L41" i="17" a="1"/>
  <c r="L41" i="17" s="1"/>
  <c r="M692" i="17" a="1"/>
  <c r="M692" i="17" s="1"/>
  <c r="M10" i="17" a="1"/>
  <c r="M10" i="17" s="1"/>
  <c r="M743" i="17" a="1"/>
  <c r="M743" i="17" s="1"/>
  <c r="L278" i="17" a="1"/>
  <c r="L278" i="17" s="1"/>
  <c r="L907" i="17" a="1"/>
  <c r="L907" i="17" s="1"/>
  <c r="N361" i="17" a="1"/>
  <c r="N361" i="17" s="1"/>
  <c r="L256" i="17" a="1"/>
  <c r="L256" i="17" s="1"/>
  <c r="K256" i="17" s="1"/>
  <c r="M779" i="17" a="1"/>
  <c r="M779" i="17" s="1"/>
  <c r="N382" i="17" a="1"/>
  <c r="N382" i="17" s="1"/>
  <c r="L211" i="17" a="1"/>
  <c r="L211" i="17" s="1"/>
  <c r="L494" i="17" a="1"/>
  <c r="L494" i="17" s="1"/>
  <c r="N17" i="17" a="1"/>
  <c r="N17" i="17" s="1"/>
  <c r="M994" i="17" a="1"/>
  <c r="M994" i="17" s="1"/>
  <c r="L279" i="17" a="1"/>
  <c r="L279" i="17" s="1"/>
  <c r="N849" i="17" a="1"/>
  <c r="N849" i="17" s="1"/>
  <c r="N125" i="17" a="1"/>
  <c r="N125" i="17" s="1"/>
  <c r="L612" i="17" a="1"/>
  <c r="L612" i="17" s="1"/>
  <c r="N774" i="17" a="1"/>
  <c r="N774" i="17" s="1"/>
  <c r="K774" i="17" s="1"/>
  <c r="L760" i="17" a="1"/>
  <c r="L760" i="17" s="1"/>
  <c r="N717" i="17" a="1"/>
  <c r="N717" i="17" s="1"/>
  <c r="L533" i="17" a="1"/>
  <c r="L533" i="17" s="1"/>
  <c r="K533" i="17" s="1"/>
  <c r="L265" i="17" a="1"/>
  <c r="L265" i="17" s="1"/>
  <c r="N211" i="17" a="1"/>
  <c r="N211" i="17" s="1"/>
  <c r="L556" i="17" a="1"/>
  <c r="L556" i="17" s="1"/>
  <c r="N710" i="17" a="1"/>
  <c r="N710" i="17" s="1"/>
  <c r="N46" i="17" a="1"/>
  <c r="N46" i="17" s="1"/>
  <c r="M93" i="17" a="1"/>
  <c r="M93" i="17" s="1"/>
  <c r="M643" i="17" a="1"/>
  <c r="M643" i="17" s="1"/>
  <c r="M301" i="17" a="1"/>
  <c r="M301" i="17" s="1"/>
  <c r="N306" i="17" a="1"/>
  <c r="N306" i="17" s="1"/>
  <c r="M305" i="17" a="1"/>
  <c r="M305" i="17" s="1"/>
  <c r="L932" i="17" a="1"/>
  <c r="L932" i="17" s="1"/>
  <c r="L291" i="17" a="1"/>
  <c r="L291" i="17" s="1"/>
  <c r="M491" i="17" a="1"/>
  <c r="M491" i="17" s="1"/>
  <c r="L659" i="17" a="1"/>
  <c r="L659" i="17" s="1"/>
  <c r="N32" i="17" a="1"/>
  <c r="N32" i="17" s="1"/>
  <c r="L579" i="17" a="1"/>
  <c r="L579" i="17" s="1"/>
  <c r="K579" i="17" s="1"/>
  <c r="M20" i="17" a="1"/>
  <c r="M20" i="17" s="1"/>
  <c r="M959" i="17" a="1"/>
  <c r="M959" i="17" s="1"/>
  <c r="L364" i="17" a="1"/>
  <c r="L364" i="17" s="1"/>
  <c r="N439" i="17" a="1"/>
  <c r="N439" i="17" s="1"/>
  <c r="N38" i="17" a="1"/>
  <c r="N38" i="17" s="1"/>
  <c r="M882" i="17" a="1"/>
  <c r="M882" i="17" s="1"/>
  <c r="L368" i="17" a="1"/>
  <c r="L368" i="17" s="1"/>
  <c r="M558" i="17" a="1"/>
  <c r="M558" i="17" s="1"/>
  <c r="N555" i="17" a="1"/>
  <c r="N555" i="17" s="1"/>
  <c r="N684" i="17" a="1"/>
  <c r="N684" i="17" s="1"/>
  <c r="L924" i="17" a="1"/>
  <c r="L924" i="17" s="1"/>
  <c r="N854" i="17" a="1"/>
  <c r="N854" i="17" s="1"/>
  <c r="L371" i="17" a="1"/>
  <c r="L371" i="17" s="1"/>
  <c r="M773" i="17" a="1"/>
  <c r="M773" i="17" s="1"/>
  <c r="L711" i="17" a="1"/>
  <c r="L711" i="17" s="1"/>
  <c r="N63" i="17" a="1"/>
  <c r="N63" i="17" s="1"/>
  <c r="L814" i="17" a="1"/>
  <c r="L814" i="17" s="1"/>
  <c r="M536" i="17" a="1"/>
  <c r="M536" i="17" s="1"/>
  <c r="L860" i="17" a="1"/>
  <c r="L860" i="17" s="1"/>
  <c r="N196" i="17" a="1"/>
  <c r="N196" i="17" s="1"/>
  <c r="L156" i="17" a="1"/>
  <c r="L156" i="17" s="1"/>
  <c r="M816" i="17" a="1"/>
  <c r="M816" i="17" s="1"/>
  <c r="N91" i="17" a="1"/>
  <c r="N91" i="17" s="1"/>
  <c r="N922" i="17" a="1"/>
  <c r="N922" i="17" s="1"/>
  <c r="M708" i="17" a="1"/>
  <c r="M708" i="17" s="1"/>
  <c r="N360" i="17" a="1"/>
  <c r="N360" i="17" s="1"/>
  <c r="M560" i="17" a="1"/>
  <c r="M560" i="17" s="1"/>
  <c r="N695" i="17" a="1"/>
  <c r="N695" i="17" s="1"/>
  <c r="M985" i="17" a="1"/>
  <c r="M985" i="17" s="1"/>
  <c r="N480" i="17" a="1"/>
  <c r="N480" i="17" s="1"/>
  <c r="M606" i="17" a="1"/>
  <c r="M606" i="17" s="1"/>
  <c r="M987" i="17" a="1"/>
  <c r="M987" i="17" s="1"/>
  <c r="L292" i="17" a="1"/>
  <c r="L292" i="17" s="1"/>
  <c r="M476" i="17" a="1"/>
  <c r="M476" i="17" s="1"/>
  <c r="G985" i="17"/>
  <c r="I985" i="17" s="1"/>
  <c r="L437" i="17" a="1"/>
  <c r="L437" i="17" s="1"/>
  <c r="N992" i="17" a="1"/>
  <c r="N992" i="17" s="1"/>
  <c r="L689" i="17" a="1"/>
  <c r="L689" i="17" s="1"/>
  <c r="K689" i="17" s="1"/>
  <c r="N938" i="17" a="1"/>
  <c r="N938" i="17" s="1"/>
  <c r="L455" i="17" a="1"/>
  <c r="L455" i="17" s="1"/>
  <c r="M980" i="17" a="1"/>
  <c r="M980" i="17" s="1"/>
  <c r="L849" i="17" a="1"/>
  <c r="L849" i="17" s="1"/>
  <c r="N859" i="17" a="1"/>
  <c r="N859" i="17" s="1"/>
  <c r="N667" i="17" a="1"/>
  <c r="N667" i="17" s="1"/>
  <c r="M697" i="17" a="1"/>
  <c r="M697" i="17" s="1"/>
  <c r="L561" i="17" a="1"/>
  <c r="L561" i="17" s="1"/>
  <c r="M452" i="17" a="1"/>
  <c r="M452" i="17" s="1"/>
  <c r="N910" i="17" a="1"/>
  <c r="N910" i="17" s="1"/>
  <c r="N787" i="17" a="1"/>
  <c r="N787" i="17" s="1"/>
  <c r="L131" i="17" a="1"/>
  <c r="L131" i="17" s="1"/>
  <c r="L1021" i="17" a="1"/>
  <c r="L1021" i="17" s="1"/>
  <c r="L392" i="17" a="1"/>
  <c r="L392" i="17" s="1"/>
  <c r="N984" i="17" a="1"/>
  <c r="N984" i="17" s="1"/>
  <c r="N1016" i="17" a="1"/>
  <c r="N1016" i="17" s="1"/>
  <c r="N956" i="17" a="1"/>
  <c r="N956" i="17" s="1"/>
  <c r="N927" i="17" a="1"/>
  <c r="N927" i="17" s="1"/>
  <c r="N987" i="17" a="1"/>
  <c r="N987" i="17" s="1"/>
  <c r="L608" i="17" a="1"/>
  <c r="L608" i="17" s="1"/>
  <c r="N991" i="17" a="1"/>
  <c r="N991" i="17" s="1"/>
  <c r="N103" i="17" a="1"/>
  <c r="N103" i="17" s="1"/>
  <c r="N901" i="17" a="1"/>
  <c r="N901" i="17" s="1"/>
  <c r="M121" i="17" a="1"/>
  <c r="M121" i="17" s="1"/>
  <c r="L202" i="17" a="1"/>
  <c r="L202" i="17" s="1"/>
  <c r="N612" i="17" a="1"/>
  <c r="N612" i="17" s="1"/>
  <c r="L395" i="17" a="1"/>
  <c r="L395" i="17" s="1"/>
  <c r="M681" i="17" a="1"/>
  <c r="M681" i="17" s="1"/>
  <c r="M655" i="17" a="1"/>
  <c r="M655" i="17" s="1"/>
  <c r="M1022" i="17" a="1"/>
  <c r="M1022" i="17" s="1"/>
  <c r="N764" i="17" a="1"/>
  <c r="N764" i="17" s="1"/>
  <c r="M471" i="17" a="1"/>
  <c r="M471" i="17" s="1"/>
  <c r="L638" i="17" a="1"/>
  <c r="L638" i="17" s="1"/>
  <c r="L847" i="17" a="1"/>
  <c r="L847" i="17" s="1"/>
  <c r="L962" i="17" a="1"/>
  <c r="L962" i="17" s="1"/>
  <c r="L412" i="17" a="1"/>
  <c r="L412" i="17" s="1"/>
  <c r="L394" i="17" a="1"/>
  <c r="L394" i="17" s="1"/>
  <c r="N386" i="17" a="1"/>
  <c r="N386" i="17" s="1"/>
  <c r="M436" i="17" a="1"/>
  <c r="M436" i="17" s="1"/>
  <c r="L977" i="17" a="1"/>
  <c r="L977" i="17" s="1"/>
  <c r="M209" i="17" a="1"/>
  <c r="M209" i="17" s="1"/>
  <c r="N143" i="17" a="1"/>
  <c r="N143" i="17" s="1"/>
  <c r="M249" i="17" a="1"/>
  <c r="M249" i="17" s="1"/>
  <c r="M776" i="17" a="1"/>
  <c r="M776" i="17" s="1"/>
  <c r="M901" i="17" a="1"/>
  <c r="M901" i="17" s="1"/>
  <c r="M659" i="17" a="1"/>
  <c r="M659" i="17" s="1"/>
  <c r="M671" i="17" a="1"/>
  <c r="M671" i="17" s="1"/>
  <c r="N366" i="17" a="1"/>
  <c r="N366" i="17" s="1"/>
  <c r="N167" i="17" a="1"/>
  <c r="N167" i="17" s="1"/>
  <c r="M276" i="17" a="1"/>
  <c r="M276" i="17" s="1"/>
  <c r="L669" i="17" a="1"/>
  <c r="L669" i="17" s="1"/>
  <c r="M199" i="17" a="1"/>
  <c r="M199" i="17" s="1"/>
  <c r="L1010" i="17" a="1"/>
  <c r="L1010" i="17" s="1"/>
  <c r="N104" i="17" a="1"/>
  <c r="N104" i="17" s="1"/>
  <c r="M846" i="17" a="1"/>
  <c r="M846" i="17" s="1"/>
  <c r="M797" i="17" a="1"/>
  <c r="M797" i="17" s="1"/>
  <c r="L953" i="17" a="1"/>
  <c r="L953" i="17" s="1"/>
  <c r="L940" i="17" a="1"/>
  <c r="L940" i="17" s="1"/>
  <c r="N31" i="17" a="1"/>
  <c r="N31" i="17" s="1"/>
  <c r="M260" i="17" a="1"/>
  <c r="M260" i="17" s="1"/>
  <c r="M482" i="17" a="1"/>
  <c r="M482" i="17" s="1"/>
  <c r="N233" i="17" a="1"/>
  <c r="N233" i="17" s="1"/>
  <c r="M534" i="17" a="1"/>
  <c r="M534" i="17" s="1"/>
  <c r="N19" i="17" a="1"/>
  <c r="N19" i="17" s="1"/>
  <c r="L896" i="17" a="1"/>
  <c r="L896" i="17" s="1"/>
  <c r="L312" i="17" a="1"/>
  <c r="L312" i="17" s="1"/>
  <c r="M952" i="17" a="1"/>
  <c r="M952" i="17" s="1"/>
  <c r="N517" i="17" a="1"/>
  <c r="N517" i="17" s="1"/>
  <c r="M193" i="17" a="1"/>
  <c r="M193" i="17" s="1"/>
  <c r="M44" i="17" a="1"/>
  <c r="M44" i="17" s="1"/>
  <c r="L553" i="17" a="1"/>
  <c r="L553" i="17" s="1"/>
  <c r="L247" i="17" a="1"/>
  <c r="L247" i="17" s="1"/>
  <c r="N92" i="17" a="1"/>
  <c r="N92" i="17" s="1"/>
  <c r="L606" i="17" a="1"/>
  <c r="L606" i="17" s="1"/>
  <c r="N501" i="17" a="1"/>
  <c r="N501" i="17" s="1"/>
  <c r="M1019" i="17" a="1"/>
  <c r="M1019" i="17" s="1"/>
  <c r="M444" i="17" a="1"/>
  <c r="M444" i="17" s="1"/>
  <c r="M286" i="17" a="1"/>
  <c r="M286" i="17" s="1"/>
  <c r="M529" i="17" a="1"/>
  <c r="M529" i="17" s="1"/>
  <c r="N526" i="17" a="1"/>
  <c r="N526" i="17" s="1"/>
  <c r="N761" i="17" a="1"/>
  <c r="N761" i="17" s="1"/>
  <c r="L199" i="17" a="1"/>
  <c r="L199" i="17" s="1"/>
  <c r="N962" i="17" a="1"/>
  <c r="N962" i="17" s="1"/>
  <c r="M613" i="17" a="1"/>
  <c r="M613" i="17" s="1"/>
  <c r="L253" i="17" a="1"/>
  <c r="L253" i="17" s="1"/>
  <c r="M99" i="17" a="1"/>
  <c r="M99" i="17" s="1"/>
  <c r="M912" i="17" a="1"/>
  <c r="M912" i="17" s="1"/>
  <c r="L886" i="17" a="1"/>
  <c r="L886" i="17" s="1"/>
  <c r="L42" i="17" a="1"/>
  <c r="L42" i="17" s="1"/>
  <c r="N367" i="17" a="1"/>
  <c r="N367" i="17" s="1"/>
  <c r="N265" i="17" a="1"/>
  <c r="N265" i="17" s="1"/>
  <c r="L60" i="17" a="1"/>
  <c r="L60" i="17" s="1"/>
  <c r="K60" i="17" s="1"/>
  <c r="N528" i="17" a="1"/>
  <c r="N528" i="17" s="1"/>
  <c r="N172" i="17" a="1"/>
  <c r="N172" i="17" s="1"/>
  <c r="M907" i="17" a="1"/>
  <c r="M907" i="17" s="1"/>
  <c r="L427" i="17" a="1"/>
  <c r="L427" i="17" s="1"/>
  <c r="N607" i="17" a="1"/>
  <c r="N607" i="17" s="1"/>
  <c r="M800" i="17" a="1"/>
  <c r="M800" i="17" s="1"/>
  <c r="L275" i="17" a="1"/>
  <c r="L275" i="17" s="1"/>
  <c r="M454" i="17" a="1"/>
  <c r="M454" i="17" s="1"/>
  <c r="N238" i="17" a="1"/>
  <c r="N238" i="17" s="1"/>
  <c r="N746" i="17" a="1"/>
  <c r="N746" i="17" s="1"/>
  <c r="L1014" i="17" a="1"/>
  <c r="L1014" i="17" s="1"/>
  <c r="M640" i="17" a="1"/>
  <c r="M640" i="17" s="1"/>
  <c r="L87" i="17" a="1"/>
  <c r="L87" i="17" s="1"/>
  <c r="L742" i="17" a="1"/>
  <c r="L742" i="17" s="1"/>
  <c r="N328" i="17" a="1"/>
  <c r="N328" i="17" s="1"/>
  <c r="L559" i="17" a="1"/>
  <c r="L559" i="17" s="1"/>
  <c r="K559" i="17" s="1"/>
  <c r="L573" i="17" a="1"/>
  <c r="L573" i="17" s="1"/>
  <c r="N449" i="17" a="1"/>
  <c r="N449" i="17" s="1"/>
  <c r="L856" i="17" a="1"/>
  <c r="L856" i="17" s="1"/>
  <c r="L804" i="17" a="1"/>
  <c r="L804" i="17" s="1"/>
  <c r="K804" i="17" s="1"/>
  <c r="M147" i="17" a="1"/>
  <c r="M147" i="17" s="1"/>
  <c r="M417" i="17" a="1"/>
  <c r="M417" i="17" s="1"/>
  <c r="L233" i="17" a="1"/>
  <c r="L233" i="17" s="1"/>
  <c r="M875" i="17" a="1"/>
  <c r="M875" i="17" s="1"/>
  <c r="M64" i="17" a="1"/>
  <c r="M64" i="17" s="1"/>
  <c r="N251" i="17" a="1"/>
  <c r="N251" i="17" s="1"/>
  <c r="N39" i="17" a="1"/>
  <c r="N39" i="17" s="1"/>
  <c r="N778" i="17" a="1"/>
  <c r="N778" i="17" s="1"/>
  <c r="L817" i="17" a="1"/>
  <c r="L817" i="17" s="1"/>
  <c r="L226" i="17" a="1"/>
  <c r="L226" i="17" s="1"/>
  <c r="M119" i="17" a="1"/>
  <c r="M119" i="17" s="1"/>
  <c r="M235" i="17" a="1"/>
  <c r="M235" i="17" s="1"/>
  <c r="M208" i="17" a="1"/>
  <c r="M208" i="17" s="1"/>
  <c r="L22" i="17" a="1"/>
  <c r="L22" i="17" s="1"/>
  <c r="N68" i="17" a="1"/>
  <c r="N68" i="17" s="1"/>
  <c r="N949" i="17" a="1"/>
  <c r="N949" i="17" s="1"/>
  <c r="L285" i="17" a="1"/>
  <c r="L285" i="17" s="1"/>
  <c r="L249" i="17" a="1"/>
  <c r="L249" i="17" s="1"/>
  <c r="N442" i="17" a="1"/>
  <c r="N442" i="17" s="1"/>
  <c r="L451" i="17" a="1"/>
  <c r="L451" i="17" s="1"/>
  <c r="M924" i="17" a="1"/>
  <c r="M924" i="17" s="1"/>
  <c r="M330" i="17" a="1"/>
  <c r="M330" i="17" s="1"/>
  <c r="N417" i="17" a="1"/>
  <c r="N417" i="17" s="1"/>
  <c r="M410" i="17" a="1"/>
  <c r="M410" i="17" s="1"/>
  <c r="M401" i="17" a="1"/>
  <c r="M401" i="17" s="1"/>
  <c r="N212" i="17" a="1"/>
  <c r="N212" i="17" s="1"/>
  <c r="M74" i="17" a="1"/>
  <c r="M74" i="17" s="1"/>
  <c r="L778" i="17" a="1"/>
  <c r="L778" i="17" s="1"/>
  <c r="N147" i="17" a="1"/>
  <c r="N147" i="17" s="1"/>
  <c r="M955" i="17" a="1"/>
  <c r="M955" i="17" s="1"/>
  <c r="L48" i="17" a="1"/>
  <c r="L48" i="17" s="1"/>
  <c r="N5" i="17" a="1"/>
  <c r="N5" i="17" s="1"/>
  <c r="N690" i="17" a="1"/>
  <c r="N690" i="17" s="1"/>
  <c r="M201" i="17" a="1"/>
  <c r="M201" i="17" s="1"/>
  <c r="N613" i="17" a="1"/>
  <c r="N613" i="17" s="1"/>
  <c r="N145" i="17" a="1"/>
  <c r="N145" i="17" s="1"/>
  <c r="N880" i="17" a="1"/>
  <c r="N880" i="17" s="1"/>
  <c r="L670" i="17" a="1"/>
  <c r="L670" i="17" s="1"/>
  <c r="N225" i="17" a="1"/>
  <c r="N225" i="17" s="1"/>
  <c r="M42" i="17" a="1"/>
  <c r="M42" i="17" s="1"/>
  <c r="M908" i="17" a="1"/>
  <c r="M908" i="17" s="1"/>
  <c r="M75" i="17" a="1"/>
  <c r="M75" i="17" s="1"/>
  <c r="M195" i="17" a="1"/>
  <c r="M195" i="17" s="1"/>
  <c r="L39" i="17" a="1"/>
  <c r="L39" i="17" s="1"/>
  <c r="N909" i="17" a="1"/>
  <c r="N909" i="17" s="1"/>
  <c r="L274" i="17" a="1"/>
  <c r="L274" i="17" s="1"/>
  <c r="K274" i="17" s="1"/>
  <c r="N468" i="17" a="1"/>
  <c r="N468" i="17" s="1"/>
  <c r="N93" i="17" a="1"/>
  <c r="N93" i="17" s="1"/>
  <c r="L885" i="17" a="1"/>
  <c r="L885" i="17" s="1"/>
  <c r="N574" i="17" a="1"/>
  <c r="N574" i="17" s="1"/>
  <c r="M801" i="17" a="1"/>
  <c r="M801" i="17" s="1"/>
  <c r="M89" i="17" a="1"/>
  <c r="M89" i="17" s="1"/>
  <c r="L660" i="17" a="1"/>
  <c r="L660" i="17" s="1"/>
  <c r="L231" i="17" a="1"/>
  <c r="L231" i="17" s="1"/>
  <c r="M848" i="17" a="1"/>
  <c r="M848" i="17" s="1"/>
  <c r="M238" i="17" a="1"/>
  <c r="M238" i="17" s="1"/>
  <c r="M115" i="17" a="1"/>
  <c r="M115" i="17" s="1"/>
  <c r="N720" i="17" a="1"/>
  <c r="N720" i="17" s="1"/>
  <c r="N872" i="17" a="1"/>
  <c r="N872" i="17" s="1"/>
  <c r="M131" i="17" a="1"/>
  <c r="M131" i="17" s="1"/>
  <c r="M166" i="17" a="1"/>
  <c r="M166" i="17" s="1"/>
  <c r="N1006" i="17" a="1"/>
  <c r="N1006" i="17" s="1"/>
  <c r="M120" i="17" a="1"/>
  <c r="M120" i="17" s="1"/>
  <c r="N714" i="17" a="1"/>
  <c r="N714" i="17" s="1"/>
  <c r="M928" i="17" a="1"/>
  <c r="M928" i="17" s="1"/>
  <c r="M278" i="17" a="1"/>
  <c r="M278" i="17" s="1"/>
  <c r="M291" i="17" a="1"/>
  <c r="M291" i="17" s="1"/>
  <c r="N471" i="17" a="1"/>
  <c r="N471" i="17" s="1"/>
  <c r="M123" i="17" a="1"/>
  <c r="M123" i="17" s="1"/>
  <c r="M854" i="17" a="1"/>
  <c r="M854" i="17" s="1"/>
  <c r="L146" i="17" a="1"/>
  <c r="L146" i="17" s="1"/>
  <c r="K146" i="17" s="1"/>
  <c r="N742" i="17" a="1"/>
  <c r="N742" i="17" s="1"/>
  <c r="M778" i="17" a="1"/>
  <c r="M778" i="17" s="1"/>
  <c r="M357" i="17" a="1"/>
  <c r="M357" i="17" s="1"/>
  <c r="L762" i="17" a="1"/>
  <c r="L762" i="17" s="1"/>
  <c r="M496" i="17" a="1"/>
  <c r="M496" i="17" s="1"/>
  <c r="M612" i="17" a="1"/>
  <c r="M612" i="17" s="1"/>
  <c r="M951" i="17" a="1"/>
  <c r="M951" i="17" s="1"/>
  <c r="N682" i="17" a="1"/>
  <c r="N682" i="17" s="1"/>
  <c r="M309" i="17" a="1"/>
  <c r="M309" i="17" s="1"/>
  <c r="N856" i="17" a="1"/>
  <c r="N856" i="17" s="1"/>
  <c r="N611" i="17" a="1"/>
  <c r="N611" i="17" s="1"/>
  <c r="L8" i="17" a="1"/>
  <c r="L8" i="17" s="1"/>
  <c r="L955" i="17" a="1"/>
  <c r="L955" i="17" s="1"/>
  <c r="L329" i="17" a="1"/>
  <c r="L329" i="17" s="1"/>
  <c r="K329" i="17" s="1"/>
  <c r="M716" i="17" a="1"/>
  <c r="M716" i="17" s="1"/>
  <c r="N345" i="17" a="1"/>
  <c r="N345" i="17" s="1"/>
  <c r="M315" i="17" a="1"/>
  <c r="M315" i="17" s="1"/>
  <c r="M265" i="17" a="1"/>
  <c r="M265" i="17" s="1"/>
  <c r="L7" i="17" a="1"/>
  <c r="L7" i="17" s="1"/>
  <c r="N749" i="17" a="1"/>
  <c r="N749" i="17" s="1"/>
  <c r="L469" i="17" a="1"/>
  <c r="L469" i="17" s="1"/>
  <c r="M508" i="17" a="1"/>
  <c r="M508" i="17" s="1"/>
  <c r="N236" i="17" a="1"/>
  <c r="N236" i="17" s="1"/>
  <c r="N988" i="17" a="1"/>
  <c r="N988" i="17" s="1"/>
  <c r="L362" i="17" a="1"/>
  <c r="L362" i="17" s="1"/>
  <c r="M638" i="17" a="1"/>
  <c r="M638" i="17" s="1"/>
  <c r="M474" i="17" a="1"/>
  <c r="M474" i="17" s="1"/>
  <c r="M94" i="17" a="1"/>
  <c r="M94" i="17" s="1"/>
  <c r="M262" i="17" a="1"/>
  <c r="M262" i="17" s="1"/>
  <c r="L223" i="17" a="1"/>
  <c r="L223" i="17" s="1"/>
  <c r="K223" i="17" s="1"/>
  <c r="N671" i="17" a="1"/>
  <c r="N671" i="17" s="1"/>
  <c r="N250" i="17" a="1"/>
  <c r="N250" i="17" s="1"/>
  <c r="M59" i="17" a="1"/>
  <c r="M59" i="17" s="1"/>
  <c r="L333" i="17" a="1"/>
  <c r="L333" i="17" s="1"/>
  <c r="L88" i="17" a="1"/>
  <c r="L88" i="17" s="1"/>
  <c r="K88" i="17" s="1"/>
  <c r="M205" i="17" a="1"/>
  <c r="M205" i="17" s="1"/>
  <c r="M827" i="17" a="1"/>
  <c r="M827" i="17" s="1"/>
  <c r="M425" i="17" a="1"/>
  <c r="M425" i="17" s="1"/>
  <c r="N698" i="17" a="1"/>
  <c r="N698" i="17" s="1"/>
  <c r="L89" i="17" a="1"/>
  <c r="L89" i="17" s="1"/>
  <c r="N895" i="17" a="1"/>
  <c r="N895" i="17" s="1"/>
  <c r="M1016" i="17" a="1"/>
  <c r="M1016" i="17" s="1"/>
  <c r="N855" i="17" a="1"/>
  <c r="N855" i="17" s="1"/>
  <c r="L4" i="17" a="1"/>
  <c r="L4" i="17" s="1"/>
  <c r="L833" i="17" a="1"/>
  <c r="L833" i="17" s="1"/>
  <c r="K833" i="17" s="1"/>
  <c r="N287" i="17" a="1"/>
  <c r="N287" i="17" s="1"/>
  <c r="L332" i="17" a="1"/>
  <c r="L332" i="17" s="1"/>
  <c r="L145" i="17" a="1"/>
  <c r="L145" i="17" s="1"/>
  <c r="L532" i="17" a="1"/>
  <c r="L532" i="17" s="1"/>
  <c r="M113" i="17" a="1"/>
  <c r="M113" i="17" s="1"/>
  <c r="L820" i="17" a="1"/>
  <c r="L820" i="17" s="1"/>
  <c r="M418" i="17" a="1"/>
  <c r="M418" i="17" s="1"/>
  <c r="N573" i="17" a="1"/>
  <c r="N573" i="17" s="1"/>
  <c r="N171" i="17" a="1"/>
  <c r="N171" i="17" s="1"/>
  <c r="L767" i="17" a="1"/>
  <c r="L767" i="17" s="1"/>
  <c r="K767" i="17" s="1"/>
  <c r="N655" i="17" a="1"/>
  <c r="N655" i="17" s="1"/>
  <c r="M63" i="17" a="1"/>
  <c r="M63" i="17" s="1"/>
  <c r="L463" i="17" a="1"/>
  <c r="L463" i="17" s="1"/>
  <c r="M524" i="17" a="1"/>
  <c r="M524" i="17" s="1"/>
  <c r="L772" i="17" a="1"/>
  <c r="L772" i="17" s="1"/>
  <c r="K772" i="17" s="1"/>
  <c r="N229" i="17" a="1"/>
  <c r="N229" i="17" s="1"/>
  <c r="N932" i="17" a="1"/>
  <c r="N932" i="17" s="1"/>
  <c r="N170" i="17" a="1"/>
  <c r="N170" i="17" s="1"/>
  <c r="M707" i="17" a="1"/>
  <c r="M707" i="17" s="1"/>
  <c r="M281" i="17" a="1"/>
  <c r="M281" i="17" s="1"/>
  <c r="L876" i="17" a="1"/>
  <c r="L876" i="17" s="1"/>
  <c r="N20" i="17" a="1"/>
  <c r="N20" i="17" s="1"/>
  <c r="N879" i="17" a="1"/>
  <c r="N879" i="17" s="1"/>
  <c r="L20" i="17" a="1"/>
  <c r="L20" i="17" s="1"/>
  <c r="M1021" i="17" a="1"/>
  <c r="M1021" i="17" s="1"/>
  <c r="L104" i="17" a="1"/>
  <c r="L104" i="17" s="1"/>
  <c r="K104" i="17" s="1"/>
  <c r="N913" i="17" a="1"/>
  <c r="N913" i="17" s="1"/>
  <c r="L582" i="17" a="1"/>
  <c r="L582" i="17" s="1"/>
  <c r="M128" i="17" a="1"/>
  <c r="M128" i="17" s="1"/>
  <c r="L587" i="17" a="1"/>
  <c r="L587" i="17" s="1"/>
  <c r="K587" i="17" s="1"/>
  <c r="L63" i="17" a="1"/>
  <c r="L63" i="17" s="1"/>
  <c r="L745" i="17" a="1"/>
  <c r="L745" i="17" s="1"/>
  <c r="L150" i="17" a="1"/>
  <c r="L150" i="17" s="1"/>
  <c r="K150" i="17" s="1"/>
  <c r="M70" i="17" a="1"/>
  <c r="M70" i="17" s="1"/>
  <c r="M280" i="17" a="1"/>
  <c r="M280" i="17" s="1"/>
  <c r="M598" i="17" a="1"/>
  <c r="M598" i="17" s="1"/>
  <c r="N179" i="17" a="1"/>
  <c r="N179" i="17" s="1"/>
  <c r="M736" i="17" a="1"/>
  <c r="M736" i="17" s="1"/>
  <c r="N206" i="17" a="1"/>
  <c r="N206" i="17" s="1"/>
  <c r="M735" i="17" a="1"/>
  <c r="M735" i="17" s="1"/>
  <c r="M68" i="17" a="1"/>
  <c r="M68" i="17" s="1"/>
  <c r="L129" i="17" a="1"/>
  <c r="L129" i="17" s="1"/>
  <c r="K129" i="17" s="1"/>
  <c r="N520" i="17" a="1"/>
  <c r="N520" i="17" s="1"/>
  <c r="L993" i="17" a="1"/>
  <c r="L993" i="17" s="1"/>
  <c r="N466" i="17" a="1"/>
  <c r="N466" i="17" s="1"/>
  <c r="N427" i="17" a="1"/>
  <c r="N427" i="17" s="1"/>
  <c r="L142" i="17" a="1"/>
  <c r="L142" i="17" s="1"/>
  <c r="N421" i="17" a="1"/>
  <c r="N421" i="17" s="1"/>
  <c r="L518" i="17" a="1"/>
  <c r="L518" i="17" s="1"/>
  <c r="K518" i="17" s="1"/>
  <c r="N897" i="17" a="1"/>
  <c r="N897" i="17" s="1"/>
  <c r="L750" i="17" a="1"/>
  <c r="L750" i="17" s="1"/>
  <c r="M610" i="17" a="1"/>
  <c r="M610" i="17" s="1"/>
  <c r="M680" i="17" a="1"/>
  <c r="M680" i="17" s="1"/>
  <c r="M843" i="17" a="1"/>
  <c r="M843" i="17" s="1"/>
  <c r="N33" i="17" a="1"/>
  <c r="N33" i="17" s="1"/>
  <c r="M517" i="17" a="1"/>
  <c r="M517" i="17" s="1"/>
  <c r="M520" i="17" a="1"/>
  <c r="M520" i="17" s="1"/>
  <c r="N420" i="17" a="1"/>
  <c r="N420" i="17" s="1"/>
  <c r="M477" i="17" a="1"/>
  <c r="M477" i="17" s="1"/>
  <c r="N503" i="17" a="1"/>
  <c r="N503" i="17" s="1"/>
  <c r="N74" i="17" a="1"/>
  <c r="N74" i="17" s="1"/>
  <c r="L882" i="17" a="1"/>
  <c r="L882" i="17" s="1"/>
  <c r="L195" i="17" a="1"/>
  <c r="L195" i="17" s="1"/>
  <c r="N800" i="17" a="1"/>
  <c r="N800" i="17" s="1"/>
  <c r="L176" i="17" a="1"/>
  <c r="L176" i="17" s="1"/>
  <c r="M1015" i="17" a="1"/>
  <c r="M1015" i="17" s="1"/>
  <c r="N635" i="17" a="1"/>
  <c r="N635" i="17" s="1"/>
  <c r="N11" i="17" a="1"/>
  <c r="N11" i="17" s="1"/>
  <c r="M914" i="17" a="1"/>
  <c r="M914" i="17" s="1"/>
  <c r="M7" i="17" a="1"/>
  <c r="M7" i="17" s="1"/>
  <c r="L789" i="17" a="1"/>
  <c r="L789" i="17" s="1"/>
  <c r="N94" i="17" a="1"/>
  <c r="N94" i="17" s="1"/>
  <c r="L502" i="17" a="1"/>
  <c r="L502" i="17" s="1"/>
  <c r="L167" i="17" a="1"/>
  <c r="L167" i="17" s="1"/>
  <c r="M224" i="17" a="1"/>
  <c r="M224" i="17" s="1"/>
  <c r="L696" i="17" a="1"/>
  <c r="L696" i="17" s="1"/>
  <c r="N822" i="17" a="1"/>
  <c r="N822" i="17" s="1"/>
  <c r="M236" i="17" a="1"/>
  <c r="M236" i="17" s="1"/>
  <c r="M748" i="17" a="1"/>
  <c r="M748" i="17" s="1"/>
  <c r="N121" i="17" a="1"/>
  <c r="N121" i="17" s="1"/>
  <c r="N931" i="17" a="1"/>
  <c r="N931" i="17" s="1"/>
  <c r="L72" i="17" a="1"/>
  <c r="L72" i="17" s="1"/>
  <c r="M1004" i="17" a="1"/>
  <c r="M1004" i="17" s="1"/>
  <c r="L698" i="17" a="1"/>
  <c r="L698" i="17" s="1"/>
  <c r="L122" i="17" a="1"/>
  <c r="L122" i="17" s="1"/>
  <c r="K122" i="17" s="1"/>
  <c r="L503" i="17" a="1"/>
  <c r="L503" i="17" s="1"/>
  <c r="L45" i="17" a="1"/>
  <c r="L45" i="17" s="1"/>
  <c r="M585" i="17" a="1"/>
  <c r="M585" i="17" s="1"/>
  <c r="M97" i="17" a="1"/>
  <c r="M97" i="17" s="1"/>
  <c r="L787" i="17" a="1"/>
  <c r="L787" i="17" s="1"/>
  <c r="M370" i="17" a="1"/>
  <c r="M370" i="17" s="1"/>
  <c r="N535" i="17" a="1"/>
  <c r="N535" i="17" s="1"/>
  <c r="L560" i="17" a="1"/>
  <c r="L560" i="17" s="1"/>
  <c r="M148" i="17" a="1"/>
  <c r="M148" i="17" s="1"/>
  <c r="N346" i="17" a="1"/>
  <c r="N346" i="17" s="1"/>
  <c r="M49" i="17" a="1"/>
  <c r="M49" i="17" s="1"/>
  <c r="M572" i="17" a="1"/>
  <c r="M572" i="17" s="1"/>
  <c r="M77" i="17" a="1"/>
  <c r="M77" i="17" s="1"/>
  <c r="M176" i="17" a="1"/>
  <c r="M176" i="17" s="1"/>
  <c r="N290" i="17" a="1"/>
  <c r="N290" i="17" s="1"/>
  <c r="L397" i="17" a="1"/>
  <c r="L397" i="17" s="1"/>
  <c r="M960" i="17" a="1"/>
  <c r="M960" i="17" s="1"/>
  <c r="L123" i="17" a="1"/>
  <c r="L123" i="17" s="1"/>
  <c r="L475" i="17" a="1"/>
  <c r="L475" i="17" s="1"/>
  <c r="N89" i="17" a="1"/>
  <c r="N89" i="17" s="1"/>
  <c r="L930" i="17" a="1"/>
  <c r="L930" i="17" s="1"/>
  <c r="N149" i="17" a="1"/>
  <c r="N149" i="17" s="1"/>
  <c r="N285" i="17" a="1"/>
  <c r="N285" i="17" s="1"/>
  <c r="M212" i="17" a="1"/>
  <c r="M212" i="17" s="1"/>
  <c r="N553" i="17" a="1"/>
  <c r="N553" i="17" s="1"/>
  <c r="L842" i="17" a="1"/>
  <c r="L842" i="17" s="1"/>
  <c r="M5" i="17" a="1"/>
  <c r="M5" i="17" s="1"/>
  <c r="M614" i="17" a="1"/>
  <c r="M614" i="17" s="1"/>
  <c r="M668" i="17" a="1"/>
  <c r="M668" i="17" s="1"/>
  <c r="N670" i="17" a="1"/>
  <c r="N670" i="17" s="1"/>
  <c r="L683" i="17" a="1"/>
  <c r="L683" i="17" s="1"/>
  <c r="K683" i="17" s="1"/>
  <c r="L344" i="17" a="1"/>
  <c r="L344" i="17" s="1"/>
  <c r="N766" i="17" a="1"/>
  <c r="N766" i="17" s="1"/>
  <c r="L913" i="17" a="1"/>
  <c r="L913" i="17" s="1"/>
  <c r="L319" i="17" a="1"/>
  <c r="L319" i="17" s="1"/>
  <c r="M939" i="17" a="1"/>
  <c r="M939" i="17" s="1"/>
  <c r="L260" i="17" a="1"/>
  <c r="L260" i="17" s="1"/>
  <c r="M255" i="17" a="1"/>
  <c r="M255" i="17" s="1"/>
  <c r="L517" i="17" a="1"/>
  <c r="L517" i="17" s="1"/>
  <c r="M475" i="17" a="1"/>
  <c r="M475" i="17" s="1"/>
  <c r="N798" i="17" a="1"/>
  <c r="N798" i="17" s="1"/>
  <c r="L130" i="17" a="1"/>
  <c r="L130" i="17" s="1"/>
  <c r="M310" i="17" a="1"/>
  <c r="M310" i="17" s="1"/>
  <c r="N45" i="17" a="1"/>
  <c r="N45" i="17" s="1"/>
  <c r="N166" i="17" a="1"/>
  <c r="N166" i="17" s="1"/>
  <c r="M206" i="17" a="1"/>
  <c r="M206" i="17" s="1"/>
  <c r="M747" i="17" a="1"/>
  <c r="M747" i="17" s="1"/>
  <c r="N965" i="17" a="1"/>
  <c r="N965" i="17" s="1"/>
  <c r="L14" i="17" a="1"/>
  <c r="L14" i="17" s="1"/>
  <c r="N560" i="17" a="1"/>
  <c r="N560" i="17" s="1"/>
  <c r="L46" i="17" a="1"/>
  <c r="L46" i="17" s="1"/>
  <c r="M314" i="17" a="1"/>
  <c r="M314" i="17" s="1"/>
  <c r="N202" i="17" a="1"/>
  <c r="N202" i="17" s="1"/>
  <c r="N898" i="17" a="1"/>
  <c r="N898" i="17" s="1"/>
  <c r="M856" i="17" a="1"/>
  <c r="M856" i="17" s="1"/>
  <c r="M263" i="17" a="1"/>
  <c r="M263" i="17" s="1"/>
  <c r="L328" i="17" a="1"/>
  <c r="L328" i="17" s="1"/>
  <c r="L261" i="17" a="1"/>
  <c r="L261" i="17" s="1"/>
  <c r="L957" i="17" a="1"/>
  <c r="L957" i="17" s="1"/>
  <c r="M90" i="17" a="1"/>
  <c r="M90" i="17" s="1"/>
  <c r="M988" i="17" a="1"/>
  <c r="M988" i="17" s="1"/>
  <c r="N90" i="17" a="1"/>
  <c r="N90" i="17" s="1"/>
  <c r="M396" i="17" a="1"/>
  <c r="M396" i="17" s="1"/>
  <c r="N257" i="17" a="1"/>
  <c r="N257" i="17" s="1"/>
  <c r="M603" i="17" a="1"/>
  <c r="M603" i="17" s="1"/>
  <c r="N632" i="17" a="1"/>
  <c r="N632" i="17" s="1"/>
  <c r="M32" i="17" a="1"/>
  <c r="M32" i="17" s="1"/>
  <c r="M372" i="17" a="1"/>
  <c r="M372" i="17" s="1"/>
  <c r="L43" i="17" a="1"/>
  <c r="L43" i="17" s="1"/>
  <c r="N362" i="17" a="1"/>
  <c r="N362" i="17" s="1"/>
  <c r="M660" i="17" a="1"/>
  <c r="M660" i="17" s="1"/>
  <c r="L140" i="17" a="1"/>
  <c r="L140" i="17" s="1"/>
  <c r="N195" i="17" a="1"/>
  <c r="N195" i="17" s="1"/>
  <c r="L35" i="17" a="1"/>
  <c r="L35" i="17" s="1"/>
  <c r="M140" i="17" a="1"/>
  <c r="M140" i="17" s="1"/>
  <c r="M41" i="17" a="1"/>
  <c r="M41" i="17" s="1"/>
  <c r="N385" i="17" a="1"/>
  <c r="N385" i="17" s="1"/>
  <c r="K385" i="17" s="1"/>
  <c r="N230" i="17" a="1"/>
  <c r="N230" i="17" s="1"/>
  <c r="N852" i="17" a="1"/>
  <c r="N852" i="17" s="1"/>
  <c r="N413" i="17" a="1"/>
  <c r="N413" i="17" s="1"/>
  <c r="M66" i="17" a="1"/>
  <c r="M66" i="17" s="1"/>
  <c r="L336" i="17" a="1"/>
  <c r="L336" i="17" s="1"/>
  <c r="N281" i="17" a="1"/>
  <c r="N281" i="17" s="1"/>
  <c r="L929" i="17" a="1"/>
  <c r="L929" i="17" s="1"/>
  <c r="M228" i="17" a="1"/>
  <c r="M228" i="17" s="1"/>
  <c r="N201" i="17" a="1"/>
  <c r="N201" i="17" s="1"/>
  <c r="M820" i="17" a="1"/>
  <c r="M820" i="17" s="1"/>
  <c r="L398" i="17" a="1"/>
  <c r="L398" i="17" s="1"/>
  <c r="L747" i="17" a="1"/>
  <c r="L747" i="17" s="1"/>
  <c r="L492" i="17" a="1"/>
  <c r="L492" i="17" s="1"/>
  <c r="K492" i="17" s="1"/>
  <c r="N628" i="17" a="1"/>
  <c r="N628" i="17" s="1"/>
  <c r="N929" i="17" a="1"/>
  <c r="N929" i="17" s="1"/>
  <c r="M642" i="17" a="1"/>
  <c r="M642" i="17" s="1"/>
  <c r="N773" i="17" a="1"/>
  <c r="N773" i="17" s="1"/>
  <c r="N86" i="17" a="1"/>
  <c r="N86" i="17" s="1"/>
  <c r="M258" i="17" a="1"/>
  <c r="M258" i="17" s="1"/>
  <c r="N130" i="17" a="1"/>
  <c r="N130" i="17" s="1"/>
  <c r="L141" i="17" a="1"/>
  <c r="L141" i="17" s="1"/>
  <c r="K141" i="17" s="1"/>
  <c r="N770" i="17" a="1"/>
  <c r="N770" i="17" s="1"/>
  <c r="L980" i="17" a="1"/>
  <c r="L980" i="17" s="1"/>
  <c r="N266" i="17" a="1"/>
  <c r="N266" i="17" s="1"/>
  <c r="L112" i="17" a="1"/>
  <c r="L112" i="17" s="1"/>
  <c r="K112" i="17" s="1"/>
  <c r="L363" i="17" a="1"/>
  <c r="L363" i="17" s="1"/>
  <c r="L103" i="17" a="1"/>
  <c r="L103" i="17" s="1"/>
  <c r="M880" i="17" a="1"/>
  <c r="M880" i="17" s="1"/>
  <c r="L743" i="17" a="1"/>
  <c r="L743" i="17" s="1"/>
  <c r="L44" i="17" a="1"/>
  <c r="L44" i="17" s="1"/>
  <c r="N914" i="17" a="1"/>
  <c r="N914" i="17" s="1"/>
  <c r="L818" i="17" a="1"/>
  <c r="L818" i="17" s="1"/>
  <c r="M317" i="17" a="1"/>
  <c r="M317" i="17" s="1"/>
  <c r="L287" i="17" a="1"/>
  <c r="L287" i="17" s="1"/>
  <c r="N871" i="17" a="1"/>
  <c r="N871" i="17" s="1"/>
  <c r="L722" i="17" a="1"/>
  <c r="L722" i="17" s="1"/>
  <c r="K722" i="17" s="1"/>
  <c r="L845" i="17" a="1"/>
  <c r="L845" i="17" s="1"/>
  <c r="N455" i="17" a="1"/>
  <c r="N455" i="17" s="1"/>
  <c r="M226" i="17" a="1"/>
  <c r="M226" i="17" s="1"/>
  <c r="L534" i="17" a="1"/>
  <c r="L534" i="17" s="1"/>
  <c r="N114" i="17" a="1"/>
  <c r="N114" i="17" s="1"/>
  <c r="L374" i="17" a="1"/>
  <c r="L374" i="17" s="1"/>
  <c r="K374" i="17" s="1"/>
  <c r="M788" i="17" a="1"/>
  <c r="M788" i="17" s="1"/>
  <c r="M50" i="17" a="1"/>
  <c r="M50" i="17" s="1"/>
  <c r="M117" i="17" a="1"/>
  <c r="M117" i="17" s="1"/>
  <c r="N747" i="17" a="1"/>
  <c r="N747" i="17" s="1"/>
  <c r="L443" i="17" a="1"/>
  <c r="L443" i="17" s="1"/>
  <c r="L557" i="17" a="1"/>
  <c r="L557" i="17" s="1"/>
  <c r="L580" i="17" a="1"/>
  <c r="L580" i="17" s="1"/>
  <c r="L101" i="17" a="1"/>
  <c r="L101" i="17" s="1"/>
  <c r="M96" i="17" a="1"/>
  <c r="M96" i="17" s="1"/>
  <c r="M428" i="17" a="1"/>
  <c r="M428" i="17" s="1"/>
  <c r="G418" i="17"/>
  <c r="I418" i="17" s="1"/>
  <c r="L127" i="17" a="1"/>
  <c r="L127" i="17" s="1"/>
  <c r="N288" i="17" a="1"/>
  <c r="N288" i="17" s="1"/>
  <c r="L289" i="17" a="1"/>
  <c r="L289" i="17" s="1"/>
  <c r="M167" i="17" a="1"/>
  <c r="M167" i="17" s="1"/>
  <c r="M652" i="17" a="1"/>
  <c r="M652" i="17" s="1"/>
  <c r="M222" i="17" a="1"/>
  <c r="M222" i="17" s="1"/>
  <c r="L342" i="17" a="1"/>
  <c r="L342" i="17" s="1"/>
  <c r="N227" i="17" a="1"/>
  <c r="N227" i="17" s="1"/>
  <c r="L470" i="17" a="1"/>
  <c r="L470" i="17" s="1"/>
  <c r="M169" i="17" a="1"/>
  <c r="M169" i="17" s="1"/>
  <c r="N102" i="17" a="1"/>
  <c r="N102" i="17" s="1"/>
  <c r="N1021" i="17" a="1"/>
  <c r="N1021" i="17" s="1"/>
  <c r="L18" i="17" a="1"/>
  <c r="L18" i="17" s="1"/>
  <c r="M986" i="17" a="1"/>
  <c r="M986" i="17" s="1"/>
  <c r="N311" i="17" a="1"/>
  <c r="N311" i="17" s="1"/>
  <c r="L625" i="17" a="1"/>
  <c r="L625" i="17" s="1"/>
  <c r="K625" i="17" s="1"/>
  <c r="L632" i="17" a="1"/>
  <c r="L632" i="17" s="1"/>
  <c r="L976" i="17" a="1"/>
  <c r="L976" i="17" s="1"/>
  <c r="M318" i="17" a="1"/>
  <c r="M318" i="17" s="1"/>
  <c r="M937" i="17" a="1"/>
  <c r="M937" i="17" s="1"/>
  <c r="L421" i="17" a="1"/>
  <c r="L421" i="17" s="1"/>
  <c r="M900" i="17" a="1"/>
  <c r="M900" i="17" s="1"/>
  <c r="N98" i="17" a="1"/>
  <c r="N98" i="17" s="1"/>
  <c r="M803" i="17" a="1"/>
  <c r="M803" i="17" s="1"/>
  <c r="L170" i="17" a="1"/>
  <c r="L170" i="17" s="1"/>
  <c r="M422" i="17" a="1"/>
  <c r="M422" i="17" s="1"/>
  <c r="L194" i="17" a="1"/>
  <c r="L194" i="17" s="1"/>
  <c r="N42" i="17" a="1"/>
  <c r="N42" i="17" s="1"/>
  <c r="M859" i="17" a="1"/>
  <c r="M859" i="17" s="1"/>
  <c r="N425" i="17" a="1"/>
  <c r="N425" i="17" s="1"/>
  <c r="L855" i="17" a="1"/>
  <c r="L855" i="17" s="1"/>
  <c r="K855" i="17" s="1"/>
  <c r="L428" i="17" a="1"/>
  <c r="L428" i="17" s="1"/>
  <c r="N530" i="17" a="1"/>
  <c r="N530" i="17" s="1"/>
  <c r="M384" i="17" a="1"/>
  <c r="M384" i="17" s="1"/>
  <c r="M427" i="17" a="1"/>
  <c r="M427" i="17" s="1"/>
  <c r="M173" i="17" a="1"/>
  <c r="M173" i="17" s="1"/>
  <c r="M632" i="17" a="1"/>
  <c r="M632" i="17" s="1"/>
  <c r="M666" i="17" a="1"/>
  <c r="M666" i="17" s="1"/>
  <c r="L667" i="17" a="1"/>
  <c r="L667" i="17" s="1"/>
  <c r="L34" i="17" a="1"/>
  <c r="L34" i="17" s="1"/>
  <c r="L410" i="17" a="1"/>
  <c r="L410" i="17" s="1"/>
  <c r="N443" i="17" a="1"/>
  <c r="N443" i="17" s="1"/>
  <c r="L258" i="17" a="1"/>
  <c r="L258" i="17" s="1"/>
  <c r="L166" i="17" a="1"/>
  <c r="L166" i="17" s="1"/>
  <c r="M507" i="17" a="1"/>
  <c r="M507" i="17" s="1"/>
  <c r="L417" i="17" a="1"/>
  <c r="L417" i="17" s="1"/>
  <c r="M335" i="17" a="1"/>
  <c r="M335" i="17" s="1"/>
  <c r="N687" i="17" a="1"/>
  <c r="N687" i="17" s="1"/>
  <c r="N310" i="17" a="1"/>
  <c r="N310" i="17" s="1"/>
  <c r="N330" i="17" a="1"/>
  <c r="N330" i="17" s="1"/>
  <c r="N463" i="17" a="1"/>
  <c r="N463" i="17" s="1"/>
  <c r="L65" i="17" a="1"/>
  <c r="L65" i="17" s="1"/>
  <c r="N544" i="17" a="1"/>
  <c r="N544" i="17" s="1"/>
  <c r="N606" i="17" a="1"/>
  <c r="N606" i="17" s="1"/>
  <c r="L495" i="17" a="1"/>
  <c r="L495" i="17" s="1"/>
  <c r="M383" i="17" a="1"/>
  <c r="M383" i="17" s="1"/>
  <c r="L93" i="17" a="1"/>
  <c r="L93" i="17" s="1"/>
  <c r="N72" i="17" a="1"/>
  <c r="N72" i="17" s="1"/>
  <c r="N73" i="17" a="1"/>
  <c r="N73" i="17" s="1"/>
  <c r="N339" i="17" a="1"/>
  <c r="N339" i="17" s="1"/>
  <c r="N659" i="17" a="1"/>
  <c r="N659" i="17" s="1"/>
  <c r="M983" i="17" a="1"/>
  <c r="M983" i="17" s="1"/>
  <c r="N47" i="17" a="1"/>
  <c r="N47" i="17" s="1"/>
  <c r="L883" i="17" a="1"/>
  <c r="L883" i="17" s="1"/>
  <c r="L355" i="17" a="1"/>
  <c r="L355" i="17" s="1"/>
  <c r="N204" i="17" a="1"/>
  <c r="N204" i="17" s="1"/>
  <c r="M528" i="17" a="1"/>
  <c r="M528" i="17" s="1"/>
  <c r="N65" i="17" a="1"/>
  <c r="N65" i="17" s="1"/>
  <c r="M522" i="17" a="1"/>
  <c r="M522" i="17" s="1"/>
  <c r="M181" i="17" a="1"/>
  <c r="M181" i="17" s="1"/>
  <c r="N788" i="17" a="1"/>
  <c r="N788" i="17" s="1"/>
  <c r="M449" i="17" a="1"/>
  <c r="M449" i="17" s="1"/>
  <c r="M926" i="17" a="1"/>
  <c r="M926" i="17" s="1"/>
  <c r="M340" i="17" a="1"/>
  <c r="M340" i="17" s="1"/>
  <c r="L898" i="17" a="1"/>
  <c r="L898" i="17" s="1"/>
  <c r="L610" i="17" a="1"/>
  <c r="L610" i="17" s="1"/>
  <c r="L59" i="17" a="1"/>
  <c r="L59" i="17" s="1"/>
  <c r="N549" i="17" a="1"/>
  <c r="N549" i="17" s="1"/>
  <c r="L493" i="17" a="1"/>
  <c r="L493" i="17" s="1"/>
  <c r="M563" i="17" a="1"/>
  <c r="M563" i="17" s="1"/>
  <c r="L603" i="17" a="1"/>
  <c r="L603" i="17" s="1"/>
  <c r="N410" i="17" a="1"/>
  <c r="N410" i="17" s="1"/>
  <c r="N740" i="17" a="1"/>
  <c r="N740" i="17" s="1"/>
  <c r="M608" i="17" a="1"/>
  <c r="M608" i="17" s="1"/>
  <c r="L506" i="17" a="1"/>
  <c r="L506" i="17" s="1"/>
  <c r="M446" i="17" a="1"/>
  <c r="M446" i="17" s="1"/>
  <c r="M633" i="17" a="1"/>
  <c r="M633" i="17" s="1"/>
  <c r="M424" i="17" a="1"/>
  <c r="M424" i="17" s="1"/>
  <c r="L925" i="17" a="1"/>
  <c r="L925" i="17" s="1"/>
  <c r="M669" i="17" a="1"/>
  <c r="M669" i="17" s="1"/>
  <c r="M200" i="17" a="1"/>
  <c r="M200" i="17" s="1"/>
  <c r="L77" i="17" a="1"/>
  <c r="L77" i="17" s="1"/>
  <c r="M387" i="17" a="1"/>
  <c r="M387" i="17" s="1"/>
  <c r="M311" i="17" a="1"/>
  <c r="M311" i="17" s="1"/>
  <c r="L158" i="17" a="1"/>
  <c r="L158" i="17" s="1"/>
  <c r="K158" i="17" s="1"/>
  <c r="M87" i="17" a="1"/>
  <c r="M87" i="17" s="1"/>
  <c r="N482" i="17" a="1"/>
  <c r="N482" i="17" s="1"/>
  <c r="M40" i="17" a="1"/>
  <c r="M40" i="17" s="1"/>
  <c r="N76" i="17" a="1"/>
  <c r="N76" i="17" s="1"/>
  <c r="N685" i="17" a="1"/>
  <c r="N685" i="17" s="1"/>
  <c r="L174" i="17" a="1"/>
  <c r="L174" i="17" s="1"/>
  <c r="M934" i="17" a="1"/>
  <c r="M934" i="17" s="1"/>
  <c r="K934" i="17" s="1"/>
  <c r="L235" i="17" a="1"/>
  <c r="L235" i="17" s="1"/>
  <c r="M202" i="17" a="1"/>
  <c r="M202" i="17" s="1"/>
  <c r="M233" i="17" a="1"/>
  <c r="M233" i="17" s="1"/>
  <c r="N661" i="17" a="1"/>
  <c r="N661" i="17" s="1"/>
  <c r="N355" i="17" a="1"/>
  <c r="N355" i="17" s="1"/>
  <c r="L171" i="17" a="1"/>
  <c r="L171" i="17" s="1"/>
  <c r="N654" i="17" a="1"/>
  <c r="N654" i="17" s="1"/>
  <c r="L388" i="17" a="1"/>
  <c r="L388" i="17" s="1"/>
  <c r="M887" i="17" a="1"/>
  <c r="M887" i="17" s="1"/>
  <c r="M179" i="17" a="1"/>
  <c r="M179" i="17" s="1"/>
  <c r="L47" i="17" a="1"/>
  <c r="L47" i="17" s="1"/>
  <c r="O20" i="13"/>
  <c r="K20" i="13"/>
  <c r="G306" i="17"/>
  <c r="I306" i="17" s="1"/>
  <c r="G90" i="17"/>
  <c r="I90" i="17" s="1"/>
  <c r="G711" i="17"/>
  <c r="I711" i="17" s="1"/>
  <c r="G819" i="17"/>
  <c r="I819" i="17" s="1"/>
  <c r="G36" i="17"/>
  <c r="I36" i="17" s="1"/>
  <c r="G333" i="17"/>
  <c r="I333" i="17" s="1"/>
  <c r="G657" i="17"/>
  <c r="I657" i="17" s="1"/>
  <c r="G414" i="17"/>
  <c r="I414" i="17" s="1"/>
  <c r="G738" i="17"/>
  <c r="I738" i="17" s="1"/>
  <c r="G279" i="17"/>
  <c r="I279" i="17" s="1"/>
  <c r="G495" i="17"/>
  <c r="I495" i="17" s="1"/>
  <c r="G792" i="17"/>
  <c r="I792" i="17" s="1"/>
  <c r="G927" i="17"/>
  <c r="I927" i="17" s="1"/>
  <c r="G117" i="17"/>
  <c r="I117" i="17" s="1"/>
  <c r="G981" i="17"/>
  <c r="I981" i="17" s="1"/>
  <c r="G441" i="17"/>
  <c r="I441" i="17" s="1"/>
  <c r="G1008" i="17"/>
  <c r="I1008" i="17" s="1"/>
  <c r="G684" i="17"/>
  <c r="I684" i="17" s="1"/>
  <c r="G252" i="17"/>
  <c r="I252" i="17" s="1"/>
  <c r="G765" i="17"/>
  <c r="I765" i="17" s="1"/>
  <c r="G198" i="17"/>
  <c r="I198" i="17" s="1"/>
  <c r="G846" i="17"/>
  <c r="I846" i="17" s="1"/>
  <c r="G873" i="17"/>
  <c r="I873" i="17" s="1"/>
  <c r="G387" i="17"/>
  <c r="I387" i="17" s="1"/>
  <c r="G576" i="17"/>
  <c r="I576" i="17" s="1"/>
  <c r="G954" i="17"/>
  <c r="I954" i="17" s="1"/>
  <c r="G603" i="17"/>
  <c r="I603" i="17" s="1"/>
  <c r="G522" i="17"/>
  <c r="I522" i="17" s="1"/>
  <c r="G360" i="17"/>
  <c r="I360" i="17" s="1"/>
  <c r="G63" i="17"/>
  <c r="I63" i="17" s="1"/>
  <c r="G225" i="17"/>
  <c r="I225" i="17" s="1"/>
  <c r="G171" i="17"/>
  <c r="I171" i="17" s="1"/>
  <c r="G468" i="17"/>
  <c r="I468" i="17" s="1"/>
  <c r="G630" i="17"/>
  <c r="I630" i="17" s="1"/>
  <c r="G900" i="17"/>
  <c r="I900" i="17" s="1"/>
  <c r="G549" i="17"/>
  <c r="I549" i="17" s="1"/>
  <c r="G144" i="17"/>
  <c r="I144" i="17" s="1"/>
  <c r="O36" i="13"/>
  <c r="K36" i="13"/>
  <c r="O52" i="13"/>
  <c r="K52" i="13"/>
  <c r="O68" i="13"/>
  <c r="K68" i="13"/>
  <c r="O84" i="13"/>
  <c r="K84" i="13"/>
  <c r="P14" i="13"/>
  <c r="H151" i="17"/>
  <c r="H70" i="17"/>
  <c r="H97" i="17"/>
  <c r="H43" i="17"/>
  <c r="H232" i="17"/>
  <c r="H124" i="17"/>
  <c r="H772" i="17"/>
  <c r="H340" i="17"/>
  <c r="H529" i="17"/>
  <c r="H502" i="17"/>
  <c r="H745" i="17"/>
  <c r="H421" i="17"/>
  <c r="H826" i="17"/>
  <c r="H799" i="17"/>
  <c r="H610" i="17"/>
  <c r="H367" i="17"/>
  <c r="H691" i="17"/>
  <c r="H394" i="17"/>
  <c r="H664" i="17"/>
  <c r="H934" i="17"/>
  <c r="H259" i="17"/>
  <c r="H583" i="17"/>
  <c r="H718" i="17"/>
  <c r="H286" i="17"/>
  <c r="H313" i="17"/>
  <c r="H880" i="17"/>
  <c r="H475" i="17"/>
  <c r="H637" i="17"/>
  <c r="H178" i="17"/>
  <c r="H961" i="17"/>
  <c r="H556" i="17"/>
  <c r="H988" i="17"/>
  <c r="H907" i="17"/>
  <c r="H205" i="17"/>
  <c r="H448" i="17"/>
  <c r="H853" i="17"/>
  <c r="H1015" i="17"/>
  <c r="O294" i="13"/>
  <c r="K294" i="13"/>
  <c r="O19" i="13"/>
  <c r="K19" i="13"/>
  <c r="G588" i="17"/>
  <c r="G750" i="17"/>
  <c r="G129" i="17"/>
  <c r="G561" i="17"/>
  <c r="G939" i="17"/>
  <c r="G183" i="17"/>
  <c r="G156" i="17"/>
  <c r="G804" i="17"/>
  <c r="G453" i="17"/>
  <c r="G993" i="17"/>
  <c r="G777" i="17"/>
  <c r="G399" i="17"/>
  <c r="G210" i="17"/>
  <c r="G237" i="17"/>
  <c r="G534" i="17"/>
  <c r="G507" i="17"/>
  <c r="G669" i="17"/>
  <c r="G642" i="17"/>
  <c r="G345" i="17"/>
  <c r="G318" i="17"/>
  <c r="G966" i="17"/>
  <c r="G858" i="17"/>
  <c r="G75" i="17"/>
  <c r="G723" i="17"/>
  <c r="G102" i="17"/>
  <c r="G885" i="17"/>
  <c r="G696" i="17"/>
  <c r="G912" i="17"/>
  <c r="G426" i="17"/>
  <c r="G615" i="17"/>
  <c r="G1020" i="17"/>
  <c r="G264" i="17"/>
  <c r="G372" i="17"/>
  <c r="G480" i="17"/>
  <c r="G831" i="17"/>
  <c r="G291" i="17"/>
  <c r="G48" i="17"/>
  <c r="O35" i="13"/>
  <c r="K35" i="13"/>
  <c r="O51" i="13"/>
  <c r="K51" i="13"/>
  <c r="O67" i="13"/>
  <c r="K67" i="13"/>
  <c r="O83" i="13"/>
  <c r="K83" i="13"/>
  <c r="O99" i="13"/>
  <c r="K99" i="13"/>
  <c r="P15" i="13"/>
  <c r="H126" i="17"/>
  <c r="H504" i="17"/>
  <c r="H936" i="17"/>
  <c r="H1017" i="17"/>
  <c r="H990" i="17"/>
  <c r="H315" i="17"/>
  <c r="H909" i="17"/>
  <c r="H612" i="17"/>
  <c r="H801" i="17"/>
  <c r="H693" i="17"/>
  <c r="H639" i="17"/>
  <c r="H855" i="17"/>
  <c r="H585" i="17"/>
  <c r="H396" i="17"/>
  <c r="H261" i="17"/>
  <c r="H45" i="17"/>
  <c r="H747" i="17"/>
  <c r="H774" i="17"/>
  <c r="H666" i="17"/>
  <c r="H720" i="17"/>
  <c r="H828" i="17"/>
  <c r="H72" i="17"/>
  <c r="H531" i="17"/>
  <c r="H234" i="17"/>
  <c r="H369" i="17"/>
  <c r="H99" i="17"/>
  <c r="H207" i="17"/>
  <c r="H423" i="17"/>
  <c r="H963" i="17"/>
  <c r="H558" i="17"/>
  <c r="H882" i="17"/>
  <c r="H342" i="17"/>
  <c r="H288" i="17"/>
  <c r="H153" i="17"/>
  <c r="H180" i="17"/>
  <c r="H450" i="17"/>
  <c r="H477" i="17"/>
  <c r="O105" i="13"/>
  <c r="K105" i="13"/>
  <c r="O121" i="13"/>
  <c r="K121" i="13"/>
  <c r="O137" i="13"/>
  <c r="K137" i="13"/>
  <c r="O153" i="13"/>
  <c r="K153" i="13"/>
  <c r="O169" i="13"/>
  <c r="K169" i="13"/>
  <c r="O185" i="13"/>
  <c r="K185" i="13"/>
  <c r="O201" i="13"/>
  <c r="K201" i="13"/>
  <c r="O217" i="13"/>
  <c r="K217" i="13"/>
  <c r="O289" i="13"/>
  <c r="K289" i="13"/>
  <c r="O348" i="13"/>
  <c r="K348" i="13"/>
  <c r="O342" i="13"/>
  <c r="K342" i="13"/>
  <c r="K305" i="13"/>
  <c r="O305" i="13"/>
  <c r="O235" i="13"/>
  <c r="K235" i="13"/>
  <c r="O276" i="13"/>
  <c r="K276" i="13"/>
  <c r="K332" i="13"/>
  <c r="O332" i="13"/>
  <c r="O106" i="13"/>
  <c r="K106" i="13"/>
  <c r="O122" i="13"/>
  <c r="K122" i="13"/>
  <c r="O138" i="13"/>
  <c r="K138" i="13"/>
  <c r="O154" i="13"/>
  <c r="K154" i="13"/>
  <c r="O170" i="13"/>
  <c r="K170" i="13"/>
  <c r="O186" i="13"/>
  <c r="K186" i="13"/>
  <c r="O202" i="13"/>
  <c r="K202" i="13"/>
  <c r="O218" i="13"/>
  <c r="K218" i="13"/>
  <c r="O249" i="13"/>
  <c r="K249" i="13"/>
  <c r="O290" i="13"/>
  <c r="K290" i="13"/>
  <c r="O372" i="13"/>
  <c r="K372" i="13"/>
  <c r="O298" i="13"/>
  <c r="K298" i="13"/>
  <c r="O382" i="13"/>
  <c r="K382" i="13"/>
  <c r="O317" i="13"/>
  <c r="K317" i="13"/>
  <c r="O275" i="13"/>
  <c r="K275" i="13"/>
  <c r="O328" i="13"/>
  <c r="K328" i="13"/>
  <c r="K351" i="13"/>
  <c r="O351" i="13"/>
  <c r="O367" i="13"/>
  <c r="K367" i="13"/>
  <c r="O383" i="13"/>
  <c r="K383" i="13"/>
  <c r="L6" i="3" a="1"/>
  <c r="L6" i="3" s="1"/>
  <c r="G7" i="3"/>
  <c r="I7" i="3" s="1"/>
  <c r="O6" i="13"/>
  <c r="K6" i="13"/>
  <c r="G956" i="17"/>
  <c r="I956" i="17" s="1"/>
  <c r="G308" i="17"/>
  <c r="I308" i="17" s="1"/>
  <c r="G983" i="17"/>
  <c r="I983" i="17" s="1"/>
  <c r="G740" i="17"/>
  <c r="I740" i="17" s="1"/>
  <c r="G200" i="17"/>
  <c r="I200" i="17" s="1"/>
  <c r="G497" i="17"/>
  <c r="I497" i="17" s="1"/>
  <c r="G119" i="17"/>
  <c r="I119" i="17" s="1"/>
  <c r="G524" i="17"/>
  <c r="I524" i="17" s="1"/>
  <c r="G389" i="17"/>
  <c r="I389" i="17" s="1"/>
  <c r="G173" i="17"/>
  <c r="I173" i="17" s="1"/>
  <c r="G1010" i="17"/>
  <c r="I1010" i="17" s="1"/>
  <c r="G362" i="17"/>
  <c r="G767" i="17"/>
  <c r="I767" i="17" s="1"/>
  <c r="G416" i="17"/>
  <c r="G875" i="17"/>
  <c r="I875" i="17" s="1"/>
  <c r="G686" i="17"/>
  <c r="I686" i="17" s="1"/>
  <c r="G632" i="17"/>
  <c r="I632" i="17" s="1"/>
  <c r="G11" i="17"/>
  <c r="I11" i="17" s="1"/>
  <c r="G335" i="17"/>
  <c r="I335" i="17" s="1"/>
  <c r="G929" i="17"/>
  <c r="I929" i="17" s="1"/>
  <c r="G713" i="17"/>
  <c r="I713" i="17" s="1"/>
  <c r="G65" i="17"/>
  <c r="I65" i="17" s="1"/>
  <c r="G551" i="17"/>
  <c r="I551" i="17" s="1"/>
  <c r="H18" i="17"/>
  <c r="G92" i="17"/>
  <c r="I92" i="17" s="1"/>
  <c r="G470" i="17"/>
  <c r="I470" i="17" s="1"/>
  <c r="G659" i="17"/>
  <c r="I659" i="17" s="1"/>
  <c r="G902" i="17"/>
  <c r="G38" i="17"/>
  <c r="I38" i="17" s="1"/>
  <c r="G281" i="17"/>
  <c r="I281" i="17" s="1"/>
  <c r="G443" i="17"/>
  <c r="G605" i="17"/>
  <c r="I605" i="17" s="1"/>
  <c r="G848" i="17"/>
  <c r="I848" i="17" s="1"/>
  <c r="G794" i="17"/>
  <c r="I794" i="17" s="1"/>
  <c r="G821" i="17"/>
  <c r="I821" i="17" s="1"/>
  <c r="G227" i="17"/>
  <c r="I227" i="17" s="1"/>
  <c r="G254" i="17"/>
  <c r="I254" i="17" s="1"/>
  <c r="G578" i="17"/>
  <c r="I578" i="17" s="1"/>
  <c r="G146" i="17"/>
  <c r="I146" i="17" s="1"/>
  <c r="O22" i="13"/>
  <c r="K22" i="13"/>
  <c r="O38" i="13"/>
  <c r="K38" i="13"/>
  <c r="O54" i="13"/>
  <c r="K54" i="13"/>
  <c r="O70" i="13"/>
  <c r="K70" i="13"/>
  <c r="O86" i="13"/>
  <c r="K86" i="13"/>
  <c r="O271" i="13"/>
  <c r="K271" i="13"/>
  <c r="P16" i="13"/>
  <c r="H236" i="17"/>
  <c r="H74" i="17"/>
  <c r="H155" i="17"/>
  <c r="H803" i="17"/>
  <c r="H128" i="17"/>
  <c r="H479" i="17"/>
  <c r="H506" i="17"/>
  <c r="H992" i="17"/>
  <c r="H1019" i="17"/>
  <c r="H560" i="17"/>
  <c r="H344" i="17"/>
  <c r="H776" i="17"/>
  <c r="H263" i="17"/>
  <c r="H209" i="17"/>
  <c r="H830" i="17"/>
  <c r="H911" i="17"/>
  <c r="H884" i="17"/>
  <c r="H182" i="17"/>
  <c r="H641" i="17"/>
  <c r="H371" i="17"/>
  <c r="H452" i="17"/>
  <c r="H695" i="17"/>
  <c r="H614" i="17"/>
  <c r="H425" i="17"/>
  <c r="H101" i="17"/>
  <c r="H938" i="17"/>
  <c r="H965" i="17"/>
  <c r="H749" i="17"/>
  <c r="H398" i="17"/>
  <c r="H317" i="17"/>
  <c r="H587" i="17"/>
  <c r="H47" i="17"/>
  <c r="H668" i="17"/>
  <c r="H722" i="17"/>
  <c r="H290" i="17"/>
  <c r="H533" i="17"/>
  <c r="H857" i="17"/>
  <c r="O5" i="13"/>
  <c r="K5" i="13"/>
  <c r="G818" i="17"/>
  <c r="I818" i="17" s="1"/>
  <c r="G953" i="17"/>
  <c r="G710" i="17"/>
  <c r="I710" i="17" s="1"/>
  <c r="G899" i="17"/>
  <c r="I899" i="17" s="1"/>
  <c r="G764" i="17"/>
  <c r="I764" i="17" s="1"/>
  <c r="G1007" i="17"/>
  <c r="I1007" i="17" s="1"/>
  <c r="G278" i="17"/>
  <c r="I278" i="17" s="1"/>
  <c r="G359" i="17"/>
  <c r="G602" i="17"/>
  <c r="I602" i="17" s="1"/>
  <c r="G845" i="17"/>
  <c r="I845" i="17" s="1"/>
  <c r="G170" i="17"/>
  <c r="I170" i="17" s="1"/>
  <c r="G197" i="17"/>
  <c r="G305" i="17"/>
  <c r="I305" i="17" s="1"/>
  <c r="G440" i="17"/>
  <c r="I440" i="17" s="1"/>
  <c r="G737" i="17"/>
  <c r="I737" i="17" s="1"/>
  <c r="G575" i="17"/>
  <c r="I575" i="17" s="1"/>
  <c r="G386" i="17"/>
  <c r="I386" i="17" s="1"/>
  <c r="G116" i="17"/>
  <c r="I116" i="17" s="1"/>
  <c r="G926" i="17"/>
  <c r="I926" i="17" s="1"/>
  <c r="G413" i="17"/>
  <c r="G8" i="17"/>
  <c r="G521" i="17"/>
  <c r="G629" i="17"/>
  <c r="I629" i="17" s="1"/>
  <c r="G872" i="17"/>
  <c r="I872" i="17" s="1"/>
  <c r="H19" i="17"/>
  <c r="G683" i="17"/>
  <c r="I683" i="17" s="1"/>
  <c r="G494" i="17"/>
  <c r="I494" i="17" s="1"/>
  <c r="G35" i="17"/>
  <c r="I35" i="17" s="1"/>
  <c r="G332" i="17"/>
  <c r="I332" i="17" s="1"/>
  <c r="G656" i="17"/>
  <c r="I656" i="17" s="1"/>
  <c r="G548" i="17"/>
  <c r="I548" i="17" s="1"/>
  <c r="G62" i="17"/>
  <c r="I62" i="17" s="1"/>
  <c r="G224" i="17"/>
  <c r="I224" i="17" s="1"/>
  <c r="G467" i="17"/>
  <c r="G89" i="17"/>
  <c r="I89" i="17" s="1"/>
  <c r="G143" i="17"/>
  <c r="G791" i="17"/>
  <c r="I791" i="17" s="1"/>
  <c r="G251" i="17"/>
  <c r="I251" i="17" s="1"/>
  <c r="G980" i="17"/>
  <c r="O21" i="13"/>
  <c r="K21" i="13"/>
  <c r="G761" i="17"/>
  <c r="I761" i="17" s="1"/>
  <c r="G383" i="17"/>
  <c r="I383" i="17" s="1"/>
  <c r="G950" i="17"/>
  <c r="I950" i="17" s="1"/>
  <c r="G491" i="17"/>
  <c r="I491" i="17" s="1"/>
  <c r="G356" i="17"/>
  <c r="I356" i="17" s="1"/>
  <c r="G869" i="17"/>
  <c r="I869" i="17" s="1"/>
  <c r="G545" i="17"/>
  <c r="I545" i="17" s="1"/>
  <c r="G86" i="17"/>
  <c r="I86" i="17" s="1"/>
  <c r="G221" i="17"/>
  <c r="I221" i="17" s="1"/>
  <c r="G167" i="17"/>
  <c r="I167" i="17" s="1"/>
  <c r="G842" i="17"/>
  <c r="I842" i="17" s="1"/>
  <c r="G923" i="17"/>
  <c r="I923" i="17" s="1"/>
  <c r="G1004" i="17"/>
  <c r="I1004" i="17" s="1"/>
  <c r="G518" i="17"/>
  <c r="I518" i="17" s="1"/>
  <c r="G815" i="17"/>
  <c r="I815" i="17" s="1"/>
  <c r="G140" i="17"/>
  <c r="I140" i="17" s="1"/>
  <c r="G302" i="17"/>
  <c r="I302" i="17" s="1"/>
  <c r="G680" i="17"/>
  <c r="I680" i="17" s="1"/>
  <c r="G248" i="17"/>
  <c r="I248" i="17" s="1"/>
  <c r="G707" i="17"/>
  <c r="I707" i="17" s="1"/>
  <c r="G32" i="17"/>
  <c r="I32" i="17" s="1"/>
  <c r="G788" i="17"/>
  <c r="I788" i="17" s="1"/>
  <c r="G896" i="17"/>
  <c r="I896" i="17" s="1"/>
  <c r="G734" i="17"/>
  <c r="I734" i="17" s="1"/>
  <c r="G275" i="17"/>
  <c r="I275" i="17" s="1"/>
  <c r="G113" i="17"/>
  <c r="I113" i="17" s="1"/>
  <c r="G626" i="17"/>
  <c r="I626" i="17" s="1"/>
  <c r="G464" i="17"/>
  <c r="I464" i="17" s="1"/>
  <c r="G437" i="17"/>
  <c r="I437" i="17" s="1"/>
  <c r="G599" i="17"/>
  <c r="I599" i="17" s="1"/>
  <c r="G59" i="17"/>
  <c r="G194" i="17"/>
  <c r="I194" i="17" s="1"/>
  <c r="G410" i="17"/>
  <c r="I410" i="17" s="1"/>
  <c r="G329" i="17"/>
  <c r="I329" i="17" s="1"/>
  <c r="G653" i="17"/>
  <c r="I653" i="17" s="1"/>
  <c r="G572" i="17"/>
  <c r="I572" i="17" s="1"/>
  <c r="G977" i="17"/>
  <c r="I977" i="17" s="1"/>
  <c r="O37" i="13"/>
  <c r="K37" i="13"/>
  <c r="O53" i="13"/>
  <c r="K53" i="13"/>
  <c r="O69" i="13"/>
  <c r="K69" i="13"/>
  <c r="O85" i="13"/>
  <c r="K85" i="13"/>
  <c r="O231" i="13"/>
  <c r="K231" i="13"/>
  <c r="P17" i="13"/>
  <c r="H46" i="17"/>
  <c r="H73" i="17"/>
  <c r="H748" i="17"/>
  <c r="H154" i="17"/>
  <c r="H559" i="17"/>
  <c r="H613" i="17"/>
  <c r="H316" i="17"/>
  <c r="H478" i="17"/>
  <c r="H235" i="17"/>
  <c r="H910" i="17"/>
  <c r="H883" i="17"/>
  <c r="H991" i="17"/>
  <c r="H802" i="17"/>
  <c r="H964" i="17"/>
  <c r="H586" i="17"/>
  <c r="H694" i="17"/>
  <c r="H424" i="17"/>
  <c r="H775" i="17"/>
  <c r="H451" i="17"/>
  <c r="H181" i="17"/>
  <c r="H937" i="17"/>
  <c r="H397" i="17"/>
  <c r="H127" i="17"/>
  <c r="H856" i="17"/>
  <c r="H208" i="17"/>
  <c r="H721" i="17"/>
  <c r="H667" i="17"/>
  <c r="H343" i="17"/>
  <c r="H262" i="17"/>
  <c r="H532" i="17"/>
  <c r="H370" i="17"/>
  <c r="H829" i="17"/>
  <c r="H289" i="17"/>
  <c r="H100" i="17"/>
  <c r="H640" i="17"/>
  <c r="H505" i="17"/>
  <c r="H1018" i="17"/>
  <c r="O107" i="13"/>
  <c r="K107" i="13"/>
  <c r="O123" i="13"/>
  <c r="K123" i="13"/>
  <c r="K139" i="13"/>
  <c r="O139" i="13"/>
  <c r="O155" i="13"/>
  <c r="K155" i="13"/>
  <c r="O171" i="13"/>
  <c r="K171" i="13"/>
  <c r="O187" i="13"/>
  <c r="K187" i="13"/>
  <c r="O203" i="13"/>
  <c r="K203" i="13"/>
  <c r="O219" i="13"/>
  <c r="K219" i="13"/>
  <c r="O250" i="13"/>
  <c r="K250" i="13"/>
  <c r="O364" i="13"/>
  <c r="K364" i="13"/>
  <c r="K358" i="13"/>
  <c r="O358" i="13"/>
  <c r="O262" i="13"/>
  <c r="K262" i="13"/>
  <c r="O313" i="13"/>
  <c r="K313" i="13"/>
  <c r="O283" i="13"/>
  <c r="K283" i="13"/>
  <c r="O340" i="13"/>
  <c r="K340" i="13"/>
  <c r="O108" i="13"/>
  <c r="K108" i="13"/>
  <c r="O124" i="13"/>
  <c r="K124" i="13"/>
  <c r="O140" i="13"/>
  <c r="K140" i="13"/>
  <c r="K156" i="13"/>
  <c r="O156" i="13"/>
  <c r="O172" i="13"/>
  <c r="K172" i="13"/>
  <c r="O188" i="13"/>
  <c r="K188" i="13"/>
  <c r="O204" i="13"/>
  <c r="K204" i="13"/>
  <c r="O220" i="13"/>
  <c r="K220" i="13"/>
  <c r="O295" i="13"/>
  <c r="K295" i="13"/>
  <c r="O256" i="13"/>
  <c r="K256" i="13"/>
  <c r="O306" i="13"/>
  <c r="K306" i="13"/>
  <c r="O229" i="13"/>
  <c r="K229" i="13"/>
  <c r="O270" i="13"/>
  <c r="K270" i="13"/>
  <c r="K325" i="13"/>
  <c r="O325" i="13"/>
  <c r="O236" i="13"/>
  <c r="K236" i="13"/>
  <c r="O336" i="13"/>
  <c r="K336" i="13"/>
  <c r="O353" i="13"/>
  <c r="K353" i="13"/>
  <c r="O369" i="13"/>
  <c r="K369" i="13"/>
  <c r="K5" i="3"/>
  <c r="K4" i="3"/>
  <c r="K12" i="3"/>
  <c r="I8" i="3"/>
  <c r="O8" i="13"/>
  <c r="K8" i="13"/>
  <c r="G843" i="17"/>
  <c r="I843" i="17" s="1"/>
  <c r="G816" i="17"/>
  <c r="I816" i="17" s="1"/>
  <c r="G681" i="17"/>
  <c r="G249" i="17"/>
  <c r="I249" i="17" s="1"/>
  <c r="G870" i="17"/>
  <c r="I870" i="17" s="1"/>
  <c r="G195" i="17"/>
  <c r="I195" i="17" s="1"/>
  <c r="G492" i="17"/>
  <c r="I492" i="17" s="1"/>
  <c r="G222" i="17"/>
  <c r="I222" i="17" s="1"/>
  <c r="G924" i="17"/>
  <c r="I924" i="17" s="1"/>
  <c r="G168" i="17"/>
  <c r="I168" i="17" s="1"/>
  <c r="G87" i="17"/>
  <c r="I87" i="17" s="1"/>
  <c r="G627" i="17"/>
  <c r="I627" i="17" s="1"/>
  <c r="G735" i="17"/>
  <c r="I735" i="17" s="1"/>
  <c r="G33" i="17"/>
  <c r="I33" i="17" s="1"/>
  <c r="G330" i="17"/>
  <c r="I330" i="17" s="1"/>
  <c r="G654" i="17"/>
  <c r="G708" i="17"/>
  <c r="I708" i="17" s="1"/>
  <c r="G303" i="17"/>
  <c r="I303" i="17" s="1"/>
  <c r="G897" i="17"/>
  <c r="I897" i="17" s="1"/>
  <c r="H20" i="17"/>
  <c r="G384" i="17"/>
  <c r="I384" i="17" s="1"/>
  <c r="G519" i="17"/>
  <c r="I519" i="17" s="1"/>
  <c r="G114" i="17"/>
  <c r="I114" i="17" s="1"/>
  <c r="G762" i="17"/>
  <c r="I762" i="17" s="1"/>
  <c r="G951" i="17"/>
  <c r="I951" i="17" s="1"/>
  <c r="G276" i="17"/>
  <c r="I276" i="17" s="1"/>
  <c r="G573" i="17"/>
  <c r="I573" i="17" s="1"/>
  <c r="G789" i="17"/>
  <c r="I789" i="17" s="1"/>
  <c r="G546" i="17"/>
  <c r="I546" i="17" s="1"/>
  <c r="G600" i="17"/>
  <c r="I600" i="17" s="1"/>
  <c r="G411" i="17"/>
  <c r="I411" i="17" s="1"/>
  <c r="G465" i="17"/>
  <c r="I465" i="17" s="1"/>
  <c r="G978" i="17"/>
  <c r="I978" i="17" s="1"/>
  <c r="G1005" i="17"/>
  <c r="I1005" i="17" s="1"/>
  <c r="G357" i="17"/>
  <c r="I357" i="17" s="1"/>
  <c r="G6" i="17"/>
  <c r="I6" i="17" s="1"/>
  <c r="G141" i="17"/>
  <c r="I141" i="17" s="1"/>
  <c r="G438" i="17"/>
  <c r="I438" i="17" s="1"/>
  <c r="G60" i="17"/>
  <c r="I60" i="17" s="1"/>
  <c r="O24" i="13"/>
  <c r="K24" i="13"/>
  <c r="O40" i="13"/>
  <c r="K40" i="13"/>
  <c r="O56" i="13"/>
  <c r="K56" i="13"/>
  <c r="O72" i="13"/>
  <c r="K72" i="13"/>
  <c r="O88" i="13"/>
  <c r="K88" i="13"/>
  <c r="P18" i="13"/>
  <c r="H93" i="17"/>
  <c r="H876" i="17"/>
  <c r="H741" i="17"/>
  <c r="H768" i="17"/>
  <c r="H579" i="17"/>
  <c r="H174" i="17"/>
  <c r="H228" i="17"/>
  <c r="H525" i="17"/>
  <c r="H255" i="17"/>
  <c r="H930" i="17"/>
  <c r="H147" i="17"/>
  <c r="H1011" i="17"/>
  <c r="H984" i="17"/>
  <c r="H309" i="17"/>
  <c r="H471" i="17"/>
  <c r="H660" i="17"/>
  <c r="H687" i="17"/>
  <c r="H903" i="17"/>
  <c r="H66" i="17"/>
  <c r="H633" i="17"/>
  <c r="H39" i="17"/>
  <c r="H606" i="17"/>
  <c r="H444" i="17"/>
  <c r="H363" i="17"/>
  <c r="H552" i="17"/>
  <c r="H795" i="17"/>
  <c r="H120" i="17"/>
  <c r="H957" i="17"/>
  <c r="H849" i="17"/>
  <c r="H417" i="17"/>
  <c r="H390" i="17"/>
  <c r="H822" i="17"/>
  <c r="H201" i="17"/>
  <c r="H282" i="17"/>
  <c r="H336" i="17"/>
  <c r="H714" i="17"/>
  <c r="H498" i="17"/>
  <c r="O7" i="13"/>
  <c r="K7" i="13"/>
  <c r="G746" i="17"/>
  <c r="I746" i="17" s="1"/>
  <c r="G206" i="17"/>
  <c r="I206" i="17" s="1"/>
  <c r="G854" i="17"/>
  <c r="I854" i="17" s="1"/>
  <c r="G314" i="17"/>
  <c r="I314" i="17" s="1"/>
  <c r="G881" i="17"/>
  <c r="I881" i="17" s="1"/>
  <c r="G125" i="17"/>
  <c r="I125" i="17" s="1"/>
  <c r="G449" i="17"/>
  <c r="I449" i="17" s="1"/>
  <c r="G341" i="17"/>
  <c r="I341" i="17" s="1"/>
  <c r="G557" i="17"/>
  <c r="I557" i="17" s="1"/>
  <c r="G719" i="17"/>
  <c r="I719" i="17" s="1"/>
  <c r="H12" i="17"/>
  <c r="G44" i="17"/>
  <c r="I44" i="17" s="1"/>
  <c r="G692" i="17"/>
  <c r="I692" i="17" s="1"/>
  <c r="G476" i="17"/>
  <c r="I476" i="17" s="1"/>
  <c r="G800" i="17"/>
  <c r="G71" i="17"/>
  <c r="I71" i="17" s="1"/>
  <c r="G611" i="17"/>
  <c r="I611" i="17" s="1"/>
  <c r="G368" i="17"/>
  <c r="I368" i="17" s="1"/>
  <c r="G98" i="17"/>
  <c r="I98" i="17" s="1"/>
  <c r="G395" i="17"/>
  <c r="I395" i="17" s="1"/>
  <c r="G503" i="17"/>
  <c r="I503" i="17" s="1"/>
  <c r="G422" i="17"/>
  <c r="I422" i="17" s="1"/>
  <c r="G152" i="17"/>
  <c r="I152" i="17" s="1"/>
  <c r="G17" i="17"/>
  <c r="I17" i="17" s="1"/>
  <c r="G773" i="17"/>
  <c r="I773" i="17" s="1"/>
  <c r="G179" i="17"/>
  <c r="I179" i="17" s="1"/>
  <c r="G1016" i="17"/>
  <c r="I1016" i="17" s="1"/>
  <c r="G989" i="17"/>
  <c r="I989" i="17" s="1"/>
  <c r="G638" i="17"/>
  <c r="I638" i="17" s="1"/>
  <c r="G827" i="17"/>
  <c r="I827" i="17" s="1"/>
  <c r="G665" i="17"/>
  <c r="I665" i="17" s="1"/>
  <c r="G233" i="17"/>
  <c r="I233" i="17" s="1"/>
  <c r="G962" i="17"/>
  <c r="I962" i="17" s="1"/>
  <c r="G260" i="17"/>
  <c r="I260" i="17" s="1"/>
  <c r="G935" i="17"/>
  <c r="I935" i="17" s="1"/>
  <c r="G908" i="17"/>
  <c r="I908" i="17" s="1"/>
  <c r="G287" i="17"/>
  <c r="I287" i="17" s="1"/>
  <c r="G530" i="17"/>
  <c r="I530" i="17" s="1"/>
  <c r="G584" i="17"/>
  <c r="I584" i="17" s="1"/>
  <c r="O23" i="13"/>
  <c r="K23" i="13"/>
  <c r="K39" i="13"/>
  <c r="O39" i="13"/>
  <c r="O55" i="13"/>
  <c r="K55" i="13"/>
  <c r="O71" i="13"/>
  <c r="K71" i="13"/>
  <c r="O87" i="13"/>
  <c r="K87" i="13"/>
  <c r="K280" i="13"/>
  <c r="O280" i="13"/>
  <c r="P19" i="13"/>
  <c r="H642" i="17"/>
  <c r="H696" i="17"/>
  <c r="H102" i="17"/>
  <c r="H480" i="17"/>
  <c r="H561" i="17"/>
  <c r="H318" i="17"/>
  <c r="H426" i="17"/>
  <c r="H669" i="17"/>
  <c r="H210" i="17"/>
  <c r="H858" i="17"/>
  <c r="H48" i="17"/>
  <c r="H993" i="17"/>
  <c r="H723" i="17"/>
  <c r="H804" i="17"/>
  <c r="H885" i="17"/>
  <c r="H1020" i="17"/>
  <c r="H156" i="17"/>
  <c r="H750" i="17"/>
  <c r="H588" i="17"/>
  <c r="H534" i="17"/>
  <c r="H966" i="17"/>
  <c r="H237" i="17"/>
  <c r="H129" i="17"/>
  <c r="H399" i="17"/>
  <c r="H264" i="17"/>
  <c r="H507" i="17"/>
  <c r="H615" i="17"/>
  <c r="H372" i="17"/>
  <c r="H453" i="17"/>
  <c r="H75" i="17"/>
  <c r="H345" i="17"/>
  <c r="H777" i="17"/>
  <c r="H291" i="17"/>
  <c r="H831" i="17"/>
  <c r="H912" i="17"/>
  <c r="H183" i="17"/>
  <c r="H939" i="17"/>
  <c r="O109" i="13"/>
  <c r="K109" i="13"/>
  <c r="O125" i="13"/>
  <c r="K125" i="13"/>
  <c r="O141" i="13"/>
  <c r="K141" i="13"/>
  <c r="O157" i="13"/>
  <c r="K157" i="13"/>
  <c r="O173" i="13"/>
  <c r="K173" i="13"/>
  <c r="O189" i="13"/>
  <c r="K189" i="13"/>
  <c r="O205" i="13"/>
  <c r="K205" i="13"/>
  <c r="O221" i="13"/>
  <c r="K221" i="13"/>
  <c r="O257" i="13"/>
  <c r="K257" i="13"/>
  <c r="O299" i="13"/>
  <c r="K299" i="13"/>
  <c r="O380" i="13"/>
  <c r="K380" i="13"/>
  <c r="O374" i="13"/>
  <c r="K374" i="13"/>
  <c r="O269" i="13"/>
  <c r="K269" i="13"/>
  <c r="O321" i="13"/>
  <c r="K321" i="13"/>
  <c r="O244" i="13"/>
  <c r="K244" i="13"/>
  <c r="K346" i="13"/>
  <c r="O346" i="13"/>
  <c r="O110" i="13"/>
  <c r="K110" i="13"/>
  <c r="O126" i="13"/>
  <c r="K126" i="13"/>
  <c r="O142" i="13"/>
  <c r="K142" i="13"/>
  <c r="O158" i="13"/>
  <c r="K158" i="13"/>
  <c r="O174" i="13"/>
  <c r="K174" i="13"/>
  <c r="O190" i="13"/>
  <c r="K190" i="13"/>
  <c r="O206" i="13"/>
  <c r="K206" i="13"/>
  <c r="O222" i="13"/>
  <c r="K222" i="13"/>
  <c r="O258" i="13"/>
  <c r="K258" i="13"/>
  <c r="O303" i="13"/>
  <c r="K303" i="13"/>
  <c r="O263" i="13"/>
  <c r="K263" i="13"/>
  <c r="O314" i="13"/>
  <c r="K314" i="13"/>
  <c r="O277" i="13"/>
  <c r="K277" i="13"/>
  <c r="O333" i="13"/>
  <c r="K333" i="13"/>
  <c r="O243" i="13"/>
  <c r="K243" i="13"/>
  <c r="O284" i="13"/>
  <c r="K284" i="13"/>
  <c r="O354" i="13"/>
  <c r="K354" i="13"/>
  <c r="O355" i="13"/>
  <c r="K355" i="13"/>
  <c r="O371" i="13"/>
  <c r="K371" i="13"/>
  <c r="I157" i="17" l="1"/>
  <c r="I536" i="17"/>
  <c r="I833" i="17"/>
  <c r="I103" i="17"/>
  <c r="I913" i="17"/>
  <c r="K398" i="17"/>
  <c r="K494" i="17"/>
  <c r="I752" i="17"/>
  <c r="I454" i="17"/>
  <c r="I23" i="17"/>
  <c r="I563" i="17"/>
  <c r="I427" i="17"/>
  <c r="I428" i="17"/>
  <c r="I373" i="17"/>
  <c r="I886" i="17"/>
  <c r="I914" i="17"/>
  <c r="I158" i="17"/>
  <c r="I5" i="3"/>
  <c r="I184" i="17"/>
  <c r="I455" i="17"/>
  <c r="I562" i="17"/>
  <c r="I644" i="17"/>
  <c r="I481" i="17"/>
  <c r="I400" i="17"/>
  <c r="I806" i="17"/>
  <c r="I292" i="17"/>
  <c r="I616" i="17"/>
  <c r="I76" i="17"/>
  <c r="I805" i="17"/>
  <c r="I374" i="17"/>
  <c r="I50" i="17"/>
  <c r="I607" i="17"/>
  <c r="I482" i="17"/>
  <c r="I860" i="17"/>
  <c r="K506" i="17"/>
  <c r="I698" i="17"/>
  <c r="I238" i="17"/>
  <c r="K745" i="17"/>
  <c r="I671" i="17"/>
  <c r="I104" i="17"/>
  <c r="I643" i="17"/>
  <c r="I347" i="17"/>
  <c r="I697" i="17"/>
  <c r="I320" i="17"/>
  <c r="I77" i="17"/>
  <c r="I266" i="17"/>
  <c r="I22" i="17"/>
  <c r="I617" i="17"/>
  <c r="I49" i="17"/>
  <c r="I239" i="17"/>
  <c r="I212" i="17"/>
  <c r="I779" i="17"/>
  <c r="I590" i="17"/>
  <c r="I319" i="17"/>
  <c r="I724" i="17"/>
  <c r="I293" i="17"/>
  <c r="I130" i="17"/>
  <c r="I131" i="17"/>
  <c r="I346" i="17"/>
  <c r="I589" i="17"/>
  <c r="I401" i="17"/>
  <c r="I887" i="17"/>
  <c r="I778" i="17"/>
  <c r="I265" i="17"/>
  <c r="I211" i="17"/>
  <c r="I185" i="17"/>
  <c r="I859" i="17"/>
  <c r="I508" i="17"/>
  <c r="I509" i="17"/>
  <c r="I725" i="17"/>
  <c r="I535" i="17"/>
  <c r="I670" i="17"/>
  <c r="I751" i="17"/>
  <c r="I13" i="3"/>
  <c r="I12" i="3"/>
  <c r="I1012" i="17"/>
  <c r="I9" i="17"/>
  <c r="I23" i="3"/>
  <c r="I877" i="17"/>
  <c r="K15" i="3"/>
  <c r="I544" i="17"/>
  <c r="I21" i="3"/>
  <c r="I16" i="3"/>
  <c r="I18" i="3"/>
  <c r="I4" i="3"/>
  <c r="I250" i="17"/>
  <c r="I67" i="17"/>
  <c r="K557" i="17"/>
  <c r="K1006" i="17"/>
  <c r="I790" i="17"/>
  <c r="I202" i="17"/>
  <c r="I94" i="17"/>
  <c r="K637" i="17"/>
  <c r="K626" i="17"/>
  <c r="I391" i="17"/>
  <c r="I11" i="3"/>
  <c r="K883" i="17"/>
  <c r="K34" i="17"/>
  <c r="K142" i="17"/>
  <c r="K8" i="3"/>
  <c r="K760" i="17"/>
  <c r="K453" i="17"/>
  <c r="K750" i="17"/>
  <c r="K156" i="17"/>
  <c r="I850" i="17"/>
  <c r="I742" i="17"/>
  <c r="I21" i="17"/>
  <c r="I15" i="3"/>
  <c r="I19" i="3"/>
  <c r="K909" i="17"/>
  <c r="K4" i="17"/>
  <c r="K292" i="17"/>
  <c r="K815" i="17"/>
  <c r="K847" i="17"/>
  <c r="K609" i="17"/>
  <c r="K737" i="17"/>
  <c r="K447" i="17"/>
  <c r="K333" i="17"/>
  <c r="K582" i="17"/>
  <c r="I5" i="17"/>
  <c r="K7" i="3"/>
  <c r="K347" i="17"/>
  <c r="K857" i="17"/>
  <c r="K363" i="17"/>
  <c r="I500" i="17"/>
  <c r="I14" i="3"/>
  <c r="K930" i="17"/>
  <c r="K152" i="17"/>
  <c r="K493" i="17"/>
  <c r="K342" i="17"/>
  <c r="K75" i="17"/>
  <c r="K392" i="17"/>
  <c r="K600" i="17"/>
  <c r="K527" i="17"/>
  <c r="K412" i="17"/>
  <c r="K254" i="17"/>
  <c r="K10" i="3"/>
  <c r="I851" i="17"/>
  <c r="K22" i="3"/>
  <c r="K9" i="3"/>
  <c r="I9" i="3"/>
  <c r="I15" i="17"/>
  <c r="K16" i="3"/>
  <c r="I824" i="17"/>
  <c r="K253" i="17"/>
  <c r="K127" i="17"/>
  <c r="K49" i="17"/>
  <c r="K874" i="17"/>
  <c r="I662" i="17"/>
  <c r="K575" i="17"/>
  <c r="I175" i="17"/>
  <c r="K993" i="17"/>
  <c r="K977" i="17"/>
  <c r="K978" i="17"/>
  <c r="K792" i="17"/>
  <c r="K264" i="17"/>
  <c r="K1014" i="17"/>
  <c r="K734" i="17"/>
  <c r="K522" i="17"/>
  <c r="K18" i="17"/>
  <c r="I412" i="17"/>
  <c r="K13" i="3"/>
  <c r="K20" i="3"/>
  <c r="K887" i="17"/>
  <c r="K933" i="17"/>
  <c r="K844" i="17"/>
  <c r="K415" i="17"/>
  <c r="K14" i="3"/>
  <c r="K11" i="3"/>
  <c r="K871" i="17"/>
  <c r="I499" i="17"/>
  <c r="I905" i="17"/>
  <c r="I10" i="3"/>
  <c r="I223" i="17"/>
  <c r="K976" i="17"/>
  <c r="K364" i="17"/>
  <c r="K545" i="17"/>
  <c r="I825" i="17"/>
  <c r="I283" i="17"/>
  <c r="K743" i="17"/>
  <c r="K306" i="17"/>
  <c r="K961" i="17"/>
  <c r="K18" i="3"/>
  <c r="K23" i="3"/>
  <c r="K17" i="3"/>
  <c r="K394" i="17"/>
  <c r="K842" i="17"/>
  <c r="K610" i="17"/>
  <c r="K550" i="17"/>
  <c r="K330" i="17"/>
  <c r="K1010" i="17"/>
  <c r="K631" i="17"/>
  <c r="K877" i="17"/>
  <c r="I1006" i="17"/>
  <c r="K711" i="17"/>
  <c r="K368" i="17"/>
  <c r="K706" i="17"/>
  <c r="K166" i="17"/>
  <c r="I20" i="3"/>
  <c r="K765" i="17"/>
  <c r="K21" i="3"/>
  <c r="K19" i="3"/>
  <c r="K733" i="17"/>
  <c r="K1012" i="17"/>
  <c r="I166" i="17"/>
  <c r="K414" i="17"/>
  <c r="I7" i="17"/>
  <c r="K806" i="17"/>
  <c r="K231" i="17"/>
  <c r="K658" i="17"/>
  <c r="K395" i="17"/>
  <c r="K769" i="17"/>
  <c r="K235" i="17"/>
  <c r="K960" i="17"/>
  <c r="K742" i="17"/>
  <c r="K247" i="17"/>
  <c r="K293" i="17"/>
  <c r="K580" i="17"/>
  <c r="K44" i="17"/>
  <c r="K1018" i="17"/>
  <c r="K21" i="17"/>
  <c r="K902" i="17"/>
  <c r="K194" i="17"/>
  <c r="K955" i="17"/>
  <c r="K953" i="17"/>
  <c r="K416" i="17"/>
  <c r="K421" i="17"/>
  <c r="K886" i="17"/>
  <c r="K145" i="17"/>
  <c r="K355" i="17"/>
  <c r="K787" i="17"/>
  <c r="K316" i="17"/>
  <c r="K980" i="17"/>
  <c r="I17" i="3"/>
  <c r="K249" i="17"/>
  <c r="K199" i="17"/>
  <c r="I210" i="17"/>
  <c r="K258" i="17"/>
  <c r="K573" i="17"/>
  <c r="K601" i="17"/>
  <c r="K475" i="17"/>
  <c r="K548" i="17"/>
  <c r="K734" i="13"/>
  <c r="N354" i="13"/>
  <c r="L354" i="13"/>
  <c r="L174" i="13"/>
  <c r="N174" i="13"/>
  <c r="K554" i="13"/>
  <c r="K490" i="13"/>
  <c r="N110" i="13"/>
  <c r="L110" i="13"/>
  <c r="K553" i="13"/>
  <c r="N173" i="13"/>
  <c r="L173" i="13"/>
  <c r="N109" i="13"/>
  <c r="K489" i="13"/>
  <c r="L109" i="13"/>
  <c r="K664" i="13"/>
  <c r="L284" i="13"/>
  <c r="N284" i="13"/>
  <c r="L314" i="13"/>
  <c r="K694" i="13"/>
  <c r="N314" i="13"/>
  <c r="N222" i="13"/>
  <c r="K602" i="13"/>
  <c r="L222" i="13"/>
  <c r="L158" i="13"/>
  <c r="N158" i="13"/>
  <c r="K538" i="13"/>
  <c r="L374" i="13"/>
  <c r="K754" i="13"/>
  <c r="N374" i="13"/>
  <c r="K601" i="13"/>
  <c r="L221" i="13"/>
  <c r="N221" i="13"/>
  <c r="L157" i="13"/>
  <c r="K537" i="13"/>
  <c r="N157" i="13"/>
  <c r="N87" i="13"/>
  <c r="L87" i="13"/>
  <c r="K467" i="13"/>
  <c r="K726" i="13"/>
  <c r="N346" i="13"/>
  <c r="L346" i="13"/>
  <c r="N258" i="13"/>
  <c r="K638" i="13"/>
  <c r="L258" i="13"/>
  <c r="K637" i="13"/>
  <c r="L257" i="13"/>
  <c r="N257" i="13"/>
  <c r="L23" i="13"/>
  <c r="N23" i="13"/>
  <c r="K403" i="13"/>
  <c r="N277" i="13"/>
  <c r="K657" i="13"/>
  <c r="L277" i="13"/>
  <c r="N269" i="13"/>
  <c r="K649" i="13"/>
  <c r="L269" i="13"/>
  <c r="N156" i="13"/>
  <c r="L156" i="13"/>
  <c r="K536" i="13"/>
  <c r="K738" i="13"/>
  <c r="N358" i="13"/>
  <c r="L358" i="13"/>
  <c r="N139" i="13"/>
  <c r="K519" i="13"/>
  <c r="L139" i="13"/>
  <c r="L328" i="13"/>
  <c r="K708" i="13"/>
  <c r="N328" i="13"/>
  <c r="N298" i="13"/>
  <c r="K678" i="13"/>
  <c r="L298" i="13"/>
  <c r="L218" i="13"/>
  <c r="N218" i="13"/>
  <c r="K598" i="13"/>
  <c r="K534" i="13"/>
  <c r="L154" i="13"/>
  <c r="N154" i="13"/>
  <c r="K722" i="13"/>
  <c r="L342" i="13"/>
  <c r="N342" i="13"/>
  <c r="K581" i="13"/>
  <c r="N201" i="13"/>
  <c r="L201" i="13"/>
  <c r="L137" i="13"/>
  <c r="K517" i="13"/>
  <c r="N137" i="13"/>
  <c r="K447" i="13"/>
  <c r="L67" i="13"/>
  <c r="N67" i="13"/>
  <c r="I831" i="17"/>
  <c r="I696" i="17"/>
  <c r="I345" i="17"/>
  <c r="I777" i="17"/>
  <c r="I129" i="17"/>
  <c r="K174" i="17"/>
  <c r="K59" i="17"/>
  <c r="K101" i="17"/>
  <c r="K287" i="17"/>
  <c r="K517" i="17"/>
  <c r="K698" i="17"/>
  <c r="K696" i="17"/>
  <c r="K532" i="17"/>
  <c r="K362" i="17"/>
  <c r="K427" i="17"/>
  <c r="K561" i="17"/>
  <c r="K659" i="17"/>
  <c r="K64" i="17"/>
  <c r="K777" i="17"/>
  <c r="K991" i="17"/>
  <c r="K454" i="17"/>
  <c r="K895" i="17"/>
  <c r="K401" i="17"/>
  <c r="K746" i="17"/>
  <c r="K310" i="17"/>
  <c r="K598" i="17"/>
  <c r="K576" i="17"/>
  <c r="K228" i="17"/>
  <c r="K994" i="17"/>
  <c r="K124" i="17"/>
  <c r="K823" i="17"/>
  <c r="K281" i="17"/>
  <c r="K873" i="17"/>
  <c r="K633" i="17"/>
  <c r="K816" i="17"/>
  <c r="K530" i="17"/>
  <c r="K13" i="17"/>
  <c r="K157" i="17"/>
  <c r="K255" i="17"/>
  <c r="K562" i="17"/>
  <c r="K151" i="17"/>
  <c r="K685" i="17"/>
  <c r="K794" i="17"/>
  <c r="K239" i="17"/>
  <c r="K23" i="17"/>
  <c r="K831" i="17"/>
  <c r="K655" i="17"/>
  <c r="K452" i="17"/>
  <c r="K184" i="17"/>
  <c r="K413" i="17"/>
  <c r="K1016" i="17"/>
  <c r="K302" i="17"/>
  <c r="K478" i="17"/>
  <c r="K315" i="17"/>
  <c r="K914" i="17"/>
  <c r="K751" i="17"/>
  <c r="K320" i="17"/>
  <c r="K719" i="17"/>
  <c r="K665" i="17"/>
  <c r="K339" i="17"/>
  <c r="K425" i="17"/>
  <c r="K426" i="17"/>
  <c r="K439" i="17"/>
  <c r="K987" i="17"/>
  <c r="K209" i="17"/>
  <c r="K119" i="17"/>
  <c r="K984" i="17"/>
  <c r="K393" i="17"/>
  <c r="K995" i="17"/>
  <c r="K858" i="17"/>
  <c r="K707" i="17"/>
  <c r="K571" i="17"/>
  <c r="K852" i="17"/>
  <c r="K58" i="17"/>
  <c r="K448" i="17"/>
  <c r="K500" i="17"/>
  <c r="K897" i="17"/>
  <c r="K305" i="17"/>
  <c r="K369" i="17"/>
  <c r="K607" i="13"/>
  <c r="L227" i="13"/>
  <c r="N227" i="13"/>
  <c r="L288" i="13"/>
  <c r="N288" i="13"/>
  <c r="K668" i="13"/>
  <c r="K580" i="13"/>
  <c r="L200" i="13"/>
  <c r="N200" i="13"/>
  <c r="N136" i="13"/>
  <c r="L136" i="13"/>
  <c r="K516" i="13"/>
  <c r="K608" i="13"/>
  <c r="L228" i="13"/>
  <c r="N228" i="13"/>
  <c r="L339" i="13"/>
  <c r="N339" i="13"/>
  <c r="K719" i="13"/>
  <c r="L199" i="13"/>
  <c r="K579" i="13"/>
  <c r="N199" i="13"/>
  <c r="N135" i="13"/>
  <c r="K515" i="13"/>
  <c r="L135" i="13"/>
  <c r="N65" i="13"/>
  <c r="L65" i="13"/>
  <c r="K445" i="13"/>
  <c r="I721" i="17"/>
  <c r="I883" i="17"/>
  <c r="I640" i="17"/>
  <c r="I370" i="17"/>
  <c r="I127" i="17"/>
  <c r="I849" i="17"/>
  <c r="I255" i="17"/>
  <c r="I471" i="17"/>
  <c r="I525" i="17"/>
  <c r="K619" i="13"/>
  <c r="N239" i="13"/>
  <c r="L239" i="13"/>
  <c r="L363" i="13"/>
  <c r="N363" i="13"/>
  <c r="K743" i="13"/>
  <c r="L301" i="13"/>
  <c r="K681" i="13"/>
  <c r="N301" i="13"/>
  <c r="L281" i="13"/>
  <c r="K661" i="13"/>
  <c r="N281" i="13"/>
  <c r="K546" i="13"/>
  <c r="L166" i="13"/>
  <c r="N166" i="13"/>
  <c r="N102" i="13"/>
  <c r="K482" i="13"/>
  <c r="L102" i="13"/>
  <c r="N246" i="13"/>
  <c r="L246" i="13"/>
  <c r="K626" i="13"/>
  <c r="L213" i="13"/>
  <c r="N213" i="13"/>
  <c r="K593" i="13"/>
  <c r="K529" i="13"/>
  <c r="N149" i="13"/>
  <c r="L149" i="13"/>
  <c r="L95" i="13"/>
  <c r="N95" i="13"/>
  <c r="K475" i="13"/>
  <c r="K411" i="13"/>
  <c r="N31" i="13"/>
  <c r="L31" i="13"/>
  <c r="I963" i="17"/>
  <c r="I234" i="17"/>
  <c r="I288" i="17"/>
  <c r="I369" i="17"/>
  <c r="K395" i="13"/>
  <c r="L15" i="13"/>
  <c r="N15" i="13"/>
  <c r="I452" i="17"/>
  <c r="I236" i="17"/>
  <c r="I128" i="17"/>
  <c r="I317" i="17"/>
  <c r="K396" i="13"/>
  <c r="N16" i="13"/>
  <c r="L16" i="13"/>
  <c r="K741" i="13"/>
  <c r="L361" i="13"/>
  <c r="N361" i="13"/>
  <c r="L360" i="13"/>
  <c r="K740" i="13"/>
  <c r="N360" i="13"/>
  <c r="N327" i="13"/>
  <c r="K707" i="13"/>
  <c r="L327" i="13"/>
  <c r="L196" i="13"/>
  <c r="K576" i="13"/>
  <c r="N196" i="13"/>
  <c r="N132" i="13"/>
  <c r="K512" i="13"/>
  <c r="L132" i="13"/>
  <c r="K640" i="13"/>
  <c r="N260" i="13"/>
  <c r="L260" i="13"/>
  <c r="N323" i="13"/>
  <c r="K703" i="13"/>
  <c r="L323" i="13"/>
  <c r="N179" i="13"/>
  <c r="L179" i="13"/>
  <c r="K559" i="13"/>
  <c r="N115" i="13"/>
  <c r="K495" i="13"/>
  <c r="L115" i="13"/>
  <c r="K425" i="13"/>
  <c r="L45" i="13"/>
  <c r="N45" i="13"/>
  <c r="I501" i="17"/>
  <c r="I69" i="17"/>
  <c r="I474" i="17"/>
  <c r="I150" i="17"/>
  <c r="I960" i="17"/>
  <c r="I681" i="17"/>
  <c r="I421" i="17"/>
  <c r="I988" i="17"/>
  <c r="I43" i="17"/>
  <c r="I772" i="17"/>
  <c r="I745" i="17"/>
  <c r="I940" i="17"/>
  <c r="I12" i="17"/>
  <c r="I304" i="17"/>
  <c r="I952" i="17"/>
  <c r="I898" i="17"/>
  <c r="I736" i="17"/>
  <c r="L76" i="13"/>
  <c r="K456" i="13"/>
  <c r="N76" i="13"/>
  <c r="I280" i="17"/>
  <c r="I199" i="17"/>
  <c r="I118" i="17"/>
  <c r="I577" i="17"/>
  <c r="I145" i="17"/>
  <c r="I8" i="17"/>
  <c r="I895" i="17"/>
  <c r="I4" i="17"/>
  <c r="I976" i="17"/>
  <c r="I382" i="17"/>
  <c r="I760" i="17"/>
  <c r="K644" i="13"/>
  <c r="N264" i="13"/>
  <c r="L264" i="13"/>
  <c r="I16" i="17"/>
  <c r="N90" i="13"/>
  <c r="L90" i="13"/>
  <c r="K470" i="13"/>
  <c r="L26" i="13"/>
  <c r="N26" i="13"/>
  <c r="K406" i="13"/>
  <c r="I365" i="17"/>
  <c r="I68" i="17"/>
  <c r="I95" i="17"/>
  <c r="K387" i="13"/>
  <c r="L7" i="13"/>
  <c r="N7" i="13"/>
  <c r="N88" i="13"/>
  <c r="K468" i="13"/>
  <c r="L88" i="13"/>
  <c r="K404" i="13"/>
  <c r="L24" i="13"/>
  <c r="N24" i="13"/>
  <c r="K616" i="13"/>
  <c r="L236" i="13"/>
  <c r="N236" i="13"/>
  <c r="K686" i="13"/>
  <c r="N306" i="13"/>
  <c r="L306" i="13"/>
  <c r="L204" i="13"/>
  <c r="K584" i="13"/>
  <c r="N204" i="13"/>
  <c r="N140" i="13"/>
  <c r="K520" i="13"/>
  <c r="L140" i="13"/>
  <c r="K663" i="13"/>
  <c r="L283" i="13"/>
  <c r="N283" i="13"/>
  <c r="K744" i="13"/>
  <c r="L364" i="13"/>
  <c r="N364" i="13"/>
  <c r="K567" i="13"/>
  <c r="L187" i="13"/>
  <c r="N187" i="13"/>
  <c r="L123" i="13"/>
  <c r="K503" i="13"/>
  <c r="N123" i="13"/>
  <c r="L53" i="13"/>
  <c r="N53" i="13"/>
  <c r="K433" i="13"/>
  <c r="K434" i="13"/>
  <c r="N54" i="13"/>
  <c r="L54" i="13"/>
  <c r="K6" i="3"/>
  <c r="N332" i="13"/>
  <c r="K712" i="13"/>
  <c r="L332" i="13"/>
  <c r="I480" i="17"/>
  <c r="I885" i="17"/>
  <c r="I642" i="17"/>
  <c r="I993" i="17"/>
  <c r="I750" i="17"/>
  <c r="L52" i="13"/>
  <c r="N52" i="13"/>
  <c r="K432" i="13"/>
  <c r="K171" i="17"/>
  <c r="K77" i="17"/>
  <c r="K65" i="17"/>
  <c r="K176" i="17"/>
  <c r="K89" i="17"/>
  <c r="K48" i="17"/>
  <c r="K856" i="17"/>
  <c r="K553" i="17"/>
  <c r="K371" i="17"/>
  <c r="K211" i="17"/>
  <c r="K482" i="17"/>
  <c r="K343" i="17"/>
  <c r="K950" i="17"/>
  <c r="K224" i="17"/>
  <c r="K693" i="17"/>
  <c r="K788" i="17"/>
  <c r="K763" i="17"/>
  <c r="K549" i="17"/>
  <c r="K899" i="17"/>
  <c r="K668" i="17"/>
  <c r="K180" i="17"/>
  <c r="K799" i="17"/>
  <c r="K724" i="17"/>
  <c r="K979" i="17"/>
  <c r="K901" i="17"/>
  <c r="K98" i="17"/>
  <c r="K172" i="17"/>
  <c r="K790" i="17"/>
  <c r="K687" i="17"/>
  <c r="K586" i="17"/>
  <c r="K185" i="17"/>
  <c r="K16" i="17"/>
  <c r="K473" i="17"/>
  <c r="K712" i="17"/>
  <c r="K1003" i="17"/>
  <c r="K70" i="17"/>
  <c r="K68" i="17"/>
  <c r="K1013" i="17"/>
  <c r="K207" i="17"/>
  <c r="K370" i="17"/>
  <c r="K440" i="17"/>
  <c r="K290" i="17"/>
  <c r="K740" i="17"/>
  <c r="K525" i="17"/>
  <c r="K951" i="17"/>
  <c r="K504" i="17"/>
  <c r="K905" i="17"/>
  <c r="K911" i="17"/>
  <c r="K627" i="17"/>
  <c r="K155" i="17"/>
  <c r="K775" i="17"/>
  <c r="K467" i="17"/>
  <c r="K251" i="17"/>
  <c r="K340" i="17"/>
  <c r="K182" i="17"/>
  <c r="K583" i="17"/>
  <c r="K967" i="17"/>
  <c r="K468" i="17"/>
  <c r="K366" i="17"/>
  <c r="I289" i="17"/>
  <c r="I613" i="17"/>
  <c r="I478" i="17"/>
  <c r="I775" i="17"/>
  <c r="I424" i="17"/>
  <c r="L82" i="13"/>
  <c r="N82" i="13"/>
  <c r="K462" i="13"/>
  <c r="I930" i="17"/>
  <c r="I660" i="17"/>
  <c r="I174" i="17"/>
  <c r="I201" i="17"/>
  <c r="I93" i="17"/>
  <c r="I396" i="17"/>
  <c r="I477" i="17"/>
  <c r="I450" i="17"/>
  <c r="I801" i="17"/>
  <c r="N96" i="13"/>
  <c r="K476" i="13"/>
  <c r="L96" i="13"/>
  <c r="N32" i="13"/>
  <c r="L32" i="13"/>
  <c r="K412" i="13"/>
  <c r="I344" i="17"/>
  <c r="I911" i="17"/>
  <c r="I614" i="17"/>
  <c r="I857" i="17"/>
  <c r="I663" i="17"/>
  <c r="I339" i="17"/>
  <c r="I366" i="17"/>
  <c r="I123" i="17"/>
  <c r="N13" i="13"/>
  <c r="L13" i="13"/>
  <c r="K393" i="13"/>
  <c r="I20" i="17"/>
  <c r="L62" i="13"/>
  <c r="K442" i="13"/>
  <c r="N62" i="13"/>
  <c r="I502" i="17"/>
  <c r="I961" i="17"/>
  <c r="I313" i="17"/>
  <c r="I394" i="17"/>
  <c r="I556" i="17"/>
  <c r="K755" i="13"/>
  <c r="L375" i="13"/>
  <c r="N375" i="13"/>
  <c r="N330" i="13"/>
  <c r="K710" i="13"/>
  <c r="L330" i="13"/>
  <c r="N210" i="13"/>
  <c r="L210" i="13"/>
  <c r="K590" i="13"/>
  <c r="K526" i="13"/>
  <c r="L146" i="13"/>
  <c r="N146" i="13"/>
  <c r="K680" i="13"/>
  <c r="N300" i="13"/>
  <c r="L300" i="13"/>
  <c r="I995" i="17"/>
  <c r="K589" i="13"/>
  <c r="L209" i="13"/>
  <c r="N209" i="13"/>
  <c r="K525" i="13"/>
  <c r="N145" i="13"/>
  <c r="L145" i="13"/>
  <c r="N91" i="13"/>
  <c r="L91" i="13"/>
  <c r="K471" i="13"/>
  <c r="L27" i="13"/>
  <c r="K407" i="13"/>
  <c r="N27" i="13"/>
  <c r="I682" i="17"/>
  <c r="I385" i="17"/>
  <c r="I61" i="17"/>
  <c r="I331" i="17"/>
  <c r="I902" i="17"/>
  <c r="I874" i="17"/>
  <c r="I64" i="17"/>
  <c r="I739" i="17"/>
  <c r="I361" i="17"/>
  <c r="I307" i="17"/>
  <c r="N370" i="13"/>
  <c r="L370" i="13"/>
  <c r="K750" i="13"/>
  <c r="N322" i="13"/>
  <c r="L322" i="13"/>
  <c r="K702" i="13"/>
  <c r="L208" i="13"/>
  <c r="K588" i="13"/>
  <c r="N208" i="13"/>
  <c r="L144" i="13"/>
  <c r="N144" i="13"/>
  <c r="K524" i="13"/>
  <c r="L292" i="13"/>
  <c r="N292" i="13"/>
  <c r="K672" i="13"/>
  <c r="K682" i="13"/>
  <c r="L302" i="13"/>
  <c r="N302" i="13"/>
  <c r="L127" i="13"/>
  <c r="K507" i="13"/>
  <c r="N127" i="13"/>
  <c r="I467" i="17"/>
  <c r="K437" i="13"/>
  <c r="L57" i="13"/>
  <c r="N57" i="13"/>
  <c r="I355" i="17"/>
  <c r="I652" i="17"/>
  <c r="I571" i="17"/>
  <c r="I112" i="17"/>
  <c r="I986" i="17"/>
  <c r="I581" i="17"/>
  <c r="I392" i="17"/>
  <c r="I176" i="17"/>
  <c r="L10" i="13"/>
  <c r="K390" i="13"/>
  <c r="N10" i="13"/>
  <c r="N371" i="13"/>
  <c r="K751" i="13"/>
  <c r="L371" i="13"/>
  <c r="N243" i="13"/>
  <c r="K623" i="13"/>
  <c r="L243" i="13"/>
  <c r="N263" i="13"/>
  <c r="K643" i="13"/>
  <c r="L263" i="13"/>
  <c r="N206" i="13"/>
  <c r="L206" i="13"/>
  <c r="K586" i="13"/>
  <c r="N142" i="13"/>
  <c r="K522" i="13"/>
  <c r="L142" i="13"/>
  <c r="K624" i="13"/>
  <c r="L244" i="13"/>
  <c r="N244" i="13"/>
  <c r="N380" i="13"/>
  <c r="L380" i="13"/>
  <c r="K760" i="13"/>
  <c r="K585" i="13"/>
  <c r="L205" i="13"/>
  <c r="N205" i="13"/>
  <c r="N141" i="13"/>
  <c r="K521" i="13"/>
  <c r="L141" i="13"/>
  <c r="L71" i="13"/>
  <c r="K451" i="13"/>
  <c r="N71" i="13"/>
  <c r="N8" i="13"/>
  <c r="L8" i="13"/>
  <c r="K388" i="13"/>
  <c r="K401" i="13"/>
  <c r="N21" i="13"/>
  <c r="L21" i="13"/>
  <c r="K763" i="13"/>
  <c r="N383" i="13"/>
  <c r="L383" i="13"/>
  <c r="L275" i="13"/>
  <c r="N275" i="13"/>
  <c r="K655" i="13"/>
  <c r="K752" i="13"/>
  <c r="N372" i="13"/>
  <c r="L372" i="13"/>
  <c r="K582" i="13"/>
  <c r="L202" i="13"/>
  <c r="N202" i="13"/>
  <c r="N138" i="13"/>
  <c r="L138" i="13"/>
  <c r="K518" i="13"/>
  <c r="L276" i="13"/>
  <c r="K656" i="13"/>
  <c r="N276" i="13"/>
  <c r="N348" i="13"/>
  <c r="L348" i="13"/>
  <c r="K728" i="13"/>
  <c r="L185" i="13"/>
  <c r="K565" i="13"/>
  <c r="N185" i="13"/>
  <c r="K501" i="13"/>
  <c r="L121" i="13"/>
  <c r="N121" i="13"/>
  <c r="L51" i="13"/>
  <c r="K431" i="13"/>
  <c r="N51" i="13"/>
  <c r="I372" i="17"/>
  <c r="I102" i="17"/>
  <c r="I669" i="17"/>
  <c r="I453" i="17"/>
  <c r="I588" i="17"/>
  <c r="N20" i="13"/>
  <c r="L20" i="13"/>
  <c r="K400" i="13"/>
  <c r="K898" i="17"/>
  <c r="K289" i="17"/>
  <c r="K534" i="17"/>
  <c r="K818" i="17"/>
  <c r="K43" i="17"/>
  <c r="K260" i="17"/>
  <c r="K72" i="17"/>
  <c r="K167" i="17"/>
  <c r="K332" i="17"/>
  <c r="K670" i="17"/>
  <c r="K22" i="17"/>
  <c r="K437" i="17"/>
  <c r="K291" i="17"/>
  <c r="K612" i="17"/>
  <c r="K824" i="17"/>
  <c r="K937" i="17"/>
  <c r="K680" i="17"/>
  <c r="K250" i="17"/>
  <c r="K795" i="17"/>
  <c r="K206" i="17"/>
  <c r="K423" i="17"/>
  <c r="K91" i="17"/>
  <c r="K880" i="17"/>
  <c r="K92" i="17"/>
  <c r="K802" i="17"/>
  <c r="K801" i="17"/>
  <c r="K117" i="17"/>
  <c r="K450" i="17"/>
  <c r="K66" i="17"/>
  <c r="K1022" i="17"/>
  <c r="K10" i="17"/>
  <c r="K418" i="17"/>
  <c r="K357" i="17"/>
  <c r="K309" i="17"/>
  <c r="K153" i="17"/>
  <c r="K715" i="17"/>
  <c r="K749" i="17"/>
  <c r="K581" i="17"/>
  <c r="K906" i="17"/>
  <c r="K635" i="17"/>
  <c r="K966" i="17"/>
  <c r="K628" i="17"/>
  <c r="K114" i="17"/>
  <c r="K276" i="17"/>
  <c r="K144" i="17"/>
  <c r="K372" i="17"/>
  <c r="K346" i="17"/>
  <c r="K334" i="17"/>
  <c r="K444" i="17"/>
  <c r="K875" i="17"/>
  <c r="K1019" i="17"/>
  <c r="K259" i="17"/>
  <c r="K664" i="17"/>
  <c r="K177" i="17"/>
  <c r="K629" i="17"/>
  <c r="K183" i="17"/>
  <c r="K684" i="17"/>
  <c r="K286" i="17"/>
  <c r="K577" i="17"/>
  <c r="K616" i="17"/>
  <c r="K965" i="17"/>
  <c r="K519" i="17"/>
  <c r="K128" i="17"/>
  <c r="K139" i="17"/>
  <c r="K438" i="17"/>
  <c r="K641" i="17"/>
  <c r="K589" i="17"/>
  <c r="K367" i="17"/>
  <c r="K505" i="17"/>
  <c r="K523" i="17"/>
  <c r="K555" i="17"/>
  <c r="K17" i="17"/>
  <c r="K558" i="17"/>
  <c r="K520" i="17"/>
  <c r="K652" i="17"/>
  <c r="K193" i="17"/>
  <c r="K126" i="17"/>
  <c r="K31" i="17"/>
  <c r="K536" i="17"/>
  <c r="K100" i="17"/>
  <c r="K884" i="17"/>
  <c r="K196" i="17"/>
  <c r="K663" i="17"/>
  <c r="K644" i="17"/>
  <c r="K234" i="17"/>
  <c r="K390" i="17"/>
  <c r="K662" i="17"/>
  <c r="K356" i="17"/>
  <c r="K653" i="17"/>
  <c r="K74" i="17"/>
  <c r="N349" i="13"/>
  <c r="L349" i="13"/>
  <c r="K729" i="13"/>
  <c r="K689" i="13"/>
  <c r="N309" i="13"/>
  <c r="L309" i="13"/>
  <c r="N356" i="13"/>
  <c r="K736" i="13"/>
  <c r="L356" i="13"/>
  <c r="K564" i="13"/>
  <c r="N184" i="13"/>
  <c r="L184" i="13"/>
  <c r="L120" i="13"/>
  <c r="N120" i="13"/>
  <c r="K500" i="13"/>
  <c r="N297" i="13"/>
  <c r="K677" i="13"/>
  <c r="L297" i="13"/>
  <c r="L282" i="13"/>
  <c r="N282" i="13"/>
  <c r="K662" i="13"/>
  <c r="N183" i="13"/>
  <c r="L183" i="13"/>
  <c r="K563" i="13"/>
  <c r="L119" i="13"/>
  <c r="K499" i="13"/>
  <c r="N119" i="13"/>
  <c r="N49" i="13"/>
  <c r="L49" i="13"/>
  <c r="K429" i="13"/>
  <c r="I829" i="17"/>
  <c r="I667" i="17"/>
  <c r="I937" i="17"/>
  <c r="I451" i="17"/>
  <c r="I235" i="17"/>
  <c r="I903" i="17"/>
  <c r="I1011" i="17"/>
  <c r="I579" i="17"/>
  <c r="I147" i="17"/>
  <c r="I795" i="17"/>
  <c r="N347" i="13"/>
  <c r="L347" i="13"/>
  <c r="K727" i="13"/>
  <c r="K634" i="13"/>
  <c r="L254" i="13"/>
  <c r="N254" i="13"/>
  <c r="N214" i="13"/>
  <c r="L214" i="13"/>
  <c r="K594" i="13"/>
  <c r="N150" i="13"/>
  <c r="K530" i="13"/>
  <c r="L150" i="13"/>
  <c r="K696" i="13"/>
  <c r="L316" i="13"/>
  <c r="N316" i="13"/>
  <c r="L326" i="13"/>
  <c r="N326" i="13"/>
  <c r="K706" i="13"/>
  <c r="K577" i="13"/>
  <c r="L197" i="13"/>
  <c r="N197" i="13"/>
  <c r="L133" i="13"/>
  <c r="N133" i="13"/>
  <c r="K513" i="13"/>
  <c r="N79" i="13"/>
  <c r="L79" i="13"/>
  <c r="K459" i="13"/>
  <c r="I180" i="17"/>
  <c r="I828" i="17"/>
  <c r="I585" i="17"/>
  <c r="I774" i="17"/>
  <c r="I99" i="17"/>
  <c r="I506" i="17"/>
  <c r="I290" i="17"/>
  <c r="I155" i="17"/>
  <c r="I209" i="17"/>
  <c r="L345" i="13"/>
  <c r="K725" i="13"/>
  <c r="N345" i="13"/>
  <c r="L293" i="13"/>
  <c r="K673" i="13"/>
  <c r="N293" i="13"/>
  <c r="K654" i="13"/>
  <c r="N274" i="13"/>
  <c r="L274" i="13"/>
  <c r="K560" i="13"/>
  <c r="N180" i="13"/>
  <c r="L180" i="13"/>
  <c r="L116" i="13"/>
  <c r="N116" i="13"/>
  <c r="K496" i="13"/>
  <c r="K732" i="13"/>
  <c r="N352" i="13"/>
  <c r="L352" i="13"/>
  <c r="L273" i="13"/>
  <c r="K653" i="13"/>
  <c r="N273" i="13"/>
  <c r="N163" i="13"/>
  <c r="L163" i="13"/>
  <c r="K543" i="13"/>
  <c r="K473" i="13"/>
  <c r="L93" i="13"/>
  <c r="N93" i="13"/>
  <c r="K409" i="13"/>
  <c r="N29" i="13"/>
  <c r="L29" i="13"/>
  <c r="I933" i="17"/>
  <c r="I771" i="17"/>
  <c r="I717" i="17"/>
  <c r="I798" i="17"/>
  <c r="I205" i="17"/>
  <c r="I664" i="17"/>
  <c r="I637" i="17"/>
  <c r="I475" i="17"/>
  <c r="I853" i="17"/>
  <c r="K632" i="13"/>
  <c r="N252" i="13"/>
  <c r="L252" i="13"/>
  <c r="I941" i="17"/>
  <c r="K690" i="13"/>
  <c r="L310" i="13"/>
  <c r="N310" i="13"/>
  <c r="I655" i="17"/>
  <c r="I574" i="17"/>
  <c r="L60" i="13"/>
  <c r="N60" i="13"/>
  <c r="K440" i="13"/>
  <c r="I334" i="17"/>
  <c r="I901" i="17"/>
  <c r="I1009" i="17"/>
  <c r="I820" i="17"/>
  <c r="I685" i="17"/>
  <c r="N191" i="13"/>
  <c r="L191" i="13"/>
  <c r="K571" i="13"/>
  <c r="I980" i="17"/>
  <c r="I19" i="17"/>
  <c r="I706" i="17"/>
  <c r="I274" i="17"/>
  <c r="I1003" i="17"/>
  <c r="I787" i="17"/>
  <c r="I139" i="17"/>
  <c r="N74" i="13"/>
  <c r="K454" i="13"/>
  <c r="L74" i="13"/>
  <c r="I797" i="17"/>
  <c r="I689" i="17"/>
  <c r="I959" i="17"/>
  <c r="I770" i="17"/>
  <c r="I203" i="17"/>
  <c r="K749" i="13"/>
  <c r="N369" i="13"/>
  <c r="L369" i="13"/>
  <c r="N188" i="13"/>
  <c r="L188" i="13"/>
  <c r="K568" i="13"/>
  <c r="K693" i="13"/>
  <c r="N313" i="13"/>
  <c r="L313" i="13"/>
  <c r="L250" i="13"/>
  <c r="K630" i="13"/>
  <c r="N250" i="13"/>
  <c r="K487" i="13"/>
  <c r="N107" i="13"/>
  <c r="L107" i="13"/>
  <c r="K385" i="13"/>
  <c r="L5" i="13"/>
  <c r="N5" i="13"/>
  <c r="I264" i="17"/>
  <c r="I723" i="17"/>
  <c r="I507" i="17"/>
  <c r="I804" i="17"/>
  <c r="K399" i="13"/>
  <c r="N19" i="13"/>
  <c r="L19" i="13"/>
  <c r="L36" i="13"/>
  <c r="N36" i="13"/>
  <c r="K416" i="13"/>
  <c r="K443" i="17"/>
  <c r="K929" i="17"/>
  <c r="K502" i="17"/>
  <c r="K660" i="17"/>
  <c r="K1021" i="17"/>
  <c r="K860" i="17"/>
  <c r="K924" i="17"/>
  <c r="K932" i="17"/>
  <c r="K556" i="17"/>
  <c r="K41" i="17"/>
  <c r="K205" i="17"/>
  <c r="K938" i="17"/>
  <c r="K283" i="17"/>
  <c r="K827" i="17"/>
  <c r="K474" i="17"/>
  <c r="K201" i="17"/>
  <c r="K149" i="17"/>
  <c r="K436" i="17"/>
  <c r="K446" i="17"/>
  <c r="K681" i="17"/>
  <c r="K5" i="17"/>
  <c r="K232" i="17"/>
  <c r="K451" i="17"/>
  <c r="K252" i="17"/>
  <c r="K318" i="17"/>
  <c r="K691" i="17"/>
  <c r="K800" i="17"/>
  <c r="K666" i="17"/>
  <c r="K770" i="17"/>
  <c r="K636" i="17"/>
  <c r="K848" i="17"/>
  <c r="K358" i="17"/>
  <c r="K307" i="17"/>
  <c r="K708" i="17"/>
  <c r="K989" i="17"/>
  <c r="K720" i="17"/>
  <c r="K197" i="17"/>
  <c r="K481" i="17"/>
  <c r="K1017" i="17"/>
  <c r="K496" i="17"/>
  <c r="K679" i="17"/>
  <c r="K282" i="17"/>
  <c r="K373" i="17"/>
  <c r="K314" i="17"/>
  <c r="K420" i="17"/>
  <c r="K764" i="17"/>
  <c r="K67" i="17"/>
  <c r="K266" i="17"/>
  <c r="K317" i="17"/>
  <c r="K535" i="17"/>
  <c r="K718" i="17"/>
  <c r="K476" i="17"/>
  <c r="K508" i="17"/>
  <c r="K102" i="17"/>
  <c r="K661" i="17"/>
  <c r="K308" i="17"/>
  <c r="K846" i="17"/>
  <c r="K221" i="17"/>
  <c r="K544" i="17"/>
  <c r="K939" i="17"/>
  <c r="K853" i="17"/>
  <c r="K578" i="17"/>
  <c r="K551" i="17"/>
  <c r="K288" i="17"/>
  <c r="K697" i="17"/>
  <c r="K739" i="17"/>
  <c r="K709" i="17"/>
  <c r="K710" i="17"/>
  <c r="K147" i="17"/>
  <c r="K50" i="17"/>
  <c r="N4" i="13"/>
  <c r="K384" i="13"/>
  <c r="L4" i="13"/>
  <c r="I73" i="17"/>
  <c r="I964" i="17"/>
  <c r="I694" i="17"/>
  <c r="I100" i="17"/>
  <c r="N17" i="13"/>
  <c r="L17" i="13"/>
  <c r="K397" i="13"/>
  <c r="L66" i="13"/>
  <c r="K446" i="13"/>
  <c r="N66" i="13"/>
  <c r="I336" i="17"/>
  <c r="I120" i="17"/>
  <c r="I768" i="17"/>
  <c r="I741" i="17"/>
  <c r="I984" i="17"/>
  <c r="I423" i="17"/>
  <c r="I1017" i="17"/>
  <c r="I936" i="17"/>
  <c r="I693" i="17"/>
  <c r="I990" i="17"/>
  <c r="N80" i="13"/>
  <c r="K460" i="13"/>
  <c r="L80" i="13"/>
  <c r="I425" i="17"/>
  <c r="I749" i="17"/>
  <c r="I803" i="17"/>
  <c r="I938" i="17"/>
  <c r="I776" i="17"/>
  <c r="L232" i="13"/>
  <c r="K612" i="13"/>
  <c r="N232" i="13"/>
  <c r="I879" i="17"/>
  <c r="I285" i="17"/>
  <c r="I258" i="17"/>
  <c r="I42" i="17"/>
  <c r="K627" i="13"/>
  <c r="L247" i="13"/>
  <c r="N247" i="13"/>
  <c r="L46" i="13"/>
  <c r="K426" i="13"/>
  <c r="N46" i="13"/>
  <c r="I286" i="17"/>
  <c r="I529" i="17"/>
  <c r="I70" i="17"/>
  <c r="I448" i="17"/>
  <c r="I1015" i="17"/>
  <c r="N359" i="13"/>
  <c r="K739" i="13"/>
  <c r="L359" i="13"/>
  <c r="L344" i="13"/>
  <c r="N344" i="13"/>
  <c r="K724" i="13"/>
  <c r="L272" i="13"/>
  <c r="K652" i="13"/>
  <c r="N272" i="13"/>
  <c r="N194" i="13"/>
  <c r="K574" i="13"/>
  <c r="L194" i="13"/>
  <c r="K510" i="13"/>
  <c r="L130" i="13"/>
  <c r="N130" i="13"/>
  <c r="K717" i="13"/>
  <c r="L337" i="13"/>
  <c r="N337" i="13"/>
  <c r="I968" i="17"/>
  <c r="N315" i="13"/>
  <c r="K695" i="13"/>
  <c r="L315" i="13"/>
  <c r="K573" i="13"/>
  <c r="L193" i="13"/>
  <c r="N193" i="13"/>
  <c r="N129" i="13"/>
  <c r="K509" i="13"/>
  <c r="L129" i="13"/>
  <c r="I800" i="17"/>
  <c r="N75" i="13"/>
  <c r="K455" i="13"/>
  <c r="L75" i="13"/>
  <c r="I628" i="17"/>
  <c r="I466" i="17"/>
  <c r="I844" i="17"/>
  <c r="I817" i="17"/>
  <c r="I709" i="17"/>
  <c r="N11" i="13"/>
  <c r="L11" i="13"/>
  <c r="K391" i="13"/>
  <c r="I18" i="17"/>
  <c r="I388" i="17"/>
  <c r="I469" i="17"/>
  <c r="I631" i="17"/>
  <c r="I928" i="17"/>
  <c r="I955" i="17"/>
  <c r="L291" i="13"/>
  <c r="N291" i="13"/>
  <c r="K671" i="13"/>
  <c r="N311" i="13"/>
  <c r="K691" i="13"/>
  <c r="L311" i="13"/>
  <c r="N192" i="13"/>
  <c r="K572" i="13"/>
  <c r="L192" i="13"/>
  <c r="L128" i="13"/>
  <c r="N128" i="13"/>
  <c r="K508" i="13"/>
  <c r="N251" i="13"/>
  <c r="K631" i="13"/>
  <c r="L251" i="13"/>
  <c r="L307" i="13"/>
  <c r="N307" i="13"/>
  <c r="K687" i="13"/>
  <c r="N175" i="13"/>
  <c r="L175" i="13"/>
  <c r="K555" i="13"/>
  <c r="K491" i="13"/>
  <c r="N111" i="13"/>
  <c r="L111" i="13"/>
  <c r="I953" i="17"/>
  <c r="I359" i="17"/>
  <c r="N41" i="13"/>
  <c r="L41" i="13"/>
  <c r="K421" i="13"/>
  <c r="I193" i="17"/>
  <c r="I814" i="17"/>
  <c r="I409" i="17"/>
  <c r="I446" i="17"/>
  <c r="I527" i="17"/>
  <c r="I1013" i="17"/>
  <c r="I311" i="17"/>
  <c r="K611" i="13"/>
  <c r="N231" i="13"/>
  <c r="L231" i="13"/>
  <c r="L37" i="13"/>
  <c r="K417" i="13"/>
  <c r="N37" i="13"/>
  <c r="L333" i="13"/>
  <c r="K713" i="13"/>
  <c r="N333" i="13"/>
  <c r="K570" i="13"/>
  <c r="L190" i="13"/>
  <c r="N190" i="13"/>
  <c r="N126" i="13"/>
  <c r="K506" i="13"/>
  <c r="L126" i="13"/>
  <c r="K679" i="13"/>
  <c r="N299" i="13"/>
  <c r="L299" i="13"/>
  <c r="L189" i="13"/>
  <c r="K569" i="13"/>
  <c r="N189" i="13"/>
  <c r="N125" i="13"/>
  <c r="K505" i="13"/>
  <c r="L125" i="13"/>
  <c r="N325" i="13"/>
  <c r="L325" i="13"/>
  <c r="K705" i="13"/>
  <c r="K747" i="13"/>
  <c r="L367" i="13"/>
  <c r="N367" i="13"/>
  <c r="L317" i="13"/>
  <c r="K697" i="13"/>
  <c r="N317" i="13"/>
  <c r="K670" i="13"/>
  <c r="N290" i="13"/>
  <c r="L290" i="13"/>
  <c r="N186" i="13"/>
  <c r="K566" i="13"/>
  <c r="L186" i="13"/>
  <c r="K502" i="13"/>
  <c r="L122" i="13"/>
  <c r="N122" i="13"/>
  <c r="N235" i="13"/>
  <c r="L235" i="13"/>
  <c r="K615" i="13"/>
  <c r="N289" i="13"/>
  <c r="L289" i="13"/>
  <c r="K669" i="13"/>
  <c r="L169" i="13"/>
  <c r="N169" i="13"/>
  <c r="K549" i="13"/>
  <c r="K485" i="13"/>
  <c r="L105" i="13"/>
  <c r="N105" i="13"/>
  <c r="N99" i="13"/>
  <c r="K479" i="13"/>
  <c r="L99" i="13"/>
  <c r="K415" i="13"/>
  <c r="N35" i="13"/>
  <c r="L35" i="13"/>
  <c r="I1020" i="17"/>
  <c r="I75" i="17"/>
  <c r="I534" i="17"/>
  <c r="I156" i="17"/>
  <c r="K47" i="17"/>
  <c r="K925" i="17"/>
  <c r="K603" i="17"/>
  <c r="K93" i="17"/>
  <c r="K410" i="17"/>
  <c r="K170" i="17"/>
  <c r="K470" i="17"/>
  <c r="K957" i="17"/>
  <c r="K46" i="17"/>
  <c r="K319" i="17"/>
  <c r="K20" i="17"/>
  <c r="K469" i="17"/>
  <c r="K39" i="17"/>
  <c r="K778" i="17"/>
  <c r="K608" i="17"/>
  <c r="K131" i="17"/>
  <c r="K849" i="17"/>
  <c r="K449" i="17"/>
  <c r="K776" i="17"/>
  <c r="K383" i="17"/>
  <c r="K472" i="17"/>
  <c r="K466" i="17"/>
  <c r="K822" i="17"/>
  <c r="K311" i="17"/>
  <c r="K424" i="17"/>
  <c r="K445" i="17"/>
  <c r="K922" i="17"/>
  <c r="K497" i="17"/>
  <c r="K717" i="17"/>
  <c r="K442" i="17"/>
  <c r="K360" i="17"/>
  <c r="K19" i="17"/>
  <c r="K949" i="17"/>
  <c r="K611" i="17"/>
  <c r="K766" i="17"/>
  <c r="K71" i="17"/>
  <c r="K335" i="17"/>
  <c r="K952" i="17"/>
  <c r="K643" i="17"/>
  <c r="K791" i="17"/>
  <c r="K605" i="17"/>
  <c r="K1004" i="17"/>
  <c r="K12" i="17"/>
  <c r="K62" i="17"/>
  <c r="K572" i="17"/>
  <c r="K391" i="17"/>
  <c r="K723" i="17"/>
  <c r="K878" i="17"/>
  <c r="K257" i="17"/>
  <c r="K688" i="17"/>
  <c r="K654" i="17"/>
  <c r="K113" i="17"/>
  <c r="K879" i="17"/>
  <c r="K828" i="17"/>
  <c r="K37" i="17"/>
  <c r="K910" i="17"/>
  <c r="K642" i="17"/>
  <c r="K115" i="17"/>
  <c r="K178" i="17"/>
  <c r="K546" i="17"/>
  <c r="K263" i="17"/>
  <c r="K526" i="17"/>
  <c r="K36" i="17"/>
  <c r="K237" i="17"/>
  <c r="K1007" i="17"/>
  <c r="K614" i="17"/>
  <c r="K204" i="17"/>
  <c r="K382" i="17"/>
  <c r="K498" i="17"/>
  <c r="K803" i="17"/>
  <c r="K345" i="17"/>
  <c r="K1005" i="17"/>
  <c r="K229" i="17"/>
  <c r="K872" i="17"/>
  <c r="K409" i="17"/>
  <c r="K574" i="17"/>
  <c r="K819" i="17"/>
  <c r="K690" i="17"/>
  <c r="K964" i="17"/>
  <c r="O854" i="17"/>
  <c r="J854" i="17" s="1"/>
  <c r="R854" i="17" s="1"/>
  <c r="O665" i="17"/>
  <c r="J665" i="17" s="1"/>
  <c r="R665" i="17" s="1"/>
  <c r="O636" i="17"/>
  <c r="J636" i="17" s="1"/>
  <c r="O9" i="17"/>
  <c r="O94" i="17"/>
  <c r="J94" i="17" s="1"/>
  <c r="O885" i="17"/>
  <c r="J885" i="17" s="1"/>
  <c r="O1013" i="17"/>
  <c r="J1013" i="17" s="1"/>
  <c r="O679" i="17"/>
  <c r="J679" i="17" s="1"/>
  <c r="O687" i="17"/>
  <c r="J687" i="17" s="1"/>
  <c r="O227" i="17"/>
  <c r="J227" i="17" s="1"/>
  <c r="R227" i="17" s="1"/>
  <c r="O472" i="17"/>
  <c r="J472" i="17" s="1"/>
  <c r="R472" i="17" s="1"/>
  <c r="O899" i="17"/>
  <c r="J899" i="17" s="1"/>
  <c r="R899" i="17" s="1"/>
  <c r="O365" i="17"/>
  <c r="O10" i="17"/>
  <c r="J10" i="17" s="1"/>
  <c r="O92" i="17"/>
  <c r="J92" i="17" s="1"/>
  <c r="O585" i="17"/>
  <c r="J585" i="17" s="1"/>
  <c r="O799" i="17"/>
  <c r="J799" i="17" s="1"/>
  <c r="O691" i="17"/>
  <c r="J691" i="17" s="1"/>
  <c r="O438" i="17"/>
  <c r="J438" i="17" s="1"/>
  <c r="R438" i="17" s="1"/>
  <c r="O531" i="17"/>
  <c r="O522" i="17"/>
  <c r="J522" i="17" s="1"/>
  <c r="R522" i="17" s="1"/>
  <c r="O980" i="17"/>
  <c r="J980" i="17" s="1"/>
  <c r="R980" i="17" s="1"/>
  <c r="O172" i="17"/>
  <c r="J172" i="17" s="1"/>
  <c r="O344" i="17"/>
  <c r="O823" i="17"/>
  <c r="J823" i="17" s="1"/>
  <c r="R823" i="17" s="1"/>
  <c r="O451" i="17"/>
  <c r="J451" i="17" s="1"/>
  <c r="O690" i="17"/>
  <c r="J690" i="17" s="1"/>
  <c r="O936" i="17"/>
  <c r="O668" i="17"/>
  <c r="J668" i="17" s="1"/>
  <c r="O770" i="17"/>
  <c r="J770" i="17" s="1"/>
  <c r="O147" i="17"/>
  <c r="J147" i="17" s="1"/>
  <c r="O517" i="17"/>
  <c r="J517" i="17" s="1"/>
  <c r="O18" i="17"/>
  <c r="J18" i="17" s="1"/>
  <c r="O292" i="17"/>
  <c r="J292" i="17" s="1"/>
  <c r="O900" i="17"/>
  <c r="J900" i="17" s="1"/>
  <c r="R900" i="17" s="1"/>
  <c r="O993" i="17"/>
  <c r="J993" i="17" s="1"/>
  <c r="O639" i="17"/>
  <c r="J639" i="17" s="1"/>
  <c r="O745" i="17"/>
  <c r="J745" i="17" s="1"/>
  <c r="R745" i="17" s="1"/>
  <c r="O282" i="17"/>
  <c r="J282" i="17" s="1"/>
  <c r="O157" i="17"/>
  <c r="J157" i="17" s="1"/>
  <c r="R157" i="17" s="1"/>
  <c r="O85" i="17"/>
  <c r="J85" i="17" s="1"/>
  <c r="R85" i="17" s="1"/>
  <c r="O495" i="17"/>
  <c r="J495" i="17" s="1"/>
  <c r="R495" i="17" s="1"/>
  <c r="O395" i="17"/>
  <c r="J395" i="17" s="1"/>
  <c r="R395" i="17" s="1"/>
  <c r="O1016" i="17"/>
  <c r="J1016" i="17" s="1"/>
  <c r="R1016" i="17" s="1"/>
  <c r="O117" i="17"/>
  <c r="J117" i="17" s="1"/>
  <c r="R117" i="17" s="1"/>
  <c r="O940" i="17"/>
  <c r="J940" i="17" s="1"/>
  <c r="O360" i="17"/>
  <c r="J360" i="17" s="1"/>
  <c r="R360" i="17" s="1"/>
  <c r="O504" i="17"/>
  <c r="J504" i="17" s="1"/>
  <c r="O144" i="17"/>
  <c r="J144" i="17" s="1"/>
  <c r="R144" i="17" s="1"/>
  <c r="O72" i="17"/>
  <c r="J72" i="17" s="1"/>
  <c r="O306" i="17"/>
  <c r="J306" i="17" s="1"/>
  <c r="R306" i="17" s="1"/>
  <c r="O450" i="17"/>
  <c r="J450" i="17" s="1"/>
  <c r="O523" i="17"/>
  <c r="J523" i="17" s="1"/>
  <c r="O958" i="17"/>
  <c r="J958" i="17" s="1"/>
  <c r="R958" i="17" s="1"/>
  <c r="O855" i="17"/>
  <c r="J855" i="17" s="1"/>
  <c r="O548" i="17"/>
  <c r="J548" i="17" s="1"/>
  <c r="R548" i="17" s="1"/>
  <c r="O221" i="17"/>
  <c r="J221" i="17" s="1"/>
  <c r="R221" i="17" s="1"/>
  <c r="O939" i="17"/>
  <c r="J939" i="17" s="1"/>
  <c r="O74" i="17"/>
  <c r="J74" i="17" s="1"/>
  <c r="O600" i="17"/>
  <c r="J600" i="17" s="1"/>
  <c r="R600" i="17" s="1"/>
  <c r="O635" i="17"/>
  <c r="J635" i="17" s="1"/>
  <c r="O848" i="17"/>
  <c r="J848" i="17" s="1"/>
  <c r="R848" i="17" s="1"/>
  <c r="O910" i="17"/>
  <c r="J910" i="17" s="1"/>
  <c r="O914" i="17"/>
  <c r="J914" i="17" s="1"/>
  <c r="R914" i="17" s="1"/>
  <c r="O746" i="17"/>
  <c r="J746" i="17" s="1"/>
  <c r="R746" i="17" s="1"/>
  <c r="O907" i="17"/>
  <c r="J907" i="17" s="1"/>
  <c r="O155" i="17"/>
  <c r="J155" i="17" s="1"/>
  <c r="O439" i="17"/>
  <c r="J439" i="17" s="1"/>
  <c r="O546" i="17"/>
  <c r="J546" i="17" s="1"/>
  <c r="O251" i="17"/>
  <c r="J251" i="17" s="1"/>
  <c r="R251" i="17" s="1"/>
  <c r="O872" i="17"/>
  <c r="J872" i="17" s="1"/>
  <c r="R872" i="17" s="1"/>
  <c r="O125" i="17"/>
  <c r="J125" i="17" s="1"/>
  <c r="R125" i="17" s="1"/>
  <c r="O818" i="17"/>
  <c r="J818" i="17" s="1"/>
  <c r="R818" i="17" s="1"/>
  <c r="O492" i="17"/>
  <c r="J492" i="17" s="1"/>
  <c r="R492" i="17" s="1"/>
  <c r="O604" i="17"/>
  <c r="J604" i="17" s="1"/>
  <c r="O33" i="17"/>
  <c r="J33" i="17" s="1"/>
  <c r="R33" i="17" s="1"/>
  <c r="O356" i="17"/>
  <c r="J356" i="17" s="1"/>
  <c r="R356" i="17" s="1"/>
  <c r="O156" i="17"/>
  <c r="J156" i="17" s="1"/>
  <c r="O208" i="17"/>
  <c r="J208" i="17" s="1"/>
  <c r="O1007" i="17"/>
  <c r="J1007" i="17" s="1"/>
  <c r="R1007" i="17" s="1"/>
  <c r="O830" i="17"/>
  <c r="J830" i="17" s="1"/>
  <c r="O1006" i="17"/>
  <c r="J1006" i="17" s="1"/>
  <c r="O580" i="17"/>
  <c r="J580" i="17" s="1"/>
  <c r="R580" i="17" s="1"/>
  <c r="O930" i="17"/>
  <c r="J930" i="17" s="1"/>
  <c r="O229" i="17"/>
  <c r="J229" i="17" s="1"/>
  <c r="R229" i="17" s="1"/>
  <c r="O104" i="17"/>
  <c r="J104" i="17" s="1"/>
  <c r="R104" i="17" s="1"/>
  <c r="O1003" i="17"/>
  <c r="J1003" i="17" s="1"/>
  <c r="O733" i="17"/>
  <c r="J733" i="17" s="1"/>
  <c r="O655" i="17"/>
  <c r="J655" i="17" s="1"/>
  <c r="R655" i="17" s="1"/>
  <c r="O743" i="17"/>
  <c r="J743" i="17" s="1"/>
  <c r="O950" i="17"/>
  <c r="J950" i="17" s="1"/>
  <c r="R950" i="17" s="1"/>
  <c r="O46" i="17"/>
  <c r="J46" i="17" s="1"/>
  <c r="O289" i="17"/>
  <c r="J289" i="17" s="1"/>
  <c r="O366" i="17"/>
  <c r="J366" i="17" s="1"/>
  <c r="O561" i="17"/>
  <c r="J561" i="17" s="1"/>
  <c r="O979" i="17"/>
  <c r="J979" i="17" s="1"/>
  <c r="O207" i="17"/>
  <c r="J207" i="17" s="1"/>
  <c r="O45" i="17"/>
  <c r="J45" i="17" s="1"/>
  <c r="O65" i="17"/>
  <c r="J65" i="17" s="1"/>
  <c r="R65" i="17" s="1"/>
  <c r="O663" i="17"/>
  <c r="J663" i="17" s="1"/>
  <c r="O721" i="17"/>
  <c r="J721" i="17" s="1"/>
  <c r="O555" i="17"/>
  <c r="J555" i="17" s="1"/>
  <c r="O40" i="17"/>
  <c r="J40" i="17" s="1"/>
  <c r="R40" i="17" s="1"/>
  <c r="O633" i="17"/>
  <c r="J633" i="17" s="1"/>
  <c r="O99" i="17"/>
  <c r="J99" i="17" s="1"/>
  <c r="O992" i="17"/>
  <c r="J992" i="17" s="1"/>
  <c r="O725" i="17"/>
  <c r="J725" i="17" s="1"/>
  <c r="O554" i="17"/>
  <c r="O20" i="17"/>
  <c r="J20" i="17" s="1"/>
  <c r="O737" i="17"/>
  <c r="J737" i="17" s="1"/>
  <c r="R737" i="17" s="1"/>
  <c r="O644" i="17"/>
  <c r="J644" i="17" s="1"/>
  <c r="O116" i="17"/>
  <c r="J116" i="17" s="1"/>
  <c r="R116" i="17" s="1"/>
  <c r="O93" i="17"/>
  <c r="J93" i="17" s="1"/>
  <c r="O498" i="17"/>
  <c r="J498" i="17" s="1"/>
  <c r="O788" i="17"/>
  <c r="J788" i="17" s="1"/>
  <c r="R788" i="17" s="1"/>
  <c r="O369" i="17"/>
  <c r="J369" i="17" s="1"/>
  <c r="O534" i="17"/>
  <c r="J534" i="17" s="1"/>
  <c r="O247" i="17"/>
  <c r="J247" i="17" s="1"/>
  <c r="O428" i="17"/>
  <c r="J428" i="17" s="1"/>
  <c r="O69" i="17"/>
  <c r="O529" i="17"/>
  <c r="J529" i="17" s="1"/>
  <c r="O662" i="17"/>
  <c r="J662" i="17" s="1"/>
  <c r="O174" i="17"/>
  <c r="J174" i="17" s="1"/>
  <c r="O902" i="17"/>
  <c r="J902" i="17" s="1"/>
  <c r="O846" i="17"/>
  <c r="J846" i="17" s="1"/>
  <c r="R846" i="17" s="1"/>
  <c r="O209" i="17"/>
  <c r="J209" i="17" s="1"/>
  <c r="O265" i="17"/>
  <c r="J265" i="17" s="1"/>
  <c r="R265" i="17" s="1"/>
  <c r="O129" i="17"/>
  <c r="J129" i="17" s="1"/>
  <c r="R129" i="17" s="1"/>
  <c r="O67" i="17"/>
  <c r="J67" i="17" s="1"/>
  <c r="O476" i="17"/>
  <c r="J476" i="17" s="1"/>
  <c r="R476" i="17" s="1"/>
  <c r="O7" i="17"/>
  <c r="J7" i="17" s="1"/>
  <c r="O86" i="17"/>
  <c r="J86" i="17" s="1"/>
  <c r="R86" i="17" s="1"/>
  <c r="O804" i="17"/>
  <c r="J804" i="17" s="1"/>
  <c r="O962" i="17"/>
  <c r="J962" i="17" s="1"/>
  <c r="R962" i="17" s="1"/>
  <c r="O212" i="17"/>
  <c r="J212" i="17" s="1"/>
  <c r="R212" i="17" s="1"/>
  <c r="O367" i="17"/>
  <c r="J367" i="17" s="1"/>
  <c r="O625" i="17"/>
  <c r="J625" i="17" s="1"/>
  <c r="O76" i="17"/>
  <c r="J76" i="17" s="1"/>
  <c r="O641" i="17"/>
  <c r="J641" i="17" s="1"/>
  <c r="O467" i="17"/>
  <c r="J467" i="17" s="1"/>
  <c r="R467" i="17" s="1"/>
  <c r="O987" i="17"/>
  <c r="J987" i="17" s="1"/>
  <c r="O724" i="17"/>
  <c r="J724" i="17" s="1"/>
  <c r="R724" i="17" s="1"/>
  <c r="O995" i="17"/>
  <c r="J995" i="17" s="1"/>
  <c r="O772" i="17"/>
  <c r="J772" i="17" s="1"/>
  <c r="O669" i="17"/>
  <c r="J669" i="17" s="1"/>
  <c r="O256" i="17"/>
  <c r="J256" i="17" s="1"/>
  <c r="R256" i="17" s="1"/>
  <c r="O335" i="17"/>
  <c r="J335" i="17" s="1"/>
  <c r="R335" i="17" s="1"/>
  <c r="O115" i="17"/>
  <c r="J115" i="17" s="1"/>
  <c r="O827" i="17"/>
  <c r="J827" i="17" s="1"/>
  <c r="R827" i="17" s="1"/>
  <c r="O23" i="17"/>
  <c r="J23" i="17" s="1"/>
  <c r="O832" i="17"/>
  <c r="J832" i="17" s="1"/>
  <c r="R832" i="17" s="1"/>
  <c r="O828" i="17"/>
  <c r="J828" i="17" s="1"/>
  <c r="O938" i="17"/>
  <c r="J938" i="17" s="1"/>
  <c r="O671" i="17"/>
  <c r="J671" i="17" s="1"/>
  <c r="O123" i="17"/>
  <c r="O383" i="17"/>
  <c r="J383" i="17" s="1"/>
  <c r="R383" i="17" s="1"/>
  <c r="O124" i="17"/>
  <c r="J124" i="17" s="1"/>
  <c r="O254" i="17"/>
  <c r="J254" i="17" s="1"/>
  <c r="R254" i="17" s="1"/>
  <c r="O897" i="17"/>
  <c r="J897" i="17" s="1"/>
  <c r="R897" i="17" s="1"/>
  <c r="O225" i="17"/>
  <c r="J225" i="17" s="1"/>
  <c r="R225" i="17" s="1"/>
  <c r="O929" i="17"/>
  <c r="J929" i="17" s="1"/>
  <c r="R929" i="17" s="1"/>
  <c r="O274" i="17"/>
  <c r="J274" i="17" s="1"/>
  <c r="O617" i="17"/>
  <c r="J617" i="17" s="1"/>
  <c r="R617" i="17" s="1"/>
  <c r="O643" i="17"/>
  <c r="J643" i="17" s="1"/>
  <c r="O392" i="17"/>
  <c r="J392" i="17" s="1"/>
  <c r="O142" i="17"/>
  <c r="J142" i="17" s="1"/>
  <c r="O466" i="17"/>
  <c r="J466" i="17" s="1"/>
  <c r="O581" i="17"/>
  <c r="J581" i="17" s="1"/>
  <c r="O773" i="17"/>
  <c r="J773" i="17" s="1"/>
  <c r="R773" i="17" s="1"/>
  <c r="O629" i="17"/>
  <c r="J629" i="17" s="1"/>
  <c r="R629" i="17" s="1"/>
  <c r="O896" i="17"/>
  <c r="J896" i="17" s="1"/>
  <c r="R896" i="17" s="1"/>
  <c r="O612" i="17"/>
  <c r="J612" i="17" s="1"/>
  <c r="O303" i="17"/>
  <c r="J303" i="17" s="1"/>
  <c r="R303" i="17" s="1"/>
  <c r="O362" i="17"/>
  <c r="J362" i="17" s="1"/>
  <c r="O341" i="17"/>
  <c r="J341" i="17" s="1"/>
  <c r="R341" i="17" s="1"/>
  <c r="O87" i="17"/>
  <c r="J87" i="17" s="1"/>
  <c r="R87" i="17" s="1"/>
  <c r="O469" i="17"/>
  <c r="J469" i="17" s="1"/>
  <c r="O768" i="17"/>
  <c r="J768" i="17" s="1"/>
  <c r="O563" i="17"/>
  <c r="J563" i="17" s="1"/>
  <c r="R563" i="17" s="1"/>
  <c r="O908" i="17"/>
  <c r="J908" i="17" s="1"/>
  <c r="R908" i="17" s="1"/>
  <c r="O877" i="17"/>
  <c r="J877" i="17" s="1"/>
  <c r="O340" i="17"/>
  <c r="J340" i="17" s="1"/>
  <c r="O50" i="17"/>
  <c r="J50" i="17" s="1"/>
  <c r="O883" i="17"/>
  <c r="J883" i="17" s="1"/>
  <c r="O1022" i="17"/>
  <c r="J1022" i="17" s="1"/>
  <c r="O738" i="17"/>
  <c r="J738" i="17" s="1"/>
  <c r="R738" i="17" s="1"/>
  <c r="O634" i="17"/>
  <c r="J634" i="17" s="1"/>
  <c r="R634" i="17" s="1"/>
  <c r="O332" i="17"/>
  <c r="J332" i="17" s="1"/>
  <c r="R332" i="17" s="1"/>
  <c r="O881" i="17"/>
  <c r="J881" i="17" s="1"/>
  <c r="R881" i="17" s="1"/>
  <c r="O388" i="17"/>
  <c r="J388" i="17" s="1"/>
  <c r="R388" i="17" s="1"/>
  <c r="O602" i="17"/>
  <c r="J602" i="17" s="1"/>
  <c r="R602" i="17" s="1"/>
  <c r="O275" i="17"/>
  <c r="J275" i="17" s="1"/>
  <c r="R275" i="17" s="1"/>
  <c r="O293" i="17"/>
  <c r="J293" i="17" s="1"/>
  <c r="R293" i="17" s="1"/>
  <c r="O343" i="17"/>
  <c r="J343" i="17" s="1"/>
  <c r="O630" i="17"/>
  <c r="J630" i="17" s="1"/>
  <c r="R630" i="17" s="1"/>
  <c r="O712" i="17"/>
  <c r="J712" i="17" s="1"/>
  <c r="O800" i="17"/>
  <c r="J800" i="17" s="1"/>
  <c r="O613" i="17"/>
  <c r="J613" i="17" s="1"/>
  <c r="O334" i="17"/>
  <c r="J334" i="17" s="1"/>
  <c r="O13" i="17"/>
  <c r="J13" i="17" s="1"/>
  <c r="R13" i="17" s="1"/>
  <c r="O21" i="17"/>
  <c r="J21" i="17" s="1"/>
  <c r="O656" i="17"/>
  <c r="J656" i="17" s="1"/>
  <c r="R656" i="17" s="1"/>
  <c r="O657" i="17"/>
  <c r="J657" i="17" s="1"/>
  <c r="R657" i="17" s="1"/>
  <c r="O508" i="17"/>
  <c r="J508" i="17" s="1"/>
  <c r="O202" i="17"/>
  <c r="J202" i="17" s="1"/>
  <c r="O232" i="17"/>
  <c r="J232" i="17" s="1"/>
  <c r="O370" i="17"/>
  <c r="J370" i="17" s="1"/>
  <c r="O416" i="17"/>
  <c r="J416" i="17" s="1"/>
  <c r="O411" i="17"/>
  <c r="J411" i="17" s="1"/>
  <c r="R411" i="17" s="1"/>
  <c r="O199" i="17"/>
  <c r="J199" i="17" s="1"/>
  <c r="O713" i="17"/>
  <c r="O684" i="17"/>
  <c r="J684" i="17" s="1"/>
  <c r="R684" i="17" s="1"/>
  <c r="O922" i="17"/>
  <c r="J922" i="17" s="1"/>
  <c r="O695" i="17"/>
  <c r="J695" i="17" s="1"/>
  <c r="O482" i="17"/>
  <c r="J482" i="17" s="1"/>
  <c r="R482" i="17" s="1"/>
  <c r="O988" i="17"/>
  <c r="J988" i="17" s="1"/>
  <c r="O64" i="17"/>
  <c r="J64" i="17" s="1"/>
  <c r="O493" i="17"/>
  <c r="J493" i="17" s="1"/>
  <c r="O449" i="17"/>
  <c r="J449" i="17" s="1"/>
  <c r="R449" i="17" s="1"/>
  <c r="O734" i="17"/>
  <c r="J734" i="17" s="1"/>
  <c r="R734" i="17" s="1"/>
  <c r="O795" i="17"/>
  <c r="J795" i="17" s="1"/>
  <c r="O206" i="17"/>
  <c r="J206" i="17" s="1"/>
  <c r="R206" i="17" s="1"/>
  <c r="O626" i="17"/>
  <c r="J626" i="17" s="1"/>
  <c r="R626" i="17" s="1"/>
  <c r="O223" i="17"/>
  <c r="J223" i="17" s="1"/>
  <c r="O96" i="17"/>
  <c r="J96" i="17" s="1"/>
  <c r="O140" i="17"/>
  <c r="O763" i="17"/>
  <c r="J763" i="17" s="1"/>
  <c r="O584" i="17"/>
  <c r="J584" i="17" s="1"/>
  <c r="R584" i="17" s="1"/>
  <c r="O283" i="17"/>
  <c r="J283" i="17" s="1"/>
  <c r="O1014" i="17"/>
  <c r="J1014" i="17" s="1"/>
  <c r="O420" i="17"/>
  <c r="J420" i="17" s="1"/>
  <c r="O290" i="17"/>
  <c r="J290" i="17" s="1"/>
  <c r="R290" i="17" s="1"/>
  <c r="O90" i="17"/>
  <c r="J90" i="17" s="1"/>
  <c r="R90" i="17" s="1"/>
  <c r="O88" i="17"/>
  <c r="J88" i="17" s="1"/>
  <c r="O608" i="17"/>
  <c r="J608" i="17" s="1"/>
  <c r="O102" i="17"/>
  <c r="J102" i="17" s="1"/>
  <c r="O718" i="17"/>
  <c r="J718" i="17" s="1"/>
  <c r="O696" i="17"/>
  <c r="J696" i="17" s="1"/>
  <c r="O747" i="17"/>
  <c r="J747" i="17" s="1"/>
  <c r="O925" i="17"/>
  <c r="J925" i="17" s="1"/>
  <c r="O638" i="17"/>
  <c r="J638" i="17" s="1"/>
  <c r="R638" i="17" s="1"/>
  <c r="O120" i="17"/>
  <c r="J120" i="17" s="1"/>
  <c r="O198" i="17"/>
  <c r="J198" i="17" s="1"/>
  <c r="R198" i="17" s="1"/>
  <c r="O61" i="17"/>
  <c r="J61" i="17" s="1"/>
  <c r="O279" i="17"/>
  <c r="J279" i="17" s="1"/>
  <c r="R279" i="17" s="1"/>
  <c r="O447" i="17"/>
  <c r="J447" i="17" s="1"/>
  <c r="O714" i="17"/>
  <c r="J714" i="17" s="1"/>
  <c r="O603" i="17"/>
  <c r="J603" i="17" s="1"/>
  <c r="R603" i="17" s="1"/>
  <c r="O193" i="17"/>
  <c r="J193" i="17" s="1"/>
  <c r="O257" i="17"/>
  <c r="J257" i="17" s="1"/>
  <c r="O58" i="17"/>
  <c r="J58" i="17" s="1"/>
  <c r="O34" i="17"/>
  <c r="J34" i="17" s="1"/>
  <c r="O524" i="17"/>
  <c r="J524" i="17" s="1"/>
  <c r="R524" i="17" s="1"/>
  <c r="O97" i="17"/>
  <c r="J97" i="17" s="1"/>
  <c r="O419" i="17"/>
  <c r="J419" i="17" s="1"/>
  <c r="O779" i="17"/>
  <c r="J779" i="17" s="1"/>
  <c r="O802" i="17"/>
  <c r="J802" i="17" s="1"/>
  <c r="O986" i="17"/>
  <c r="J986" i="17" s="1"/>
  <c r="R986" i="17" s="1"/>
  <c r="O751" i="17"/>
  <c r="J751" i="17" s="1"/>
  <c r="R751" i="17" s="1"/>
  <c r="O709" i="17"/>
  <c r="J709" i="17" s="1"/>
  <c r="R709" i="17" s="1"/>
  <c r="O533" i="17"/>
  <c r="J533" i="17" s="1"/>
  <c r="O98" i="17"/>
  <c r="J98" i="17" s="1"/>
  <c r="R98" i="17" s="1"/>
  <c r="O331" i="17"/>
  <c r="J331" i="17" s="1"/>
  <c r="O337" i="17"/>
  <c r="O154" i="17"/>
  <c r="J154" i="17" s="1"/>
  <c r="O338" i="17"/>
  <c r="J338" i="17" s="1"/>
  <c r="O364" i="17"/>
  <c r="J364" i="17" s="1"/>
  <c r="R364" i="17" s="1"/>
  <c r="O941" i="17"/>
  <c r="J941" i="17" s="1"/>
  <c r="O519" i="17"/>
  <c r="J519" i="17" s="1"/>
  <c r="R519" i="17" s="1"/>
  <c r="O152" i="17"/>
  <c r="J152" i="17" s="1"/>
  <c r="R152" i="17" s="1"/>
  <c r="O789" i="17"/>
  <c r="O844" i="17"/>
  <c r="J844" i="17" s="1"/>
  <c r="O822" i="17"/>
  <c r="J822" i="17" s="1"/>
  <c r="O1017" i="17"/>
  <c r="J1017" i="17" s="1"/>
  <c r="R1017" i="17" s="1"/>
  <c r="O711" i="17"/>
  <c r="J711" i="17" s="1"/>
  <c r="R711" i="17" s="1"/>
  <c r="O706" i="17"/>
  <c r="J706" i="17" s="1"/>
  <c r="O960" i="17"/>
  <c r="J960" i="17" s="1"/>
  <c r="O814" i="17"/>
  <c r="J814" i="17" s="1"/>
  <c r="R814" i="17" s="1"/>
  <c r="O1008" i="17"/>
  <c r="J1008" i="17" s="1"/>
  <c r="R1008" i="17" s="1"/>
  <c r="O445" i="17"/>
  <c r="J445" i="17" s="1"/>
  <c r="R445" i="17" s="1"/>
  <c r="O200" i="17"/>
  <c r="J200" i="17" s="1"/>
  <c r="R200" i="17" s="1"/>
  <c r="O879" i="17"/>
  <c r="J879" i="17" s="1"/>
  <c r="O849" i="17"/>
  <c r="J849" i="17" s="1"/>
  <c r="R849" i="17" s="1"/>
  <c r="O448" i="17"/>
  <c r="J448" i="17" s="1"/>
  <c r="O173" i="17"/>
  <c r="J173" i="17" s="1"/>
  <c r="R173" i="17" s="1"/>
  <c r="O127" i="17"/>
  <c r="J127" i="17" s="1"/>
  <c r="O183" i="17"/>
  <c r="J183" i="17" s="1"/>
  <c r="O982" i="17"/>
  <c r="J982" i="17" s="1"/>
  <c r="O820" i="17"/>
  <c r="J820" i="17" s="1"/>
  <c r="R820" i="17" s="1"/>
  <c r="O801" i="17"/>
  <c r="J801" i="17" s="1"/>
  <c r="O15" i="17"/>
  <c r="J15" i="17" s="1"/>
  <c r="O661" i="17"/>
  <c r="J661" i="17" s="1"/>
  <c r="R661" i="17" s="1"/>
  <c r="O151" i="17"/>
  <c r="J151" i="17" s="1"/>
  <c r="O328" i="17"/>
  <c r="J328" i="17" s="1"/>
  <c r="O903" i="17"/>
  <c r="J903" i="17" s="1"/>
  <c r="O609" i="17"/>
  <c r="J609" i="17" s="1"/>
  <c r="O358" i="17"/>
  <c r="J358" i="17" s="1"/>
  <c r="O605" i="17"/>
  <c r="J605" i="17" s="1"/>
  <c r="R605" i="17" s="1"/>
  <c r="O252" i="17"/>
  <c r="J252" i="17" s="1"/>
  <c r="R252" i="17" s="1"/>
  <c r="O766" i="17"/>
  <c r="J766" i="17" s="1"/>
  <c r="O226" i="17"/>
  <c r="J226" i="17" s="1"/>
  <c r="O653" i="17"/>
  <c r="J653" i="17" s="1"/>
  <c r="R653" i="17" s="1"/>
  <c r="O500" i="17"/>
  <c r="J500" i="17" s="1"/>
  <c r="R500" i="17" s="1"/>
  <c r="O858" i="17"/>
  <c r="J858" i="17" s="1"/>
  <c r="O285" i="17"/>
  <c r="J285" i="17" s="1"/>
  <c r="O470" i="17"/>
  <c r="J470" i="17" s="1"/>
  <c r="R470" i="17" s="1"/>
  <c r="O113" i="17"/>
  <c r="J113" i="17" s="1"/>
  <c r="R113" i="17" s="1"/>
  <c r="O211" i="17"/>
  <c r="J211" i="17" s="1"/>
  <c r="R211" i="17" s="1"/>
  <c r="O197" i="17"/>
  <c r="J197" i="17" s="1"/>
  <c r="O291" i="17"/>
  <c r="J291" i="17" s="1"/>
  <c r="O968" i="17"/>
  <c r="J968" i="17" s="1"/>
  <c r="O481" i="17"/>
  <c r="J481" i="17" s="1"/>
  <c r="O717" i="17"/>
  <c r="J717" i="17" s="1"/>
  <c r="O750" i="17"/>
  <c r="J750" i="17" s="1"/>
  <c r="O598" i="17"/>
  <c r="J598" i="17" s="1"/>
  <c r="O660" i="17"/>
  <c r="J660" i="17" s="1"/>
  <c r="O425" i="17"/>
  <c r="J425" i="17" s="1"/>
  <c r="O330" i="17"/>
  <c r="J330" i="17" s="1"/>
  <c r="R330" i="17" s="1"/>
  <c r="O372" i="17"/>
  <c r="J372" i="17" s="1"/>
  <c r="O816" i="17"/>
  <c r="J816" i="17" s="1"/>
  <c r="R816" i="17" s="1"/>
  <c r="O588" i="17"/>
  <c r="J588" i="17" s="1"/>
  <c r="R588" i="17" s="1"/>
  <c r="O977" i="17"/>
  <c r="J977" i="17" s="1"/>
  <c r="R977" i="17" s="1"/>
  <c r="O228" i="17"/>
  <c r="J228" i="17" s="1"/>
  <c r="O859" i="17"/>
  <c r="J859" i="17" s="1"/>
  <c r="R859" i="17" s="1"/>
  <c r="O182" i="17"/>
  <c r="J182" i="17" s="1"/>
  <c r="O628" i="17"/>
  <c r="J628" i="17" s="1"/>
  <c r="O951" i="17"/>
  <c r="J951" i="17" s="1"/>
  <c r="R951" i="17" s="1"/>
  <c r="O37" i="17"/>
  <c r="J37" i="17" s="1"/>
  <c r="O882" i="17"/>
  <c r="J882" i="17" s="1"/>
  <c r="O841" i="17"/>
  <c r="J841" i="17" s="1"/>
  <c r="O409" i="17"/>
  <c r="J409" i="17" s="1"/>
  <c r="O572" i="17"/>
  <c r="J572" i="17" s="1"/>
  <c r="R572" i="17" s="1"/>
  <c r="O316" i="17"/>
  <c r="J316" i="17" s="1"/>
  <c r="O230" i="17"/>
  <c r="J230" i="17" s="1"/>
  <c r="O494" i="17"/>
  <c r="J494" i="17" s="1"/>
  <c r="R494" i="17" s="1"/>
  <c r="O616" i="17"/>
  <c r="J616" i="17" s="1"/>
  <c r="R616" i="17" s="1"/>
  <c r="O278" i="17"/>
  <c r="J278" i="17" s="1"/>
  <c r="R278" i="17" s="1"/>
  <c r="O143" i="17"/>
  <c r="J143" i="17" s="1"/>
  <c r="O829" i="17"/>
  <c r="J829" i="17" s="1"/>
  <c r="O1011" i="17"/>
  <c r="J1011" i="17" s="1"/>
  <c r="O931" i="17"/>
  <c r="J931" i="17" s="1"/>
  <c r="R931" i="17" s="1"/>
  <c r="O549" i="17"/>
  <c r="J549" i="17" s="1"/>
  <c r="R549" i="17" s="1"/>
  <c r="O59" i="17"/>
  <c r="J59" i="17" s="1"/>
  <c r="O114" i="17"/>
  <c r="J114" i="17" s="1"/>
  <c r="R114" i="17" s="1"/>
  <c r="O345" i="17"/>
  <c r="J345" i="17" s="1"/>
  <c r="O1010" i="17"/>
  <c r="J1010" i="17" s="1"/>
  <c r="R1010" i="17" s="1"/>
  <c r="O790" i="17"/>
  <c r="J790" i="17" s="1"/>
  <c r="O845" i="17"/>
  <c r="J845" i="17" s="1"/>
  <c r="R845" i="17" s="1"/>
  <c r="O146" i="17"/>
  <c r="J146" i="17" s="1"/>
  <c r="R146" i="17" s="1"/>
  <c r="O887" i="17"/>
  <c r="J887" i="17" s="1"/>
  <c r="O935" i="17"/>
  <c r="J935" i="17" s="1"/>
  <c r="R935" i="17" s="1"/>
  <c r="O912" i="17"/>
  <c r="J912" i="17" s="1"/>
  <c r="O401" i="17"/>
  <c r="J401" i="17" s="1"/>
  <c r="R401" i="17" s="1"/>
  <c r="O490" i="17"/>
  <c r="J490" i="17" s="1"/>
  <c r="O497" i="17"/>
  <c r="J497" i="17" s="1"/>
  <c r="R497" i="17" s="1"/>
  <c r="O853" i="17"/>
  <c r="J853" i="17" s="1"/>
  <c r="O976" i="17"/>
  <c r="J976" i="17" s="1"/>
  <c r="O913" i="17"/>
  <c r="J913" i="17" s="1"/>
  <c r="R913" i="17" s="1"/>
  <c r="O394" i="17"/>
  <c r="J394" i="17" s="1"/>
  <c r="R394" i="17" s="1"/>
  <c r="O319" i="17"/>
  <c r="J319" i="17" s="1"/>
  <c r="O654" i="17"/>
  <c r="J654" i="17" s="1"/>
  <c r="O985" i="17"/>
  <c r="O904" i="17"/>
  <c r="J904" i="17" s="1"/>
  <c r="R904" i="17" s="1"/>
  <c r="O991" i="17"/>
  <c r="J991" i="17" s="1"/>
  <c r="O14" i="17"/>
  <c r="J14" i="17" s="1"/>
  <c r="O664" i="17"/>
  <c r="J664" i="17" s="1"/>
  <c r="R664" i="17" s="1"/>
  <c r="O194" i="17"/>
  <c r="J194" i="17" s="1"/>
  <c r="R194" i="17" s="1"/>
  <c r="O871" i="17"/>
  <c r="J871" i="17" s="1"/>
  <c r="O926" i="17"/>
  <c r="J926" i="17" s="1"/>
  <c r="R926" i="17" s="1"/>
  <c r="O357" i="17"/>
  <c r="J357" i="17" s="1"/>
  <c r="R357" i="17" s="1"/>
  <c r="O464" i="17"/>
  <c r="J464" i="17" s="1"/>
  <c r="R464" i="17" s="1"/>
  <c r="O48" i="17"/>
  <c r="J48" i="17" s="1"/>
  <c r="O184" i="17"/>
  <c r="J184" i="17" s="1"/>
  <c r="R184" i="17" s="1"/>
  <c r="O413" i="17"/>
  <c r="J413" i="17" s="1"/>
  <c r="O499" i="17"/>
  <c r="J499" i="17" s="1"/>
  <c r="O1012" i="17"/>
  <c r="J1012" i="17" s="1"/>
  <c r="O689" i="17"/>
  <c r="J689" i="17" s="1"/>
  <c r="R689" i="17" s="1"/>
  <c r="O852" i="17"/>
  <c r="J852" i="17" s="1"/>
  <c r="O720" i="17"/>
  <c r="J720" i="17" s="1"/>
  <c r="O806" i="17"/>
  <c r="J806" i="17" s="1"/>
  <c r="R806" i="17" s="1"/>
  <c r="O418" i="17"/>
  <c r="J418" i="17" s="1"/>
  <c r="R418" i="17" s="1"/>
  <c r="O41" i="17"/>
  <c r="J41" i="17" s="1"/>
  <c r="O153" i="17"/>
  <c r="J153" i="17" s="1"/>
  <c r="O873" i="17"/>
  <c r="J873" i="17" s="1"/>
  <c r="R873" i="17" s="1"/>
  <c r="O573" i="17"/>
  <c r="J573" i="17" s="1"/>
  <c r="R573" i="17" s="1"/>
  <c r="O5" i="17"/>
  <c r="J5" i="17" s="1"/>
  <c r="O826" i="17"/>
  <c r="J826" i="17" s="1"/>
  <c r="O442" i="17"/>
  <c r="J442" i="17" s="1"/>
  <c r="O371" i="17"/>
  <c r="J371" i="17" s="1"/>
  <c r="O280" i="17"/>
  <c r="J280" i="17" s="1"/>
  <c r="O248" i="17"/>
  <c r="J248" i="17" s="1"/>
  <c r="R248" i="17" s="1"/>
  <c r="O8" i="17"/>
  <c r="J8" i="17" s="1"/>
  <c r="O166" i="17"/>
  <c r="J166" i="17" s="1"/>
  <c r="R166" i="17" s="1"/>
  <c r="O168" i="17"/>
  <c r="J168" i="17" s="1"/>
  <c r="R168" i="17" s="1"/>
  <c r="O978" i="17"/>
  <c r="J978" i="17" s="1"/>
  <c r="R978" i="17" s="1"/>
  <c r="O551" i="17"/>
  <c r="J551" i="17" s="1"/>
  <c r="R551" i="17" s="1"/>
  <c r="O579" i="17"/>
  <c r="J579" i="17" s="1"/>
  <c r="R579" i="17" s="1"/>
  <c r="O417" i="17"/>
  <c r="J417" i="17" s="1"/>
  <c r="O389" i="17"/>
  <c r="J389" i="17" s="1"/>
  <c r="R389" i="17" s="1"/>
  <c r="O437" i="17"/>
  <c r="J437" i="17" s="1"/>
  <c r="R437" i="17" s="1"/>
  <c r="O62" i="17"/>
  <c r="J62" i="17" s="1"/>
  <c r="R62" i="17" s="1"/>
  <c r="O38" i="17"/>
  <c r="J38" i="17" s="1"/>
  <c r="R38" i="17" s="1"/>
  <c r="O961" i="17"/>
  <c r="J961" i="17" s="1"/>
  <c r="O722" i="17"/>
  <c r="J722" i="17" s="1"/>
  <c r="O91" i="17"/>
  <c r="J91" i="17" s="1"/>
  <c r="O150" i="17"/>
  <c r="J150" i="17" s="1"/>
  <c r="O682" i="17"/>
  <c r="J682" i="17" s="1"/>
  <c r="O526" i="17"/>
  <c r="J526" i="17" s="1"/>
  <c r="R526" i="17" s="1"/>
  <c r="O480" i="17"/>
  <c r="J480" i="17" s="1"/>
  <c r="O250" i="17"/>
  <c r="J250" i="17" s="1"/>
  <c r="O6" i="17"/>
  <c r="J6" i="17" s="1"/>
  <c r="R6" i="17" s="1"/>
  <c r="O70" i="17"/>
  <c r="J70" i="17" s="1"/>
  <c r="O1018" i="17"/>
  <c r="J1018" i="17" s="1"/>
  <c r="O1021" i="17"/>
  <c r="J1021" i="17" s="1"/>
  <c r="O308" i="17"/>
  <c r="J308" i="17" s="1"/>
  <c r="R308" i="17" s="1"/>
  <c r="O825" i="17"/>
  <c r="J825" i="17" s="1"/>
  <c r="O139" i="17"/>
  <c r="J139" i="17" s="1"/>
  <c r="R139" i="17" s="1"/>
  <c r="O518" i="17"/>
  <c r="J518" i="17" s="1"/>
  <c r="R518" i="17" s="1"/>
  <c r="O304" i="17"/>
  <c r="J304" i="17" s="1"/>
  <c r="O642" i="17"/>
  <c r="J642" i="17" s="1"/>
  <c r="O1015" i="17"/>
  <c r="J1015" i="17" s="1"/>
  <c r="O949" i="17"/>
  <c r="J949" i="17" s="1"/>
  <c r="O984" i="17"/>
  <c r="J984" i="17" s="1"/>
  <c r="O281" i="17"/>
  <c r="J281" i="17" s="1"/>
  <c r="R281" i="17" s="1"/>
  <c r="O391" i="17"/>
  <c r="J391" i="17" s="1"/>
  <c r="O505" i="17"/>
  <c r="J505" i="17" s="1"/>
  <c r="O453" i="17"/>
  <c r="J453" i="17" s="1"/>
  <c r="O659" i="17"/>
  <c r="J659" i="17" s="1"/>
  <c r="R659" i="17" s="1"/>
  <c r="O260" i="17"/>
  <c r="J260" i="17" s="1"/>
  <c r="R260" i="17" s="1"/>
  <c r="O698" i="17"/>
  <c r="J698" i="17" s="1"/>
  <c r="O911" i="17"/>
  <c r="J911" i="17" s="1"/>
  <c r="O777" i="17"/>
  <c r="J777" i="17" s="1"/>
  <c r="O697" i="17"/>
  <c r="J697" i="17" s="1"/>
  <c r="R697" i="17" s="1"/>
  <c r="O552" i="17"/>
  <c r="J552" i="17" s="1"/>
  <c r="O856" i="17"/>
  <c r="J856" i="17" s="1"/>
  <c r="O752" i="17"/>
  <c r="J752" i="17" s="1"/>
  <c r="R752" i="17" s="1"/>
  <c r="O870" i="17"/>
  <c r="J870" i="17" s="1"/>
  <c r="R870" i="17" s="1"/>
  <c r="O422" i="17"/>
  <c r="J422" i="17" s="1"/>
  <c r="R422" i="17" s="1"/>
  <c r="O126" i="17"/>
  <c r="J126" i="17" s="1"/>
  <c r="O615" i="17"/>
  <c r="J615" i="17" s="1"/>
  <c r="O957" i="17"/>
  <c r="J957" i="17" s="1"/>
  <c r="O774" i="17"/>
  <c r="J774" i="17" s="1"/>
  <c r="O478" i="17"/>
  <c r="J478" i="17" s="1"/>
  <c r="O412" i="17"/>
  <c r="J412" i="17" s="1"/>
  <c r="O688" i="17"/>
  <c r="J688" i="17" s="1"/>
  <c r="R688" i="17" s="1"/>
  <c r="O851" i="17"/>
  <c r="J851" i="17" s="1"/>
  <c r="O317" i="17"/>
  <c r="J317" i="17" s="1"/>
  <c r="O694" i="17"/>
  <c r="J694" i="17" s="1"/>
  <c r="R694" i="17" s="1"/>
  <c r="O175" i="17"/>
  <c r="J175" i="17" s="1"/>
  <c r="O43" i="17"/>
  <c r="J43" i="17" s="1"/>
  <c r="R43" i="17" s="1"/>
  <c r="O329" i="17"/>
  <c r="J329" i="17" s="1"/>
  <c r="R329" i="17" s="1"/>
  <c r="O658" i="17"/>
  <c r="J658" i="17" s="1"/>
  <c r="O261" i="17"/>
  <c r="J261" i="17" s="1"/>
  <c r="O315" i="17"/>
  <c r="J315" i="17" s="1"/>
  <c r="O762" i="17"/>
  <c r="J762" i="17" s="1"/>
  <c r="R762" i="17" s="1"/>
  <c r="O1020" i="17"/>
  <c r="J1020" i="17" s="1"/>
  <c r="O965" i="17"/>
  <c r="J965" i="17" s="1"/>
  <c r="O231" i="17"/>
  <c r="J231" i="17" s="1"/>
  <c r="O385" i="17"/>
  <c r="J385" i="17" s="1"/>
  <c r="O68" i="17"/>
  <c r="J68" i="17" s="1"/>
  <c r="O237" i="17"/>
  <c r="J237" i="17" s="1"/>
  <c r="O176" i="17"/>
  <c r="J176" i="17" s="1"/>
  <c r="O666" i="17"/>
  <c r="J666" i="17" s="1"/>
  <c r="O708" i="17"/>
  <c r="J708" i="17" s="1"/>
  <c r="R708" i="17" s="1"/>
  <c r="O1005" i="17"/>
  <c r="J1005" i="17" s="1"/>
  <c r="R1005" i="17" s="1"/>
  <c r="O118" i="17"/>
  <c r="J118" i="17" s="1"/>
  <c r="R118" i="17" s="1"/>
  <c r="O582" i="17"/>
  <c r="J582" i="17" s="1"/>
  <c r="O441" i="17"/>
  <c r="J441" i="17" s="1"/>
  <c r="R441" i="17" s="1"/>
  <c r="O496" i="17"/>
  <c r="J496" i="17" s="1"/>
  <c r="O122" i="17"/>
  <c r="J122" i="17" s="1"/>
  <c r="O259" i="17"/>
  <c r="J259" i="17" s="1"/>
  <c r="O740" i="17"/>
  <c r="J740" i="17" s="1"/>
  <c r="R740" i="17" s="1"/>
  <c r="O906" i="17"/>
  <c r="J906" i="17" s="1"/>
  <c r="O465" i="17"/>
  <c r="J465" i="17" s="1"/>
  <c r="R465" i="17" s="1"/>
  <c r="O932" i="17"/>
  <c r="J932" i="17" s="1"/>
  <c r="O426" i="17"/>
  <c r="J426" i="17" s="1"/>
  <c r="O410" i="17"/>
  <c r="J410" i="17" s="1"/>
  <c r="R410" i="17" s="1"/>
  <c r="O236" i="17"/>
  <c r="J236" i="17" s="1"/>
  <c r="O318" i="17"/>
  <c r="J318" i="17" s="1"/>
  <c r="O276" i="17"/>
  <c r="J276" i="17" s="1"/>
  <c r="R276" i="17" s="1"/>
  <c r="O715" i="17"/>
  <c r="J715" i="17" s="1"/>
  <c r="R715" i="17" s="1"/>
  <c r="O455" i="17"/>
  <c r="J455" i="17" s="1"/>
  <c r="O833" i="17"/>
  <c r="J833" i="17" s="1"/>
  <c r="R833" i="17" s="1"/>
  <c r="O895" i="17"/>
  <c r="J895" i="17" s="1"/>
  <c r="O778" i="17"/>
  <c r="J778" i="17" s="1"/>
  <c r="O557" i="17"/>
  <c r="J557" i="17" s="1"/>
  <c r="R557" i="17" s="1"/>
  <c r="O141" i="17"/>
  <c r="J141" i="17" s="1"/>
  <c r="R141" i="17" s="1"/>
  <c r="O527" i="17"/>
  <c r="J527" i="17" s="1"/>
  <c r="O119" i="17"/>
  <c r="J119" i="17" s="1"/>
  <c r="R119" i="17" s="1"/>
  <c r="O446" i="17"/>
  <c r="J446" i="17" s="1"/>
  <c r="O748" i="17"/>
  <c r="J748" i="17" s="1"/>
  <c r="O792" i="17"/>
  <c r="J792" i="17" s="1"/>
  <c r="R792" i="17" s="1"/>
  <c r="O723" i="17"/>
  <c r="J723" i="17" s="1"/>
  <c r="O427" i="17"/>
  <c r="J427" i="17" s="1"/>
  <c r="O525" i="17"/>
  <c r="J525" i="17" s="1"/>
  <c r="O536" i="17"/>
  <c r="J536" i="17" s="1"/>
  <c r="R536" i="17" s="1"/>
  <c r="O77" i="17"/>
  <c r="J77" i="17" s="1"/>
  <c r="R77" i="17" s="1"/>
  <c r="O286" i="17"/>
  <c r="J286" i="17" s="1"/>
  <c r="O31" i="17"/>
  <c r="J31" i="17" s="1"/>
  <c r="O847" i="17"/>
  <c r="J847" i="17" s="1"/>
  <c r="O553" i="17"/>
  <c r="J553" i="17" s="1"/>
  <c r="R553" i="17" s="1"/>
  <c r="O819" i="17"/>
  <c r="J819" i="17" s="1"/>
  <c r="R819" i="17" s="1"/>
  <c r="O805" i="17"/>
  <c r="J805" i="17" s="1"/>
  <c r="R805" i="17" s="1"/>
  <c r="O796" i="17"/>
  <c r="J796" i="17" s="1"/>
  <c r="R796" i="17" s="1"/>
  <c r="O473" i="17"/>
  <c r="J473" i="17" s="1"/>
  <c r="O333" i="17"/>
  <c r="J333" i="17" s="1"/>
  <c r="R333" i="17" s="1"/>
  <c r="O339" i="17"/>
  <c r="J339" i="17" s="1"/>
  <c r="O71" i="17"/>
  <c r="J71" i="17" s="1"/>
  <c r="R71" i="17" s="1"/>
  <c r="O373" i="17"/>
  <c r="J373" i="17" s="1"/>
  <c r="R373" i="17" s="1"/>
  <c r="O301" i="17"/>
  <c r="J301" i="17" s="1"/>
  <c r="O994" i="17"/>
  <c r="J994" i="17" s="1"/>
  <c r="O765" i="17"/>
  <c r="J765" i="17" s="1"/>
  <c r="R765" i="17" s="1"/>
  <c r="O850" i="17"/>
  <c r="J850" i="17" s="1"/>
  <c r="O652" i="17"/>
  <c r="J652" i="17" s="1"/>
  <c r="O521" i="17"/>
  <c r="J521" i="17" s="1"/>
  <c r="O22" i="17"/>
  <c r="J22" i="17" s="1"/>
  <c r="O393" i="17"/>
  <c r="J393" i="17" s="1"/>
  <c r="O905" i="17"/>
  <c r="J905" i="17" s="1"/>
  <c r="O716" i="17"/>
  <c r="J716" i="17" s="1"/>
  <c r="O262" i="17"/>
  <c r="J262" i="17" s="1"/>
  <c r="O611" i="17"/>
  <c r="J611" i="17" s="1"/>
  <c r="R611" i="17" s="1"/>
  <c r="O637" i="17"/>
  <c r="J637" i="17" s="1"/>
  <c r="O238" i="17"/>
  <c r="J238" i="17" s="1"/>
  <c r="R238" i="17" s="1"/>
  <c r="O128" i="17"/>
  <c r="J128" i="17" s="1"/>
  <c r="O927" i="17"/>
  <c r="J927" i="17" s="1"/>
  <c r="R927" i="17" s="1"/>
  <c r="O681" i="17"/>
  <c r="J681" i="17" s="1"/>
  <c r="O614" i="17"/>
  <c r="J614" i="17" s="1"/>
  <c r="R614" i="17" s="1"/>
  <c r="O32" i="17"/>
  <c r="J32" i="17" s="1"/>
  <c r="R32" i="17" s="1"/>
  <c r="O791" i="17"/>
  <c r="J791" i="17" s="1"/>
  <c r="R791" i="17" s="1"/>
  <c r="O953" i="17"/>
  <c r="J953" i="17" s="1"/>
  <c r="O707" i="17"/>
  <c r="J707" i="17" s="1"/>
  <c r="R707" i="17" s="1"/>
  <c r="O741" i="17"/>
  <c r="J741" i="17" s="1"/>
  <c r="O35" i="17"/>
  <c r="J35" i="17" s="1"/>
  <c r="R35" i="17" s="1"/>
  <c r="O100" i="17"/>
  <c r="J100" i="17" s="1"/>
  <c r="O532" i="17"/>
  <c r="J532" i="17" s="1"/>
  <c r="O386" i="17"/>
  <c r="J386" i="17" s="1"/>
  <c r="R386" i="17" s="1"/>
  <c r="O794" i="17"/>
  <c r="J794" i="17" s="1"/>
  <c r="R794" i="17" s="1"/>
  <c r="O181" i="17"/>
  <c r="J181" i="17" s="1"/>
  <c r="O423" i="17"/>
  <c r="J423" i="17" s="1"/>
  <c r="O95" i="17"/>
  <c r="J95" i="17" s="1"/>
  <c r="O857" i="17"/>
  <c r="J857" i="17" s="1"/>
  <c r="O577" i="17"/>
  <c r="J577" i="17" s="1"/>
  <c r="O277" i="17"/>
  <c r="J277" i="17" s="1"/>
  <c r="O253" i="17"/>
  <c r="J253" i="17" s="1"/>
  <c r="O744" i="17"/>
  <c r="J744" i="17" s="1"/>
  <c r="O544" i="17"/>
  <c r="J544" i="17" s="1"/>
  <c r="O640" i="17"/>
  <c r="J640" i="17" s="1"/>
  <c r="O415" i="17"/>
  <c r="J415" i="17" s="1"/>
  <c r="O167" i="17"/>
  <c r="J167" i="17" s="1"/>
  <c r="R167" i="17" s="1"/>
  <c r="O103" i="17"/>
  <c r="J103" i="17" s="1"/>
  <c r="R103" i="17" s="1"/>
  <c r="O414" i="17"/>
  <c r="J414" i="17" s="1"/>
  <c r="R414" i="17" s="1"/>
  <c r="O983" i="17"/>
  <c r="J983" i="17" s="1"/>
  <c r="R983" i="17" s="1"/>
  <c r="O556" i="17"/>
  <c r="J556" i="17" s="1"/>
  <c r="O923" i="17"/>
  <c r="J923" i="17" s="1"/>
  <c r="R923" i="17" s="1"/>
  <c r="O736" i="17"/>
  <c r="J736" i="17" s="1"/>
  <c r="R736" i="17" s="1"/>
  <c r="O347" i="17"/>
  <c r="J347" i="17" s="1"/>
  <c r="O12" i="17"/>
  <c r="J12" i="17" s="1"/>
  <c r="O576" i="17"/>
  <c r="J576" i="17" s="1"/>
  <c r="R576" i="17" s="1"/>
  <c r="O954" i="17"/>
  <c r="J954" i="17" s="1"/>
  <c r="R954" i="17" s="1"/>
  <c r="O89" i="17"/>
  <c r="J89" i="17" s="1"/>
  <c r="R89" i="17" s="1"/>
  <c r="O180" i="17"/>
  <c r="J180" i="17" s="1"/>
  <c r="O535" i="17"/>
  <c r="J535" i="17" s="1"/>
  <c r="O169" i="17"/>
  <c r="J169" i="17" s="1"/>
  <c r="O44" i="17"/>
  <c r="J44" i="17" s="1"/>
  <c r="R44" i="17" s="1"/>
  <c r="O112" i="17"/>
  <c r="J112" i="17" s="1"/>
  <c r="O235" i="17"/>
  <c r="J235" i="17" s="1"/>
  <c r="O776" i="17"/>
  <c r="J776" i="17" s="1"/>
  <c r="O928" i="17"/>
  <c r="J928" i="17" s="1"/>
  <c r="R928" i="17" s="1"/>
  <c r="O874" i="17"/>
  <c r="J874" i="17" s="1"/>
  <c r="O955" i="17"/>
  <c r="J955" i="17" s="1"/>
  <c r="O793" i="17"/>
  <c r="J793" i="17" s="1"/>
  <c r="O363" i="17"/>
  <c r="J363" i="17" s="1"/>
  <c r="O503" i="17"/>
  <c r="J503" i="17" s="1"/>
  <c r="R503" i="17" s="1"/>
  <c r="O16" i="17"/>
  <c r="J16" i="17" s="1"/>
  <c r="R16" i="17" s="1"/>
  <c r="O424" i="17"/>
  <c r="J424" i="17" s="1"/>
  <c r="O342" i="17"/>
  <c r="J342" i="17" s="1"/>
  <c r="O937" i="17"/>
  <c r="J937" i="17" s="1"/>
  <c r="O842" i="17"/>
  <c r="J842" i="17" s="1"/>
  <c r="R842" i="17" s="1"/>
  <c r="O313" i="17"/>
  <c r="J313" i="17" s="1"/>
  <c r="O463" i="17"/>
  <c r="J463" i="17" s="1"/>
  <c r="O471" i="17"/>
  <c r="J471" i="17" s="1"/>
  <c r="R471" i="17" s="1"/>
  <c r="O670" i="17"/>
  <c r="J670" i="17" s="1"/>
  <c r="R670" i="17" s="1"/>
  <c r="O559" i="17"/>
  <c r="J559" i="17" s="1"/>
  <c r="O452" i="17"/>
  <c r="J452" i="17" s="1"/>
  <c r="O4" i="17"/>
  <c r="J4" i="17" s="1"/>
  <c r="O148" i="17"/>
  <c r="J148" i="17" s="1"/>
  <c r="R148" i="17" s="1"/>
  <c r="O312" i="17"/>
  <c r="J312" i="17" s="1"/>
  <c r="O627" i="17"/>
  <c r="J627" i="17" s="1"/>
  <c r="R627" i="17" s="1"/>
  <c r="O468" i="17"/>
  <c r="J468" i="17" s="1"/>
  <c r="R468" i="17" s="1"/>
  <c r="O601" i="17"/>
  <c r="J601" i="17" s="1"/>
  <c r="O130" i="17"/>
  <c r="J130" i="17" s="1"/>
  <c r="R130" i="17" s="1"/>
  <c r="O49" i="17"/>
  <c r="J49" i="17" s="1"/>
  <c r="R49" i="17" s="1"/>
  <c r="O203" i="17"/>
  <c r="J203" i="17" s="1"/>
  <c r="O571" i="17"/>
  <c r="J571" i="17" s="1"/>
  <c r="R571" i="17" s="1"/>
  <c r="O933" i="17"/>
  <c r="J933" i="17" s="1"/>
  <c r="O824" i="17"/>
  <c r="J824" i="17" s="1"/>
  <c r="O803" i="17"/>
  <c r="J803" i="17" s="1"/>
  <c r="O875" i="17"/>
  <c r="J875" i="17" s="1"/>
  <c r="R875" i="17" s="1"/>
  <c r="O149" i="17"/>
  <c r="J149" i="17" s="1"/>
  <c r="O179" i="17"/>
  <c r="J179" i="17" s="1"/>
  <c r="R179" i="17" s="1"/>
  <c r="O42" i="17"/>
  <c r="J42" i="17" s="1"/>
  <c r="R42" i="17" s="1"/>
  <c r="O101" i="17"/>
  <c r="J101" i="17" s="1"/>
  <c r="O396" i="17"/>
  <c r="J396" i="17" s="1"/>
  <c r="R396" i="17" s="1"/>
  <c r="O530" i="17"/>
  <c r="J530" i="17" s="1"/>
  <c r="R530" i="17" s="1"/>
  <c r="O178" i="17"/>
  <c r="J178" i="17" s="1"/>
  <c r="O680" i="17"/>
  <c r="J680" i="17" s="1"/>
  <c r="R680" i="17" s="1"/>
  <c r="O359" i="17"/>
  <c r="J359" i="17" s="1"/>
  <c r="R359" i="17" s="1"/>
  <c r="O686" i="17"/>
  <c r="J686" i="17" s="1"/>
  <c r="R686" i="17" s="1"/>
  <c r="O249" i="17"/>
  <c r="J249" i="17" s="1"/>
  <c r="R249" i="17" s="1"/>
  <c r="O185" i="17"/>
  <c r="J185" i="17" s="1"/>
  <c r="R185" i="17" s="1"/>
  <c r="O562" i="17"/>
  <c r="J562" i="17" s="1"/>
  <c r="R562" i="17" s="1"/>
  <c r="O361" i="17"/>
  <c r="J361" i="17" s="1"/>
  <c r="O683" i="17"/>
  <c r="J683" i="17" s="1"/>
  <c r="R683" i="17" s="1"/>
  <c r="O860" i="17"/>
  <c r="J860" i="17" s="1"/>
  <c r="O764" i="17"/>
  <c r="J764" i="17" s="1"/>
  <c r="R764" i="17" s="1"/>
  <c r="O710" i="17"/>
  <c r="J710" i="17" s="1"/>
  <c r="R710" i="17" s="1"/>
  <c r="O587" i="17"/>
  <c r="J587" i="17" s="1"/>
  <c r="O263" i="17"/>
  <c r="J263" i="17" s="1"/>
  <c r="O880" i="17"/>
  <c r="J880" i="17" s="1"/>
  <c r="O966" i="17"/>
  <c r="J966" i="17" s="1"/>
  <c r="O884" i="17"/>
  <c r="J884" i="17" s="1"/>
  <c r="O314" i="17"/>
  <c r="J314" i="17" s="1"/>
  <c r="R314" i="17" s="1"/>
  <c r="O749" i="17"/>
  <c r="J749" i="17" s="1"/>
  <c r="O479" i="17"/>
  <c r="J479" i="17" s="1"/>
  <c r="O934" i="17"/>
  <c r="J934" i="17" s="1"/>
  <c r="O898" i="17"/>
  <c r="J898" i="17" s="1"/>
  <c r="O310" i="17"/>
  <c r="J310" i="17" s="1"/>
  <c r="R310" i="17" s="1"/>
  <c r="O210" i="17"/>
  <c r="J210" i="17" s="1"/>
  <c r="R210" i="17" s="1"/>
  <c r="O387" i="17"/>
  <c r="J387" i="17" s="1"/>
  <c r="R387" i="17" s="1"/>
  <c r="O266" i="17"/>
  <c r="J266" i="17" s="1"/>
  <c r="O909" i="17"/>
  <c r="J909" i="17" s="1"/>
  <c r="O491" i="17"/>
  <c r="J491" i="17" s="1"/>
  <c r="R491" i="17" s="1"/>
  <c r="O436" i="17"/>
  <c r="J436" i="17" s="1"/>
  <c r="O11" i="17"/>
  <c r="J11" i="17" s="1"/>
  <c r="R11" i="17" s="1"/>
  <c r="O307" i="17"/>
  <c r="J307" i="17" s="1"/>
  <c r="O735" i="17"/>
  <c r="J735" i="17" s="1"/>
  <c r="R735" i="17" s="1"/>
  <c r="O771" i="17"/>
  <c r="J771" i="17" s="1"/>
  <c r="O692" i="17"/>
  <c r="J692" i="17" s="1"/>
  <c r="R692" i="17" s="1"/>
  <c r="O47" i="17"/>
  <c r="J47" i="17" s="1"/>
  <c r="O502" i="17"/>
  <c r="J502" i="17" s="1"/>
  <c r="R502" i="17" s="1"/>
  <c r="O631" i="17"/>
  <c r="J631" i="17" s="1"/>
  <c r="O501" i="17"/>
  <c r="J501" i="17" s="1"/>
  <c r="O258" i="17"/>
  <c r="J258" i="17" s="1"/>
  <c r="R258" i="17" s="1"/>
  <c r="O205" i="17"/>
  <c r="J205" i="17" s="1"/>
  <c r="O821" i="17"/>
  <c r="J821" i="17" s="1"/>
  <c r="R821" i="17" s="1"/>
  <c r="O1004" i="17"/>
  <c r="J1004" i="17" s="1"/>
  <c r="R1004" i="17" s="1"/>
  <c r="O831" i="17"/>
  <c r="J831" i="17" s="1"/>
  <c r="R831" i="17" s="1"/>
  <c r="O685" i="17"/>
  <c r="J685" i="17" s="1"/>
  <c r="O398" i="17"/>
  <c r="J398" i="17" s="1"/>
  <c r="O440" i="17"/>
  <c r="J440" i="17" s="1"/>
  <c r="R440" i="17" s="1"/>
  <c r="O60" i="17"/>
  <c r="J60" i="17" s="1"/>
  <c r="R60" i="17" s="1"/>
  <c r="O550" i="17"/>
  <c r="J550" i="17" s="1"/>
  <c r="O63" i="17"/>
  <c r="J63" i="17" s="1"/>
  <c r="R63" i="17" s="1"/>
  <c r="O224" i="17"/>
  <c r="J224" i="17" s="1"/>
  <c r="R224" i="17" s="1"/>
  <c r="O195" i="17"/>
  <c r="J195" i="17" s="1"/>
  <c r="R195" i="17" s="1"/>
  <c r="O374" i="17"/>
  <c r="J374" i="17" s="1"/>
  <c r="O399" i="17"/>
  <c r="J399" i="17" s="1"/>
  <c r="O264" i="17"/>
  <c r="J264" i="17" s="1"/>
  <c r="O220" i="17"/>
  <c r="J220" i="17" s="1"/>
  <c r="O583" i="17"/>
  <c r="J583" i="17" s="1"/>
  <c r="O901" i="17"/>
  <c r="J901" i="17" s="1"/>
  <c r="O606" i="17"/>
  <c r="J606" i="17" s="1"/>
  <c r="O145" i="17"/>
  <c r="J145" i="17" s="1"/>
  <c r="R145" i="17" s="1"/>
  <c r="O607" i="17"/>
  <c r="J607" i="17" s="1"/>
  <c r="R607" i="17" s="1"/>
  <c r="O797" i="17"/>
  <c r="J797" i="17" s="1"/>
  <c r="O742" i="17"/>
  <c r="J742" i="17" s="1"/>
  <c r="O346" i="17"/>
  <c r="J346" i="17" s="1"/>
  <c r="R346" i="17" s="1"/>
  <c r="O384" i="17"/>
  <c r="J384" i="17" s="1"/>
  <c r="R384" i="17" s="1"/>
  <c r="O507" i="17"/>
  <c r="J507" i="17" s="1"/>
  <c r="O287" i="17"/>
  <c r="J287" i="17" s="1"/>
  <c r="R287" i="17" s="1"/>
  <c r="O509" i="17"/>
  <c r="J509" i="17" s="1"/>
  <c r="R509" i="17" s="1"/>
  <c r="O989" i="17"/>
  <c r="J989" i="17" s="1"/>
  <c r="R989" i="17" s="1"/>
  <c r="O990" i="17"/>
  <c r="J990" i="17" s="1"/>
  <c r="O924" i="17"/>
  <c r="J924" i="17" s="1"/>
  <c r="R924" i="17" s="1"/>
  <c r="O719" i="17"/>
  <c r="J719" i="17" s="1"/>
  <c r="R719" i="17" s="1"/>
  <c r="O443" i="17"/>
  <c r="J443" i="17" s="1"/>
  <c r="O477" i="17"/>
  <c r="J477" i="17" s="1"/>
  <c r="R477" i="17" s="1"/>
  <c r="O158" i="17"/>
  <c r="J158" i="17" s="1"/>
  <c r="R158" i="17" s="1"/>
  <c r="O320" i="17"/>
  <c r="J320" i="17" s="1"/>
  <c r="O815" i="17"/>
  <c r="J815" i="17" s="1"/>
  <c r="R815" i="17" s="1"/>
  <c r="O775" i="17"/>
  <c r="J775" i="17" s="1"/>
  <c r="O869" i="17"/>
  <c r="J869" i="17" s="1"/>
  <c r="R869" i="17" s="1"/>
  <c r="O981" i="17"/>
  <c r="J981" i="17" s="1"/>
  <c r="R981" i="17" s="1"/>
  <c r="O632" i="17"/>
  <c r="J632" i="17" s="1"/>
  <c r="R632" i="17" s="1"/>
  <c r="O177" i="17"/>
  <c r="J177" i="17" s="1"/>
  <c r="O368" i="17"/>
  <c r="J368" i="17" s="1"/>
  <c r="R368" i="17" s="1"/>
  <c r="O397" i="17"/>
  <c r="J397" i="17" s="1"/>
  <c r="O769" i="17"/>
  <c r="J769" i="17" s="1"/>
  <c r="R769" i="17" s="1"/>
  <c r="O233" i="17"/>
  <c r="J233" i="17" s="1"/>
  <c r="R233" i="17" s="1"/>
  <c r="O876" i="17"/>
  <c r="J876" i="17" s="1"/>
  <c r="O967" i="17"/>
  <c r="J967" i="17" s="1"/>
  <c r="O36" i="17"/>
  <c r="J36" i="17" s="1"/>
  <c r="R36" i="17" s="1"/>
  <c r="O599" i="17"/>
  <c r="J599" i="17" s="1"/>
  <c r="R599" i="17" s="1"/>
  <c r="O963" i="17"/>
  <c r="J963" i="17" s="1"/>
  <c r="O239" i="17"/>
  <c r="J239" i="17" s="1"/>
  <c r="R239" i="17" s="1"/>
  <c r="O17" i="17"/>
  <c r="J17" i="17" s="1"/>
  <c r="R17" i="17" s="1"/>
  <c r="O952" i="17"/>
  <c r="J952" i="17" s="1"/>
  <c r="O390" i="17"/>
  <c r="J390" i="17" s="1"/>
  <c r="O305" i="17"/>
  <c r="J305" i="17" s="1"/>
  <c r="R305" i="17" s="1"/>
  <c r="O474" i="17"/>
  <c r="J474" i="17" s="1"/>
  <c r="O201" i="17"/>
  <c r="J201" i="17" s="1"/>
  <c r="O19" i="17"/>
  <c r="J19" i="17" s="1"/>
  <c r="O787" i="17"/>
  <c r="J787" i="17" s="1"/>
  <c r="O222" i="17"/>
  <c r="J222" i="17" s="1"/>
  <c r="R222" i="17" s="1"/>
  <c r="O739" i="17"/>
  <c r="J739" i="17" s="1"/>
  <c r="R739" i="17" s="1"/>
  <c r="O1009" i="17"/>
  <c r="J1009" i="17" s="1"/>
  <c r="O760" i="17"/>
  <c r="J760" i="17" s="1"/>
  <c r="O475" i="17"/>
  <c r="J475" i="17" s="1"/>
  <c r="R475" i="17" s="1"/>
  <c r="O798" i="17"/>
  <c r="J798" i="17" s="1"/>
  <c r="O761" i="17"/>
  <c r="J761" i="17" s="1"/>
  <c r="R761" i="17" s="1"/>
  <c r="O66" i="17"/>
  <c r="J66" i="17" s="1"/>
  <c r="O39" i="17"/>
  <c r="J39" i="17" s="1"/>
  <c r="O868" i="17"/>
  <c r="J868" i="17" s="1"/>
  <c r="O421" i="17"/>
  <c r="J421" i="17" s="1"/>
  <c r="R421" i="17" s="1"/>
  <c r="O131" i="17"/>
  <c r="J131" i="17" s="1"/>
  <c r="R131" i="17" s="1"/>
  <c r="O886" i="17"/>
  <c r="J886" i="17" s="1"/>
  <c r="O843" i="17"/>
  <c r="J843" i="17" s="1"/>
  <c r="R843" i="17" s="1"/>
  <c r="O528" i="17"/>
  <c r="J528" i="17" s="1"/>
  <c r="O586" i="17"/>
  <c r="J586" i="17" s="1"/>
  <c r="O311" i="17"/>
  <c r="J311" i="17" s="1"/>
  <c r="O309" i="17"/>
  <c r="J309" i="17" s="1"/>
  <c r="O545" i="17"/>
  <c r="J545" i="17" s="1"/>
  <c r="R545" i="17" s="1"/>
  <c r="O964" i="17"/>
  <c r="J964" i="17" s="1"/>
  <c r="R964" i="17" s="1"/>
  <c r="O506" i="17"/>
  <c r="J506" i="17" s="1"/>
  <c r="R506" i="17" s="1"/>
  <c r="O255" i="17"/>
  <c r="J255" i="17" s="1"/>
  <c r="R255" i="17" s="1"/>
  <c r="O73" i="17"/>
  <c r="J73" i="17" s="1"/>
  <c r="O355" i="17"/>
  <c r="J355" i="17" s="1"/>
  <c r="O302" i="17"/>
  <c r="J302" i="17" s="1"/>
  <c r="R302" i="17" s="1"/>
  <c r="O578" i="17"/>
  <c r="J578" i="17" s="1"/>
  <c r="R578" i="17" s="1"/>
  <c r="O234" i="17"/>
  <c r="J234" i="17" s="1"/>
  <c r="O959" i="17"/>
  <c r="J959" i="17" s="1"/>
  <c r="O454" i="17"/>
  <c r="J454" i="17" s="1"/>
  <c r="R454" i="17" s="1"/>
  <c r="O400" i="17"/>
  <c r="J400" i="17" s="1"/>
  <c r="R400" i="17" s="1"/>
  <c r="O574" i="17"/>
  <c r="J574" i="17" s="1"/>
  <c r="O75" i="17"/>
  <c r="J75" i="17" s="1"/>
  <c r="R75" i="17" s="1"/>
  <c r="O204" i="17"/>
  <c r="J204" i="17" s="1"/>
  <c r="O590" i="17"/>
  <c r="J590" i="17" s="1"/>
  <c r="R590" i="17" s="1"/>
  <c r="O558" i="17"/>
  <c r="J558" i="17" s="1"/>
  <c r="O575" i="17"/>
  <c r="J575" i="17" s="1"/>
  <c r="R575" i="17" s="1"/>
  <c r="O288" i="17"/>
  <c r="J288" i="17" s="1"/>
  <c r="O444" i="17"/>
  <c r="J444" i="17" s="1"/>
  <c r="O693" i="17"/>
  <c r="J693" i="17" s="1"/>
  <c r="O1019" i="17"/>
  <c r="J1019" i="17" s="1"/>
  <c r="O196" i="17"/>
  <c r="J196" i="17" s="1"/>
  <c r="O560" i="17"/>
  <c r="J560" i="17" s="1"/>
  <c r="O767" i="17"/>
  <c r="J767" i="17" s="1"/>
  <c r="R767" i="17" s="1"/>
  <c r="O956" i="17"/>
  <c r="J956" i="17" s="1"/>
  <c r="R956" i="17" s="1"/>
  <c r="O382" i="17"/>
  <c r="J382" i="17" s="1"/>
  <c r="O878" i="17"/>
  <c r="J878" i="17" s="1"/>
  <c r="O547" i="17"/>
  <c r="J547" i="17" s="1"/>
  <c r="O610" i="17"/>
  <c r="J610" i="17" s="1"/>
  <c r="O284" i="17"/>
  <c r="J284" i="17" s="1"/>
  <c r="O589" i="17"/>
  <c r="J589" i="17" s="1"/>
  <c r="O170" i="17"/>
  <c r="J170" i="17" s="1"/>
  <c r="R170" i="17" s="1"/>
  <c r="O121" i="17"/>
  <c r="J121" i="17" s="1"/>
  <c r="R121" i="17" s="1"/>
  <c r="O667" i="17"/>
  <c r="J667" i="17" s="1"/>
  <c r="O817" i="17"/>
  <c r="J817" i="17" s="1"/>
  <c r="O171" i="17"/>
  <c r="J171" i="17" s="1"/>
  <c r="R171" i="17" s="1"/>
  <c r="O336" i="17"/>
  <c r="J336" i="17" s="1"/>
  <c r="R336" i="17" s="1"/>
  <c r="O520" i="17"/>
  <c r="J520" i="17" s="1"/>
  <c r="O21" i="3"/>
  <c r="J21" i="3" s="1"/>
  <c r="R21" i="3" s="1"/>
  <c r="O9" i="3"/>
  <c r="J9" i="3" s="1"/>
  <c r="R9" i="3" s="1"/>
  <c r="O13" i="3"/>
  <c r="J13" i="3" s="1"/>
  <c r="R13" i="3" s="1"/>
  <c r="O22" i="3"/>
  <c r="J22" i="3" s="1"/>
  <c r="R22" i="3" s="1"/>
  <c r="O10" i="3"/>
  <c r="J10" i="3" s="1"/>
  <c r="R10" i="3" s="1"/>
  <c r="O15" i="3"/>
  <c r="J15" i="3" s="1"/>
  <c r="O7" i="3"/>
  <c r="J7" i="3" s="1"/>
  <c r="R7" i="3" s="1"/>
  <c r="O17" i="3"/>
  <c r="J17" i="3" s="1"/>
  <c r="O23" i="3"/>
  <c r="J23" i="3" s="1"/>
  <c r="R23" i="3" s="1"/>
  <c r="O16" i="3"/>
  <c r="J16" i="3" s="1"/>
  <c r="R16" i="3" s="1"/>
  <c r="O4" i="3"/>
  <c r="J4" i="3" s="1"/>
  <c r="R4" i="3" s="1"/>
  <c r="O11" i="3"/>
  <c r="J11" i="3" s="1"/>
  <c r="R11" i="3" s="1"/>
  <c r="O5" i="3"/>
  <c r="J5" i="3" s="1"/>
  <c r="R5" i="3" s="1"/>
  <c r="O20" i="3"/>
  <c r="J20" i="3" s="1"/>
  <c r="R20" i="3" s="1"/>
  <c r="O18" i="3"/>
  <c r="J18" i="3" s="1"/>
  <c r="O8" i="3"/>
  <c r="J8" i="3" s="1"/>
  <c r="R8" i="3" s="1"/>
  <c r="O14" i="3"/>
  <c r="J14" i="3" s="1"/>
  <c r="R14" i="3" s="1"/>
  <c r="O6" i="3"/>
  <c r="J6" i="3" s="1"/>
  <c r="R6" i="3" s="1"/>
  <c r="O12" i="3"/>
  <c r="J12" i="3" s="1"/>
  <c r="R12" i="3" s="1"/>
  <c r="O19" i="3"/>
  <c r="J19" i="3" s="1"/>
  <c r="R19" i="3" s="1"/>
  <c r="L320" i="13"/>
  <c r="K700" i="13"/>
  <c r="N320" i="13"/>
  <c r="N261" i="13"/>
  <c r="K641" i="13"/>
  <c r="L261" i="13"/>
  <c r="N242" i="13"/>
  <c r="L242" i="13"/>
  <c r="K622" i="13"/>
  <c r="K548" i="13"/>
  <c r="N168" i="13"/>
  <c r="L168" i="13"/>
  <c r="K484" i="13"/>
  <c r="N104" i="13"/>
  <c r="L104" i="13"/>
  <c r="L253" i="13"/>
  <c r="K633" i="13"/>
  <c r="N253" i="13"/>
  <c r="K547" i="13"/>
  <c r="L167" i="13"/>
  <c r="N167" i="13"/>
  <c r="L103" i="13"/>
  <c r="N103" i="13"/>
  <c r="K483" i="13"/>
  <c r="K477" i="13"/>
  <c r="L97" i="13"/>
  <c r="N97" i="13"/>
  <c r="I532" i="17"/>
  <c r="I559" i="17"/>
  <c r="I748" i="17"/>
  <c r="I1018" i="17"/>
  <c r="I417" i="17"/>
  <c r="I444" i="17"/>
  <c r="I957" i="17"/>
  <c r="I714" i="17"/>
  <c r="I390" i="17"/>
  <c r="K692" i="13"/>
  <c r="N312" i="13"/>
  <c r="L312" i="13"/>
  <c r="N350" i="13"/>
  <c r="K730" i="13"/>
  <c r="L350" i="13"/>
  <c r="L198" i="13"/>
  <c r="N198" i="13"/>
  <c r="K578" i="13"/>
  <c r="K514" i="13"/>
  <c r="L134" i="13"/>
  <c r="N134" i="13"/>
  <c r="K647" i="13"/>
  <c r="L267" i="13"/>
  <c r="N267" i="13"/>
  <c r="N331" i="13"/>
  <c r="K711" i="13"/>
  <c r="L331" i="13"/>
  <c r="L181" i="13"/>
  <c r="N181" i="13"/>
  <c r="K561" i="13"/>
  <c r="N117" i="13"/>
  <c r="L117" i="13"/>
  <c r="K497" i="13"/>
  <c r="N63" i="13"/>
  <c r="L63" i="13"/>
  <c r="K443" i="13"/>
  <c r="I342" i="17"/>
  <c r="I153" i="17"/>
  <c r="I531" i="17"/>
  <c r="I612" i="17"/>
  <c r="I558" i="17"/>
  <c r="I47" i="17"/>
  <c r="I830" i="17"/>
  <c r="I182" i="17"/>
  <c r="I101" i="17"/>
  <c r="I1019" i="17"/>
  <c r="L304" i="13"/>
  <c r="K684" i="13"/>
  <c r="N304" i="13"/>
  <c r="N338" i="13"/>
  <c r="K718" i="13"/>
  <c r="L338" i="13"/>
  <c r="N233" i="13"/>
  <c r="K613" i="13"/>
  <c r="L233" i="13"/>
  <c r="L164" i="13"/>
  <c r="N164" i="13"/>
  <c r="K544" i="13"/>
  <c r="N100" i="13"/>
  <c r="L100" i="13"/>
  <c r="K480" i="13"/>
  <c r="K665" i="13"/>
  <c r="L285" i="13"/>
  <c r="N285" i="13"/>
  <c r="N211" i="13"/>
  <c r="L211" i="13"/>
  <c r="K591" i="13"/>
  <c r="N147" i="13"/>
  <c r="K527" i="13"/>
  <c r="L147" i="13"/>
  <c r="N77" i="13"/>
  <c r="L77" i="13"/>
  <c r="K457" i="13"/>
  <c r="I636" i="17"/>
  <c r="I690" i="17"/>
  <c r="I852" i="17"/>
  <c r="I447" i="17"/>
  <c r="I583" i="17"/>
  <c r="I367" i="17"/>
  <c r="I826" i="17"/>
  <c r="I718" i="17"/>
  <c r="K394" i="13"/>
  <c r="L14" i="13"/>
  <c r="N14" i="13"/>
  <c r="I994" i="17"/>
  <c r="I277" i="17"/>
  <c r="I547" i="17"/>
  <c r="I493" i="17"/>
  <c r="I439" i="17"/>
  <c r="R439" i="17" s="1"/>
  <c r="I88" i="17"/>
  <c r="K620" i="13"/>
  <c r="L240" i="13"/>
  <c r="N240" i="13"/>
  <c r="I443" i="17"/>
  <c r="I362" i="17"/>
  <c r="N44" i="13"/>
  <c r="K424" i="13"/>
  <c r="L44" i="13"/>
  <c r="I415" i="17"/>
  <c r="I793" i="17"/>
  <c r="I226" i="17"/>
  <c r="I253" i="17"/>
  <c r="I496" i="17"/>
  <c r="I59" i="17"/>
  <c r="I220" i="17"/>
  <c r="I922" i="17"/>
  <c r="I949" i="17"/>
  <c r="I328" i="17"/>
  <c r="I58" i="17"/>
  <c r="N58" i="13"/>
  <c r="L58" i="13"/>
  <c r="K438" i="13"/>
  <c r="I554" i="17"/>
  <c r="I932" i="17"/>
  <c r="I122" i="17"/>
  <c r="I41" i="17"/>
  <c r="L72" i="13"/>
  <c r="K452" i="13"/>
  <c r="N72" i="13"/>
  <c r="K636" i="13"/>
  <c r="L256" i="13"/>
  <c r="N256" i="13"/>
  <c r="K504" i="13"/>
  <c r="L124" i="13"/>
  <c r="N124" i="13"/>
  <c r="K551" i="13"/>
  <c r="N171" i="13"/>
  <c r="L171" i="13"/>
  <c r="K651" i="13"/>
  <c r="L271" i="13"/>
  <c r="N271" i="13"/>
  <c r="L38" i="13"/>
  <c r="N38" i="13"/>
  <c r="K418" i="13"/>
  <c r="K735" i="13"/>
  <c r="N355" i="13"/>
  <c r="L355" i="13"/>
  <c r="N303" i="13"/>
  <c r="K683" i="13"/>
  <c r="L303" i="13"/>
  <c r="N321" i="13"/>
  <c r="K701" i="13"/>
  <c r="L321" i="13"/>
  <c r="N55" i="13"/>
  <c r="K435" i="13"/>
  <c r="L55" i="13"/>
  <c r="N56" i="13"/>
  <c r="L56" i="13"/>
  <c r="K436" i="13"/>
  <c r="R546" i="17"/>
  <c r="N353" i="13"/>
  <c r="L353" i="13"/>
  <c r="K733" i="13"/>
  <c r="N270" i="13"/>
  <c r="L270" i="13"/>
  <c r="K650" i="13"/>
  <c r="L295" i="13"/>
  <c r="K675" i="13"/>
  <c r="N295" i="13"/>
  <c r="N172" i="13"/>
  <c r="K552" i="13"/>
  <c r="L172" i="13"/>
  <c r="K488" i="13"/>
  <c r="N108" i="13"/>
  <c r="L108" i="13"/>
  <c r="L262" i="13"/>
  <c r="N262" i="13"/>
  <c r="K642" i="13"/>
  <c r="L219" i="13"/>
  <c r="K599" i="13"/>
  <c r="N219" i="13"/>
  <c r="N155" i="13"/>
  <c r="K535" i="13"/>
  <c r="L155" i="13"/>
  <c r="K465" i="13"/>
  <c r="N85" i="13"/>
  <c r="L85" i="13"/>
  <c r="N86" i="13"/>
  <c r="K466" i="13"/>
  <c r="L86" i="13"/>
  <c r="K402" i="13"/>
  <c r="L22" i="13"/>
  <c r="N22" i="13"/>
  <c r="R92" i="17"/>
  <c r="I615" i="17"/>
  <c r="I858" i="17"/>
  <c r="I237" i="17"/>
  <c r="I183" i="17"/>
  <c r="L294" i="13"/>
  <c r="K674" i="13"/>
  <c r="N294" i="13"/>
  <c r="N84" i="13"/>
  <c r="K464" i="13"/>
  <c r="L84" i="13"/>
  <c r="K428" i="17"/>
  <c r="K845" i="17"/>
  <c r="K336" i="17"/>
  <c r="K35" i="17"/>
  <c r="K632" i="17"/>
  <c r="K261" i="17"/>
  <c r="K130" i="17"/>
  <c r="K913" i="17"/>
  <c r="K123" i="17"/>
  <c r="J123" i="17"/>
  <c r="R123" i="17" s="1"/>
  <c r="K45" i="17"/>
  <c r="J789" i="17"/>
  <c r="R789" i="17" s="1"/>
  <c r="K789" i="17"/>
  <c r="K195" i="17"/>
  <c r="K63" i="17"/>
  <c r="K8" i="17"/>
  <c r="K762" i="17"/>
  <c r="K233" i="17"/>
  <c r="K275" i="17"/>
  <c r="K669" i="17"/>
  <c r="K962" i="17"/>
  <c r="K814" i="17"/>
  <c r="K265" i="17"/>
  <c r="K279" i="17"/>
  <c r="K735" i="17"/>
  <c r="K931" i="17"/>
  <c r="K988" i="17"/>
  <c r="K602" i="17"/>
  <c r="K236" i="17"/>
  <c r="K120" i="17"/>
  <c r="K797" i="17"/>
  <c r="K779" i="17"/>
  <c r="K869" i="17"/>
  <c r="K11" i="17"/>
  <c r="K552" i="17"/>
  <c r="K238" i="17"/>
  <c r="K825" i="17"/>
  <c r="K671" i="17"/>
  <c r="K490" i="17"/>
  <c r="K1008" i="17"/>
  <c r="K99" i="17"/>
  <c r="K547" i="17"/>
  <c r="K248" i="17"/>
  <c r="K361" i="17"/>
  <c r="J936" i="17"/>
  <c r="K936" i="17"/>
  <c r="K480" i="17"/>
  <c r="K741" i="17"/>
  <c r="K116" i="17"/>
  <c r="K912" i="17"/>
  <c r="K686" i="17"/>
  <c r="K313" i="17"/>
  <c r="K935" i="17"/>
  <c r="K630" i="17"/>
  <c r="K95" i="17"/>
  <c r="K384" i="17"/>
  <c r="K736" i="17"/>
  <c r="K585" i="17"/>
  <c r="K521" i="17"/>
  <c r="K200" i="17"/>
  <c r="K337" i="17"/>
  <c r="J337" i="17"/>
  <c r="R337" i="17" s="1"/>
  <c r="K868" i="17"/>
  <c r="K175" i="17"/>
  <c r="K85" i="17"/>
  <c r="J713" i="17"/>
  <c r="R713" i="17" s="1"/>
  <c r="K713" i="17"/>
  <c r="K990" i="17"/>
  <c r="K725" i="17"/>
  <c r="K220" i="17"/>
  <c r="K365" i="17"/>
  <c r="J365" i="17"/>
  <c r="R365" i="17" s="1"/>
  <c r="K280" i="17"/>
  <c r="K1009" i="17"/>
  <c r="K284" i="17"/>
  <c r="K40" i="17"/>
  <c r="K805" i="17"/>
  <c r="K927" i="17"/>
  <c r="K588" i="17"/>
  <c r="K32" i="17"/>
  <c r="K903" i="17"/>
  <c r="K694" i="17"/>
  <c r="K501" i="17"/>
  <c r="K859" i="17"/>
  <c r="K341" i="17"/>
  <c r="K94" i="17"/>
  <c r="K604" i="17"/>
  <c r="K926" i="17"/>
  <c r="K359" i="17"/>
  <c r="L381" i="13"/>
  <c r="N381" i="13"/>
  <c r="K761" i="13"/>
  <c r="L241" i="13"/>
  <c r="N241" i="13"/>
  <c r="K621" i="13"/>
  <c r="K413" i="13"/>
  <c r="N33" i="13"/>
  <c r="L33" i="13"/>
  <c r="I343" i="17"/>
  <c r="I46" i="17"/>
  <c r="I856" i="17"/>
  <c r="I316" i="17"/>
  <c r="N287" i="13"/>
  <c r="L287" i="13"/>
  <c r="K667" i="13"/>
  <c r="K430" i="13"/>
  <c r="N50" i="13"/>
  <c r="L50" i="13"/>
  <c r="I309" i="17"/>
  <c r="I66" i="17"/>
  <c r="I876" i="17"/>
  <c r="I606" i="17"/>
  <c r="I39" i="17"/>
  <c r="I45" i="17"/>
  <c r="I666" i="17"/>
  <c r="I882" i="17"/>
  <c r="I261" i="17"/>
  <c r="I126" i="17"/>
  <c r="N64" i="13"/>
  <c r="L64" i="13"/>
  <c r="K444" i="13"/>
  <c r="I668" i="17"/>
  <c r="I74" i="17"/>
  <c r="I560" i="17"/>
  <c r="I722" i="17"/>
  <c r="I587" i="17"/>
  <c r="I528" i="17"/>
  <c r="I1014" i="17"/>
  <c r="I204" i="17"/>
  <c r="I609" i="17"/>
  <c r="I177" i="17"/>
  <c r="N94" i="13"/>
  <c r="K474" i="13"/>
  <c r="L94" i="13"/>
  <c r="I880" i="17"/>
  <c r="I691" i="17"/>
  <c r="I97" i="17"/>
  <c r="I232" i="17"/>
  <c r="N343" i="13"/>
  <c r="K723" i="13"/>
  <c r="L343" i="13"/>
  <c r="L286" i="13"/>
  <c r="K666" i="13"/>
  <c r="N286" i="13"/>
  <c r="N319" i="13"/>
  <c r="L319" i="13"/>
  <c r="K699" i="13"/>
  <c r="N178" i="13"/>
  <c r="K558" i="13"/>
  <c r="L178" i="13"/>
  <c r="K494" i="13"/>
  <c r="N114" i="13"/>
  <c r="L114" i="13"/>
  <c r="N278" i="13"/>
  <c r="L278" i="13"/>
  <c r="K658" i="13"/>
  <c r="I1022" i="17"/>
  <c r="L266" i="13"/>
  <c r="K646" i="13"/>
  <c r="N266" i="13"/>
  <c r="L177" i="13"/>
  <c r="N177" i="13"/>
  <c r="K557" i="13"/>
  <c r="N113" i="13"/>
  <c r="L113" i="13"/>
  <c r="K493" i="13"/>
  <c r="K439" i="13"/>
  <c r="N59" i="13"/>
  <c r="L59" i="13"/>
  <c r="I979" i="17"/>
  <c r="I358" i="17"/>
  <c r="I169" i="17"/>
  <c r="I925" i="17"/>
  <c r="I196" i="17"/>
  <c r="I416" i="17"/>
  <c r="I10" i="17"/>
  <c r="I37" i="17"/>
  <c r="I550" i="17"/>
  <c r="I847" i="17"/>
  <c r="L373" i="13"/>
  <c r="K753" i="13"/>
  <c r="N373" i="13"/>
  <c r="L341" i="13"/>
  <c r="N341" i="13"/>
  <c r="K721" i="13"/>
  <c r="L265" i="13"/>
  <c r="K645" i="13"/>
  <c r="N265" i="13"/>
  <c r="N176" i="13"/>
  <c r="L176" i="13"/>
  <c r="K556" i="13"/>
  <c r="L112" i="13"/>
  <c r="N112" i="13"/>
  <c r="K492" i="13"/>
  <c r="N329" i="13"/>
  <c r="L329" i="13"/>
  <c r="K709" i="13"/>
  <c r="L223" i="13"/>
  <c r="N223" i="13"/>
  <c r="K603" i="13"/>
  <c r="L159" i="13"/>
  <c r="N159" i="13"/>
  <c r="K539" i="13"/>
  <c r="K628" i="13"/>
  <c r="L248" i="13"/>
  <c r="N248" i="13"/>
  <c r="I197" i="17"/>
  <c r="I521" i="17"/>
  <c r="L89" i="13"/>
  <c r="K469" i="13"/>
  <c r="N89" i="13"/>
  <c r="N25" i="13"/>
  <c r="K405" i="13"/>
  <c r="L25" i="13"/>
  <c r="I301" i="17"/>
  <c r="I31" i="17"/>
  <c r="I598" i="17"/>
  <c r="I490" i="17"/>
  <c r="I419" i="17"/>
  <c r="I608" i="17"/>
  <c r="I635" i="17"/>
  <c r="I230" i="17"/>
  <c r="I338" i="17"/>
  <c r="L83" i="13"/>
  <c r="K463" i="13"/>
  <c r="N83" i="13"/>
  <c r="I48" i="17"/>
  <c r="I426" i="17"/>
  <c r="I966" i="17"/>
  <c r="I939" i="17"/>
  <c r="K495" i="17"/>
  <c r="K667" i="17"/>
  <c r="K747" i="17"/>
  <c r="K328" i="17"/>
  <c r="K14" i="17"/>
  <c r="K503" i="17"/>
  <c r="K882" i="17"/>
  <c r="K820" i="17"/>
  <c r="K7" i="17"/>
  <c r="K226" i="17"/>
  <c r="K606" i="17"/>
  <c r="K312" i="17"/>
  <c r="K940" i="17"/>
  <c r="K455" i="17"/>
  <c r="K907" i="17"/>
  <c r="K230" i="17"/>
  <c r="K507" i="17"/>
  <c r="K15" i="17"/>
  <c r="K477" i="17"/>
  <c r="K225" i="17"/>
  <c r="K768" i="17"/>
  <c r="J985" i="17"/>
  <c r="R985" i="17" s="1"/>
  <c r="K985" i="17"/>
  <c r="K752" i="17"/>
  <c r="K386" i="17"/>
  <c r="K227" i="17"/>
  <c r="J9" i="17"/>
  <c r="R9" i="17" s="1"/>
  <c r="K9" i="17"/>
  <c r="K854" i="17"/>
  <c r="K821" i="17"/>
  <c r="K928" i="17"/>
  <c r="K721" i="17"/>
  <c r="K986" i="17"/>
  <c r="K829" i="17"/>
  <c r="K963" i="17"/>
  <c r="K422" i="17"/>
  <c r="K554" i="17"/>
  <c r="J554" i="17"/>
  <c r="K6" i="17"/>
  <c r="K607" i="17"/>
  <c r="K617" i="17"/>
  <c r="K716" i="17"/>
  <c r="K471" i="17"/>
  <c r="K1011" i="17"/>
  <c r="K982" i="17"/>
  <c r="K90" i="17"/>
  <c r="K841" i="17"/>
  <c r="K968" i="17"/>
  <c r="K154" i="17"/>
  <c r="K419" i="17"/>
  <c r="K832" i="17"/>
  <c r="K210" i="17"/>
  <c r="K169" i="17"/>
  <c r="K983" i="17"/>
  <c r="K97" i="17"/>
  <c r="K528" i="17"/>
  <c r="K118" i="17"/>
  <c r="K491" i="17"/>
  <c r="K615" i="17"/>
  <c r="K121" i="17"/>
  <c r="K771" i="17"/>
  <c r="K904" i="17"/>
  <c r="K396" i="17"/>
  <c r="K331" i="17"/>
  <c r="K881" i="17"/>
  <c r="K464" i="17"/>
  <c r="K900" i="17"/>
  <c r="K262" i="17"/>
  <c r="K613" i="17"/>
  <c r="K148" i="17"/>
  <c r="K73" i="17"/>
  <c r="K656" i="17"/>
  <c r="K599" i="17"/>
  <c r="K499" i="17"/>
  <c r="K389" i="17"/>
  <c r="J69" i="17"/>
  <c r="K69" i="17"/>
  <c r="L268" i="13"/>
  <c r="N268" i="13"/>
  <c r="K648" i="13"/>
  <c r="K746" i="13"/>
  <c r="L366" i="13"/>
  <c r="N366" i="13"/>
  <c r="K596" i="13"/>
  <c r="N216" i="13"/>
  <c r="L216" i="13"/>
  <c r="K532" i="13"/>
  <c r="N152" i="13"/>
  <c r="L152" i="13"/>
  <c r="N324" i="13"/>
  <c r="L324" i="13"/>
  <c r="K704" i="13"/>
  <c r="L334" i="13"/>
  <c r="N334" i="13"/>
  <c r="K714" i="13"/>
  <c r="K595" i="13"/>
  <c r="N215" i="13"/>
  <c r="L215" i="13"/>
  <c r="K531" i="13"/>
  <c r="L151" i="13"/>
  <c r="N151" i="13"/>
  <c r="L81" i="13"/>
  <c r="N81" i="13"/>
  <c r="K461" i="13"/>
  <c r="I262" i="17"/>
  <c r="I586" i="17"/>
  <c r="I802" i="17"/>
  <c r="I181" i="17"/>
  <c r="I505" i="17"/>
  <c r="I228" i="17"/>
  <c r="I687" i="17"/>
  <c r="R687" i="17" s="1"/>
  <c r="I552" i="17"/>
  <c r="I498" i="17"/>
  <c r="L379" i="13"/>
  <c r="N379" i="13"/>
  <c r="K759" i="13"/>
  <c r="N376" i="13"/>
  <c r="K756" i="13"/>
  <c r="L376" i="13"/>
  <c r="N335" i="13"/>
  <c r="K715" i="13"/>
  <c r="L335" i="13"/>
  <c r="K562" i="13"/>
  <c r="L182" i="13"/>
  <c r="N182" i="13"/>
  <c r="K498" i="13"/>
  <c r="N118" i="13"/>
  <c r="L118" i="13"/>
  <c r="K748" i="13"/>
  <c r="L368" i="13"/>
  <c r="N368" i="13"/>
  <c r="L234" i="13"/>
  <c r="K614" i="13"/>
  <c r="N234" i="13"/>
  <c r="N165" i="13"/>
  <c r="L165" i="13"/>
  <c r="K545" i="13"/>
  <c r="K481" i="13"/>
  <c r="N101" i="13"/>
  <c r="L101" i="13"/>
  <c r="N47" i="13"/>
  <c r="K427" i="13"/>
  <c r="L47" i="13"/>
  <c r="I639" i="17"/>
  <c r="I855" i="17"/>
  <c r="I720" i="17"/>
  <c r="I504" i="17"/>
  <c r="I72" i="17"/>
  <c r="I884" i="17"/>
  <c r="I479" i="17"/>
  <c r="I371" i="17"/>
  <c r="I533" i="17"/>
  <c r="I398" i="17"/>
  <c r="N377" i="13"/>
  <c r="K757" i="13"/>
  <c r="L377" i="13"/>
  <c r="N259" i="13"/>
  <c r="K639" i="13"/>
  <c r="L259" i="13"/>
  <c r="K659" i="13"/>
  <c r="N279" i="13"/>
  <c r="L279" i="13"/>
  <c r="K592" i="13"/>
  <c r="L212" i="13"/>
  <c r="N212" i="13"/>
  <c r="L148" i="13"/>
  <c r="K528" i="13"/>
  <c r="N148" i="13"/>
  <c r="L308" i="13"/>
  <c r="N308" i="13"/>
  <c r="K688" i="13"/>
  <c r="K698" i="13"/>
  <c r="L318" i="13"/>
  <c r="N318" i="13"/>
  <c r="K575" i="13"/>
  <c r="N195" i="13"/>
  <c r="L195" i="13"/>
  <c r="L131" i="13"/>
  <c r="K511" i="13"/>
  <c r="N131" i="13"/>
  <c r="N61" i="13"/>
  <c r="L61" i="13"/>
  <c r="K441" i="13"/>
  <c r="I744" i="17"/>
  <c r="I96" i="17"/>
  <c r="I987" i="17"/>
  <c r="I555" i="17"/>
  <c r="I393" i="17"/>
  <c r="I654" i="17"/>
  <c r="K410" i="13"/>
  <c r="N30" i="13"/>
  <c r="L30" i="13"/>
  <c r="I124" i="17"/>
  <c r="I799" i="17"/>
  <c r="I907" i="17"/>
  <c r="I178" i="17"/>
  <c r="I1021" i="17"/>
  <c r="I115" i="17"/>
  <c r="I142" i="17"/>
  <c r="I601" i="17"/>
  <c r="I34" i="17"/>
  <c r="K472" i="13"/>
  <c r="L92" i="13"/>
  <c r="N92" i="13"/>
  <c r="N28" i="13"/>
  <c r="K408" i="13"/>
  <c r="L28" i="13"/>
  <c r="I712" i="17"/>
  <c r="I523" i="17"/>
  <c r="I604" i="17"/>
  <c r="I982" i="17"/>
  <c r="I442" i="17"/>
  <c r="I868" i="17"/>
  <c r="I463" i="17"/>
  <c r="I841" i="17"/>
  <c r="I733" i="17"/>
  <c r="K389" i="13"/>
  <c r="L9" i="13"/>
  <c r="N9" i="13"/>
  <c r="N42" i="13"/>
  <c r="K422" i="13"/>
  <c r="L42" i="13"/>
  <c r="I473" i="17"/>
  <c r="I716" i="17"/>
  <c r="I878" i="17"/>
  <c r="I149" i="17"/>
  <c r="I284" i="17"/>
  <c r="N6" i="13"/>
  <c r="K386" i="13"/>
  <c r="L6" i="13"/>
  <c r="K762" i="13"/>
  <c r="N382" i="13"/>
  <c r="L382" i="13"/>
  <c r="L249" i="13"/>
  <c r="K629" i="13"/>
  <c r="N249" i="13"/>
  <c r="K550" i="13"/>
  <c r="L170" i="13"/>
  <c r="N170" i="13"/>
  <c r="K486" i="13"/>
  <c r="L106" i="13"/>
  <c r="N106" i="13"/>
  <c r="K597" i="13"/>
  <c r="L217" i="13"/>
  <c r="N217" i="13"/>
  <c r="K533" i="13"/>
  <c r="N153" i="13"/>
  <c r="L153" i="13"/>
  <c r="L280" i="13"/>
  <c r="K660" i="13"/>
  <c r="N280" i="13"/>
  <c r="K419" i="13"/>
  <c r="L39" i="13"/>
  <c r="N39" i="13"/>
  <c r="K420" i="13"/>
  <c r="N40" i="13"/>
  <c r="L40" i="13"/>
  <c r="K716" i="13"/>
  <c r="L336" i="13"/>
  <c r="N336" i="13"/>
  <c r="L229" i="13"/>
  <c r="N229" i="13"/>
  <c r="K609" i="13"/>
  <c r="N220" i="13"/>
  <c r="L220" i="13"/>
  <c r="K600" i="13"/>
  <c r="K720" i="13"/>
  <c r="N340" i="13"/>
  <c r="L340" i="13"/>
  <c r="K583" i="13"/>
  <c r="N203" i="13"/>
  <c r="L203" i="13"/>
  <c r="K449" i="13"/>
  <c r="L69" i="13"/>
  <c r="N69" i="13"/>
  <c r="L70" i="13"/>
  <c r="N70" i="13"/>
  <c r="K450" i="13"/>
  <c r="K731" i="13"/>
  <c r="N351" i="13"/>
  <c r="L351" i="13"/>
  <c r="K685" i="13"/>
  <c r="N305" i="13"/>
  <c r="L305" i="13"/>
  <c r="I291" i="17"/>
  <c r="I912" i="17"/>
  <c r="I318" i="17"/>
  <c r="I399" i="17"/>
  <c r="I561" i="17"/>
  <c r="K448" i="13"/>
  <c r="L68" i="13"/>
  <c r="N68" i="13"/>
  <c r="K388" i="17"/>
  <c r="K417" i="17"/>
  <c r="K103" i="17"/>
  <c r="K140" i="17"/>
  <c r="J140" i="17"/>
  <c r="R140" i="17" s="1"/>
  <c r="J344" i="17"/>
  <c r="K344" i="17"/>
  <c r="K397" i="17"/>
  <c r="K560" i="17"/>
  <c r="K876" i="17"/>
  <c r="K463" i="17"/>
  <c r="K885" i="17"/>
  <c r="K285" i="17"/>
  <c r="K817" i="17"/>
  <c r="K87" i="17"/>
  <c r="K42" i="17"/>
  <c r="K896" i="17"/>
  <c r="K638" i="17"/>
  <c r="K202" i="17"/>
  <c r="K278" i="17"/>
  <c r="K851" i="17"/>
  <c r="K222" i="17"/>
  <c r="K1015" i="17"/>
  <c r="K843" i="17"/>
  <c r="K465" i="17"/>
  <c r="K798" i="17"/>
  <c r="K748" i="17"/>
  <c r="K793" i="17"/>
  <c r="K76" i="17"/>
  <c r="K714" i="17"/>
  <c r="K959" i="17"/>
  <c r="K958" i="17"/>
  <c r="K304" i="17"/>
  <c r="K125" i="17"/>
  <c r="K563" i="17"/>
  <c r="K143" i="17"/>
  <c r="K509" i="17"/>
  <c r="K301" i="17"/>
  <c r="K181" i="17"/>
  <c r="K338" i="17"/>
  <c r="K179" i="17"/>
  <c r="K399" i="17"/>
  <c r="K173" i="17"/>
  <c r="K657" i="17"/>
  <c r="K168" i="17"/>
  <c r="K634" i="17"/>
  <c r="K33" i="17"/>
  <c r="K761" i="17"/>
  <c r="K744" i="17"/>
  <c r="K773" i="17"/>
  <c r="K941" i="17"/>
  <c r="K208" i="17"/>
  <c r="K695" i="17"/>
  <c r="K38" i="17"/>
  <c r="K992" i="17"/>
  <c r="K411" i="17"/>
  <c r="K830" i="17"/>
  <c r="K524" i="17"/>
  <c r="K850" i="17"/>
  <c r="K479" i="17"/>
  <c r="K956" i="17"/>
  <c r="K1020" i="17"/>
  <c r="K908" i="17"/>
  <c r="K303" i="17"/>
  <c r="K796" i="17"/>
  <c r="K61" i="17"/>
  <c r="K738" i="17"/>
  <c r="K692" i="17"/>
  <c r="K584" i="17"/>
  <c r="K387" i="17"/>
  <c r="K639" i="17"/>
  <c r="J531" i="17"/>
  <c r="K531" i="17"/>
  <c r="K441" i="17"/>
  <c r="K981" i="17"/>
  <c r="K400" i="17"/>
  <c r="K529" i="17"/>
  <c r="K86" i="17"/>
  <c r="K954" i="17"/>
  <c r="K682" i="17"/>
  <c r="K870" i="17"/>
  <c r="K923" i="17"/>
  <c r="K212" i="17"/>
  <c r="K640" i="17"/>
  <c r="K96" i="17"/>
  <c r="K745" i="13"/>
  <c r="N365" i="13"/>
  <c r="L365" i="13"/>
  <c r="I397" i="17"/>
  <c r="I991" i="17"/>
  <c r="I910" i="17"/>
  <c r="I208" i="17"/>
  <c r="I154" i="17"/>
  <c r="K478" i="13"/>
  <c r="N98" i="13"/>
  <c r="L98" i="13"/>
  <c r="K414" i="13"/>
  <c r="L34" i="13"/>
  <c r="N34" i="13"/>
  <c r="I363" i="17"/>
  <c r="I633" i="17"/>
  <c r="I822" i="17"/>
  <c r="I282" i="17"/>
  <c r="N18" i="13"/>
  <c r="L18" i="13"/>
  <c r="K398" i="13"/>
  <c r="I909" i="17"/>
  <c r="I207" i="17"/>
  <c r="I747" i="17"/>
  <c r="I315" i="17"/>
  <c r="N48" i="13"/>
  <c r="K428" i="13"/>
  <c r="L48" i="13"/>
  <c r="I695" i="17"/>
  <c r="I965" i="17"/>
  <c r="I263" i="17"/>
  <c r="I992" i="17"/>
  <c r="I641" i="17"/>
  <c r="I312" i="17"/>
  <c r="I420" i="17"/>
  <c r="I582" i="17"/>
  <c r="I906" i="17"/>
  <c r="I231" i="17"/>
  <c r="N78" i="13"/>
  <c r="K458" i="13"/>
  <c r="L78" i="13"/>
  <c r="I610" i="17"/>
  <c r="I934" i="17"/>
  <c r="I259" i="17"/>
  <c r="I340" i="17"/>
  <c r="I151" i="17"/>
  <c r="K676" i="13"/>
  <c r="N296" i="13"/>
  <c r="L296" i="13"/>
  <c r="K625" i="13"/>
  <c r="N245" i="13"/>
  <c r="L245" i="13"/>
  <c r="L226" i="13"/>
  <c r="N226" i="13"/>
  <c r="K606" i="13"/>
  <c r="N162" i="13"/>
  <c r="K542" i="13"/>
  <c r="L162" i="13"/>
  <c r="N378" i="13"/>
  <c r="K758" i="13"/>
  <c r="L378" i="13"/>
  <c r="K617" i="13"/>
  <c r="L237" i="13"/>
  <c r="N237" i="13"/>
  <c r="I967" i="17"/>
  <c r="L225" i="13"/>
  <c r="K605" i="13"/>
  <c r="N225" i="13"/>
  <c r="N161" i="13"/>
  <c r="L161" i="13"/>
  <c r="K541" i="13"/>
  <c r="L255" i="13"/>
  <c r="K635" i="13"/>
  <c r="N255" i="13"/>
  <c r="L43" i="13"/>
  <c r="K423" i="13"/>
  <c r="N43" i="13"/>
  <c r="I763" i="17"/>
  <c r="I520" i="17"/>
  <c r="I871" i="17"/>
  <c r="I172" i="17"/>
  <c r="I91" i="17"/>
  <c r="I766" i="17"/>
  <c r="I658" i="17"/>
  <c r="N12" i="13"/>
  <c r="L12" i="13"/>
  <c r="K392" i="13"/>
  <c r="K737" i="13"/>
  <c r="N357" i="13"/>
  <c r="L357" i="13"/>
  <c r="K618" i="13"/>
  <c r="N238" i="13"/>
  <c r="L238" i="13"/>
  <c r="N224" i="13"/>
  <c r="K604" i="13"/>
  <c r="L224" i="13"/>
  <c r="L160" i="13"/>
  <c r="N160" i="13"/>
  <c r="K540" i="13"/>
  <c r="L362" i="13"/>
  <c r="K742" i="13"/>
  <c r="N362" i="13"/>
  <c r="K610" i="13"/>
  <c r="N230" i="13"/>
  <c r="L230" i="13"/>
  <c r="N207" i="13"/>
  <c r="K587" i="13"/>
  <c r="L207" i="13"/>
  <c r="K523" i="13"/>
  <c r="L143" i="13"/>
  <c r="N143" i="13"/>
  <c r="I413" i="17"/>
  <c r="I143" i="17"/>
  <c r="K453" i="13"/>
  <c r="N73" i="13"/>
  <c r="L73" i="13"/>
  <c r="I436" i="17"/>
  <c r="I625" i="17"/>
  <c r="I679" i="17"/>
  <c r="I517" i="17"/>
  <c r="I247" i="17"/>
  <c r="I743" i="17"/>
  <c r="I257" i="17"/>
  <c r="I14" i="17"/>
  <c r="R232" i="17" l="1"/>
  <c r="R886" i="17"/>
  <c r="R22" i="17"/>
  <c r="R535" i="17"/>
  <c r="R778" i="17"/>
  <c r="R50" i="17"/>
  <c r="R7" i="17"/>
  <c r="R671" i="17"/>
  <c r="R481" i="17"/>
  <c r="R643" i="17"/>
  <c r="R860" i="17"/>
  <c r="R347" i="17"/>
  <c r="R589" i="17"/>
  <c r="R631" i="17"/>
  <c r="R18" i="3"/>
  <c r="R320" i="17"/>
  <c r="R936" i="17"/>
  <c r="R15" i="3"/>
  <c r="R427" i="17"/>
  <c r="R817" i="17"/>
  <c r="R803" i="17"/>
  <c r="R112" i="17"/>
  <c r="R94" i="17"/>
  <c r="R428" i="17"/>
  <c r="R725" i="17"/>
  <c r="R266" i="17"/>
  <c r="R887" i="17"/>
  <c r="R23" i="17"/>
  <c r="R292" i="17"/>
  <c r="R69" i="17"/>
  <c r="R374" i="17"/>
  <c r="R319" i="17"/>
  <c r="R644" i="17"/>
  <c r="R286" i="17"/>
  <c r="R455" i="17"/>
  <c r="R76" i="17"/>
  <c r="R480" i="17"/>
  <c r="R1012" i="17"/>
  <c r="R779" i="17"/>
  <c r="R988" i="17"/>
  <c r="R905" i="17"/>
  <c r="R698" i="17"/>
  <c r="R1011" i="17"/>
  <c r="R508" i="17"/>
  <c r="R766" i="17"/>
  <c r="R15" i="17"/>
  <c r="R205" i="17"/>
  <c r="R361" i="17"/>
  <c r="R955" i="17"/>
  <c r="R250" i="17"/>
  <c r="R990" i="17"/>
  <c r="R856" i="17"/>
  <c r="R797" i="17"/>
  <c r="R556" i="17"/>
  <c r="R850" i="17"/>
  <c r="R355" i="17"/>
  <c r="R412" i="17"/>
  <c r="R1009" i="17"/>
  <c r="R544" i="17"/>
  <c r="R877" i="17"/>
  <c r="R175" i="17"/>
  <c r="R391" i="17"/>
  <c r="R21" i="17"/>
  <c r="R499" i="17"/>
  <c r="R903" i="17"/>
  <c r="R574" i="17"/>
  <c r="R283" i="17"/>
  <c r="R202" i="17"/>
  <c r="R288" i="17"/>
  <c r="R959" i="17"/>
  <c r="R67" i="17"/>
  <c r="R18" i="17"/>
  <c r="R331" i="17"/>
  <c r="R4" i="17"/>
  <c r="R937" i="17"/>
  <c r="R910" i="17"/>
  <c r="R452" i="17"/>
  <c r="R527" i="17"/>
  <c r="R777" i="17"/>
  <c r="R19" i="17"/>
  <c r="R176" i="17"/>
  <c r="R150" i="17"/>
  <c r="R901" i="17"/>
  <c r="R1015" i="17"/>
  <c r="R824" i="17"/>
  <c r="R95" i="17"/>
  <c r="R741" i="17"/>
  <c r="R660" i="17"/>
  <c r="R716" i="17"/>
  <c r="R264" i="17"/>
  <c r="R637" i="17"/>
  <c r="R5" i="17"/>
  <c r="R750" i="17"/>
  <c r="R790" i="17"/>
  <c r="R369" i="17"/>
  <c r="R193" i="17"/>
  <c r="R828" i="17"/>
  <c r="R366" i="17"/>
  <c r="R151" i="17"/>
  <c r="R770" i="17"/>
  <c r="R311" i="17"/>
  <c r="R825" i="17"/>
  <c r="R17" i="3"/>
  <c r="R851" i="17"/>
  <c r="R742" i="17"/>
  <c r="R800" i="17"/>
  <c r="R662" i="17"/>
  <c r="R938" i="17"/>
  <c r="R529" i="17"/>
  <c r="R642" i="17"/>
  <c r="R70" i="17"/>
  <c r="R8" i="17"/>
  <c r="R223" i="17"/>
  <c r="R776" i="17"/>
  <c r="R100" i="17"/>
  <c r="R598" i="17"/>
  <c r="R99" i="17"/>
  <c r="R505" i="17"/>
  <c r="R669" i="17"/>
  <c r="R883" i="17"/>
  <c r="R234" i="17"/>
  <c r="R652" i="17"/>
  <c r="R199" i="17"/>
  <c r="R1006" i="17"/>
  <c r="R451" i="17"/>
  <c r="R984" i="17"/>
  <c r="R995" i="17"/>
  <c r="R1013" i="17"/>
  <c r="R304" i="17"/>
  <c r="R963" i="17"/>
  <c r="R235" i="17"/>
  <c r="R681" i="17"/>
  <c r="R236" i="17"/>
  <c r="R280" i="17"/>
  <c r="R628" i="17"/>
  <c r="R201" i="17"/>
  <c r="R507" i="17"/>
  <c r="R12" i="17"/>
  <c r="R857" i="17"/>
  <c r="R723" i="17"/>
  <c r="R976" i="17"/>
  <c r="R425" i="17"/>
  <c r="R960" i="17"/>
  <c r="R534" i="17"/>
  <c r="R20" i="17"/>
  <c r="R382" i="17"/>
  <c r="R128" i="17"/>
  <c r="R853" i="17"/>
  <c r="R706" i="17"/>
  <c r="R933" i="17"/>
  <c r="R423" i="17"/>
  <c r="R478" i="17"/>
  <c r="R453" i="17"/>
  <c r="R220" i="17"/>
  <c r="R585" i="17"/>
  <c r="K24" i="3"/>
  <c r="P9" i="6" s="1"/>
  <c r="R885" i="17"/>
  <c r="R97" i="17"/>
  <c r="R447" i="17"/>
  <c r="R393" i="17"/>
  <c r="R1020" i="17"/>
  <c r="R982" i="17"/>
  <c r="R419" i="17"/>
  <c r="R911" i="17"/>
  <c r="R682" i="17"/>
  <c r="R372" i="17"/>
  <c r="R147" i="17"/>
  <c r="R795" i="17"/>
  <c r="R289" i="17"/>
  <c r="R667" i="17"/>
  <c r="R474" i="17"/>
  <c r="R68" i="17"/>
  <c r="R448" i="17"/>
  <c r="R102" i="17"/>
  <c r="R930" i="17"/>
  <c r="R450" i="17"/>
  <c r="R993" i="17"/>
  <c r="R307" i="17"/>
  <c r="R313" i="17"/>
  <c r="R385" i="17"/>
  <c r="R961" i="17"/>
  <c r="R829" i="17"/>
  <c r="R1021" i="17"/>
  <c r="R721" i="17"/>
  <c r="R230" i="17"/>
  <c r="R949" i="17"/>
  <c r="R953" i="17"/>
  <c r="R446" i="17"/>
  <c r="R801" i="17"/>
  <c r="R120" i="17"/>
  <c r="R345" i="17"/>
  <c r="R531" i="17"/>
  <c r="R581" i="17"/>
  <c r="R606" i="17"/>
  <c r="R685" i="17"/>
  <c r="R844" i="17"/>
  <c r="R493" i="17"/>
  <c r="R749" i="17"/>
  <c r="R424" i="17"/>
  <c r="R317" i="17"/>
  <c r="R968" i="17"/>
  <c r="R1003" i="17"/>
  <c r="R73" i="17"/>
  <c r="R127" i="17"/>
  <c r="R209" i="17"/>
  <c r="R771" i="17"/>
  <c r="R804" i="17"/>
  <c r="R101" i="17"/>
  <c r="R760" i="17"/>
  <c r="R339" i="17"/>
  <c r="R874" i="17"/>
  <c r="R180" i="17"/>
  <c r="R285" i="17"/>
  <c r="R469" i="17"/>
  <c r="R93" i="17"/>
  <c r="R639" i="17"/>
  <c r="R744" i="17"/>
  <c r="R370" i="17"/>
  <c r="R466" i="17"/>
  <c r="R156" i="17"/>
  <c r="R902" i="17"/>
  <c r="R663" i="17"/>
  <c r="R155" i="17"/>
  <c r="R274" i="17"/>
  <c r="R876" i="17"/>
  <c r="R312" i="17"/>
  <c r="R841" i="17"/>
  <c r="R204" i="17"/>
  <c r="R328" i="17"/>
  <c r="R444" i="17"/>
  <c r="R177" i="17"/>
  <c r="R496" i="17"/>
  <c r="R371" i="17"/>
  <c r="R197" i="17"/>
  <c r="R124" i="17"/>
  <c r="R987" i="17"/>
  <c r="R635" i="17"/>
  <c r="R443" i="17"/>
  <c r="R583" i="17"/>
  <c r="R550" i="17"/>
  <c r="R966" i="17"/>
  <c r="R463" i="17"/>
  <c r="R363" i="17"/>
  <c r="R415" i="17"/>
  <c r="R426" i="17"/>
  <c r="R442" i="17"/>
  <c r="R48" i="17"/>
  <c r="R712" i="17"/>
  <c r="R115" i="17"/>
  <c r="R46" i="17"/>
  <c r="R720" i="17"/>
  <c r="R763" i="17"/>
  <c r="R641" i="17"/>
  <c r="R690" i="17"/>
  <c r="R636" i="17"/>
  <c r="R882" i="17"/>
  <c r="R343" i="17"/>
  <c r="R498" i="17"/>
  <c r="R72" i="17"/>
  <c r="R691" i="17"/>
  <c r="R284" i="17"/>
  <c r="R309" i="17"/>
  <c r="R473" i="17"/>
  <c r="R965" i="17"/>
  <c r="R957" i="17"/>
  <c r="R822" i="17"/>
  <c r="R1022" i="17"/>
  <c r="R39" i="17"/>
  <c r="R858" i="17"/>
  <c r="R747" i="17"/>
  <c r="R520" i="17"/>
  <c r="R149" i="17"/>
  <c r="R532" i="17"/>
  <c r="R318" i="17"/>
  <c r="R666" i="17"/>
  <c r="R59" i="17"/>
  <c r="R183" i="17"/>
  <c r="R420" i="17"/>
  <c r="R561" i="17"/>
  <c r="R172" i="17"/>
  <c r="R552" i="17"/>
  <c r="R41" i="17"/>
  <c r="R291" i="17"/>
  <c r="R555" i="17"/>
  <c r="R10" i="17"/>
  <c r="N419" i="13"/>
  <c r="L419" i="13"/>
  <c r="N422" i="13"/>
  <c r="L422" i="13"/>
  <c r="L614" i="13"/>
  <c r="N614" i="13"/>
  <c r="N527" i="13"/>
  <c r="L527" i="13"/>
  <c r="N483" i="13"/>
  <c r="L483" i="13"/>
  <c r="N720" i="13"/>
  <c r="L720" i="13"/>
  <c r="L683" i="13"/>
  <c r="N683" i="13"/>
  <c r="N523" i="13"/>
  <c r="L523" i="13"/>
  <c r="L742" i="13"/>
  <c r="N742" i="13"/>
  <c r="N398" i="13"/>
  <c r="L398" i="13"/>
  <c r="N758" i="13"/>
  <c r="L758" i="13"/>
  <c r="L414" i="13"/>
  <c r="N414" i="13"/>
  <c r="N642" i="13"/>
  <c r="L642" i="13"/>
  <c r="R906" i="17"/>
  <c r="R654" i="17"/>
  <c r="R196" i="17"/>
  <c r="R259" i="17"/>
  <c r="R126" i="17"/>
  <c r="N480" i="13"/>
  <c r="L480" i="13"/>
  <c r="L423" i="13"/>
  <c r="N423" i="13"/>
  <c r="R340" i="17"/>
  <c r="L493" i="13"/>
  <c r="N493" i="13"/>
  <c r="L617" i="13"/>
  <c r="N617" i="13"/>
  <c r="R909" i="17"/>
  <c r="N550" i="13"/>
  <c r="L550" i="13"/>
  <c r="N386" i="13"/>
  <c r="L386" i="13"/>
  <c r="L408" i="13"/>
  <c r="N408" i="13"/>
  <c r="N410" i="13"/>
  <c r="L410" i="13"/>
  <c r="L639" i="13"/>
  <c r="N639" i="13"/>
  <c r="N427" i="13"/>
  <c r="L427" i="13"/>
  <c r="L498" i="13"/>
  <c r="N498" i="13"/>
  <c r="N756" i="13"/>
  <c r="L756" i="13"/>
  <c r="R169" i="17"/>
  <c r="R338" i="17"/>
  <c r="L556" i="13"/>
  <c r="N556" i="13"/>
  <c r="L439" i="13"/>
  <c r="N439" i="13"/>
  <c r="L646" i="13"/>
  <c r="N646" i="13"/>
  <c r="L494" i="13"/>
  <c r="N494" i="13"/>
  <c r="N666" i="13"/>
  <c r="L666" i="13"/>
  <c r="L621" i="13"/>
  <c r="N621" i="13"/>
  <c r="L552" i="13"/>
  <c r="N552" i="13"/>
  <c r="L733" i="13"/>
  <c r="N733" i="13"/>
  <c r="N452" i="13"/>
  <c r="L452" i="13"/>
  <c r="N665" i="13"/>
  <c r="L665" i="13"/>
  <c r="N613" i="13"/>
  <c r="L613" i="13"/>
  <c r="N561" i="13"/>
  <c r="L561" i="13"/>
  <c r="N647" i="13"/>
  <c r="L647" i="13"/>
  <c r="L730" i="13"/>
  <c r="N730" i="13"/>
  <c r="N477" i="13"/>
  <c r="L477" i="13"/>
  <c r="N633" i="13"/>
  <c r="L633" i="13"/>
  <c r="L622" i="13"/>
  <c r="N622" i="13"/>
  <c r="R884" i="17"/>
  <c r="R178" i="17"/>
  <c r="R237" i="17"/>
  <c r="R1018" i="17"/>
  <c r="R316" i="17"/>
  <c r="R182" i="17"/>
  <c r="R226" i="17"/>
  <c r="R533" i="17"/>
  <c r="R718" i="17"/>
  <c r="R922" i="17"/>
  <c r="R523" i="17"/>
  <c r="R668" i="17"/>
  <c r="N549" i="13"/>
  <c r="L549" i="13"/>
  <c r="L687" i="13"/>
  <c r="N687" i="13"/>
  <c r="L391" i="13"/>
  <c r="N391" i="13"/>
  <c r="L717" i="13"/>
  <c r="N717" i="13"/>
  <c r="N652" i="13"/>
  <c r="L652" i="13"/>
  <c r="N612" i="13"/>
  <c r="L612" i="13"/>
  <c r="L460" i="13"/>
  <c r="N460" i="13"/>
  <c r="N706" i="13"/>
  <c r="L706" i="13"/>
  <c r="N499" i="13"/>
  <c r="L499" i="13"/>
  <c r="L564" i="13"/>
  <c r="N564" i="13"/>
  <c r="N565" i="13"/>
  <c r="L565" i="13"/>
  <c r="N518" i="13"/>
  <c r="L518" i="13"/>
  <c r="N752" i="13"/>
  <c r="L752" i="13"/>
  <c r="N437" i="13"/>
  <c r="L437" i="13"/>
  <c r="L672" i="13"/>
  <c r="N672" i="13"/>
  <c r="N680" i="13"/>
  <c r="L680" i="13"/>
  <c r="L710" i="13"/>
  <c r="N710" i="13"/>
  <c r="R344" i="17"/>
  <c r="N462" i="13"/>
  <c r="L462" i="13"/>
  <c r="N433" i="13"/>
  <c r="L433" i="13"/>
  <c r="N567" i="13"/>
  <c r="L567" i="13"/>
  <c r="N520" i="13"/>
  <c r="L520" i="13"/>
  <c r="N741" i="13"/>
  <c r="L741" i="13"/>
  <c r="L593" i="13"/>
  <c r="N593" i="13"/>
  <c r="N681" i="13"/>
  <c r="L681" i="13"/>
  <c r="R525" i="17"/>
  <c r="N579" i="13"/>
  <c r="L579" i="13"/>
  <c r="N516" i="13"/>
  <c r="L516" i="13"/>
  <c r="L467" i="13"/>
  <c r="N467" i="13"/>
  <c r="L601" i="13"/>
  <c r="N601" i="13"/>
  <c r="L602" i="13"/>
  <c r="N602" i="13"/>
  <c r="N490" i="13"/>
  <c r="L490" i="13"/>
  <c r="R847" i="17"/>
  <c r="R658" i="17"/>
  <c r="R722" i="17"/>
  <c r="R991" i="17"/>
  <c r="R34" i="17"/>
  <c r="R612" i="17"/>
  <c r="L415" i="13"/>
  <c r="N415" i="13"/>
  <c r="L670" i="13"/>
  <c r="N670" i="13"/>
  <c r="N570" i="13"/>
  <c r="L570" i="13"/>
  <c r="L417" i="13"/>
  <c r="N417" i="13"/>
  <c r="N455" i="13"/>
  <c r="L455" i="13"/>
  <c r="L573" i="13"/>
  <c r="N573" i="13"/>
  <c r="R768" i="17"/>
  <c r="L630" i="13"/>
  <c r="N630" i="13"/>
  <c r="L673" i="13"/>
  <c r="N673" i="13"/>
  <c r="L594" i="13"/>
  <c r="N594" i="13"/>
  <c r="L677" i="13"/>
  <c r="N677" i="13"/>
  <c r="N400" i="13"/>
  <c r="L400" i="13"/>
  <c r="L655" i="13"/>
  <c r="N655" i="13"/>
  <c r="N401" i="13"/>
  <c r="L401" i="13"/>
  <c r="L521" i="13"/>
  <c r="N521" i="13"/>
  <c r="N751" i="13"/>
  <c r="L751" i="13"/>
  <c r="N702" i="13"/>
  <c r="L702" i="13"/>
  <c r="L525" i="13"/>
  <c r="N525" i="13"/>
  <c r="L412" i="13"/>
  <c r="N412" i="13"/>
  <c r="N468" i="13"/>
  <c r="L468" i="13"/>
  <c r="N406" i="13"/>
  <c r="L406" i="13"/>
  <c r="N559" i="13"/>
  <c r="L559" i="13"/>
  <c r="N640" i="13"/>
  <c r="L640" i="13"/>
  <c r="N707" i="13"/>
  <c r="L707" i="13"/>
  <c r="L411" i="13"/>
  <c r="N411" i="13"/>
  <c r="L445" i="13"/>
  <c r="N445" i="13"/>
  <c r="R517" i="17"/>
  <c r="L447" i="13"/>
  <c r="N447" i="13"/>
  <c r="L638" i="13"/>
  <c r="N638" i="13"/>
  <c r="N489" i="13"/>
  <c r="L489" i="13"/>
  <c r="N554" i="13"/>
  <c r="L554" i="13"/>
  <c r="N448" i="13"/>
  <c r="L448" i="13"/>
  <c r="L685" i="13"/>
  <c r="N685" i="13"/>
  <c r="N600" i="13"/>
  <c r="L600" i="13"/>
  <c r="L716" i="13"/>
  <c r="N716" i="13"/>
  <c r="N597" i="13"/>
  <c r="L597" i="13"/>
  <c r="N629" i="13"/>
  <c r="L629" i="13"/>
  <c r="N698" i="13"/>
  <c r="L698" i="13"/>
  <c r="N759" i="13"/>
  <c r="L759" i="13"/>
  <c r="L704" i="13"/>
  <c r="N704" i="13"/>
  <c r="L596" i="13"/>
  <c r="N596" i="13"/>
  <c r="N405" i="13"/>
  <c r="L405" i="13"/>
  <c r="L709" i="13"/>
  <c r="N709" i="13"/>
  <c r="N753" i="13"/>
  <c r="L753" i="13"/>
  <c r="R925" i="17"/>
  <c r="N558" i="13"/>
  <c r="L558" i="13"/>
  <c r="L474" i="13"/>
  <c r="N474" i="13"/>
  <c r="N674" i="13"/>
  <c r="L674" i="13"/>
  <c r="L465" i="13"/>
  <c r="N465" i="13"/>
  <c r="L504" i="13"/>
  <c r="N504" i="13"/>
  <c r="L443" i="13"/>
  <c r="N443" i="13"/>
  <c r="R967" i="17"/>
  <c r="R880" i="17"/>
  <c r="R793" i="17"/>
  <c r="R521" i="17"/>
  <c r="R31" i="17"/>
  <c r="R748" i="17"/>
  <c r="R932" i="17"/>
  <c r="R582" i="17"/>
  <c r="R826" i="17"/>
  <c r="R228" i="17"/>
  <c r="R58" i="17"/>
  <c r="R608" i="17"/>
  <c r="R74" i="17"/>
  <c r="R409" i="17"/>
  <c r="N572" i="13"/>
  <c r="L572" i="13"/>
  <c r="N724" i="13"/>
  <c r="L724" i="13"/>
  <c r="N627" i="13"/>
  <c r="L627" i="13"/>
  <c r="N454" i="13"/>
  <c r="L454" i="13"/>
  <c r="R334" i="17"/>
  <c r="N690" i="13"/>
  <c r="L690" i="13"/>
  <c r="N409" i="13"/>
  <c r="L409" i="13"/>
  <c r="L653" i="13"/>
  <c r="N653" i="13"/>
  <c r="N513" i="13"/>
  <c r="L513" i="13"/>
  <c r="N563" i="13"/>
  <c r="L563" i="13"/>
  <c r="N736" i="13"/>
  <c r="L736" i="13"/>
  <c r="N431" i="13"/>
  <c r="L431" i="13"/>
  <c r="L728" i="13"/>
  <c r="N728" i="13"/>
  <c r="L388" i="13"/>
  <c r="N388" i="13"/>
  <c r="R64" i="17"/>
  <c r="N407" i="13"/>
  <c r="L407" i="13"/>
  <c r="N616" i="13"/>
  <c r="L616" i="13"/>
  <c r="L644" i="13"/>
  <c r="N644" i="13"/>
  <c r="R577" i="17"/>
  <c r="R898" i="17"/>
  <c r="R501" i="17"/>
  <c r="N395" i="13"/>
  <c r="L395" i="13"/>
  <c r="L475" i="13"/>
  <c r="N475" i="13"/>
  <c r="N743" i="13"/>
  <c r="L743" i="13"/>
  <c r="L719" i="13"/>
  <c r="N719" i="13"/>
  <c r="N722" i="13"/>
  <c r="L722" i="13"/>
  <c r="N678" i="13"/>
  <c r="L678" i="13"/>
  <c r="L519" i="13"/>
  <c r="N519" i="13"/>
  <c r="N403" i="13"/>
  <c r="L403" i="13"/>
  <c r="L754" i="13"/>
  <c r="N754" i="13"/>
  <c r="L660" i="13"/>
  <c r="N660" i="13"/>
  <c r="N562" i="13"/>
  <c r="L562" i="13"/>
  <c r="L531" i="13"/>
  <c r="N531" i="13"/>
  <c r="N628" i="13"/>
  <c r="L628" i="13"/>
  <c r="R558" i="17"/>
  <c r="R390" i="17"/>
  <c r="R263" i="17"/>
  <c r="R181" i="17"/>
  <c r="R231" i="17"/>
  <c r="R852" i="17"/>
  <c r="R143" i="17"/>
  <c r="R257" i="17"/>
  <c r="R88" i="17"/>
  <c r="R992" i="17"/>
  <c r="R45" i="17"/>
  <c r="R743" i="17"/>
  <c r="R907" i="17"/>
  <c r="R939" i="17"/>
  <c r="N479" i="13"/>
  <c r="L479" i="13"/>
  <c r="L669" i="13"/>
  <c r="N669" i="13"/>
  <c r="L502" i="13"/>
  <c r="N502" i="13"/>
  <c r="N697" i="13"/>
  <c r="L697" i="13"/>
  <c r="N679" i="13"/>
  <c r="L679" i="13"/>
  <c r="N713" i="13"/>
  <c r="L713" i="13"/>
  <c r="N695" i="13"/>
  <c r="L695" i="13"/>
  <c r="N510" i="13"/>
  <c r="L510" i="13"/>
  <c r="R693" i="17"/>
  <c r="K24" i="17"/>
  <c r="L749" i="13"/>
  <c r="N749" i="13"/>
  <c r="N571" i="13"/>
  <c r="L571" i="13"/>
  <c r="L440" i="13"/>
  <c r="N440" i="13"/>
  <c r="R941" i="17"/>
  <c r="R774" i="17"/>
  <c r="N500" i="13"/>
  <c r="L500" i="13"/>
  <c r="L624" i="13"/>
  <c r="N624" i="13"/>
  <c r="L643" i="13"/>
  <c r="N643" i="13"/>
  <c r="L507" i="13"/>
  <c r="N507" i="13"/>
  <c r="L524" i="13"/>
  <c r="N524" i="13"/>
  <c r="N526" i="13"/>
  <c r="L526" i="13"/>
  <c r="N442" i="13"/>
  <c r="L442" i="13"/>
  <c r="N744" i="13"/>
  <c r="L744" i="13"/>
  <c r="L584" i="13"/>
  <c r="N584" i="13"/>
  <c r="R952" i="17"/>
  <c r="L512" i="13"/>
  <c r="N512" i="13"/>
  <c r="N396" i="13"/>
  <c r="L396" i="13"/>
  <c r="N626" i="13"/>
  <c r="L626" i="13"/>
  <c r="N546" i="13"/>
  <c r="L546" i="13"/>
  <c r="L607" i="13"/>
  <c r="N607" i="13"/>
  <c r="N517" i="13"/>
  <c r="L517" i="13"/>
  <c r="N694" i="13"/>
  <c r="L694" i="13"/>
  <c r="L587" i="13"/>
  <c r="N587" i="13"/>
  <c r="N540" i="13"/>
  <c r="L540" i="13"/>
  <c r="L618" i="13"/>
  <c r="N618" i="13"/>
  <c r="L605" i="13"/>
  <c r="N605" i="13"/>
  <c r="R399" i="17"/>
  <c r="R398" i="17"/>
  <c r="R436" i="17"/>
  <c r="R587" i="17"/>
  <c r="R358" i="17"/>
  <c r="R802" i="17"/>
  <c r="R625" i="17"/>
  <c r="R207" i="17"/>
  <c r="R830" i="17"/>
  <c r="R799" i="17"/>
  <c r="L505" i="13"/>
  <c r="N505" i="13"/>
  <c r="L491" i="13"/>
  <c r="N491" i="13"/>
  <c r="N631" i="13"/>
  <c r="L631" i="13"/>
  <c r="L399" i="13"/>
  <c r="N399" i="13"/>
  <c r="N385" i="13"/>
  <c r="L385" i="13"/>
  <c r="R203" i="17"/>
  <c r="R798" i="17"/>
  <c r="L560" i="13"/>
  <c r="N560" i="13"/>
  <c r="N725" i="13"/>
  <c r="L725" i="13"/>
  <c r="N429" i="13"/>
  <c r="L429" i="13"/>
  <c r="L390" i="13"/>
  <c r="N390" i="13"/>
  <c r="N750" i="13"/>
  <c r="L750" i="13"/>
  <c r="N471" i="13"/>
  <c r="L471" i="13"/>
  <c r="N589" i="13"/>
  <c r="L589" i="13"/>
  <c r="N590" i="13"/>
  <c r="L590" i="13"/>
  <c r="L755" i="13"/>
  <c r="N755" i="13"/>
  <c r="R775" i="17"/>
  <c r="L503" i="13"/>
  <c r="N503" i="13"/>
  <c r="L470" i="13"/>
  <c r="N470" i="13"/>
  <c r="N740" i="13"/>
  <c r="L740" i="13"/>
  <c r="L649" i="13"/>
  <c r="N649" i="13"/>
  <c r="L537" i="13"/>
  <c r="N537" i="13"/>
  <c r="N538" i="13"/>
  <c r="L538" i="13"/>
  <c r="L453" i="13"/>
  <c r="N453" i="13"/>
  <c r="L472" i="13"/>
  <c r="N472" i="13"/>
  <c r="L481" i="13"/>
  <c r="N481" i="13"/>
  <c r="R934" i="17"/>
  <c r="L544" i="13"/>
  <c r="N544" i="13"/>
  <c r="L578" i="13"/>
  <c r="N578" i="13"/>
  <c r="R560" i="17"/>
  <c r="L635" i="13"/>
  <c r="N635" i="13"/>
  <c r="N542" i="13"/>
  <c r="L542" i="13"/>
  <c r="N478" i="13"/>
  <c r="L478" i="13"/>
  <c r="N745" i="13"/>
  <c r="L745" i="13"/>
  <c r="R695" i="17"/>
  <c r="R417" i="17"/>
  <c r="N731" i="13"/>
  <c r="L731" i="13"/>
  <c r="N609" i="13"/>
  <c r="L609" i="13"/>
  <c r="L486" i="13"/>
  <c r="N486" i="13"/>
  <c r="R878" i="17"/>
  <c r="N389" i="13"/>
  <c r="L389" i="13"/>
  <c r="N545" i="13"/>
  <c r="L545" i="13"/>
  <c r="L748" i="13"/>
  <c r="N748" i="13"/>
  <c r="L715" i="13"/>
  <c r="N715" i="13"/>
  <c r="N746" i="13"/>
  <c r="L746" i="13"/>
  <c r="R262" i="17"/>
  <c r="N469" i="13"/>
  <c r="L469" i="13"/>
  <c r="L492" i="13"/>
  <c r="N492" i="13"/>
  <c r="R979" i="17"/>
  <c r="N430" i="13"/>
  <c r="L430" i="13"/>
  <c r="N650" i="13"/>
  <c r="L650" i="13"/>
  <c r="N735" i="13"/>
  <c r="L735" i="13"/>
  <c r="L636" i="13"/>
  <c r="N636" i="13"/>
  <c r="R554" i="17"/>
  <c r="L424" i="13"/>
  <c r="N424" i="13"/>
  <c r="N457" i="13"/>
  <c r="L457" i="13"/>
  <c r="L497" i="13"/>
  <c r="N497" i="13"/>
  <c r="R479" i="17"/>
  <c r="R342" i="17"/>
  <c r="R253" i="17"/>
  <c r="R615" i="17"/>
  <c r="R912" i="17"/>
  <c r="R37" i="17"/>
  <c r="R609" i="17"/>
  <c r="R416" i="17"/>
  <c r="R772" i="17"/>
  <c r="R367" i="17"/>
  <c r="R633" i="17"/>
  <c r="R733" i="17"/>
  <c r="R504" i="17"/>
  <c r="R679" i="17"/>
  <c r="L566" i="13"/>
  <c r="N566" i="13"/>
  <c r="N705" i="13"/>
  <c r="L705" i="13"/>
  <c r="L506" i="13"/>
  <c r="N506" i="13"/>
  <c r="L611" i="13"/>
  <c r="N611" i="13"/>
  <c r="N421" i="13"/>
  <c r="L421" i="13"/>
  <c r="N555" i="13"/>
  <c r="L555" i="13"/>
  <c r="L691" i="13"/>
  <c r="N691" i="13"/>
  <c r="L509" i="13"/>
  <c r="N509" i="13"/>
  <c r="L574" i="13"/>
  <c r="N574" i="13"/>
  <c r="N446" i="13"/>
  <c r="L446" i="13"/>
  <c r="N693" i="13"/>
  <c r="L693" i="13"/>
  <c r="R787" i="17"/>
  <c r="R717" i="17"/>
  <c r="N473" i="13"/>
  <c r="L473" i="13"/>
  <c r="L696" i="13"/>
  <c r="N696" i="13"/>
  <c r="L662" i="13"/>
  <c r="N662" i="13"/>
  <c r="N582" i="13"/>
  <c r="L582" i="13"/>
  <c r="N585" i="13"/>
  <c r="L585" i="13"/>
  <c r="L522" i="13"/>
  <c r="N522" i="13"/>
  <c r="N476" i="13"/>
  <c r="L476" i="13"/>
  <c r="R174" i="17"/>
  <c r="N432" i="13"/>
  <c r="L432" i="13"/>
  <c r="L387" i="13"/>
  <c r="N387" i="13"/>
  <c r="L425" i="13"/>
  <c r="N425" i="13"/>
  <c r="L703" i="13"/>
  <c r="N703" i="13"/>
  <c r="L661" i="13"/>
  <c r="N661" i="13"/>
  <c r="L515" i="13"/>
  <c r="N515" i="13"/>
  <c r="N580" i="13"/>
  <c r="L580" i="13"/>
  <c r="R696" i="17"/>
  <c r="N534" i="13"/>
  <c r="L534" i="13"/>
  <c r="L708" i="13"/>
  <c r="N708" i="13"/>
  <c r="L726" i="13"/>
  <c r="N726" i="13"/>
  <c r="L553" i="13"/>
  <c r="N553" i="13"/>
  <c r="L428" i="13"/>
  <c r="N428" i="13"/>
  <c r="L449" i="13"/>
  <c r="N449" i="13"/>
  <c r="L511" i="13"/>
  <c r="N511" i="13"/>
  <c r="N688" i="13"/>
  <c r="L688" i="13"/>
  <c r="L592" i="13"/>
  <c r="N592" i="13"/>
  <c r="N757" i="13"/>
  <c r="L757" i="13"/>
  <c r="N658" i="13"/>
  <c r="L658" i="13"/>
  <c r="N723" i="13"/>
  <c r="L723" i="13"/>
  <c r="N761" i="13"/>
  <c r="L761" i="13"/>
  <c r="N675" i="13"/>
  <c r="L675" i="13"/>
  <c r="L435" i="13"/>
  <c r="N435" i="13"/>
  <c r="L651" i="13"/>
  <c r="N651" i="13"/>
  <c r="L620" i="13"/>
  <c r="N620" i="13"/>
  <c r="L591" i="13"/>
  <c r="N591" i="13"/>
  <c r="L718" i="13"/>
  <c r="N718" i="13"/>
  <c r="L514" i="13"/>
  <c r="N514" i="13"/>
  <c r="R91" i="17"/>
  <c r="N625" i="13"/>
  <c r="L625" i="13"/>
  <c r="R397" i="17"/>
  <c r="R604" i="17"/>
  <c r="N539" i="13"/>
  <c r="L539" i="13"/>
  <c r="L645" i="13"/>
  <c r="N645" i="13"/>
  <c r="L557" i="13"/>
  <c r="N557" i="13"/>
  <c r="L699" i="13"/>
  <c r="N699" i="13"/>
  <c r="R261" i="17"/>
  <c r="L402" i="13"/>
  <c r="N402" i="13"/>
  <c r="N535" i="13"/>
  <c r="L535" i="13"/>
  <c r="L394" i="13"/>
  <c r="N394" i="13"/>
  <c r="L711" i="13"/>
  <c r="N711" i="13"/>
  <c r="L692" i="13"/>
  <c r="N692" i="13"/>
  <c r="N484" i="13"/>
  <c r="L484" i="13"/>
  <c r="N641" i="13"/>
  <c r="L641" i="13"/>
  <c r="R868" i="17"/>
  <c r="N737" i="13"/>
  <c r="L737" i="13"/>
  <c r="R871" i="17"/>
  <c r="L458" i="13"/>
  <c r="N458" i="13"/>
  <c r="R208" i="17"/>
  <c r="N450" i="13"/>
  <c r="L450" i="13"/>
  <c r="L583" i="13"/>
  <c r="N583" i="13"/>
  <c r="L420" i="13"/>
  <c r="N420" i="13"/>
  <c r="N762" i="13"/>
  <c r="L762" i="13"/>
  <c r="L659" i="13"/>
  <c r="N659" i="13"/>
  <c r="L461" i="13"/>
  <c r="N461" i="13"/>
  <c r="N595" i="13"/>
  <c r="L595" i="13"/>
  <c r="L648" i="13"/>
  <c r="N648" i="13"/>
  <c r="R154" i="17"/>
  <c r="R14" i="17"/>
  <c r="L463" i="13"/>
  <c r="N463" i="13"/>
  <c r="L721" i="13"/>
  <c r="N721" i="13"/>
  <c r="N444" i="13"/>
  <c r="L444" i="13"/>
  <c r="N667" i="13"/>
  <c r="L667" i="13"/>
  <c r="N466" i="13"/>
  <c r="L466" i="13"/>
  <c r="N488" i="13"/>
  <c r="L488" i="13"/>
  <c r="N701" i="13"/>
  <c r="L701" i="13"/>
  <c r="N418" i="13"/>
  <c r="L418" i="13"/>
  <c r="N438" i="13"/>
  <c r="L438" i="13"/>
  <c r="N684" i="13"/>
  <c r="L684" i="13"/>
  <c r="L547" i="13"/>
  <c r="N547" i="13"/>
  <c r="R610" i="17"/>
  <c r="R1019" i="17"/>
  <c r="R586" i="17"/>
  <c r="R66" i="17"/>
  <c r="R47" i="17"/>
  <c r="R559" i="17"/>
  <c r="R277" i="17"/>
  <c r="R994" i="17"/>
  <c r="R153" i="17"/>
  <c r="R714" i="17"/>
  <c r="R855" i="17"/>
  <c r="R282" i="17"/>
  <c r="N615" i="13"/>
  <c r="L615" i="13"/>
  <c r="N508" i="13"/>
  <c r="L508" i="13"/>
  <c r="L739" i="13"/>
  <c r="N739" i="13"/>
  <c r="L426" i="13"/>
  <c r="N426" i="13"/>
  <c r="R879" i="17"/>
  <c r="N568" i="13"/>
  <c r="L568" i="13"/>
  <c r="L632" i="13"/>
  <c r="N632" i="13"/>
  <c r="L543" i="13"/>
  <c r="N543" i="13"/>
  <c r="N732" i="13"/>
  <c r="L732" i="13"/>
  <c r="L634" i="13"/>
  <c r="N634" i="13"/>
  <c r="L689" i="13"/>
  <c r="N689" i="13"/>
  <c r="N501" i="13"/>
  <c r="L501" i="13"/>
  <c r="L656" i="13"/>
  <c r="N656" i="13"/>
  <c r="L763" i="13"/>
  <c r="N763" i="13"/>
  <c r="L451" i="13"/>
  <c r="N451" i="13"/>
  <c r="L760" i="13"/>
  <c r="N760" i="13"/>
  <c r="L623" i="13"/>
  <c r="N623" i="13"/>
  <c r="R61" i="17"/>
  <c r="N393" i="13"/>
  <c r="L393" i="13"/>
  <c r="R613" i="17"/>
  <c r="N712" i="13"/>
  <c r="L712" i="13"/>
  <c r="N434" i="13"/>
  <c r="L434" i="13"/>
  <c r="N663" i="13"/>
  <c r="L663" i="13"/>
  <c r="R940" i="17"/>
  <c r="N576" i="13"/>
  <c r="L576" i="13"/>
  <c r="R640" i="17"/>
  <c r="N668" i="13"/>
  <c r="L668" i="13"/>
  <c r="N598" i="13"/>
  <c r="L598" i="13"/>
  <c r="N738" i="13"/>
  <c r="L738" i="13"/>
  <c r="N734" i="13"/>
  <c r="L734" i="13"/>
  <c r="N610" i="13"/>
  <c r="L610" i="13"/>
  <c r="N604" i="13"/>
  <c r="L604" i="13"/>
  <c r="L392" i="13"/>
  <c r="N392" i="13"/>
  <c r="N541" i="13"/>
  <c r="L541" i="13"/>
  <c r="N606" i="13"/>
  <c r="L606" i="13"/>
  <c r="L676" i="13"/>
  <c r="N676" i="13"/>
  <c r="R96" i="17"/>
  <c r="N533" i="13"/>
  <c r="L533" i="13"/>
  <c r="L441" i="13"/>
  <c r="N441" i="13"/>
  <c r="L575" i="13"/>
  <c r="N575" i="13"/>
  <c r="L528" i="13"/>
  <c r="N528" i="13"/>
  <c r="L714" i="13"/>
  <c r="N714" i="13"/>
  <c r="N532" i="13"/>
  <c r="L532" i="13"/>
  <c r="L603" i="13"/>
  <c r="N603" i="13"/>
  <c r="N413" i="13"/>
  <c r="L413" i="13"/>
  <c r="R490" i="17"/>
  <c r="L464" i="13"/>
  <c r="N464" i="13"/>
  <c r="L599" i="13"/>
  <c r="N599" i="13"/>
  <c r="L436" i="13"/>
  <c r="N436" i="13"/>
  <c r="N551" i="13"/>
  <c r="L551" i="13"/>
  <c r="N548" i="13"/>
  <c r="L548" i="13"/>
  <c r="N700" i="13"/>
  <c r="L700" i="13"/>
  <c r="R547" i="17"/>
  <c r="R528" i="17"/>
  <c r="R601" i="17"/>
  <c r="R301" i="17"/>
  <c r="R122" i="17"/>
  <c r="R315" i="17"/>
  <c r="R413" i="17"/>
  <c r="R1014" i="17"/>
  <c r="R362" i="17"/>
  <c r="R142" i="17"/>
  <c r="R247" i="17"/>
  <c r="L485" i="13"/>
  <c r="N485" i="13"/>
  <c r="N747" i="13"/>
  <c r="L747" i="13"/>
  <c r="L569" i="13"/>
  <c r="N569" i="13"/>
  <c r="L671" i="13"/>
  <c r="N671" i="13"/>
  <c r="N397" i="13"/>
  <c r="L397" i="13"/>
  <c r="L384" i="13"/>
  <c r="N384" i="13"/>
  <c r="N416" i="13"/>
  <c r="L416" i="13"/>
  <c r="L487" i="13"/>
  <c r="N487" i="13"/>
  <c r="N496" i="13"/>
  <c r="L496" i="13"/>
  <c r="N654" i="13"/>
  <c r="L654" i="13"/>
  <c r="N459" i="13"/>
  <c r="L459" i="13"/>
  <c r="N577" i="13"/>
  <c r="L577" i="13"/>
  <c r="L530" i="13"/>
  <c r="N530" i="13"/>
  <c r="N727" i="13"/>
  <c r="L727" i="13"/>
  <c r="N729" i="13"/>
  <c r="L729" i="13"/>
  <c r="L586" i="13"/>
  <c r="N586" i="13"/>
  <c r="R392" i="17"/>
  <c r="L682" i="13"/>
  <c r="N682" i="13"/>
  <c r="L588" i="13"/>
  <c r="N588" i="13"/>
  <c r="L686" i="13"/>
  <c r="N686" i="13"/>
  <c r="N404" i="13"/>
  <c r="L404" i="13"/>
  <c r="R895" i="17"/>
  <c r="L456" i="13"/>
  <c r="N456" i="13"/>
  <c r="N495" i="13"/>
  <c r="L495" i="13"/>
  <c r="L529" i="13"/>
  <c r="N529" i="13"/>
  <c r="L482" i="13"/>
  <c r="N482" i="13"/>
  <c r="L619" i="13"/>
  <c r="N619" i="13"/>
  <c r="N608" i="13"/>
  <c r="L608" i="13"/>
  <c r="L581" i="13"/>
  <c r="N581" i="13"/>
  <c r="N536" i="13"/>
  <c r="L536" i="13"/>
  <c r="N657" i="13"/>
  <c r="L657" i="13"/>
  <c r="L637" i="13"/>
  <c r="N637" i="13"/>
  <c r="N664" i="13"/>
  <c r="L664" i="13"/>
  <c r="T5" i="3" l="1"/>
  <c r="T13" i="3"/>
  <c r="T18" i="3"/>
  <c r="T14" i="3"/>
  <c r="T11" i="3"/>
  <c r="T9" i="3"/>
  <c r="T16" i="3"/>
  <c r="T12" i="3"/>
  <c r="T19" i="3"/>
  <c r="T22" i="3"/>
  <c r="T15" i="3"/>
  <c r="T17" i="3"/>
  <c r="T20" i="3"/>
  <c r="T7" i="3"/>
  <c r="T6" i="3"/>
  <c r="T23" i="3"/>
  <c r="T4" i="3"/>
  <c r="T10" i="3"/>
  <c r="T8" i="3"/>
  <c r="T21" i="3"/>
  <c r="T17" i="17"/>
  <c r="T830" i="17"/>
  <c r="T455" i="17"/>
  <c r="T952" i="17"/>
  <c r="T220" i="17"/>
  <c r="T958" i="17"/>
  <c r="T235" i="17"/>
  <c r="T227" i="17"/>
  <c r="T772" i="17"/>
  <c r="T231" i="17"/>
  <c r="T825" i="17"/>
  <c r="T658" i="17"/>
  <c r="T35" i="17"/>
  <c r="T557" i="17"/>
  <c r="T341" i="17"/>
  <c r="T452" i="17"/>
  <c r="T745" i="17"/>
  <c r="T206" i="17"/>
  <c r="T7" i="17"/>
  <c r="T814" i="17"/>
  <c r="T657" i="17"/>
  <c r="T670" i="17"/>
  <c r="T954" i="17"/>
  <c r="T855" i="17"/>
  <c r="T47" i="17"/>
  <c r="T949" i="17"/>
  <c r="T439" i="17"/>
  <c r="T652" i="17"/>
  <c r="T737" i="17"/>
  <c r="T962" i="17"/>
  <c r="T413" i="17"/>
  <c r="T96" i="17"/>
  <c r="T239" i="17"/>
  <c r="T208" i="17"/>
  <c r="T233" i="17"/>
  <c r="T223" i="17"/>
  <c r="T342" i="17"/>
  <c r="T669" i="17"/>
  <c r="T671" i="17"/>
  <c r="T23" i="17"/>
  <c r="T224" i="17"/>
  <c r="T234" i="17"/>
  <c r="T656" i="17"/>
  <c r="T963" i="17"/>
  <c r="T752" i="17"/>
  <c r="T968" i="17"/>
  <c r="T733" i="17"/>
  <c r="T816" i="17"/>
  <c r="T828" i="17"/>
  <c r="T124" i="17"/>
  <c r="T401" i="17"/>
  <c r="T362" i="17"/>
  <c r="T236" i="17"/>
  <c r="T528" i="17"/>
  <c r="T232" i="17"/>
  <c r="T980" i="17"/>
  <c r="T465" i="17"/>
  <c r="T653" i="17"/>
  <c r="T895" i="17"/>
  <c r="T490" i="17"/>
  <c r="T61" i="17"/>
  <c r="T805" i="17"/>
  <c r="T436" i="17"/>
  <c r="T770" i="17"/>
  <c r="T761" i="17"/>
  <c r="T640" i="17"/>
  <c r="T222" i="17"/>
  <c r="T547" i="17"/>
  <c r="T762" i="17"/>
  <c r="T714" i="17"/>
  <c r="T477" i="17"/>
  <c r="T221" i="17"/>
  <c r="T779" i="17"/>
  <c r="T330" i="17"/>
  <c r="T479" i="17"/>
  <c r="T280" i="17"/>
  <c r="T204" i="17"/>
  <c r="T875" i="17"/>
  <c r="T212" i="17"/>
  <c r="T127" i="17"/>
  <c r="T815" i="17"/>
  <c r="T194" i="17"/>
  <c r="T692" i="17"/>
  <c r="T789" i="17"/>
  <c r="T927" i="17"/>
  <c r="T590" i="17"/>
  <c r="T977" i="17"/>
  <c r="T260" i="17"/>
  <c r="T682" i="17"/>
  <c r="T586" i="17"/>
  <c r="T887" i="17"/>
  <c r="T995" i="17"/>
  <c r="T994" i="17"/>
  <c r="T142" i="17"/>
  <c r="T73" i="17"/>
  <c r="T940" i="17"/>
  <c r="T601" i="17"/>
  <c r="T574" i="17"/>
  <c r="T174" i="17"/>
  <c r="T787" i="17"/>
  <c r="T687" i="17"/>
  <c r="T104" i="17"/>
  <c r="T1014" i="17"/>
  <c r="T988" i="17"/>
  <c r="T879" i="17"/>
  <c r="T747" i="17"/>
  <c r="T549" i="17"/>
  <c r="T100" i="17"/>
  <c r="T251" i="17"/>
  <c r="T282" i="17"/>
  <c r="T696" i="17"/>
  <c r="T634" i="17"/>
  <c r="T301" i="17"/>
  <c r="T636" i="17"/>
  <c r="T44" i="17"/>
  <c r="T860" i="17"/>
  <c r="T156" i="17"/>
  <c r="T984" i="17"/>
  <c r="T769" i="17"/>
  <c r="T201" i="17"/>
  <c r="T524" i="17"/>
  <c r="T924" i="17"/>
  <c r="T173" i="17"/>
  <c r="T923" i="17"/>
  <c r="T955" i="17"/>
  <c r="T67" i="17"/>
  <c r="T793" i="17"/>
  <c r="T42" i="17"/>
  <c r="T874" i="17"/>
  <c r="T985" i="17"/>
  <c r="T372" i="17"/>
  <c r="T92" i="17"/>
  <c r="T284" i="17"/>
  <c r="T384" i="17"/>
  <c r="T576" i="17"/>
  <c r="T698" i="17"/>
  <c r="T411" i="17"/>
  <c r="T859" i="17"/>
  <c r="T933" i="17"/>
  <c r="T764" i="17"/>
  <c r="T418" i="17"/>
  <c r="T519" i="17"/>
  <c r="T152" i="17"/>
  <c r="T905" i="17"/>
  <c r="T360" i="17"/>
  <c r="T153" i="17"/>
  <c r="T1011" i="17"/>
  <c r="T914" i="17"/>
  <c r="T883" i="17"/>
  <c r="T114" i="17"/>
  <c r="T386" i="17"/>
  <c r="T936" i="17"/>
  <c r="T878" i="17"/>
  <c r="T896" i="17"/>
  <c r="T854" i="17"/>
  <c r="T195" i="17"/>
  <c r="T207" i="17"/>
  <c r="T193" i="17"/>
  <c r="T573" i="17"/>
  <c r="T4" i="17"/>
  <c r="T990" i="17"/>
  <c r="T939" i="17"/>
  <c r="T256" i="17"/>
  <c r="T1017" i="17"/>
  <c r="T250" i="17"/>
  <c r="T953" i="17"/>
  <c r="T571" i="17"/>
  <c r="T421" i="17"/>
  <c r="T832" i="17"/>
  <c r="T639" i="17"/>
  <c r="T334" i="17"/>
  <c r="T65" i="17"/>
  <c r="T711" i="17"/>
  <c r="T826" i="17"/>
  <c r="T736" i="17"/>
  <c r="T258" i="17"/>
  <c r="T131" i="17"/>
  <c r="T63" i="17"/>
  <c r="T925" i="17"/>
  <c r="T507" i="17"/>
  <c r="T629" i="17"/>
  <c r="T930" i="17"/>
  <c r="T584" i="17"/>
  <c r="T991" i="17"/>
  <c r="T441" i="17"/>
  <c r="T344" i="17"/>
  <c r="T846" i="17"/>
  <c r="T226" i="17"/>
  <c r="T12" i="17"/>
  <c r="T901" i="17"/>
  <c r="T200" i="17"/>
  <c r="T765" i="17"/>
  <c r="T86" i="17"/>
  <c r="T902" i="17"/>
  <c r="T660" i="17"/>
  <c r="T741" i="17"/>
  <c r="T522" i="17"/>
  <c r="T303" i="17"/>
  <c r="T803" i="17"/>
  <c r="T850" i="17"/>
  <c r="T680" i="17"/>
  <c r="T713" i="17"/>
  <c r="T1013" i="17"/>
  <c r="T183" i="17"/>
  <c r="T318" i="17"/>
  <c r="T831" i="17"/>
  <c r="T225" i="17"/>
  <c r="T319" i="17"/>
  <c r="T536" i="17"/>
  <c r="T302" i="17"/>
  <c r="T822" i="17"/>
  <c r="T119" i="17"/>
  <c r="T309" i="17"/>
  <c r="T451" i="17"/>
  <c r="T43" i="17"/>
  <c r="T87" i="17"/>
  <c r="T472" i="17"/>
  <c r="T849" i="17"/>
  <c r="T248" i="17"/>
  <c r="T247" i="17"/>
  <c r="T422" i="17"/>
  <c r="T158" i="17"/>
  <c r="T613" i="17"/>
  <c r="T626" i="17"/>
  <c r="T389" i="17"/>
  <c r="T277" i="17"/>
  <c r="T66" i="17"/>
  <c r="T598" i="17"/>
  <c r="T154" i="17"/>
  <c r="T552" i="17"/>
  <c r="T91" i="17"/>
  <c r="T275" i="17"/>
  <c r="T1007" i="17"/>
  <c r="T416" i="17"/>
  <c r="T912" i="17"/>
  <c r="T253" i="17"/>
  <c r="T374" i="17"/>
  <c r="T725" i="17"/>
  <c r="T775" i="17"/>
  <c r="T799" i="17"/>
  <c r="T625" i="17"/>
  <c r="T802" i="17"/>
  <c r="T166" i="17"/>
  <c r="T249" i="17"/>
  <c r="T578" i="17"/>
  <c r="T907" i="17"/>
  <c r="T605" i="17"/>
  <c r="T518" i="17"/>
  <c r="T181" i="17"/>
  <c r="T185" i="17"/>
  <c r="T558" i="17"/>
  <c r="T766" i="17"/>
  <c r="T409" i="17"/>
  <c r="T630" i="17"/>
  <c r="T252" i="17"/>
  <c r="T978" i="17"/>
  <c r="T833" i="17"/>
  <c r="T60" i="17"/>
  <c r="T964" i="17"/>
  <c r="T99" i="17"/>
  <c r="T9" i="17"/>
  <c r="T876" i="17"/>
  <c r="T369" i="17"/>
  <c r="T34" i="17"/>
  <c r="T806" i="17"/>
  <c r="T792" i="17"/>
  <c r="T525" i="17"/>
  <c r="T804" i="17"/>
  <c r="T425" i="17"/>
  <c r="T579" i="17"/>
  <c r="T112" i="17"/>
  <c r="T843" i="17"/>
  <c r="T365" i="17"/>
  <c r="T820" i="17"/>
  <c r="T910" i="17"/>
  <c r="T115" i="17"/>
  <c r="T48" i="17"/>
  <c r="T95" i="17"/>
  <c r="T117" i="17"/>
  <c r="T800" i="17"/>
  <c r="T688" i="17"/>
  <c r="T821" i="17"/>
  <c r="T230" i="17"/>
  <c r="T555" i="17"/>
  <c r="T664" i="17"/>
  <c r="T872" i="17"/>
  <c r="T614" i="17"/>
  <c r="T817" i="17"/>
  <c r="T581" i="17"/>
  <c r="T873" i="17"/>
  <c r="T89" i="17"/>
  <c r="T196" i="17"/>
  <c r="T818" i="17"/>
  <c r="T654" i="17"/>
  <c r="T77" i="17"/>
  <c r="T589" i="17"/>
  <c r="T72" i="17"/>
  <c r="T446" i="17"/>
  <c r="T278" i="17"/>
  <c r="T438" i="17"/>
  <c r="T497" i="17"/>
  <c r="T617" i="17"/>
  <c r="T315" i="17"/>
  <c r="T368" i="17"/>
  <c r="T1003" i="17"/>
  <c r="T383" i="17"/>
  <c r="T414" i="17"/>
  <c r="T716" i="17"/>
  <c r="T871" i="17"/>
  <c r="T606" i="17"/>
  <c r="T279" i="17"/>
  <c r="T1012" i="17"/>
  <c r="T983" i="17"/>
  <c r="T607" i="17"/>
  <c r="T546" i="17"/>
  <c r="T1009" i="17"/>
  <c r="T304" i="17"/>
  <c r="T18" i="17"/>
  <c r="T358" i="17"/>
  <c r="T480" i="17"/>
  <c r="T587" i="17"/>
  <c r="T492" i="17"/>
  <c r="T274" i="17"/>
  <c r="T750" i="17"/>
  <c r="T520" i="17"/>
  <c r="T544" i="17"/>
  <c r="T263" i="17"/>
  <c r="T767" i="17"/>
  <c r="T900" i="17"/>
  <c r="T449" i="17"/>
  <c r="T113" i="17"/>
  <c r="T961" i="17"/>
  <c r="T748" i="17"/>
  <c r="T313" i="17"/>
  <c r="T346" i="17"/>
  <c r="T575" i="17"/>
  <c r="T175" i="17"/>
  <c r="T331" i="17"/>
  <c r="T1015" i="17"/>
  <c r="T467" i="17"/>
  <c r="T709" i="17"/>
  <c r="T551" i="17"/>
  <c r="T847" i="17"/>
  <c r="T877" i="17"/>
  <c r="T182" i="17"/>
  <c r="T1018" i="17"/>
  <c r="T122" i="17"/>
  <c r="T255" i="17"/>
  <c r="T926" i="17"/>
  <c r="T169" i="17"/>
  <c r="T909" i="17"/>
  <c r="AF9" i="6"/>
  <c r="AF35" i="6"/>
  <c r="T332" i="17"/>
  <c r="T442" i="17"/>
  <c r="T415" i="17"/>
  <c r="T635" i="17"/>
  <c r="T795" i="17"/>
  <c r="T685" i="17"/>
  <c r="T177" i="17"/>
  <c r="T210" i="17"/>
  <c r="T209" i="17"/>
  <c r="T41" i="17"/>
  <c r="T314" i="17"/>
  <c r="T447" i="17"/>
  <c r="T561" i="17"/>
  <c r="T951" i="17"/>
  <c r="T532" i="17"/>
  <c r="T320" i="17"/>
  <c r="T13" i="17"/>
  <c r="T437" i="17"/>
  <c r="T49" i="17"/>
  <c r="T116" i="17"/>
  <c r="T655" i="17"/>
  <c r="T62" i="17"/>
  <c r="T473" i="17"/>
  <c r="T498" i="17"/>
  <c r="T286" i="17"/>
  <c r="T959" i="17"/>
  <c r="T690" i="17"/>
  <c r="T720" i="17"/>
  <c r="T15" i="17"/>
  <c r="T509" i="17"/>
  <c r="T644" i="17"/>
  <c r="T500" i="17"/>
  <c r="T559" i="17"/>
  <c r="T75" i="17"/>
  <c r="T493" i="17"/>
  <c r="T141" i="17"/>
  <c r="T388" i="17"/>
  <c r="T97" i="17"/>
  <c r="T935" i="17"/>
  <c r="T529" i="17"/>
  <c r="T633" i="17"/>
  <c r="T290" i="17"/>
  <c r="T526" i="17"/>
  <c r="T928" i="17"/>
  <c r="T989" i="17"/>
  <c r="T503" i="17"/>
  <c r="T695" i="17"/>
  <c r="T845" i="17"/>
  <c r="T85" i="17"/>
  <c r="T929" i="17"/>
  <c r="T285" i="17"/>
  <c r="T139" i="17"/>
  <c r="T744" i="17"/>
  <c r="T1006" i="17"/>
  <c r="T143" i="17"/>
  <c r="T11" i="17"/>
  <c r="T395" i="17"/>
  <c r="T608" i="17"/>
  <c r="T228" i="17"/>
  <c r="T6" i="17"/>
  <c r="T31" i="17"/>
  <c r="T307" i="17"/>
  <c r="T719" i="17"/>
  <c r="T121" i="17"/>
  <c r="T856" i="17"/>
  <c r="T393" i="17"/>
  <c r="T563" i="17"/>
  <c r="T643" i="17"/>
  <c r="T706" i="17"/>
  <c r="T722" i="17"/>
  <c r="T71" i="17"/>
  <c r="T668" i="17"/>
  <c r="T881" i="17"/>
  <c r="T316" i="17"/>
  <c r="T237" i="17"/>
  <c r="T471" i="17"/>
  <c r="T400" i="17"/>
  <c r="T148" i="17"/>
  <c r="T151" i="17"/>
  <c r="T899" i="17"/>
  <c r="T712" i="17"/>
  <c r="T70" i="17"/>
  <c r="T347" i="17"/>
  <c r="T289" i="17"/>
  <c r="T283" i="17"/>
  <c r="T496" i="17"/>
  <c r="T599" i="17"/>
  <c r="T735" i="17"/>
  <c r="T254" i="17"/>
  <c r="T266" i="17"/>
  <c r="T328" i="17"/>
  <c r="T466" i="17"/>
  <c r="T59" i="17"/>
  <c r="T776" i="17"/>
  <c r="T355" i="17"/>
  <c r="T603" i="17"/>
  <c r="T281" i="17"/>
  <c r="T502" i="17"/>
  <c r="T337" i="17"/>
  <c r="T93" i="17"/>
  <c r="T391" i="17"/>
  <c r="T794" i="17"/>
  <c r="T361" i="17"/>
  <c r="T662" i="17"/>
  <c r="T773" i="17"/>
  <c r="T950" i="17"/>
  <c r="T478" i="17"/>
  <c r="T966" i="17"/>
  <c r="T428" i="17"/>
  <c r="T308" i="17"/>
  <c r="T130" i="17"/>
  <c r="T1019" i="17"/>
  <c r="T495" i="17"/>
  <c r="T885" i="17"/>
  <c r="T604" i="17"/>
  <c r="T717" i="17"/>
  <c r="T679" i="17"/>
  <c r="T129" i="17"/>
  <c r="T844" i="17"/>
  <c r="T721" i="17"/>
  <c r="T796" i="17"/>
  <c r="T932" i="17"/>
  <c r="T934" i="17"/>
  <c r="T798" i="17"/>
  <c r="T144" i="17"/>
  <c r="T293" i="17"/>
  <c r="T588" i="17"/>
  <c r="T697" i="17"/>
  <c r="T631" i="17"/>
  <c r="T743" i="17"/>
  <c r="T199" i="17"/>
  <c r="T1010" i="17"/>
  <c r="T118" i="17"/>
  <c r="T535" i="17"/>
  <c r="T440" i="17"/>
  <c r="T501" i="17"/>
  <c r="T306" i="17"/>
  <c r="T198" i="17"/>
  <c r="T829" i="17"/>
  <c r="T453" i="17"/>
  <c r="T339" i="17"/>
  <c r="T981" i="17"/>
  <c r="T38" i="17"/>
  <c r="T612" i="17"/>
  <c r="T211" i="17"/>
  <c r="T412" i="17"/>
  <c r="T128" i="17"/>
  <c r="T523" i="17"/>
  <c r="T202" i="17"/>
  <c r="T931" i="17"/>
  <c r="T410" i="17"/>
  <c r="T178" i="17"/>
  <c r="T140" i="17"/>
  <c r="T450" i="17"/>
  <c r="T734" i="17"/>
  <c r="T642" i="17"/>
  <c r="T463" i="17"/>
  <c r="T534" i="17"/>
  <c r="T778" i="17"/>
  <c r="T288" i="17"/>
  <c r="T340" i="17"/>
  <c r="T176" i="17"/>
  <c r="T287" i="17"/>
  <c r="T824" i="17"/>
  <c r="T491" i="17"/>
  <c r="T50" i="17"/>
  <c r="T126" i="17"/>
  <c r="T424" i="17"/>
  <c r="T627" i="17"/>
  <c r="T445" i="17"/>
  <c r="T777" i="17"/>
  <c r="T870" i="17"/>
  <c r="T957" i="17"/>
  <c r="T556" i="17"/>
  <c r="T550" i="17"/>
  <c r="T343" i="17"/>
  <c r="T869" i="17"/>
  <c r="T1020" i="17"/>
  <c r="T363" i="17"/>
  <c r="T788" i="17"/>
  <c r="T707" i="17"/>
  <c r="T474" i="17"/>
  <c r="T494" i="17"/>
  <c r="T359" i="17"/>
  <c r="T610" i="17"/>
  <c r="T16" i="17"/>
  <c r="T14" i="17"/>
  <c r="T397" i="17"/>
  <c r="T32" i="17"/>
  <c r="T882" i="17"/>
  <c r="T585" i="17"/>
  <c r="T367" i="17"/>
  <c r="T609" i="17"/>
  <c r="T615" i="17"/>
  <c r="T554" i="17"/>
  <c r="T265" i="17"/>
  <c r="T262" i="17"/>
  <c r="T387" i="17"/>
  <c r="T94" i="17"/>
  <c r="T203" i="17"/>
  <c r="T21" i="17"/>
  <c r="T345" i="17"/>
  <c r="T611" i="17"/>
  <c r="T398" i="17"/>
  <c r="T774" i="17"/>
  <c r="V922" i="17"/>
  <c r="V382" i="17"/>
  <c r="V652" i="17"/>
  <c r="V787" i="17"/>
  <c r="V274" i="17"/>
  <c r="V868" i="17"/>
  <c r="V355" i="17"/>
  <c r="V409" i="17"/>
  <c r="V517" i="17"/>
  <c r="V490" i="17"/>
  <c r="V976" i="17"/>
  <c r="V463" i="17"/>
  <c r="V85" i="17"/>
  <c r="V166" i="17"/>
  <c r="V841" i="17"/>
  <c r="V733" i="17"/>
  <c r="V31" i="17"/>
  <c r="V571" i="17"/>
  <c r="V58" i="17"/>
  <c r="V220" i="17"/>
  <c r="V301" i="17"/>
  <c r="V544" i="17"/>
  <c r="V1003" i="17"/>
  <c r="V139" i="17"/>
  <c r="V679" i="17"/>
  <c r="V598" i="17"/>
  <c r="V625" i="17"/>
  <c r="V328" i="17"/>
  <c r="V760" i="17"/>
  <c r="V112" i="17"/>
  <c r="V949" i="17"/>
  <c r="V706" i="17"/>
  <c r="V895" i="17"/>
  <c r="V436" i="17"/>
  <c r="V814" i="17"/>
  <c r="V193" i="17"/>
  <c r="V4" i="17"/>
  <c r="V247" i="17"/>
  <c r="T45" i="17"/>
  <c r="T88" i="17"/>
  <c r="T357" i="17"/>
  <c r="T333" i="17"/>
  <c r="T264" i="17"/>
  <c r="T898" i="17"/>
  <c r="T64" i="17"/>
  <c r="T74" i="17"/>
  <c r="T58" i="17"/>
  <c r="T790" i="17"/>
  <c r="T329" i="17"/>
  <c r="T521" i="17"/>
  <c r="T396" i="17"/>
  <c r="T967" i="17"/>
  <c r="T517" i="17"/>
  <c r="T724" i="17"/>
  <c r="T993" i="17"/>
  <c r="T908" i="17"/>
  <c r="T356" i="17"/>
  <c r="T922" i="17"/>
  <c r="T146" i="17"/>
  <c r="T553" i="17"/>
  <c r="T683" i="17"/>
  <c r="T956" i="17"/>
  <c r="T150" i="17"/>
  <c r="T600" i="17"/>
  <c r="T102" i="17"/>
  <c r="T659" i="17"/>
  <c r="T583" i="17"/>
  <c r="T987" i="17"/>
  <c r="T960" i="17"/>
  <c r="T723" i="17"/>
  <c r="T444" i="17"/>
  <c r="T98" i="17"/>
  <c r="T819" i="17"/>
  <c r="T19" i="17"/>
  <c r="T36" i="17"/>
  <c r="T506" i="17"/>
  <c r="T370" i="17"/>
  <c r="T317" i="17"/>
  <c r="T149" i="17"/>
  <c r="T632" i="17"/>
  <c r="T858" i="17"/>
  <c r="T708" i="17"/>
  <c r="T39" i="17"/>
  <c r="T530" i="17"/>
  <c r="T938" i="17"/>
  <c r="T1005" i="17"/>
  <c r="T168" i="17"/>
  <c r="T801" i="17"/>
  <c r="T545" i="17"/>
  <c r="T531" i="17"/>
  <c r="T205" i="17"/>
  <c r="T641" i="17"/>
  <c r="T562" i="17"/>
  <c r="T913" i="17"/>
  <c r="T427" i="17"/>
  <c r="T147" i="17"/>
  <c r="T911" i="17"/>
  <c r="T851" i="17"/>
  <c r="T868" i="17"/>
  <c r="T261" i="17"/>
  <c r="T125" i="17"/>
  <c r="T504" i="17"/>
  <c r="T694" i="17"/>
  <c r="T686" i="17"/>
  <c r="T602" i="17"/>
  <c r="T979" i="17"/>
  <c r="T560" i="17"/>
  <c r="T419" i="17"/>
  <c r="T746" i="17"/>
  <c r="T90" i="17"/>
  <c r="T791" i="17"/>
  <c r="T399" i="17"/>
  <c r="T941" i="17"/>
  <c r="T693" i="17"/>
  <c r="T992" i="17"/>
  <c r="T120" i="17"/>
  <c r="T852" i="17"/>
  <c r="T965" i="17"/>
  <c r="T742" i="17"/>
  <c r="T155" i="17"/>
  <c r="T751" i="17"/>
  <c r="T904" i="17"/>
  <c r="T385" i="17"/>
  <c r="T238" i="17"/>
  <c r="T880" i="17"/>
  <c r="T305" i="17"/>
  <c r="T823" i="17"/>
  <c r="T476" i="17"/>
  <c r="T1016" i="17"/>
  <c r="T508" i="17"/>
  <c r="T572" i="17"/>
  <c r="T68" i="17"/>
  <c r="T229" i="17"/>
  <c r="T718" i="17"/>
  <c r="T976" i="17"/>
  <c r="T857" i="17"/>
  <c r="T884" i="17"/>
  <c r="T123" i="17"/>
  <c r="T179" i="17"/>
  <c r="T46" i="17"/>
  <c r="T448" i="17"/>
  <c r="T426" i="17"/>
  <c r="T454" i="17"/>
  <c r="T827" i="17"/>
  <c r="T197" i="17"/>
  <c r="T373" i="17"/>
  <c r="T903" i="17"/>
  <c r="T10" i="17"/>
  <c r="T291" i="17"/>
  <c r="T681" i="17"/>
  <c r="T171" i="17"/>
  <c r="T475" i="17"/>
  <c r="T505" i="17"/>
  <c r="T482" i="17"/>
  <c r="T666" i="17"/>
  <c r="T481" i="17"/>
  <c r="T740" i="17"/>
  <c r="T40" i="17"/>
  <c r="T469" i="17"/>
  <c r="T906" i="17"/>
  <c r="T937" i="17"/>
  <c r="T841" i="17"/>
  <c r="T665" i="17"/>
  <c r="T170" i="17"/>
  <c r="T443" i="17"/>
  <c r="T335" i="17"/>
  <c r="T394" i="17"/>
  <c r="T392" i="17"/>
  <c r="T366" i="17"/>
  <c r="T1004" i="17"/>
  <c r="T897" i="17"/>
  <c r="T499" i="17"/>
  <c r="T145" i="17"/>
  <c r="T982" i="17"/>
  <c r="T548" i="17"/>
  <c r="T37" i="17"/>
  <c r="T527" i="17"/>
  <c r="T710" i="17"/>
  <c r="T1008" i="17"/>
  <c r="T417" i="17"/>
  <c r="T638" i="17"/>
  <c r="T689" i="17"/>
  <c r="T180" i="17"/>
  <c r="T797" i="17"/>
  <c r="T292" i="17"/>
  <c r="T76" i="17"/>
  <c r="T257" i="17"/>
  <c r="T5" i="17"/>
  <c r="T637" i="17"/>
  <c r="T842" i="17"/>
  <c r="T390" i="17"/>
  <c r="T986" i="17"/>
  <c r="T103" i="17"/>
  <c r="T580" i="17"/>
  <c r="T364" i="17"/>
  <c r="T464" i="17"/>
  <c r="T577" i="17"/>
  <c r="T582" i="17"/>
  <c r="T423" i="17"/>
  <c r="T310" i="17"/>
  <c r="T760" i="17"/>
  <c r="T336" i="17"/>
  <c r="T312" i="17"/>
  <c r="T768" i="17"/>
  <c r="T33" i="17"/>
  <c r="T684" i="17"/>
  <c r="T853" i="17"/>
  <c r="T69" i="17"/>
  <c r="T20" i="17"/>
  <c r="T533" i="17"/>
  <c r="T184" i="17"/>
  <c r="T167" i="17"/>
  <c r="T771" i="17"/>
  <c r="T8" i="17"/>
  <c r="T338" i="17"/>
  <c r="T738" i="17"/>
  <c r="T663" i="17"/>
  <c r="T661" i="17"/>
  <c r="T22" i="17"/>
  <c r="T667" i="17"/>
  <c r="T371" i="17"/>
  <c r="T468" i="17"/>
  <c r="T848" i="17"/>
  <c r="T628" i="17"/>
  <c r="T172" i="17"/>
  <c r="T101" i="17"/>
  <c r="T1021" i="17"/>
  <c r="T420" i="17"/>
  <c r="T259" i="17"/>
  <c r="T749" i="17"/>
  <c r="T157" i="17"/>
  <c r="T616" i="17"/>
  <c r="T276" i="17"/>
  <c r="T311" i="17"/>
  <c r="T886" i="17"/>
  <c r="T1022" i="17"/>
  <c r="T715" i="17"/>
  <c r="T739" i="17"/>
  <c r="T691" i="17"/>
  <c r="T470" i="17"/>
  <c r="T382" i="17"/>
  <c r="T763" i="17"/>
  <c r="E16" i="3" l="1"/>
  <c r="D16" i="3" s="1"/>
  <c r="E10" i="3"/>
  <c r="D10" i="3" s="1"/>
  <c r="E15" i="3"/>
  <c r="D15" i="3" s="1"/>
  <c r="E5" i="3"/>
  <c r="D5" i="3" s="1"/>
  <c r="E18" i="3"/>
  <c r="D18" i="3" s="1"/>
  <c r="E13" i="3"/>
  <c r="D13" i="3" s="1"/>
  <c r="E23" i="3"/>
  <c r="D23" i="3" s="1"/>
  <c r="E7" i="3"/>
  <c r="D7" i="3" s="1"/>
  <c r="E17" i="3"/>
  <c r="D17" i="3" s="1"/>
  <c r="E9" i="3"/>
  <c r="D9" i="3" s="1"/>
  <c r="E4" i="3"/>
  <c r="D4" i="3" s="1"/>
  <c r="E21" i="3"/>
  <c r="D21" i="3" s="1"/>
  <c r="E11" i="3"/>
  <c r="D11" i="3" s="1"/>
  <c r="E12" i="3"/>
  <c r="D12" i="3" s="1"/>
  <c r="E22" i="3"/>
  <c r="D22" i="3" s="1"/>
  <c r="E14" i="3"/>
  <c r="D14" i="3" s="1"/>
  <c r="E8" i="3"/>
  <c r="D8" i="3" s="1"/>
  <c r="E20" i="3"/>
  <c r="D20" i="3" s="1"/>
  <c r="E6" i="3"/>
  <c r="D6" i="3" s="1"/>
  <c r="E19" i="3"/>
  <c r="D19" i="3" s="1"/>
  <c r="E382" i="17"/>
  <c r="D382" i="17" s="1"/>
  <c r="E311" i="17"/>
  <c r="D311" i="17" s="1"/>
  <c r="E101" i="17"/>
  <c r="D101" i="17" s="1"/>
  <c r="E533" i="17"/>
  <c r="D533" i="17" s="1"/>
  <c r="E208" i="17"/>
  <c r="D208" i="17" s="1"/>
  <c r="E965" i="17"/>
  <c r="D965" i="17" s="1"/>
  <c r="E830" i="17"/>
  <c r="D830" i="17" s="1"/>
  <c r="E371" i="17"/>
  <c r="D371" i="17" s="1"/>
  <c r="E897" i="17"/>
  <c r="D897" i="17" s="1"/>
  <c r="E229" i="17"/>
  <c r="D229" i="17" s="1"/>
  <c r="E886" i="17"/>
  <c r="D886" i="17" s="1"/>
  <c r="E827" i="17"/>
  <c r="D827" i="17" s="1"/>
  <c r="E276" i="17"/>
  <c r="D276" i="17" s="1"/>
  <c r="E443" i="17"/>
  <c r="D443" i="17" s="1"/>
  <c r="E616" i="17"/>
  <c r="D616" i="17" s="1"/>
  <c r="E628" i="17"/>
  <c r="D628" i="17" s="1"/>
  <c r="E69" i="17"/>
  <c r="D69" i="17" s="1"/>
  <c r="E797" i="17"/>
  <c r="D797" i="17" s="1"/>
  <c r="E499" i="17"/>
  <c r="D499" i="17" s="1"/>
  <c r="E828" i="17"/>
  <c r="D828" i="17" s="1"/>
  <c r="E157" i="17"/>
  <c r="D157" i="17" s="1"/>
  <c r="E715" i="17"/>
  <c r="D715" i="17" s="1"/>
  <c r="E259" i="17"/>
  <c r="D259" i="17" s="1"/>
  <c r="E33" i="17"/>
  <c r="D33" i="17" s="1"/>
  <c r="E548" i="17"/>
  <c r="D548" i="17" s="1"/>
  <c r="E937" i="17"/>
  <c r="D937" i="17" s="1"/>
  <c r="E123" i="17"/>
  <c r="D123" i="17" s="1"/>
  <c r="E1022" i="17"/>
  <c r="D1022" i="17" s="1"/>
  <c r="E420" i="17"/>
  <c r="D420" i="17" s="1"/>
  <c r="E667" i="17"/>
  <c r="D667" i="17" s="1"/>
  <c r="E197" i="17"/>
  <c r="D197" i="17" s="1"/>
  <c r="E739" i="17"/>
  <c r="D739" i="17" s="1"/>
  <c r="E8" i="17"/>
  <c r="D8" i="17" s="1"/>
  <c r="E661" i="17"/>
  <c r="D661" i="17" s="1"/>
  <c r="E749" i="17"/>
  <c r="D749" i="17" s="1"/>
  <c r="E582" i="17"/>
  <c r="D582" i="17" s="1"/>
  <c r="E167" i="17"/>
  <c r="D167" i="17" s="1"/>
  <c r="E982" i="17"/>
  <c r="D982" i="17" s="1"/>
  <c r="E341" i="17"/>
  <c r="D341" i="17" s="1"/>
  <c r="E235" i="17"/>
  <c r="D235" i="17" s="1"/>
  <c r="E124" i="17"/>
  <c r="D124" i="17" s="1"/>
  <c r="E224" i="17"/>
  <c r="D224" i="17" s="1"/>
  <c r="E576" i="17"/>
  <c r="D576" i="17" s="1"/>
  <c r="E251" i="17"/>
  <c r="D251" i="17" s="1"/>
  <c r="E955" i="17"/>
  <c r="D955" i="17" s="1"/>
  <c r="E787" i="17"/>
  <c r="D787" i="17" s="1"/>
  <c r="E42" i="17"/>
  <c r="D42" i="17" s="1"/>
  <c r="E949" i="17"/>
  <c r="D949" i="17" s="1"/>
  <c r="E336" i="17"/>
  <c r="D336" i="17" s="1"/>
  <c r="E490" i="17"/>
  <c r="D490" i="17" s="1"/>
  <c r="E439" i="17"/>
  <c r="D439" i="17" s="1"/>
  <c r="E284" i="17"/>
  <c r="D284" i="17" s="1"/>
  <c r="E418" i="17"/>
  <c r="D418" i="17" s="1"/>
  <c r="E770" i="17"/>
  <c r="D770" i="17" s="1"/>
  <c r="E156" i="17"/>
  <c r="D156" i="17" s="1"/>
  <c r="E330" i="17"/>
  <c r="D330" i="17" s="1"/>
  <c r="E524" i="17"/>
  <c r="D524" i="17" s="1"/>
  <c r="E793" i="17"/>
  <c r="D793" i="17" s="1"/>
  <c r="E301" i="17"/>
  <c r="D301" i="17" s="1"/>
  <c r="E805" i="17"/>
  <c r="D805" i="17" s="1"/>
  <c r="E696" i="17"/>
  <c r="D696" i="17" s="1"/>
  <c r="E977" i="17"/>
  <c r="D977" i="17" s="1"/>
  <c r="E823" i="17"/>
  <c r="D823" i="17" s="1"/>
  <c r="E745" i="17"/>
  <c r="D745" i="17" s="1"/>
  <c r="E372" i="17"/>
  <c r="D372" i="17" s="1"/>
  <c r="E557" i="17"/>
  <c r="D557" i="17" s="1"/>
  <c r="E670" i="17"/>
  <c r="D670" i="17" s="1"/>
  <c r="E698" i="17"/>
  <c r="D698" i="17" s="1"/>
  <c r="E468" i="17"/>
  <c r="D468" i="17" s="1"/>
  <c r="E684" i="17"/>
  <c r="D684" i="17" s="1"/>
  <c r="E842" i="17"/>
  <c r="D842" i="17" s="1"/>
  <c r="E771" i="17"/>
  <c r="D771" i="17" s="1"/>
  <c r="E1014" i="17"/>
  <c r="D1014" i="17" s="1"/>
  <c r="E855" i="17"/>
  <c r="D855" i="17" s="1"/>
  <c r="E362" i="17"/>
  <c r="D362" i="17" s="1"/>
  <c r="E653" i="17"/>
  <c r="D653" i="17" s="1"/>
  <c r="E814" i="17"/>
  <c r="D814" i="17" s="1"/>
  <c r="E577" i="17"/>
  <c r="D577" i="17" s="1"/>
  <c r="E637" i="17"/>
  <c r="D637" i="17" s="1"/>
  <c r="E638" i="17"/>
  <c r="D638" i="17" s="1"/>
  <c r="E170" i="17"/>
  <c r="D170" i="17" s="1"/>
  <c r="E481" i="17"/>
  <c r="D481" i="17" s="1"/>
  <c r="E291" i="17"/>
  <c r="D291" i="17" s="1"/>
  <c r="E448" i="17"/>
  <c r="D448" i="17" s="1"/>
  <c r="E718" i="17"/>
  <c r="D718" i="17" s="1"/>
  <c r="E742" i="17"/>
  <c r="D742" i="17" s="1"/>
  <c r="E399" i="17"/>
  <c r="D399" i="17" s="1"/>
  <c r="E686" i="17"/>
  <c r="D686" i="17" s="1"/>
  <c r="E261" i="17"/>
  <c r="D261" i="17" s="1"/>
  <c r="E911" i="17"/>
  <c r="D911" i="17" s="1"/>
  <c r="E427" i="17"/>
  <c r="D427" i="17" s="1"/>
  <c r="E205" i="17"/>
  <c r="D205" i="17" s="1"/>
  <c r="E39" i="17"/>
  <c r="D39" i="17" s="1"/>
  <c r="E36" i="17"/>
  <c r="D36" i="17" s="1"/>
  <c r="E987" i="17"/>
  <c r="D987" i="17" s="1"/>
  <c r="E683" i="17"/>
  <c r="D683" i="17" s="1"/>
  <c r="E724" i="17"/>
  <c r="D724" i="17" s="1"/>
  <c r="E58" i="17"/>
  <c r="D58" i="17" s="1"/>
  <c r="E88" i="17"/>
  <c r="D88" i="17" s="1"/>
  <c r="E94" i="17"/>
  <c r="D94" i="17" s="1"/>
  <c r="E615" i="17"/>
  <c r="D615" i="17" s="1"/>
  <c r="E397" i="17"/>
  <c r="D397" i="17" s="1"/>
  <c r="E494" i="17"/>
  <c r="D494" i="17" s="1"/>
  <c r="E869" i="17"/>
  <c r="D869" i="17" s="1"/>
  <c r="E627" i="17"/>
  <c r="D627" i="17" s="1"/>
  <c r="E340" i="17"/>
  <c r="D340" i="17" s="1"/>
  <c r="E140" i="17"/>
  <c r="D140" i="17" s="1"/>
  <c r="E412" i="17"/>
  <c r="D412" i="17" s="1"/>
  <c r="E829" i="17"/>
  <c r="D829" i="17" s="1"/>
  <c r="E1010" i="17"/>
  <c r="D1010" i="17" s="1"/>
  <c r="E798" i="17"/>
  <c r="D798" i="17" s="1"/>
  <c r="E844" i="17"/>
  <c r="D844" i="17" s="1"/>
  <c r="E495" i="17"/>
  <c r="D495" i="17" s="1"/>
  <c r="E634" i="17"/>
  <c r="D634" i="17" s="1"/>
  <c r="E142" i="17"/>
  <c r="D142" i="17" s="1"/>
  <c r="E794" i="17"/>
  <c r="D794" i="17" s="1"/>
  <c r="E776" i="17"/>
  <c r="D776" i="17" s="1"/>
  <c r="E496" i="17"/>
  <c r="D496" i="17" s="1"/>
  <c r="E148" i="17"/>
  <c r="D148" i="17" s="1"/>
  <c r="E722" i="17"/>
  <c r="D722" i="17" s="1"/>
  <c r="E307" i="17"/>
  <c r="D307" i="17" s="1"/>
  <c r="E231" i="17"/>
  <c r="D231" i="17" s="1"/>
  <c r="E929" i="17"/>
  <c r="D929" i="17" s="1"/>
  <c r="E290" i="17"/>
  <c r="D290" i="17" s="1"/>
  <c r="E75" i="17"/>
  <c r="D75" i="17" s="1"/>
  <c r="E963" i="17"/>
  <c r="D963" i="17" s="1"/>
  <c r="E286" i="17"/>
  <c r="D286" i="17" s="1"/>
  <c r="E13" i="17"/>
  <c r="D13" i="17" s="1"/>
  <c r="E209" i="17"/>
  <c r="D209" i="17" s="1"/>
  <c r="E332" i="17"/>
  <c r="D332" i="17" s="1"/>
  <c r="E1018" i="17"/>
  <c r="D1018" i="17" s="1"/>
  <c r="E331" i="17"/>
  <c r="D331" i="17" s="1"/>
  <c r="E449" i="17"/>
  <c r="D449" i="17" s="1"/>
  <c r="E492" i="17"/>
  <c r="D492" i="17" s="1"/>
  <c r="E304" i="17"/>
  <c r="D304" i="17" s="1"/>
  <c r="E733" i="17"/>
  <c r="D733" i="17" s="1"/>
  <c r="E383" i="17"/>
  <c r="D383" i="17" s="1"/>
  <c r="E368" i="17"/>
  <c r="D368" i="17" s="1"/>
  <c r="E438" i="17"/>
  <c r="D438" i="17" s="1"/>
  <c r="E196" i="17"/>
  <c r="D196" i="17" s="1"/>
  <c r="E555" i="17"/>
  <c r="D555" i="17" s="1"/>
  <c r="E115" i="17"/>
  <c r="D115" i="17" s="1"/>
  <c r="E804" i="17"/>
  <c r="D804" i="17" s="1"/>
  <c r="E99" i="17"/>
  <c r="D99" i="17" s="1"/>
  <c r="E766" i="17"/>
  <c r="D766" i="17" s="1"/>
  <c r="E578" i="17"/>
  <c r="D578" i="17" s="1"/>
  <c r="E725" i="17"/>
  <c r="D725" i="17" s="1"/>
  <c r="E552" i="17"/>
  <c r="D552" i="17" s="1"/>
  <c r="E127" i="17"/>
  <c r="D127" i="17" s="1"/>
  <c r="E451" i="17"/>
  <c r="D451" i="17" s="1"/>
  <c r="E831" i="17"/>
  <c r="D831" i="17" s="1"/>
  <c r="E303" i="17"/>
  <c r="D303" i="17" s="1"/>
  <c r="E901" i="17"/>
  <c r="D901" i="17" s="1"/>
  <c r="E930" i="17"/>
  <c r="D930" i="17" s="1"/>
  <c r="E826" i="17"/>
  <c r="D826" i="17" s="1"/>
  <c r="E953" i="17"/>
  <c r="D953" i="17" s="1"/>
  <c r="E193" i="17"/>
  <c r="D193" i="17" s="1"/>
  <c r="E386" i="17"/>
  <c r="D386" i="17" s="1"/>
  <c r="E994" i="17"/>
  <c r="D994" i="17" s="1"/>
  <c r="E280" i="17"/>
  <c r="D280" i="17" s="1"/>
  <c r="E768" i="17"/>
  <c r="D768" i="17" s="1"/>
  <c r="E5" i="17"/>
  <c r="D5" i="17" s="1"/>
  <c r="E413" i="17"/>
  <c r="D413" i="17" s="1"/>
  <c r="E665" i="17"/>
  <c r="D665" i="17" s="1"/>
  <c r="E10" i="17"/>
  <c r="D10" i="17" s="1"/>
  <c r="E46" i="17"/>
  <c r="D46" i="17" s="1"/>
  <c r="E305" i="17"/>
  <c r="D305" i="17" s="1"/>
  <c r="E791" i="17"/>
  <c r="D791" i="17" s="1"/>
  <c r="E694" i="17"/>
  <c r="D694" i="17" s="1"/>
  <c r="E868" i="17"/>
  <c r="D868" i="17" s="1"/>
  <c r="E194" i="17"/>
  <c r="D194" i="17" s="1"/>
  <c r="E913" i="17"/>
  <c r="D913" i="17" s="1"/>
  <c r="E531" i="17"/>
  <c r="D531" i="17" s="1"/>
  <c r="E708" i="17"/>
  <c r="D708" i="17" s="1"/>
  <c r="E19" i="17"/>
  <c r="D19" i="17" s="1"/>
  <c r="E583" i="17"/>
  <c r="D583" i="17" s="1"/>
  <c r="E553" i="17"/>
  <c r="D553" i="17" s="1"/>
  <c r="E517" i="17"/>
  <c r="D517" i="17" s="1"/>
  <c r="E74" i="17"/>
  <c r="D74" i="17" s="1"/>
  <c r="E45" i="17"/>
  <c r="D45" i="17" s="1"/>
  <c r="E774" i="17"/>
  <c r="D774" i="17" s="1"/>
  <c r="E387" i="17"/>
  <c r="D387" i="17" s="1"/>
  <c r="E609" i="17"/>
  <c r="D609" i="17" s="1"/>
  <c r="E212" i="17"/>
  <c r="D212" i="17" s="1"/>
  <c r="E887" i="17"/>
  <c r="D887" i="17" s="1"/>
  <c r="E343" i="17"/>
  <c r="D343" i="17" s="1"/>
  <c r="E424" i="17"/>
  <c r="D424" i="17" s="1"/>
  <c r="E288" i="17"/>
  <c r="D288" i="17" s="1"/>
  <c r="E211" i="17"/>
  <c r="D211" i="17" s="1"/>
  <c r="E198" i="17"/>
  <c r="D198" i="17" s="1"/>
  <c r="E199" i="17"/>
  <c r="D199" i="17" s="1"/>
  <c r="E934" i="17"/>
  <c r="D934" i="17" s="1"/>
  <c r="E129" i="17"/>
  <c r="D129" i="17" s="1"/>
  <c r="E1019" i="17"/>
  <c r="D1019" i="17" s="1"/>
  <c r="E752" i="17"/>
  <c r="D752" i="17" s="1"/>
  <c r="E391" i="17"/>
  <c r="D391" i="17" s="1"/>
  <c r="E59" i="17"/>
  <c r="D59" i="17" s="1"/>
  <c r="E283" i="17"/>
  <c r="D283" i="17" s="1"/>
  <c r="E400" i="17"/>
  <c r="D400" i="17" s="1"/>
  <c r="E706" i="17"/>
  <c r="D706" i="17" s="1"/>
  <c r="E31" i="17"/>
  <c r="D31" i="17" s="1"/>
  <c r="E143" i="17"/>
  <c r="D143" i="17" s="1"/>
  <c r="E85" i="17"/>
  <c r="D85" i="17" s="1"/>
  <c r="E633" i="17"/>
  <c r="D633" i="17" s="1"/>
  <c r="E559" i="17"/>
  <c r="D559" i="17" s="1"/>
  <c r="E498" i="17"/>
  <c r="D498" i="17" s="1"/>
  <c r="E320" i="17"/>
  <c r="D320" i="17" s="1"/>
  <c r="E210" i="17"/>
  <c r="D210" i="17" s="1"/>
  <c r="E182" i="17"/>
  <c r="D182" i="17" s="1"/>
  <c r="E175" i="17"/>
  <c r="D175" i="17" s="1"/>
  <c r="E900" i="17"/>
  <c r="D900" i="17" s="1"/>
  <c r="E952" i="17"/>
  <c r="D952" i="17" s="1"/>
  <c r="E1009" i="17"/>
  <c r="D1009" i="17" s="1"/>
  <c r="E279" i="17"/>
  <c r="D279" i="17" s="1"/>
  <c r="E714" i="17"/>
  <c r="D714" i="17" s="1"/>
  <c r="E278" i="17"/>
  <c r="D278" i="17" s="1"/>
  <c r="E89" i="17"/>
  <c r="D89" i="17" s="1"/>
  <c r="E230" i="17"/>
  <c r="D230" i="17" s="1"/>
  <c r="E910" i="17"/>
  <c r="D910" i="17" s="1"/>
  <c r="E525" i="17"/>
  <c r="D525" i="17" s="1"/>
  <c r="E964" i="17"/>
  <c r="D964" i="17" s="1"/>
  <c r="E558" i="17"/>
  <c r="D558" i="17" s="1"/>
  <c r="E249" i="17"/>
  <c r="D249" i="17" s="1"/>
  <c r="E374" i="17"/>
  <c r="D374" i="17" s="1"/>
  <c r="E154" i="17"/>
  <c r="D154" i="17" s="1"/>
  <c r="E613" i="17"/>
  <c r="D613" i="17" s="1"/>
  <c r="E247" i="17"/>
  <c r="D247" i="17" s="1"/>
  <c r="E309" i="17"/>
  <c r="D309" i="17" s="1"/>
  <c r="E306" i="17"/>
  <c r="D306" i="17" s="1"/>
  <c r="E318" i="17"/>
  <c r="D318" i="17" s="1"/>
  <c r="E522" i="17"/>
  <c r="D522" i="17" s="1"/>
  <c r="E12" i="17"/>
  <c r="D12" i="17" s="1"/>
  <c r="E629" i="17"/>
  <c r="D629" i="17" s="1"/>
  <c r="E711" i="17"/>
  <c r="D711" i="17" s="1"/>
  <c r="E250" i="17"/>
  <c r="D250" i="17" s="1"/>
  <c r="E207" i="17"/>
  <c r="D207" i="17" s="1"/>
  <c r="E114" i="17"/>
  <c r="D114" i="17" s="1"/>
  <c r="E153" i="17"/>
  <c r="D153" i="17" s="1"/>
  <c r="E152" i="17"/>
  <c r="D152" i="17" s="1"/>
  <c r="E985" i="17"/>
  <c r="D985" i="17" s="1"/>
  <c r="E201" i="17"/>
  <c r="D201" i="17" s="1"/>
  <c r="E464" i="17"/>
  <c r="D464" i="17" s="1"/>
  <c r="E763" i="17"/>
  <c r="D763" i="17" s="1"/>
  <c r="E1021" i="17"/>
  <c r="D1021" i="17" s="1"/>
  <c r="E22" i="17"/>
  <c r="D22" i="17" s="1"/>
  <c r="E184" i="17"/>
  <c r="D184" i="17" s="1"/>
  <c r="E312" i="17"/>
  <c r="D312" i="17" s="1"/>
  <c r="E364" i="17"/>
  <c r="D364" i="17" s="1"/>
  <c r="E257" i="17"/>
  <c r="D257" i="17" s="1"/>
  <c r="E417" i="17"/>
  <c r="D417" i="17" s="1"/>
  <c r="E233" i="17"/>
  <c r="D233" i="17" s="1"/>
  <c r="E282" i="17"/>
  <c r="D282" i="17" s="1"/>
  <c r="E841" i="17"/>
  <c r="D841" i="17" s="1"/>
  <c r="E666" i="17"/>
  <c r="D666" i="17" s="1"/>
  <c r="E903" i="17"/>
  <c r="D903" i="17" s="1"/>
  <c r="E179" i="17"/>
  <c r="D179" i="17" s="1"/>
  <c r="E68" i="17"/>
  <c r="D68" i="17" s="1"/>
  <c r="E880" i="17"/>
  <c r="D880" i="17" s="1"/>
  <c r="E652" i="17"/>
  <c r="D652" i="17" s="1"/>
  <c r="E90" i="17"/>
  <c r="D90" i="17" s="1"/>
  <c r="E816" i="17"/>
  <c r="D816" i="17" s="1"/>
  <c r="E851" i="17"/>
  <c r="D851" i="17" s="1"/>
  <c r="E995" i="17"/>
  <c r="D995" i="17" s="1"/>
  <c r="E206" i="17"/>
  <c r="D206" i="17" s="1"/>
  <c r="E545" i="17"/>
  <c r="D545" i="17" s="1"/>
  <c r="E858" i="17"/>
  <c r="D858" i="17" s="1"/>
  <c r="E819" i="17"/>
  <c r="D819" i="17" s="1"/>
  <c r="E659" i="17"/>
  <c r="D659" i="17" s="1"/>
  <c r="E146" i="17"/>
  <c r="D146" i="17" s="1"/>
  <c r="E64" i="17"/>
  <c r="D64" i="17" s="1"/>
  <c r="E398" i="17"/>
  <c r="D398" i="17" s="1"/>
  <c r="E262" i="17"/>
  <c r="D262" i="17" s="1"/>
  <c r="E367" i="17"/>
  <c r="D367" i="17" s="1"/>
  <c r="E879" i="17"/>
  <c r="D879" i="17" s="1"/>
  <c r="E550" i="17"/>
  <c r="D550" i="17" s="1"/>
  <c r="E126" i="17"/>
  <c r="D126" i="17" s="1"/>
  <c r="E778" i="17"/>
  <c r="D778" i="17" s="1"/>
  <c r="E178" i="17"/>
  <c r="D178" i="17" s="1"/>
  <c r="E612" i="17"/>
  <c r="D612" i="17" s="1"/>
  <c r="E743" i="17"/>
  <c r="D743" i="17" s="1"/>
  <c r="E932" i="17"/>
  <c r="D932" i="17" s="1"/>
  <c r="E679" i="17"/>
  <c r="D679" i="17" s="1"/>
  <c r="E130" i="17"/>
  <c r="D130" i="17" s="1"/>
  <c r="E966" i="17"/>
  <c r="D966" i="17" s="1"/>
  <c r="E93" i="17"/>
  <c r="D93" i="17" s="1"/>
  <c r="E466" i="17"/>
  <c r="D466" i="17" s="1"/>
  <c r="E289" i="17"/>
  <c r="D289" i="17" s="1"/>
  <c r="E471" i="17"/>
  <c r="D471" i="17" s="1"/>
  <c r="E643" i="17"/>
  <c r="D643" i="17" s="1"/>
  <c r="E6" i="17"/>
  <c r="D6" i="17" s="1"/>
  <c r="E656" i="17"/>
  <c r="D656" i="17" s="1"/>
  <c r="E845" i="17"/>
  <c r="D845" i="17" s="1"/>
  <c r="E529" i="17"/>
  <c r="D529" i="17" s="1"/>
  <c r="E682" i="17"/>
  <c r="D682" i="17" s="1"/>
  <c r="E657" i="17"/>
  <c r="D657" i="17" s="1"/>
  <c r="E473" i="17"/>
  <c r="D473" i="17" s="1"/>
  <c r="E532" i="17"/>
  <c r="D532" i="17" s="1"/>
  <c r="E177" i="17"/>
  <c r="D177" i="17" s="1"/>
  <c r="E877" i="17"/>
  <c r="D877" i="17" s="1"/>
  <c r="E575" i="17"/>
  <c r="D575" i="17" s="1"/>
  <c r="E767" i="17"/>
  <c r="D767" i="17" s="1"/>
  <c r="E546" i="17"/>
  <c r="D546" i="17" s="1"/>
  <c r="E1003" i="17"/>
  <c r="D1003" i="17" s="1"/>
  <c r="E315" i="17"/>
  <c r="D315" i="17" s="1"/>
  <c r="E446" i="17"/>
  <c r="D446" i="17" s="1"/>
  <c r="E873" i="17"/>
  <c r="D873" i="17" s="1"/>
  <c r="E821" i="17"/>
  <c r="D821" i="17" s="1"/>
  <c r="E820" i="17"/>
  <c r="D820" i="17" s="1"/>
  <c r="E792" i="17"/>
  <c r="D792" i="17" s="1"/>
  <c r="E60" i="17"/>
  <c r="D60" i="17" s="1"/>
  <c r="E185" i="17"/>
  <c r="D185" i="17" s="1"/>
  <c r="E166" i="17"/>
  <c r="D166" i="17" s="1"/>
  <c r="E253" i="17"/>
  <c r="D253" i="17" s="1"/>
  <c r="E598" i="17"/>
  <c r="D598" i="17" s="1"/>
  <c r="E687" i="17"/>
  <c r="D687" i="17" s="1"/>
  <c r="E248" i="17"/>
  <c r="D248" i="17" s="1"/>
  <c r="E119" i="17"/>
  <c r="D119" i="17" s="1"/>
  <c r="E183" i="17"/>
  <c r="D183" i="17" s="1"/>
  <c r="E741" i="17"/>
  <c r="D741" i="17" s="1"/>
  <c r="E226" i="17"/>
  <c r="D226" i="17" s="1"/>
  <c r="E507" i="17"/>
  <c r="D507" i="17" s="1"/>
  <c r="E65" i="17"/>
  <c r="D65" i="17" s="1"/>
  <c r="E1017" i="17"/>
  <c r="D1017" i="17" s="1"/>
  <c r="E195" i="17"/>
  <c r="D195" i="17" s="1"/>
  <c r="E883" i="17"/>
  <c r="D883" i="17" s="1"/>
  <c r="E737" i="17"/>
  <c r="D737" i="17" s="1"/>
  <c r="E260" i="17"/>
  <c r="D260" i="17" s="1"/>
  <c r="E874" i="17"/>
  <c r="D874" i="17" s="1"/>
  <c r="E860" i="17"/>
  <c r="D860" i="17" s="1"/>
  <c r="E580" i="17"/>
  <c r="D580" i="17" s="1"/>
  <c r="E76" i="17"/>
  <c r="D76" i="17" s="1"/>
  <c r="E1008" i="17"/>
  <c r="D1008" i="17" s="1"/>
  <c r="E640" i="17"/>
  <c r="D640" i="17" s="1"/>
  <c r="E366" i="17"/>
  <c r="D366" i="17" s="1"/>
  <c r="E482" i="17"/>
  <c r="D482" i="17" s="1"/>
  <c r="E373" i="17"/>
  <c r="D373" i="17" s="1"/>
  <c r="E572" i="17"/>
  <c r="D572" i="17" s="1"/>
  <c r="E238" i="17"/>
  <c r="D238" i="17" s="1"/>
  <c r="E852" i="17"/>
  <c r="D852" i="17" s="1"/>
  <c r="E746" i="17"/>
  <c r="D746" i="17" s="1"/>
  <c r="E772" i="17"/>
  <c r="D772" i="17" s="1"/>
  <c r="E455" i="17"/>
  <c r="D455" i="17" s="1"/>
  <c r="E147" i="17"/>
  <c r="D147" i="17" s="1"/>
  <c r="E104" i="17"/>
  <c r="D104" i="17" s="1"/>
  <c r="E801" i="17"/>
  <c r="D801" i="17" s="1"/>
  <c r="E632" i="17"/>
  <c r="D632" i="17" s="1"/>
  <c r="E98" i="17"/>
  <c r="D98" i="17" s="1"/>
  <c r="E102" i="17"/>
  <c r="D102" i="17" s="1"/>
  <c r="E922" i="17"/>
  <c r="D922" i="17" s="1"/>
  <c r="E967" i="17"/>
  <c r="D967" i="17" s="1"/>
  <c r="E898" i="17"/>
  <c r="D898" i="17" s="1"/>
  <c r="E611" i="17"/>
  <c r="D611" i="17" s="1"/>
  <c r="E232" i="17"/>
  <c r="D232" i="17" s="1"/>
  <c r="E585" i="17"/>
  <c r="D585" i="17" s="1"/>
  <c r="E14" i="17"/>
  <c r="D14" i="17" s="1"/>
  <c r="E590" i="17"/>
  <c r="D590" i="17" s="1"/>
  <c r="E474" i="17"/>
  <c r="D474" i="17" s="1"/>
  <c r="E556" i="17"/>
  <c r="D556" i="17" s="1"/>
  <c r="E50" i="17"/>
  <c r="D50" i="17" s="1"/>
  <c r="E534" i="17"/>
  <c r="D534" i="17" s="1"/>
  <c r="E410" i="17"/>
  <c r="D410" i="17" s="1"/>
  <c r="E38" i="17"/>
  <c r="D38" i="17" s="1"/>
  <c r="E501" i="17"/>
  <c r="D501" i="17" s="1"/>
  <c r="E631" i="17"/>
  <c r="D631" i="17" s="1"/>
  <c r="E796" i="17"/>
  <c r="D796" i="17" s="1"/>
  <c r="E717" i="17"/>
  <c r="D717" i="17" s="1"/>
  <c r="E308" i="17"/>
  <c r="D308" i="17" s="1"/>
  <c r="E478" i="17"/>
  <c r="D478" i="17" s="1"/>
  <c r="E337" i="17"/>
  <c r="D337" i="17" s="1"/>
  <c r="E328" i="17"/>
  <c r="D328" i="17" s="1"/>
  <c r="E347" i="17"/>
  <c r="D347" i="17" s="1"/>
  <c r="E237" i="17"/>
  <c r="D237" i="17" s="1"/>
  <c r="E563" i="17"/>
  <c r="D563" i="17" s="1"/>
  <c r="E228" i="17"/>
  <c r="D228" i="17" s="1"/>
  <c r="E1006" i="17"/>
  <c r="D1006" i="17" s="1"/>
  <c r="E695" i="17"/>
  <c r="D695" i="17" s="1"/>
  <c r="E935" i="17"/>
  <c r="D935" i="17" s="1"/>
  <c r="E500" i="17"/>
  <c r="D500" i="17" s="1"/>
  <c r="E23" i="17"/>
  <c r="D23" i="17" s="1"/>
  <c r="E62" i="17"/>
  <c r="D62" i="17" s="1"/>
  <c r="E951" i="17"/>
  <c r="D951" i="17" s="1"/>
  <c r="E685" i="17"/>
  <c r="D685" i="17" s="1"/>
  <c r="E909" i="17"/>
  <c r="D909" i="17" s="1"/>
  <c r="E847" i="17"/>
  <c r="D847" i="17" s="1"/>
  <c r="E346" i="17"/>
  <c r="D346" i="17" s="1"/>
  <c r="E263" i="17"/>
  <c r="D263" i="17" s="1"/>
  <c r="E587" i="17"/>
  <c r="D587" i="17" s="1"/>
  <c r="E606" i="17"/>
  <c r="D606" i="17" s="1"/>
  <c r="E940" i="17"/>
  <c r="D940" i="17" s="1"/>
  <c r="E72" i="17"/>
  <c r="D72" i="17" s="1"/>
  <c r="E581" i="17"/>
  <c r="D581" i="17" s="1"/>
  <c r="E688" i="17"/>
  <c r="D688" i="17" s="1"/>
  <c r="E365" i="17"/>
  <c r="D365" i="17" s="1"/>
  <c r="E806" i="17"/>
  <c r="D806" i="17" s="1"/>
  <c r="E833" i="17"/>
  <c r="D833" i="17" s="1"/>
  <c r="E181" i="17"/>
  <c r="D181" i="17" s="1"/>
  <c r="E802" i="17"/>
  <c r="D802" i="17" s="1"/>
  <c r="E912" i="17"/>
  <c r="D912" i="17" s="1"/>
  <c r="E988" i="17"/>
  <c r="D988" i="17" s="1"/>
  <c r="E822" i="17"/>
  <c r="D822" i="17" s="1"/>
  <c r="E1013" i="17"/>
  <c r="D1013" i="17" s="1"/>
  <c r="E660" i="17"/>
  <c r="D660" i="17" s="1"/>
  <c r="E846" i="17"/>
  <c r="D846" i="17" s="1"/>
  <c r="E925" i="17"/>
  <c r="D925" i="17" s="1"/>
  <c r="E334" i="17"/>
  <c r="D334" i="17" s="1"/>
  <c r="E256" i="17"/>
  <c r="D256" i="17" s="1"/>
  <c r="E854" i="17"/>
  <c r="D854" i="17" s="1"/>
  <c r="E914" i="17"/>
  <c r="D914" i="17" s="1"/>
  <c r="E360" i="17"/>
  <c r="D360" i="17" s="1"/>
  <c r="E980" i="17"/>
  <c r="D980" i="17" s="1"/>
  <c r="E44" i="17"/>
  <c r="D44" i="17" s="1"/>
  <c r="E172" i="17"/>
  <c r="D172" i="17" s="1"/>
  <c r="E663" i="17"/>
  <c r="D663" i="17" s="1"/>
  <c r="E20" i="17"/>
  <c r="D20" i="17" s="1"/>
  <c r="E760" i="17"/>
  <c r="D760" i="17" s="1"/>
  <c r="E292" i="17"/>
  <c r="D292" i="17" s="1"/>
  <c r="E710" i="17"/>
  <c r="D710" i="17" s="1"/>
  <c r="E96" i="17"/>
  <c r="D96" i="17" s="1"/>
  <c r="E392" i="17"/>
  <c r="D392" i="17" s="1"/>
  <c r="E906" i="17"/>
  <c r="D906" i="17" s="1"/>
  <c r="E505" i="17"/>
  <c r="D505" i="17" s="1"/>
  <c r="E508" i="17"/>
  <c r="D508" i="17" s="1"/>
  <c r="E385" i="17"/>
  <c r="D385" i="17" s="1"/>
  <c r="E120" i="17"/>
  <c r="D120" i="17" s="1"/>
  <c r="E419" i="17"/>
  <c r="D419" i="17" s="1"/>
  <c r="E504" i="17"/>
  <c r="D504" i="17" s="1"/>
  <c r="E204" i="17"/>
  <c r="D204" i="17" s="1"/>
  <c r="E895" i="17"/>
  <c r="D895" i="17" s="1"/>
  <c r="E168" i="17"/>
  <c r="D168" i="17" s="1"/>
  <c r="E149" i="17"/>
  <c r="D149" i="17" s="1"/>
  <c r="E600" i="17"/>
  <c r="D600" i="17" s="1"/>
  <c r="E356" i="17"/>
  <c r="D356" i="17" s="1"/>
  <c r="E396" i="17"/>
  <c r="D396" i="17" s="1"/>
  <c r="E264" i="17"/>
  <c r="D264" i="17" s="1"/>
  <c r="E345" i="17"/>
  <c r="D345" i="17" s="1"/>
  <c r="E265" i="17"/>
  <c r="D265" i="17" s="1"/>
  <c r="E16" i="17"/>
  <c r="D16" i="17" s="1"/>
  <c r="E411" i="17"/>
  <c r="D411" i="17" s="1"/>
  <c r="E707" i="17"/>
  <c r="D707" i="17" s="1"/>
  <c r="E957" i="17"/>
  <c r="D957" i="17" s="1"/>
  <c r="E491" i="17"/>
  <c r="D491" i="17" s="1"/>
  <c r="E463" i="17"/>
  <c r="D463" i="17" s="1"/>
  <c r="E931" i="17"/>
  <c r="D931" i="17" s="1"/>
  <c r="E697" i="17"/>
  <c r="D697" i="17" s="1"/>
  <c r="E721" i="17"/>
  <c r="D721" i="17" s="1"/>
  <c r="E747" i="17"/>
  <c r="D747" i="17" s="1"/>
  <c r="E968" i="17"/>
  <c r="D968" i="17" s="1"/>
  <c r="E761" i="17"/>
  <c r="D761" i="17" s="1"/>
  <c r="E950" i="17"/>
  <c r="D950" i="17" s="1"/>
  <c r="E502" i="17"/>
  <c r="D502" i="17" s="1"/>
  <c r="E266" i="17"/>
  <c r="D266" i="17" s="1"/>
  <c r="E70" i="17"/>
  <c r="D70" i="17" s="1"/>
  <c r="E316" i="17"/>
  <c r="D316" i="17" s="1"/>
  <c r="E393" i="17"/>
  <c r="D393" i="17" s="1"/>
  <c r="E608" i="17"/>
  <c r="D608" i="17" s="1"/>
  <c r="E744" i="17"/>
  <c r="D744" i="17" s="1"/>
  <c r="E503" i="17"/>
  <c r="D503" i="17" s="1"/>
  <c r="E97" i="17"/>
  <c r="D97" i="17" s="1"/>
  <c r="E644" i="17"/>
  <c r="D644" i="17" s="1"/>
  <c r="E958" i="17"/>
  <c r="D958" i="17" s="1"/>
  <c r="E655" i="17"/>
  <c r="D655" i="17" s="1"/>
  <c r="E561" i="17"/>
  <c r="D561" i="17" s="1"/>
  <c r="E795" i="17"/>
  <c r="D795" i="17" s="1"/>
  <c r="E169" i="17"/>
  <c r="D169" i="17" s="1"/>
  <c r="E551" i="17"/>
  <c r="D551" i="17" s="1"/>
  <c r="E313" i="17"/>
  <c r="D313" i="17" s="1"/>
  <c r="E544" i="17"/>
  <c r="D544" i="17" s="1"/>
  <c r="E480" i="17"/>
  <c r="D480" i="17" s="1"/>
  <c r="E607" i="17"/>
  <c r="D607" i="17" s="1"/>
  <c r="E871" i="17"/>
  <c r="D871" i="17" s="1"/>
  <c r="E465" i="17"/>
  <c r="D465" i="17" s="1"/>
  <c r="E962" i="17"/>
  <c r="D962" i="17" s="1"/>
  <c r="E589" i="17"/>
  <c r="D589" i="17" s="1"/>
  <c r="E817" i="17"/>
  <c r="D817" i="17" s="1"/>
  <c r="E800" i="17"/>
  <c r="D800" i="17" s="1"/>
  <c r="E843" i="17"/>
  <c r="D843" i="17" s="1"/>
  <c r="E34" i="17"/>
  <c r="D34" i="17" s="1"/>
  <c r="E978" i="17"/>
  <c r="D978" i="17" s="1"/>
  <c r="E518" i="17"/>
  <c r="D518" i="17" s="1"/>
  <c r="E625" i="17"/>
  <c r="D625" i="17" s="1"/>
  <c r="E416" i="17"/>
  <c r="D416" i="17" s="1"/>
  <c r="E66" i="17"/>
  <c r="D66" i="17" s="1"/>
  <c r="E849" i="17"/>
  <c r="D849" i="17" s="1"/>
  <c r="E302" i="17"/>
  <c r="D302" i="17" s="1"/>
  <c r="E713" i="17"/>
  <c r="D713" i="17" s="1"/>
  <c r="E902" i="17"/>
  <c r="D902" i="17" s="1"/>
  <c r="E344" i="17"/>
  <c r="D344" i="17" s="1"/>
  <c r="E63" i="17"/>
  <c r="D63" i="17" s="1"/>
  <c r="E639" i="17"/>
  <c r="D639" i="17" s="1"/>
  <c r="E939" i="17"/>
  <c r="D939" i="17" s="1"/>
  <c r="E896" i="17"/>
  <c r="D896" i="17" s="1"/>
  <c r="E234" i="17"/>
  <c r="D234" i="17" s="1"/>
  <c r="E762" i="17"/>
  <c r="D762" i="17" s="1"/>
  <c r="E764" i="17"/>
  <c r="D764" i="17" s="1"/>
  <c r="E384" i="17"/>
  <c r="D384" i="17" s="1"/>
  <c r="E67" i="17"/>
  <c r="D67" i="17" s="1"/>
  <c r="E636" i="17"/>
  <c r="D636" i="17" s="1"/>
  <c r="E470" i="17"/>
  <c r="D470" i="17" s="1"/>
  <c r="E738" i="17"/>
  <c r="D738" i="17" s="1"/>
  <c r="E310" i="17"/>
  <c r="D310" i="17" s="1"/>
  <c r="E986" i="17"/>
  <c r="D986" i="17" s="1"/>
  <c r="E527" i="17"/>
  <c r="D527" i="17" s="1"/>
  <c r="E477" i="17"/>
  <c r="D477" i="17" s="1"/>
  <c r="E35" i="17"/>
  <c r="D35" i="17" s="1"/>
  <c r="E394" i="17"/>
  <c r="D394" i="17" s="1"/>
  <c r="E469" i="17"/>
  <c r="D469" i="17" s="1"/>
  <c r="E475" i="17"/>
  <c r="D475" i="17" s="1"/>
  <c r="E884" i="17"/>
  <c r="D884" i="17" s="1"/>
  <c r="E1016" i="17"/>
  <c r="D1016" i="17" s="1"/>
  <c r="E904" i="17"/>
  <c r="D904" i="17" s="1"/>
  <c r="E992" i="17"/>
  <c r="D992" i="17" s="1"/>
  <c r="E560" i="17"/>
  <c r="D560" i="17" s="1"/>
  <c r="E954" i="17"/>
  <c r="D954" i="17" s="1"/>
  <c r="E1005" i="17"/>
  <c r="D1005" i="17" s="1"/>
  <c r="E317" i="17"/>
  <c r="D317" i="17" s="1"/>
  <c r="E444" i="17"/>
  <c r="D444" i="17" s="1"/>
  <c r="E150" i="17"/>
  <c r="D150" i="17" s="1"/>
  <c r="E658" i="17"/>
  <c r="D658" i="17" s="1"/>
  <c r="E521" i="17"/>
  <c r="D521" i="17" s="1"/>
  <c r="E21" i="17"/>
  <c r="D21" i="17" s="1"/>
  <c r="E554" i="17"/>
  <c r="D554" i="17" s="1"/>
  <c r="E174" i="17"/>
  <c r="D174" i="17" s="1"/>
  <c r="E610" i="17"/>
  <c r="D610" i="17" s="1"/>
  <c r="E927" i="17"/>
  <c r="D927" i="17" s="1"/>
  <c r="E788" i="17"/>
  <c r="D788" i="17" s="1"/>
  <c r="E870" i="17"/>
  <c r="D870" i="17" s="1"/>
  <c r="E824" i="17"/>
  <c r="D824" i="17" s="1"/>
  <c r="E642" i="17"/>
  <c r="D642" i="17" s="1"/>
  <c r="E202" i="17"/>
  <c r="D202" i="17" s="1"/>
  <c r="E981" i="17"/>
  <c r="D981" i="17" s="1"/>
  <c r="E440" i="17"/>
  <c r="D440" i="17" s="1"/>
  <c r="E588" i="17"/>
  <c r="D588" i="17" s="1"/>
  <c r="E815" i="17"/>
  <c r="D815" i="17" s="1"/>
  <c r="E220" i="17"/>
  <c r="D220" i="17" s="1"/>
  <c r="E428" i="17"/>
  <c r="D428" i="17" s="1"/>
  <c r="E601" i="17"/>
  <c r="D601" i="17" s="1"/>
  <c r="E773" i="17"/>
  <c r="D773" i="17" s="1"/>
  <c r="E281" i="17"/>
  <c r="D281" i="17" s="1"/>
  <c r="E254" i="17"/>
  <c r="D254" i="17" s="1"/>
  <c r="E712" i="17"/>
  <c r="D712" i="17" s="1"/>
  <c r="E881" i="17"/>
  <c r="D881" i="17" s="1"/>
  <c r="E856" i="17"/>
  <c r="D856" i="17" s="1"/>
  <c r="E395" i="17"/>
  <c r="D395" i="17" s="1"/>
  <c r="E436" i="17"/>
  <c r="D436" i="17" s="1"/>
  <c r="E989" i="17"/>
  <c r="D989" i="17" s="1"/>
  <c r="E388" i="17"/>
  <c r="D388" i="17" s="1"/>
  <c r="E509" i="17"/>
  <c r="D509" i="17" s="1"/>
  <c r="E720" i="17"/>
  <c r="D720" i="17" s="1"/>
  <c r="E116" i="17"/>
  <c r="D116" i="17" s="1"/>
  <c r="E447" i="17"/>
  <c r="D447" i="17" s="1"/>
  <c r="E635" i="17"/>
  <c r="D635" i="17" s="1"/>
  <c r="E926" i="17"/>
  <c r="D926" i="17" s="1"/>
  <c r="E709" i="17"/>
  <c r="D709" i="17" s="1"/>
  <c r="E748" i="17"/>
  <c r="D748" i="17" s="1"/>
  <c r="E520" i="17"/>
  <c r="D520" i="17" s="1"/>
  <c r="E358" i="17"/>
  <c r="D358" i="17" s="1"/>
  <c r="E983" i="17"/>
  <c r="D983" i="17" s="1"/>
  <c r="E716" i="17"/>
  <c r="D716" i="17" s="1"/>
  <c r="E7" i="17"/>
  <c r="D7" i="17" s="1"/>
  <c r="E77" i="17"/>
  <c r="D77" i="17" s="1"/>
  <c r="E614" i="17"/>
  <c r="D614" i="17" s="1"/>
  <c r="E117" i="17"/>
  <c r="D117" i="17" s="1"/>
  <c r="E112" i="17"/>
  <c r="D112" i="17" s="1"/>
  <c r="E369" i="17"/>
  <c r="D369" i="17" s="1"/>
  <c r="E252" i="17"/>
  <c r="D252" i="17" s="1"/>
  <c r="E605" i="17"/>
  <c r="D605" i="17" s="1"/>
  <c r="E799" i="17"/>
  <c r="D799" i="17" s="1"/>
  <c r="E1007" i="17"/>
  <c r="D1007" i="17" s="1"/>
  <c r="E277" i="17"/>
  <c r="D277" i="17" s="1"/>
  <c r="E158" i="17"/>
  <c r="D158" i="17" s="1"/>
  <c r="E472" i="17"/>
  <c r="D472" i="17" s="1"/>
  <c r="E536" i="17"/>
  <c r="D536" i="17" s="1"/>
  <c r="E680" i="17"/>
  <c r="D680" i="17" s="1"/>
  <c r="E103" i="17"/>
  <c r="D103" i="17" s="1"/>
  <c r="E86" i="17"/>
  <c r="D86" i="17" s="1"/>
  <c r="E441" i="17"/>
  <c r="D441" i="17" s="1"/>
  <c r="E131" i="17"/>
  <c r="D131" i="17" s="1"/>
  <c r="E832" i="17"/>
  <c r="D832" i="17" s="1"/>
  <c r="E990" i="17"/>
  <c r="D990" i="17" s="1"/>
  <c r="E878" i="17"/>
  <c r="D878" i="17" s="1"/>
  <c r="E1011" i="17"/>
  <c r="D1011" i="17" s="1"/>
  <c r="E547" i="17"/>
  <c r="D547" i="17" s="1"/>
  <c r="E923" i="17"/>
  <c r="D923" i="17" s="1"/>
  <c r="E519" i="17"/>
  <c r="D519" i="17" s="1"/>
  <c r="E691" i="17"/>
  <c r="D691" i="17" s="1"/>
  <c r="E848" i="17"/>
  <c r="D848" i="17" s="1"/>
  <c r="E338" i="17"/>
  <c r="D338" i="17" s="1"/>
  <c r="E853" i="17"/>
  <c r="D853" i="17" s="1"/>
  <c r="E423" i="17"/>
  <c r="D423" i="17" s="1"/>
  <c r="E390" i="17"/>
  <c r="D390" i="17" s="1"/>
  <c r="E180" i="17"/>
  <c r="D180" i="17" s="1"/>
  <c r="E37" i="17"/>
  <c r="D37" i="17" s="1"/>
  <c r="E145" i="17"/>
  <c r="D145" i="17" s="1"/>
  <c r="E574" i="17"/>
  <c r="D574" i="17" s="1"/>
  <c r="E335" i="17"/>
  <c r="D335" i="17" s="1"/>
  <c r="E40" i="17"/>
  <c r="D40" i="17" s="1"/>
  <c r="E171" i="17"/>
  <c r="D171" i="17" s="1"/>
  <c r="E454" i="17"/>
  <c r="D454" i="17" s="1"/>
  <c r="E857" i="17"/>
  <c r="D857" i="17" s="1"/>
  <c r="E476" i="17"/>
  <c r="D476" i="17" s="1"/>
  <c r="E751" i="17"/>
  <c r="D751" i="17" s="1"/>
  <c r="E693" i="17"/>
  <c r="D693" i="17" s="1"/>
  <c r="E979" i="17"/>
  <c r="D979" i="17" s="1"/>
  <c r="E227" i="17"/>
  <c r="D227" i="17" s="1"/>
  <c r="E73" i="17"/>
  <c r="D73" i="17" s="1"/>
  <c r="E562" i="17"/>
  <c r="D562" i="17" s="1"/>
  <c r="E938" i="17"/>
  <c r="D938" i="17" s="1"/>
  <c r="E370" i="17"/>
  <c r="D370" i="17" s="1"/>
  <c r="E723" i="17"/>
  <c r="D723" i="17" s="1"/>
  <c r="E956" i="17"/>
  <c r="D956" i="17" s="1"/>
  <c r="E908" i="17"/>
  <c r="D908" i="17" s="1"/>
  <c r="E329" i="17"/>
  <c r="D329" i="17" s="1"/>
  <c r="E333" i="17"/>
  <c r="D333" i="17" s="1"/>
  <c r="E221" i="17"/>
  <c r="D221" i="17" s="1"/>
  <c r="E769" i="17"/>
  <c r="D769" i="17" s="1"/>
  <c r="E882" i="17"/>
  <c r="D882" i="17" s="1"/>
  <c r="E359" i="17"/>
  <c r="D359" i="17" s="1"/>
  <c r="E528" i="17"/>
  <c r="D528" i="17" s="1"/>
  <c r="E363" i="17"/>
  <c r="D363" i="17" s="1"/>
  <c r="E777" i="17"/>
  <c r="D777" i="17" s="1"/>
  <c r="E287" i="17"/>
  <c r="D287" i="17" s="1"/>
  <c r="E734" i="17"/>
  <c r="D734" i="17" s="1"/>
  <c r="E523" i="17"/>
  <c r="D523" i="17" s="1"/>
  <c r="E339" i="17"/>
  <c r="D339" i="17" s="1"/>
  <c r="E535" i="17"/>
  <c r="D535" i="17" s="1"/>
  <c r="E293" i="17"/>
  <c r="D293" i="17" s="1"/>
  <c r="E342" i="17"/>
  <c r="D342" i="17" s="1"/>
  <c r="E604" i="17"/>
  <c r="D604" i="17" s="1"/>
  <c r="E61" i="17"/>
  <c r="D61" i="17" s="1"/>
  <c r="E236" i="17"/>
  <c r="D236" i="17" s="1"/>
  <c r="E662" i="17"/>
  <c r="D662" i="17" s="1"/>
  <c r="E603" i="17"/>
  <c r="D603" i="17" s="1"/>
  <c r="E735" i="17"/>
  <c r="D735" i="17" s="1"/>
  <c r="E899" i="17"/>
  <c r="D899" i="17" s="1"/>
  <c r="E668" i="17"/>
  <c r="D668" i="17" s="1"/>
  <c r="E121" i="17"/>
  <c r="D121" i="17" s="1"/>
  <c r="E139" i="17"/>
  <c r="D139" i="17" s="1"/>
  <c r="E928" i="17"/>
  <c r="D928" i="17" s="1"/>
  <c r="E141" i="17"/>
  <c r="D141" i="17" s="1"/>
  <c r="E15" i="17"/>
  <c r="D15" i="17" s="1"/>
  <c r="E690" i="17"/>
  <c r="D690" i="17" s="1"/>
  <c r="E49" i="17"/>
  <c r="D49" i="17" s="1"/>
  <c r="E314" i="17"/>
  <c r="D314" i="17" s="1"/>
  <c r="E415" i="17"/>
  <c r="D415" i="17" s="1"/>
  <c r="E255" i="17"/>
  <c r="D255" i="17" s="1"/>
  <c r="E467" i="17"/>
  <c r="D467" i="17" s="1"/>
  <c r="E961" i="17"/>
  <c r="D961" i="17" s="1"/>
  <c r="E750" i="17"/>
  <c r="D750" i="17" s="1"/>
  <c r="E669" i="17"/>
  <c r="D669" i="17" s="1"/>
  <c r="E1012" i="17"/>
  <c r="D1012" i="17" s="1"/>
  <c r="E586" i="17"/>
  <c r="D586" i="17" s="1"/>
  <c r="E617" i="17"/>
  <c r="D617" i="17" s="1"/>
  <c r="E654" i="17"/>
  <c r="D654" i="17" s="1"/>
  <c r="E872" i="17"/>
  <c r="D872" i="17" s="1"/>
  <c r="E95" i="17"/>
  <c r="D95" i="17" s="1"/>
  <c r="E579" i="17"/>
  <c r="D579" i="17" s="1"/>
  <c r="E876" i="17"/>
  <c r="D876" i="17" s="1"/>
  <c r="E630" i="17"/>
  <c r="D630" i="17" s="1"/>
  <c r="E671" i="17"/>
  <c r="D671" i="17" s="1"/>
  <c r="E775" i="17"/>
  <c r="D775" i="17" s="1"/>
  <c r="E275" i="17"/>
  <c r="D275" i="17" s="1"/>
  <c r="E389" i="17"/>
  <c r="D389" i="17" s="1"/>
  <c r="E100" i="17"/>
  <c r="D100" i="17" s="1"/>
  <c r="E87" i="17"/>
  <c r="D87" i="17" s="1"/>
  <c r="E319" i="17"/>
  <c r="D319" i="17" s="1"/>
  <c r="E850" i="17"/>
  <c r="D850" i="17" s="1"/>
  <c r="E765" i="17"/>
  <c r="D765" i="17" s="1"/>
  <c r="E991" i="17"/>
  <c r="D991" i="17" s="1"/>
  <c r="E258" i="17"/>
  <c r="D258" i="17" s="1"/>
  <c r="E421" i="17"/>
  <c r="D421" i="17" s="1"/>
  <c r="E4" i="17"/>
  <c r="D4" i="17" s="1"/>
  <c r="E936" i="17"/>
  <c r="D936" i="17" s="1"/>
  <c r="E789" i="17"/>
  <c r="D789" i="17" s="1"/>
  <c r="E933" i="17"/>
  <c r="D933" i="17" s="1"/>
  <c r="E401" i="17"/>
  <c r="D401" i="17" s="1"/>
  <c r="E173" i="17"/>
  <c r="D173" i="17" s="1"/>
  <c r="E689" i="17"/>
  <c r="D689" i="17" s="1"/>
  <c r="E1004" i="17"/>
  <c r="D1004" i="17" s="1"/>
  <c r="E740" i="17"/>
  <c r="D740" i="17" s="1"/>
  <c r="E681" i="17"/>
  <c r="D681" i="17" s="1"/>
  <c r="E426" i="17"/>
  <c r="D426" i="17" s="1"/>
  <c r="E976" i="17"/>
  <c r="D976" i="17" s="1"/>
  <c r="E155" i="17"/>
  <c r="D155" i="17" s="1"/>
  <c r="E941" i="17"/>
  <c r="D941" i="17" s="1"/>
  <c r="E602" i="17"/>
  <c r="D602" i="17" s="1"/>
  <c r="E125" i="17"/>
  <c r="D125" i="17" s="1"/>
  <c r="E47" i="17"/>
  <c r="D47" i="17" s="1"/>
  <c r="E692" i="17"/>
  <c r="D692" i="17" s="1"/>
  <c r="E641" i="17"/>
  <c r="D641" i="17" s="1"/>
  <c r="E530" i="17"/>
  <c r="D530" i="17" s="1"/>
  <c r="E506" i="17"/>
  <c r="D506" i="17" s="1"/>
  <c r="E960" i="17"/>
  <c r="D960" i="17" s="1"/>
  <c r="E993" i="17"/>
  <c r="D993" i="17" s="1"/>
  <c r="E790" i="17"/>
  <c r="D790" i="17" s="1"/>
  <c r="E357" i="17"/>
  <c r="D357" i="17" s="1"/>
  <c r="E203" i="17"/>
  <c r="D203" i="17" s="1"/>
  <c r="E452" i="17"/>
  <c r="D452" i="17" s="1"/>
  <c r="E32" i="17"/>
  <c r="D32" i="17" s="1"/>
  <c r="E984" i="17"/>
  <c r="D984" i="17" s="1"/>
  <c r="E875" i="17"/>
  <c r="D875" i="17" s="1"/>
  <c r="E1020" i="17"/>
  <c r="D1020" i="17" s="1"/>
  <c r="E445" i="17"/>
  <c r="D445" i="17" s="1"/>
  <c r="E176" i="17"/>
  <c r="D176" i="17" s="1"/>
  <c r="E450" i="17"/>
  <c r="D450" i="17" s="1"/>
  <c r="E128" i="17"/>
  <c r="D128" i="17" s="1"/>
  <c r="E453" i="17"/>
  <c r="D453" i="17" s="1"/>
  <c r="E118" i="17"/>
  <c r="D118" i="17" s="1"/>
  <c r="E144" i="17"/>
  <c r="D144" i="17" s="1"/>
  <c r="E825" i="17"/>
  <c r="D825" i="17" s="1"/>
  <c r="E885" i="17"/>
  <c r="D885" i="17" s="1"/>
  <c r="E549" i="17"/>
  <c r="D549" i="17" s="1"/>
  <c r="E361" i="17"/>
  <c r="D361" i="17" s="1"/>
  <c r="E355" i="17"/>
  <c r="D355" i="17" s="1"/>
  <c r="E599" i="17"/>
  <c r="D599" i="17" s="1"/>
  <c r="E151" i="17"/>
  <c r="D151" i="17" s="1"/>
  <c r="E71" i="17"/>
  <c r="D71" i="17" s="1"/>
  <c r="E719" i="17"/>
  <c r="D719" i="17" s="1"/>
  <c r="E11" i="17"/>
  <c r="D11" i="17" s="1"/>
  <c r="E285" i="17"/>
  <c r="D285" i="17" s="1"/>
  <c r="E526" i="17"/>
  <c r="D526" i="17" s="1"/>
  <c r="E493" i="17"/>
  <c r="D493" i="17" s="1"/>
  <c r="E779" i="17"/>
  <c r="D779" i="17" s="1"/>
  <c r="E959" i="17"/>
  <c r="D959" i="17" s="1"/>
  <c r="E437" i="17"/>
  <c r="D437" i="17" s="1"/>
  <c r="E41" i="17"/>
  <c r="D41" i="17" s="1"/>
  <c r="E442" i="17"/>
  <c r="D442" i="17" s="1"/>
  <c r="E122" i="17"/>
  <c r="D122" i="17" s="1"/>
  <c r="E1015" i="17"/>
  <c r="D1015" i="17" s="1"/>
  <c r="E113" i="17"/>
  <c r="D113" i="17" s="1"/>
  <c r="E274" i="17"/>
  <c r="D274" i="17" s="1"/>
  <c r="E18" i="17"/>
  <c r="D18" i="17" s="1"/>
  <c r="E223" i="17"/>
  <c r="D223" i="17" s="1"/>
  <c r="E414" i="17"/>
  <c r="D414" i="17" s="1"/>
  <c r="E497" i="17"/>
  <c r="D497" i="17" s="1"/>
  <c r="E818" i="17"/>
  <c r="D818" i="17" s="1"/>
  <c r="E664" i="17"/>
  <c r="D664" i="17" s="1"/>
  <c r="E48" i="17"/>
  <c r="D48" i="17" s="1"/>
  <c r="E425" i="17"/>
  <c r="D425" i="17" s="1"/>
  <c r="E9" i="17"/>
  <c r="D9" i="17" s="1"/>
  <c r="E409" i="17"/>
  <c r="D409" i="17" s="1"/>
  <c r="E907" i="17"/>
  <c r="D907" i="17" s="1"/>
  <c r="E222" i="17"/>
  <c r="D222" i="17" s="1"/>
  <c r="E91" i="17"/>
  <c r="D91" i="17" s="1"/>
  <c r="E626" i="17"/>
  <c r="D626" i="17" s="1"/>
  <c r="E422" i="17"/>
  <c r="D422" i="17" s="1"/>
  <c r="E43" i="17"/>
  <c r="D43" i="17" s="1"/>
  <c r="E225" i="17"/>
  <c r="D225" i="17" s="1"/>
  <c r="E803" i="17"/>
  <c r="D803" i="17" s="1"/>
  <c r="E200" i="17"/>
  <c r="D200" i="17" s="1"/>
  <c r="E584" i="17"/>
  <c r="D584" i="17" s="1"/>
  <c r="E736" i="17"/>
  <c r="D736" i="17" s="1"/>
  <c r="E571" i="17"/>
  <c r="D571" i="17" s="1"/>
  <c r="E573" i="17"/>
  <c r="D573" i="17" s="1"/>
  <c r="E479" i="17"/>
  <c r="D479" i="17" s="1"/>
  <c r="E239" i="17"/>
  <c r="D239" i="17" s="1"/>
  <c r="E905" i="17"/>
  <c r="D905" i="17" s="1"/>
  <c r="E859" i="17"/>
  <c r="D859" i="17" s="1"/>
  <c r="E92" i="17"/>
  <c r="D92" i="17" s="1"/>
  <c r="E924" i="17"/>
  <c r="D924" i="17" s="1"/>
  <c r="E17" i="17"/>
  <c r="D17" i="17" s="1"/>
  <c r="C14" i="3" l="1"/>
  <c r="C8" i="3"/>
  <c r="C10" i="3"/>
  <c r="C5" i="3"/>
  <c r="C9" i="3"/>
  <c r="C11" i="3"/>
  <c r="C12" i="3"/>
  <c r="C7" i="3"/>
  <c r="C19" i="3"/>
  <c r="C17" i="3"/>
  <c r="C6" i="3"/>
  <c r="C20" i="3"/>
  <c r="C15" i="3"/>
  <c r="C16" i="3"/>
  <c r="C13" i="3"/>
  <c r="C22" i="3"/>
  <c r="C18" i="3"/>
  <c r="C23" i="3"/>
  <c r="C21" i="3"/>
  <c r="C4" i="3"/>
  <c r="C905" i="17"/>
  <c r="C803" i="17"/>
  <c r="C719" i="17"/>
  <c r="C885" i="17"/>
  <c r="C71" i="17"/>
  <c r="C239" i="17"/>
  <c r="C479" i="17"/>
  <c r="C959" i="17"/>
  <c r="C151" i="17"/>
  <c r="C258" i="17"/>
  <c r="C422" i="17"/>
  <c r="C274" i="17"/>
  <c r="C779" i="17"/>
  <c r="C599" i="17"/>
  <c r="C984" i="17"/>
  <c r="C401" i="17"/>
  <c r="C113" i="17"/>
  <c r="C736" i="17"/>
  <c r="C818" i="17"/>
  <c r="C1015" i="17"/>
  <c r="C526" i="17"/>
  <c r="C342" i="17"/>
  <c r="C17" i="17"/>
  <c r="C664" i="17"/>
  <c r="C924" i="17"/>
  <c r="C549" i="17"/>
  <c r="C319" i="17"/>
  <c r="C626" i="17"/>
  <c r="C355" i="17"/>
  <c r="C859" i="17"/>
  <c r="C200" i="17"/>
  <c r="C442" i="17"/>
  <c r="C176" i="17"/>
  <c r="C692" i="17"/>
  <c r="C48" i="17"/>
  <c r="C571" i="17"/>
  <c r="C101" i="17"/>
  <c r="C493" i="17"/>
  <c r="C314" i="17"/>
  <c r="C224" i="17"/>
  <c r="C886" i="17"/>
  <c r="C490" i="17"/>
  <c r="C91" i="17"/>
  <c r="C982" i="17"/>
  <c r="C311" i="17"/>
  <c r="C301" i="17"/>
  <c r="C336" i="17"/>
  <c r="C698" i="17"/>
  <c r="C667" i="17"/>
  <c r="C771" i="17"/>
  <c r="C157" i="17"/>
  <c r="C439" i="17"/>
  <c r="C1022" i="17"/>
  <c r="C42" i="17"/>
  <c r="C409" i="17"/>
  <c r="C414" i="17"/>
  <c r="C41" i="17"/>
  <c r="C445" i="17"/>
  <c r="C790" i="17"/>
  <c r="C47" i="17"/>
  <c r="C681" i="17"/>
  <c r="C684" i="17"/>
  <c r="C4" i="17"/>
  <c r="C100" i="17"/>
  <c r="C95" i="17"/>
  <c r="C961" i="17"/>
  <c r="C141" i="17"/>
  <c r="C603" i="17"/>
  <c r="C339" i="17"/>
  <c r="C882" i="17"/>
  <c r="C370" i="17"/>
  <c r="C751" i="17"/>
  <c r="C145" i="17"/>
  <c r="C1011" i="17"/>
  <c r="C680" i="17"/>
  <c r="C252" i="17"/>
  <c r="C983" i="17"/>
  <c r="C116" i="17"/>
  <c r="C881" i="17"/>
  <c r="C815" i="17"/>
  <c r="C788" i="17"/>
  <c r="C150" i="17"/>
  <c r="C1016" i="17"/>
  <c r="C527" i="17"/>
  <c r="C939" i="17"/>
  <c r="C800" i="17"/>
  <c r="C544" i="17"/>
  <c r="C644" i="17"/>
  <c r="C266" i="17"/>
  <c r="C16" i="17"/>
  <c r="C149" i="17"/>
  <c r="C385" i="17"/>
  <c r="C208" i="17"/>
  <c r="C44" i="17"/>
  <c r="C846" i="17"/>
  <c r="C833" i="17"/>
  <c r="C587" i="17"/>
  <c r="C23" i="17"/>
  <c r="C347" i="17"/>
  <c r="C501" i="17"/>
  <c r="C14" i="17"/>
  <c r="C98" i="17"/>
  <c r="C852" i="17"/>
  <c r="C640" i="17"/>
  <c r="C1017" i="17"/>
  <c r="C687" i="17"/>
  <c r="C821" i="17"/>
  <c r="C575" i="17"/>
  <c r="C845" i="17"/>
  <c r="C966" i="17"/>
  <c r="C126" i="17"/>
  <c r="C146" i="17"/>
  <c r="C816" i="17"/>
  <c r="C841" i="17"/>
  <c r="C22" i="17"/>
  <c r="C985" i="17"/>
  <c r="C12" i="17"/>
  <c r="C374" i="17"/>
  <c r="C278" i="17"/>
  <c r="C210" i="17"/>
  <c r="C706" i="17"/>
  <c r="C934" i="17"/>
  <c r="C887" i="17"/>
  <c r="C517" i="17"/>
  <c r="C868" i="17"/>
  <c r="C826" i="17"/>
  <c r="C725" i="17"/>
  <c r="C438" i="17"/>
  <c r="C1018" i="17"/>
  <c r="C929" i="17"/>
  <c r="C142" i="17"/>
  <c r="C140" i="17"/>
  <c r="C88" i="17"/>
  <c r="C427" i="17"/>
  <c r="C448" i="17"/>
  <c r="C577" i="17"/>
  <c r="C235" i="17"/>
  <c r="C696" i="17"/>
  <c r="C225" i="17"/>
  <c r="C9" i="17"/>
  <c r="C223" i="17"/>
  <c r="C437" i="17"/>
  <c r="C825" i="17"/>
  <c r="C1020" i="17"/>
  <c r="C993" i="17"/>
  <c r="C125" i="17"/>
  <c r="C740" i="17"/>
  <c r="C8" i="17"/>
  <c r="C421" i="17"/>
  <c r="C389" i="17"/>
  <c r="C872" i="17"/>
  <c r="C467" i="17"/>
  <c r="C928" i="17"/>
  <c r="C662" i="17"/>
  <c r="C523" i="17"/>
  <c r="C769" i="17"/>
  <c r="C938" i="17"/>
  <c r="C476" i="17"/>
  <c r="C37" i="17"/>
  <c r="C691" i="17"/>
  <c r="C878" i="17"/>
  <c r="C536" i="17"/>
  <c r="C369" i="17"/>
  <c r="C358" i="17"/>
  <c r="C720" i="17"/>
  <c r="C712" i="17"/>
  <c r="C588" i="17"/>
  <c r="C927" i="17"/>
  <c r="C444" i="17"/>
  <c r="C884" i="17"/>
  <c r="C797" i="17"/>
  <c r="C636" i="17"/>
  <c r="C639" i="17"/>
  <c r="C66" i="17"/>
  <c r="C817" i="17"/>
  <c r="C313" i="17"/>
  <c r="C97" i="17"/>
  <c r="C502" i="17"/>
  <c r="C265" i="17"/>
  <c r="C168" i="17"/>
  <c r="C508" i="17"/>
  <c r="C710" i="17"/>
  <c r="C980" i="17"/>
  <c r="C660" i="17"/>
  <c r="C806" i="17"/>
  <c r="C263" i="17"/>
  <c r="C500" i="17"/>
  <c r="C38" i="17"/>
  <c r="C585" i="17"/>
  <c r="C632" i="17"/>
  <c r="C238" i="17"/>
  <c r="C259" i="17"/>
  <c r="C65" i="17"/>
  <c r="C598" i="17"/>
  <c r="C873" i="17"/>
  <c r="C877" i="17"/>
  <c r="C656" i="17"/>
  <c r="C130" i="17"/>
  <c r="C550" i="17"/>
  <c r="C659" i="17"/>
  <c r="C90" i="17"/>
  <c r="C282" i="17"/>
  <c r="C1021" i="17"/>
  <c r="C152" i="17"/>
  <c r="C522" i="17"/>
  <c r="C249" i="17"/>
  <c r="C714" i="17"/>
  <c r="C320" i="17"/>
  <c r="C400" i="17"/>
  <c r="C199" i="17"/>
  <c r="C212" i="17"/>
  <c r="C553" i="17"/>
  <c r="C694" i="17"/>
  <c r="C665" i="17"/>
  <c r="C930" i="17"/>
  <c r="C578" i="17"/>
  <c r="C368" i="17"/>
  <c r="C332" i="17"/>
  <c r="C231" i="17"/>
  <c r="C634" i="17"/>
  <c r="C340" i="17"/>
  <c r="C58" i="17"/>
  <c r="C911" i="17"/>
  <c r="C291" i="17"/>
  <c r="C33" i="17"/>
  <c r="C341" i="17"/>
  <c r="C793" i="17"/>
  <c r="C43" i="17"/>
  <c r="C425" i="17"/>
  <c r="C18" i="17"/>
  <c r="C144" i="17"/>
  <c r="C875" i="17"/>
  <c r="C602" i="17"/>
  <c r="C443" i="17"/>
  <c r="C468" i="17"/>
  <c r="C275" i="17"/>
  <c r="C654" i="17"/>
  <c r="C255" i="17"/>
  <c r="C139" i="17"/>
  <c r="C236" i="17"/>
  <c r="C734" i="17"/>
  <c r="C221" i="17"/>
  <c r="C562" i="17"/>
  <c r="C857" i="17"/>
  <c r="C180" i="17"/>
  <c r="C616" i="17"/>
  <c r="C990" i="17"/>
  <c r="C472" i="17"/>
  <c r="C112" i="17"/>
  <c r="C520" i="17"/>
  <c r="C509" i="17"/>
  <c r="C254" i="17"/>
  <c r="C440" i="17"/>
  <c r="C610" i="17"/>
  <c r="C317" i="17"/>
  <c r="C827" i="17"/>
  <c r="C986" i="17"/>
  <c r="C67" i="17"/>
  <c r="C63" i="17"/>
  <c r="C416" i="17"/>
  <c r="C589" i="17"/>
  <c r="C551" i="17"/>
  <c r="C503" i="17"/>
  <c r="C950" i="17"/>
  <c r="C931" i="17"/>
  <c r="C345" i="17"/>
  <c r="C895" i="17"/>
  <c r="C292" i="17"/>
  <c r="C360" i="17"/>
  <c r="C1013" i="17"/>
  <c r="C365" i="17"/>
  <c r="C346" i="17"/>
  <c r="C935" i="17"/>
  <c r="C337" i="17"/>
  <c r="C410" i="17"/>
  <c r="C232" i="17"/>
  <c r="C801" i="17"/>
  <c r="C572" i="17"/>
  <c r="C1008" i="17"/>
  <c r="C860" i="17"/>
  <c r="C507" i="17"/>
  <c r="C253" i="17"/>
  <c r="C446" i="17"/>
  <c r="C177" i="17"/>
  <c r="C6" i="17"/>
  <c r="C679" i="17"/>
  <c r="C879" i="17"/>
  <c r="C819" i="17"/>
  <c r="C652" i="17"/>
  <c r="C233" i="17"/>
  <c r="C153" i="17"/>
  <c r="C318" i="17"/>
  <c r="C558" i="17"/>
  <c r="C279" i="17"/>
  <c r="C498" i="17"/>
  <c r="C283" i="17"/>
  <c r="C198" i="17"/>
  <c r="C583" i="17"/>
  <c r="C791" i="17"/>
  <c r="C413" i="17"/>
  <c r="C715" i="17"/>
  <c r="C901" i="17"/>
  <c r="C766" i="17"/>
  <c r="C383" i="17"/>
  <c r="C209" i="17"/>
  <c r="C307" i="17"/>
  <c r="C495" i="17"/>
  <c r="C631" i="17"/>
  <c r="C627" i="17"/>
  <c r="C724" i="17"/>
  <c r="C261" i="17"/>
  <c r="C481" i="17"/>
  <c r="C814" i="17"/>
  <c r="C670" i="17"/>
  <c r="C524" i="17"/>
  <c r="C949" i="17"/>
  <c r="C573" i="17"/>
  <c r="C118" i="17"/>
  <c r="C960" i="17"/>
  <c r="C941" i="17"/>
  <c r="C1004" i="17"/>
  <c r="C173" i="17"/>
  <c r="C991" i="17"/>
  <c r="C775" i="17"/>
  <c r="C617" i="17"/>
  <c r="C415" i="17"/>
  <c r="C61" i="17"/>
  <c r="C287" i="17"/>
  <c r="C333" i="17"/>
  <c r="C73" i="17"/>
  <c r="C454" i="17"/>
  <c r="C390" i="17"/>
  <c r="C382" i="17"/>
  <c r="C832" i="17"/>
  <c r="C158" i="17"/>
  <c r="C117" i="17"/>
  <c r="C748" i="17"/>
  <c r="C388" i="17"/>
  <c r="C281" i="17"/>
  <c r="C981" i="17"/>
  <c r="C174" i="17"/>
  <c r="C1005" i="17"/>
  <c r="C475" i="17"/>
  <c r="C310" i="17"/>
  <c r="C384" i="17"/>
  <c r="C344" i="17"/>
  <c r="C625" i="17"/>
  <c r="C962" i="17"/>
  <c r="C169" i="17"/>
  <c r="C744" i="17"/>
  <c r="C761" i="17"/>
  <c r="C463" i="17"/>
  <c r="C264" i="17"/>
  <c r="C197" i="17"/>
  <c r="C760" i="17"/>
  <c r="C914" i="17"/>
  <c r="C822" i="17"/>
  <c r="C688" i="17"/>
  <c r="C847" i="17"/>
  <c r="C695" i="17"/>
  <c r="C478" i="17"/>
  <c r="C534" i="17"/>
  <c r="C611" i="17"/>
  <c r="C104" i="17"/>
  <c r="C123" i="17"/>
  <c r="C76" i="17"/>
  <c r="C874" i="17"/>
  <c r="C226" i="17"/>
  <c r="C166" i="17"/>
  <c r="C315" i="17"/>
  <c r="C532" i="17"/>
  <c r="C643" i="17"/>
  <c r="C932" i="17"/>
  <c r="C367" i="17"/>
  <c r="C858" i="17"/>
  <c r="C880" i="17"/>
  <c r="C417" i="17"/>
  <c r="C763" i="17"/>
  <c r="C114" i="17"/>
  <c r="C306" i="17"/>
  <c r="C964" i="17"/>
  <c r="C1009" i="17"/>
  <c r="C559" i="17"/>
  <c r="C59" i="17"/>
  <c r="C211" i="17"/>
  <c r="C609" i="17"/>
  <c r="C19" i="17"/>
  <c r="C965" i="17"/>
  <c r="C897" i="17"/>
  <c r="C280" i="17"/>
  <c r="C303" i="17"/>
  <c r="C99" i="17"/>
  <c r="C733" i="17"/>
  <c r="C13" i="17"/>
  <c r="C722" i="17"/>
  <c r="C844" i="17"/>
  <c r="C869" i="17"/>
  <c r="C683" i="17"/>
  <c r="C686" i="17"/>
  <c r="C170" i="17"/>
  <c r="C371" i="17"/>
  <c r="C653" i="17"/>
  <c r="C557" i="17"/>
  <c r="C330" i="17"/>
  <c r="C453" i="17"/>
  <c r="C32" i="17"/>
  <c r="C506" i="17"/>
  <c r="C155" i="17"/>
  <c r="C828" i="17"/>
  <c r="C765" i="17"/>
  <c r="C671" i="17"/>
  <c r="C586" i="17"/>
  <c r="C121" i="17"/>
  <c r="C604" i="17"/>
  <c r="C777" i="17"/>
  <c r="C329" i="17"/>
  <c r="C171" i="17"/>
  <c r="C423" i="17"/>
  <c r="C519" i="17"/>
  <c r="C131" i="17"/>
  <c r="C277" i="17"/>
  <c r="C614" i="17"/>
  <c r="C709" i="17"/>
  <c r="C989" i="17"/>
  <c r="C773" i="17"/>
  <c r="C202" i="17"/>
  <c r="C554" i="17"/>
  <c r="C954" i="17"/>
  <c r="C469" i="17"/>
  <c r="C69" i="17"/>
  <c r="C764" i="17"/>
  <c r="C902" i="17"/>
  <c r="C518" i="17"/>
  <c r="C465" i="17"/>
  <c r="C795" i="17"/>
  <c r="C608" i="17"/>
  <c r="C968" i="17"/>
  <c r="C491" i="17"/>
  <c r="C396" i="17"/>
  <c r="C204" i="17"/>
  <c r="C505" i="17"/>
  <c r="C20" i="17"/>
  <c r="C854" i="17"/>
  <c r="C988" i="17"/>
  <c r="C581" i="17"/>
  <c r="C909" i="17"/>
  <c r="C1006" i="17"/>
  <c r="C308" i="17"/>
  <c r="C50" i="17"/>
  <c r="C898" i="17"/>
  <c r="C147" i="17"/>
  <c r="C373" i="17"/>
  <c r="C580" i="17"/>
  <c r="C260" i="17"/>
  <c r="C741" i="17"/>
  <c r="C185" i="17"/>
  <c r="C1003" i="17"/>
  <c r="C473" i="17"/>
  <c r="C471" i="17"/>
  <c r="C743" i="17"/>
  <c r="C262" i="17"/>
  <c r="C545" i="17"/>
  <c r="C68" i="17"/>
  <c r="C257" i="17"/>
  <c r="C464" i="17"/>
  <c r="C207" i="17"/>
  <c r="C309" i="17"/>
  <c r="C525" i="17"/>
  <c r="C952" i="17"/>
  <c r="C633" i="17"/>
  <c r="C391" i="17"/>
  <c r="C387" i="17"/>
  <c r="C708" i="17"/>
  <c r="C305" i="17"/>
  <c r="C994" i="17"/>
  <c r="C831" i="17"/>
  <c r="C804" i="17"/>
  <c r="C304" i="17"/>
  <c r="C286" i="17"/>
  <c r="C148" i="17"/>
  <c r="C798" i="17"/>
  <c r="C494" i="17"/>
  <c r="C987" i="17"/>
  <c r="C399" i="17"/>
  <c r="C499" i="17"/>
  <c r="C739" i="17"/>
  <c r="C362" i="17"/>
  <c r="C770" i="17"/>
  <c r="C328" i="17"/>
  <c r="C787" i="17"/>
  <c r="C361" i="17"/>
  <c r="C128" i="17"/>
  <c r="C452" i="17"/>
  <c r="C530" i="17"/>
  <c r="C823" i="17"/>
  <c r="C689" i="17"/>
  <c r="C933" i="17"/>
  <c r="C850" i="17"/>
  <c r="C630" i="17"/>
  <c r="C1012" i="17"/>
  <c r="C49" i="17"/>
  <c r="C668" i="17"/>
  <c r="C363" i="17"/>
  <c r="C908" i="17"/>
  <c r="C227" i="17"/>
  <c r="C40" i="17"/>
  <c r="C853" i="17"/>
  <c r="C923" i="17"/>
  <c r="C441" i="17"/>
  <c r="C1007" i="17"/>
  <c r="C77" i="17"/>
  <c r="C926" i="17"/>
  <c r="C436" i="17"/>
  <c r="C601" i="17"/>
  <c r="C642" i="17"/>
  <c r="C21" i="17"/>
  <c r="C394" i="17"/>
  <c r="C738" i="17"/>
  <c r="C762" i="17"/>
  <c r="C713" i="17"/>
  <c r="C978" i="17"/>
  <c r="C871" i="17"/>
  <c r="C561" i="17"/>
  <c r="C393" i="17"/>
  <c r="C747" i="17"/>
  <c r="C957" i="17"/>
  <c r="C356" i="17"/>
  <c r="C504" i="17"/>
  <c r="C906" i="17"/>
  <c r="C663" i="17"/>
  <c r="C256" i="17"/>
  <c r="C912" i="17"/>
  <c r="C72" i="17"/>
  <c r="C685" i="17"/>
  <c r="C228" i="17"/>
  <c r="C717" i="17"/>
  <c r="C560" i="17"/>
  <c r="C556" i="17"/>
  <c r="C967" i="17"/>
  <c r="C455" i="17"/>
  <c r="C482" i="17"/>
  <c r="C737" i="17"/>
  <c r="C183" i="17"/>
  <c r="C60" i="17"/>
  <c r="C546" i="17"/>
  <c r="C657" i="17"/>
  <c r="C289" i="17"/>
  <c r="C612" i="17"/>
  <c r="C398" i="17"/>
  <c r="C206" i="17"/>
  <c r="C179" i="17"/>
  <c r="C364" i="17"/>
  <c r="C167" i="17"/>
  <c r="C250" i="17"/>
  <c r="C247" i="17"/>
  <c r="C910" i="17"/>
  <c r="C900" i="17"/>
  <c r="C85" i="17"/>
  <c r="C752" i="17"/>
  <c r="C288" i="17"/>
  <c r="C774" i="17"/>
  <c r="C531" i="17"/>
  <c r="C229" i="17"/>
  <c r="C830" i="17"/>
  <c r="C386" i="17"/>
  <c r="C451" i="17"/>
  <c r="C115" i="17"/>
  <c r="C492" i="17"/>
  <c r="C963" i="17"/>
  <c r="C496" i="17"/>
  <c r="C1010" i="17"/>
  <c r="C397" i="17"/>
  <c r="C36" i="17"/>
  <c r="C742" i="17"/>
  <c r="C548" i="17"/>
  <c r="C576" i="17"/>
  <c r="C855" i="17"/>
  <c r="C372" i="17"/>
  <c r="C156" i="17"/>
  <c r="C805" i="17"/>
  <c r="C92" i="17"/>
  <c r="C584" i="17"/>
  <c r="C222" i="17"/>
  <c r="C497" i="17"/>
  <c r="C122" i="17"/>
  <c r="C285" i="17"/>
  <c r="C450" i="17"/>
  <c r="C203" i="17"/>
  <c r="C641" i="17"/>
  <c r="C976" i="17"/>
  <c r="C842" i="17"/>
  <c r="C789" i="17"/>
  <c r="C876" i="17"/>
  <c r="C669" i="17"/>
  <c r="C690" i="17"/>
  <c r="C899" i="17"/>
  <c r="C293" i="17"/>
  <c r="C528" i="17"/>
  <c r="C956" i="17"/>
  <c r="C979" i="17"/>
  <c r="C335" i="17"/>
  <c r="C338" i="17"/>
  <c r="C86" i="17"/>
  <c r="C799" i="17"/>
  <c r="C7" i="17"/>
  <c r="C635" i="17"/>
  <c r="C395" i="17"/>
  <c r="C428" i="17"/>
  <c r="C824" i="17"/>
  <c r="C521" i="17"/>
  <c r="C992" i="17"/>
  <c r="C35" i="17"/>
  <c r="C628" i="17"/>
  <c r="C234" i="17"/>
  <c r="C302" i="17"/>
  <c r="C34" i="17"/>
  <c r="C607" i="17"/>
  <c r="C655" i="17"/>
  <c r="C316" i="17"/>
  <c r="C721" i="17"/>
  <c r="C707" i="17"/>
  <c r="C600" i="17"/>
  <c r="C419" i="17"/>
  <c r="C392" i="17"/>
  <c r="C172" i="17"/>
  <c r="C334" i="17"/>
  <c r="C802" i="17"/>
  <c r="C940" i="17"/>
  <c r="C951" i="17"/>
  <c r="C563" i="17"/>
  <c r="C796" i="17"/>
  <c r="C474" i="17"/>
  <c r="C922" i="17"/>
  <c r="C772" i="17"/>
  <c r="C937" i="17"/>
  <c r="C533" i="17"/>
  <c r="C883" i="17"/>
  <c r="C119" i="17"/>
  <c r="C792" i="17"/>
  <c r="C682" i="17"/>
  <c r="C466" i="17"/>
  <c r="C178" i="17"/>
  <c r="C64" i="17"/>
  <c r="C995" i="17"/>
  <c r="C903" i="17"/>
  <c r="C312" i="17"/>
  <c r="C420" i="17"/>
  <c r="C711" i="17"/>
  <c r="C613" i="17"/>
  <c r="C230" i="17"/>
  <c r="C175" i="17"/>
  <c r="C143" i="17"/>
  <c r="C1019" i="17"/>
  <c r="C424" i="17"/>
  <c r="C45" i="17"/>
  <c r="C913" i="17"/>
  <c r="C46" i="17"/>
  <c r="C5" i="17"/>
  <c r="C193" i="17"/>
  <c r="C127" i="17"/>
  <c r="C555" i="17"/>
  <c r="C449" i="17"/>
  <c r="C75" i="17"/>
  <c r="C776" i="17"/>
  <c r="C829" i="17"/>
  <c r="C615" i="17"/>
  <c r="C39" i="17"/>
  <c r="C638" i="17"/>
  <c r="C1014" i="17"/>
  <c r="C745" i="17"/>
  <c r="C418" i="17"/>
  <c r="C955" i="17"/>
  <c r="C907" i="17"/>
  <c r="C11" i="17"/>
  <c r="C357" i="17"/>
  <c r="C426" i="17"/>
  <c r="C582" i="17"/>
  <c r="C936" i="17"/>
  <c r="C87" i="17"/>
  <c r="C579" i="17"/>
  <c r="C750" i="17"/>
  <c r="C15" i="17"/>
  <c r="C735" i="17"/>
  <c r="C535" i="17"/>
  <c r="C359" i="17"/>
  <c r="C723" i="17"/>
  <c r="C693" i="17"/>
  <c r="C574" i="17"/>
  <c r="C848" i="17"/>
  <c r="C547" i="17"/>
  <c r="C103" i="17"/>
  <c r="C605" i="17"/>
  <c r="C716" i="17"/>
  <c r="C447" i="17"/>
  <c r="C856" i="17"/>
  <c r="C220" i="17"/>
  <c r="C870" i="17"/>
  <c r="C658" i="17"/>
  <c r="C904" i="17"/>
  <c r="C477" i="17"/>
  <c r="C470" i="17"/>
  <c r="C896" i="17"/>
  <c r="C849" i="17"/>
  <c r="C843" i="17"/>
  <c r="C480" i="17"/>
  <c r="C958" i="17"/>
  <c r="C70" i="17"/>
  <c r="C697" i="17"/>
  <c r="C411" i="17"/>
  <c r="C120" i="17"/>
  <c r="C96" i="17"/>
  <c r="C276" i="17"/>
  <c r="C925" i="17"/>
  <c r="C181" i="17"/>
  <c r="C606" i="17"/>
  <c r="C62" i="17"/>
  <c r="C237" i="17"/>
  <c r="C590" i="17"/>
  <c r="C102" i="17"/>
  <c r="C746" i="17"/>
  <c r="C366" i="17"/>
  <c r="C661" i="17"/>
  <c r="C195" i="17"/>
  <c r="C248" i="17"/>
  <c r="C820" i="17"/>
  <c r="C767" i="17"/>
  <c r="C529" i="17"/>
  <c r="C93" i="17"/>
  <c r="C778" i="17"/>
  <c r="Q18" i="6"/>
  <c r="C851" i="17"/>
  <c r="C666" i="17"/>
  <c r="C184" i="17"/>
  <c r="C201" i="17"/>
  <c r="C629" i="17"/>
  <c r="C154" i="17"/>
  <c r="C89" i="17"/>
  <c r="C182" i="17"/>
  <c r="C31" i="17"/>
  <c r="C129" i="17"/>
  <c r="C343" i="17"/>
  <c r="C74" i="17"/>
  <c r="C194" i="17"/>
  <c r="C10" i="17"/>
  <c r="C768" i="17"/>
  <c r="C953" i="17"/>
  <c r="C552" i="17"/>
  <c r="C196" i="17"/>
  <c r="C331" i="17"/>
  <c r="C290" i="17"/>
  <c r="C794" i="17"/>
  <c r="C412" i="17"/>
  <c r="C94" i="17"/>
  <c r="C205" i="17"/>
  <c r="C718" i="17"/>
  <c r="C637" i="17"/>
  <c r="C124" i="17"/>
  <c r="C749" i="17"/>
  <c r="C977" i="17"/>
  <c r="C284" i="17"/>
  <c r="C251" i="17"/>
  <c r="R18" i="6" l="1"/>
  <c r="AA18" i="6"/>
  <c r="Q26" i="6"/>
  <c r="R26" i="6"/>
  <c r="AA26" i="6"/>
  <c r="Q21" i="6"/>
  <c r="R21" i="6"/>
  <c r="AA21" i="6"/>
  <c r="AA14" i="6"/>
  <c r="AA22" i="6"/>
  <c r="R22" i="6"/>
  <c r="V22" i="6" s="1"/>
  <c r="P10" i="6"/>
  <c r="AF36" i="6" s="1"/>
  <c r="R17" i="6"/>
  <c r="S17" i="6" s="1"/>
  <c r="AA19" i="6"/>
  <c r="R19" i="6"/>
  <c r="T19" i="6" s="1"/>
  <c r="Q10" i="6"/>
  <c r="AI8" i="6" s="1"/>
  <c r="AI34" i="6" s="1"/>
  <c r="AA9" i="6"/>
  <c r="AA13" i="6"/>
  <c r="R14" i="6"/>
  <c r="S14" i="6" s="1"/>
  <c r="Q19" i="6"/>
  <c r="AR8" i="6" s="1"/>
  <c r="AR34" i="6" s="1"/>
  <c r="AA10" i="6"/>
  <c r="Q22" i="6"/>
  <c r="AU8" i="6" s="1"/>
  <c r="Q23" i="6"/>
  <c r="AC23" i="6" s="1"/>
  <c r="AV7" i="6" s="1"/>
  <c r="AV33" i="6" s="1"/>
  <c r="R15" i="6"/>
  <c r="Y15" i="6" s="1"/>
  <c r="AA23" i="6"/>
  <c r="AA15" i="6"/>
  <c r="R10" i="6"/>
  <c r="S10" i="6" s="1"/>
  <c r="Q13" i="6"/>
  <c r="AG39" i="6" s="1"/>
  <c r="AA17" i="6"/>
  <c r="R9" i="6"/>
  <c r="X9" i="6" s="1"/>
  <c r="R20" i="6"/>
  <c r="S20" i="6" s="1"/>
  <c r="R16" i="6"/>
  <c r="X16" i="6" s="1"/>
  <c r="AA20" i="6"/>
  <c r="Q17" i="6"/>
  <c r="AC17" i="6" s="1"/>
  <c r="AP7" i="6" s="1"/>
  <c r="AP33" i="6" s="1"/>
  <c r="Q15" i="6"/>
  <c r="AG41" i="6" s="1"/>
  <c r="Q9" i="6"/>
  <c r="AC9" i="6" s="1"/>
  <c r="AH7" i="6" s="1"/>
  <c r="AH33" i="6" s="1"/>
  <c r="R13" i="6"/>
  <c r="Y13" i="6" s="1"/>
  <c r="R23" i="6"/>
  <c r="S23" i="6" s="1"/>
  <c r="Q20" i="6"/>
  <c r="AS8" i="6" s="1"/>
  <c r="AS34" i="6" s="1"/>
  <c r="Q14" i="6"/>
  <c r="AG14" i="6" s="1"/>
  <c r="AA16" i="6"/>
  <c r="Q11" i="6"/>
  <c r="AC11" i="6" s="1"/>
  <c r="AJ7" i="6" s="1"/>
  <c r="AJ33" i="6" s="1"/>
  <c r="Q16" i="6"/>
  <c r="AG42" i="6" s="1"/>
  <c r="AA12" i="6"/>
  <c r="Q27" i="6"/>
  <c r="AG53" i="6" s="1"/>
  <c r="R27" i="6"/>
  <c r="V27" i="6" s="1"/>
  <c r="R12" i="6"/>
  <c r="Y12" i="6" s="1"/>
  <c r="AA11" i="6"/>
  <c r="Q24" i="6"/>
  <c r="AW8" i="6" s="1"/>
  <c r="AW34" i="6" s="1"/>
  <c r="R11" i="6"/>
  <c r="Z11" i="6" s="1"/>
  <c r="R24" i="6"/>
  <c r="V24" i="6" s="1"/>
  <c r="AA24" i="6"/>
  <c r="Q12" i="6"/>
  <c r="AG38" i="6" s="1"/>
  <c r="R28" i="6"/>
  <c r="Z28" i="6" s="1"/>
  <c r="R25" i="6"/>
  <c r="T25" i="6" s="1"/>
  <c r="AA27" i="6"/>
  <c r="AA25" i="6"/>
  <c r="AA28" i="6"/>
  <c r="Q25" i="6"/>
  <c r="AX8" i="6" s="1"/>
  <c r="AX34" i="6" s="1"/>
  <c r="Q28" i="6"/>
  <c r="AG54" i="6" s="1"/>
  <c r="W283" i="17"/>
  <c r="W316" i="17"/>
  <c r="W504" i="17"/>
  <c r="W289" i="17"/>
  <c r="W583" i="17"/>
  <c r="W582" i="17"/>
  <c r="W304" i="17"/>
  <c r="W370" i="17"/>
  <c r="W581" i="17"/>
  <c r="W586" i="17"/>
  <c r="W362" i="17"/>
  <c r="W286" i="17"/>
  <c r="W363" i="17"/>
  <c r="W505" i="17"/>
  <c r="W33" i="17"/>
  <c r="W37" i="17"/>
  <c r="W44" i="17"/>
  <c r="W39" i="17"/>
  <c r="W47" i="17"/>
  <c r="W40" i="17"/>
  <c r="W46" i="17"/>
  <c r="W50" i="17"/>
  <c r="W42" i="17"/>
  <c r="W41" i="17"/>
  <c r="W31" i="17"/>
  <c r="W48" i="17"/>
  <c r="W36" i="17"/>
  <c r="W43" i="17"/>
  <c r="W34" i="17"/>
  <c r="W45" i="17"/>
  <c r="W35" i="17"/>
  <c r="W32" i="17"/>
  <c r="W49" i="17"/>
  <c r="V32" i="17"/>
  <c r="W38" i="17"/>
  <c r="AT8" i="6"/>
  <c r="AT34" i="6" s="1"/>
  <c r="AG47" i="6"/>
  <c r="AG21" i="6"/>
  <c r="AC21" i="6"/>
  <c r="AT7" i="6" s="1"/>
  <c r="AT33" i="6" s="1"/>
  <c r="W355" i="17"/>
  <c r="W374" i="17"/>
  <c r="W364" i="17"/>
  <c r="W587" i="17"/>
  <c r="W579" i="17"/>
  <c r="W290" i="17"/>
  <c r="W285" i="17"/>
  <c r="W697" i="17"/>
  <c r="W682" i="17"/>
  <c r="W693" i="17"/>
  <c r="W688" i="17"/>
  <c r="W683" i="17"/>
  <c r="W694" i="17"/>
  <c r="W696" i="17"/>
  <c r="W698" i="17"/>
  <c r="W689" i="17"/>
  <c r="W684" i="17"/>
  <c r="W690" i="17"/>
  <c r="W686" i="17"/>
  <c r="W691" i="17"/>
  <c r="W685" i="17"/>
  <c r="W695" i="17"/>
  <c r="W679" i="17"/>
  <c r="W681" i="17"/>
  <c r="W687" i="17"/>
  <c r="W680" i="17"/>
  <c r="W692" i="17"/>
  <c r="W62" i="17"/>
  <c r="W65" i="17"/>
  <c r="W58" i="17"/>
  <c r="W67" i="17"/>
  <c r="W72" i="17"/>
  <c r="W63" i="17"/>
  <c r="W64" i="17"/>
  <c r="W66" i="17"/>
  <c r="W61" i="17"/>
  <c r="W77" i="17"/>
  <c r="W74" i="17"/>
  <c r="W73" i="17"/>
  <c r="W71" i="17"/>
  <c r="W68" i="17"/>
  <c r="W59" i="17"/>
  <c r="W60" i="17"/>
  <c r="W70" i="17"/>
  <c r="W76" i="17"/>
  <c r="W69" i="17"/>
  <c r="W75" i="17"/>
  <c r="W308" i="17"/>
  <c r="W314" i="17"/>
  <c r="W307" i="17"/>
  <c r="W499" i="17"/>
  <c r="W506" i="17"/>
  <c r="Z26" i="6"/>
  <c r="V26" i="6"/>
  <c r="S26" i="6"/>
  <c r="U26" i="6"/>
  <c r="X26" i="6"/>
  <c r="T26" i="6"/>
  <c r="Y26" i="6"/>
  <c r="W205" i="17"/>
  <c r="W207" i="17"/>
  <c r="W194" i="17"/>
  <c r="W202" i="17"/>
  <c r="W195" i="17"/>
  <c r="W204" i="17"/>
  <c r="W206" i="17"/>
  <c r="W199" i="17"/>
  <c r="W209" i="17"/>
  <c r="W197" i="17"/>
  <c r="W196" i="17"/>
  <c r="W193" i="17"/>
  <c r="W198" i="17"/>
  <c r="W212" i="17"/>
  <c r="W201" i="17"/>
  <c r="W208" i="17"/>
  <c r="W210" i="17"/>
  <c r="W203" i="17"/>
  <c r="W211" i="17"/>
  <c r="W200" i="17"/>
  <c r="W256" i="17"/>
  <c r="W250" i="17"/>
  <c r="W252" i="17"/>
  <c r="W254" i="17"/>
  <c r="W265" i="17"/>
  <c r="W251" i="17"/>
  <c r="W255" i="17"/>
  <c r="W249" i="17"/>
  <c r="W260" i="17"/>
  <c r="W262" i="17"/>
  <c r="W264" i="17"/>
  <c r="W266" i="17"/>
  <c r="W247" i="17"/>
  <c r="W253" i="17"/>
  <c r="W257" i="17"/>
  <c r="W261" i="17"/>
  <c r="W263" i="17"/>
  <c r="W259" i="17"/>
  <c r="W258" i="17"/>
  <c r="W248" i="17"/>
  <c r="W368" i="17"/>
  <c r="W367" i="17"/>
  <c r="W574" i="17"/>
  <c r="W746" i="17"/>
  <c r="W750" i="17"/>
  <c r="W743" i="17"/>
  <c r="W742" i="17"/>
  <c r="W749" i="17"/>
  <c r="W741" i="17"/>
  <c r="W733" i="17"/>
  <c r="W744" i="17"/>
  <c r="W752" i="17"/>
  <c r="W740" i="17"/>
  <c r="W747" i="17"/>
  <c r="W734" i="17"/>
  <c r="W735" i="17"/>
  <c r="W748" i="17"/>
  <c r="W738" i="17"/>
  <c r="W737" i="17"/>
  <c r="W736" i="17"/>
  <c r="W745" i="17"/>
  <c r="W751" i="17"/>
  <c r="W739" i="17"/>
  <c r="W170" i="17"/>
  <c r="W169" i="17"/>
  <c r="W178" i="17"/>
  <c r="W171" i="17"/>
  <c r="W185" i="17"/>
  <c r="W175" i="17"/>
  <c r="W174" i="17"/>
  <c r="W180" i="17"/>
  <c r="W183" i="17"/>
  <c r="W172" i="17"/>
  <c r="W177" i="17"/>
  <c r="W176" i="17"/>
  <c r="W179" i="17"/>
  <c r="W181" i="17"/>
  <c r="W184" i="17"/>
  <c r="W166" i="17"/>
  <c r="W168" i="17"/>
  <c r="W173" i="17"/>
  <c r="W182" i="17"/>
  <c r="W167" i="17"/>
  <c r="W288" i="17"/>
  <c r="W291" i="17"/>
  <c r="W875" i="17"/>
  <c r="W872" i="17"/>
  <c r="W874" i="17"/>
  <c r="W885" i="17"/>
  <c r="W871" i="17"/>
  <c r="W883" i="17"/>
  <c r="W886" i="17"/>
  <c r="W877" i="17"/>
  <c r="W880" i="17"/>
  <c r="W876" i="17"/>
  <c r="W884" i="17"/>
  <c r="W882" i="17"/>
  <c r="W881" i="17"/>
  <c r="W879" i="17"/>
  <c r="W878" i="17"/>
  <c r="W868" i="17"/>
  <c r="W873" i="17"/>
  <c r="W870" i="17"/>
  <c r="W869" i="17"/>
  <c r="W887" i="17"/>
  <c r="W310" i="17"/>
  <c r="W319" i="17"/>
  <c r="W318" i="17"/>
  <c r="W493" i="17"/>
  <c r="W498" i="17"/>
  <c r="W804" i="17"/>
  <c r="W792" i="17"/>
  <c r="W791" i="17"/>
  <c r="W806" i="17"/>
  <c r="W799" i="17"/>
  <c r="W796" i="17"/>
  <c r="W795" i="17"/>
  <c r="W794" i="17"/>
  <c r="W789" i="17"/>
  <c r="W788" i="17"/>
  <c r="W801" i="17"/>
  <c r="W805" i="17"/>
  <c r="W797" i="17"/>
  <c r="W793" i="17"/>
  <c r="W800" i="17"/>
  <c r="W798" i="17"/>
  <c r="W787" i="17"/>
  <c r="W803" i="17"/>
  <c r="W802" i="17"/>
  <c r="W790" i="17"/>
  <c r="W371" i="17"/>
  <c r="W369" i="17"/>
  <c r="W573" i="17"/>
  <c r="W576" i="17"/>
  <c r="W481" i="17"/>
  <c r="W479" i="17"/>
  <c r="W482" i="17"/>
  <c r="W470" i="17"/>
  <c r="W476" i="17"/>
  <c r="W478" i="17"/>
  <c r="W473" i="17"/>
  <c r="W463" i="17"/>
  <c r="W468" i="17"/>
  <c r="W466" i="17"/>
  <c r="W467" i="17"/>
  <c r="W474" i="17"/>
  <c r="W465" i="17"/>
  <c r="W472" i="17"/>
  <c r="W469" i="17"/>
  <c r="W475" i="17"/>
  <c r="W480" i="17"/>
  <c r="W464" i="17"/>
  <c r="W471" i="17"/>
  <c r="W477" i="17"/>
  <c r="W282" i="17"/>
  <c r="W949" i="17"/>
  <c r="W967" i="17"/>
  <c r="W960" i="17"/>
  <c r="W963" i="17"/>
  <c r="W966" i="17"/>
  <c r="W957" i="17"/>
  <c r="W953" i="17"/>
  <c r="W962" i="17"/>
  <c r="W965" i="17"/>
  <c r="W955" i="17"/>
  <c r="W959" i="17"/>
  <c r="W952" i="17"/>
  <c r="W950" i="17"/>
  <c r="W964" i="17"/>
  <c r="W951" i="17"/>
  <c r="W956" i="17"/>
  <c r="W961" i="17"/>
  <c r="W968" i="17"/>
  <c r="W958" i="17"/>
  <c r="W954" i="17"/>
  <c r="W529" i="17"/>
  <c r="W526" i="17"/>
  <c r="W528" i="17"/>
  <c r="W531" i="17"/>
  <c r="W536" i="17"/>
  <c r="W527" i="17"/>
  <c r="W530" i="17"/>
  <c r="W533" i="17"/>
  <c r="W534" i="17"/>
  <c r="W520" i="17"/>
  <c r="W522" i="17"/>
  <c r="W523" i="17"/>
  <c r="W535" i="17"/>
  <c r="W518" i="17"/>
  <c r="W517" i="17"/>
  <c r="W519" i="17"/>
  <c r="W525" i="17"/>
  <c r="W521" i="17"/>
  <c r="W524" i="17"/>
  <c r="W532" i="17"/>
  <c r="W305" i="17"/>
  <c r="W311" i="17"/>
  <c r="W507" i="17"/>
  <c r="W495" i="17"/>
  <c r="AG44" i="6"/>
  <c r="AC18" i="6"/>
  <c r="AQ7" i="6" s="1"/>
  <c r="AQ33" i="6" s="1"/>
  <c r="AG18" i="6"/>
  <c r="AQ8" i="6"/>
  <c r="AQ34" i="6" s="1"/>
  <c r="U14" i="6"/>
  <c r="V18" i="6"/>
  <c r="U18" i="6"/>
  <c r="Y18" i="6"/>
  <c r="Z18" i="6"/>
  <c r="T18" i="6"/>
  <c r="S18" i="6"/>
  <c r="X18" i="6"/>
  <c r="W361" i="17"/>
  <c r="W933" i="17"/>
  <c r="W930" i="17"/>
  <c r="W932" i="17"/>
  <c r="W931" i="17"/>
  <c r="W929" i="17"/>
  <c r="W922" i="17"/>
  <c r="W939" i="17"/>
  <c r="W928" i="17"/>
  <c r="W937" i="17"/>
  <c r="W940" i="17"/>
  <c r="W924" i="17"/>
  <c r="W926" i="17"/>
  <c r="W935" i="17"/>
  <c r="W925" i="17"/>
  <c r="W923" i="17"/>
  <c r="W934" i="17"/>
  <c r="W936" i="17"/>
  <c r="W941" i="17"/>
  <c r="W938" i="17"/>
  <c r="W927" i="17"/>
  <c r="W436" i="17"/>
  <c r="W439" i="17"/>
  <c r="W442" i="17"/>
  <c r="W446" i="17"/>
  <c r="W441" i="17"/>
  <c r="W438" i="17"/>
  <c r="W445" i="17"/>
  <c r="W453" i="17"/>
  <c r="W450" i="17"/>
  <c r="W448" i="17"/>
  <c r="W440" i="17"/>
  <c r="W444" i="17"/>
  <c r="W447" i="17"/>
  <c r="W437" i="17"/>
  <c r="W452" i="17"/>
  <c r="W451" i="17"/>
  <c r="W454" i="17"/>
  <c r="W443" i="17"/>
  <c r="W455" i="17"/>
  <c r="W449" i="17"/>
  <c r="W345" i="17"/>
  <c r="W347" i="17"/>
  <c r="W344" i="17"/>
  <c r="W343" i="17"/>
  <c r="W338" i="17"/>
  <c r="W334" i="17"/>
  <c r="W346" i="17"/>
  <c r="W341" i="17"/>
  <c r="W339" i="17"/>
  <c r="W336" i="17"/>
  <c r="W335" i="17"/>
  <c r="W330" i="17"/>
  <c r="W337" i="17"/>
  <c r="W333" i="17"/>
  <c r="W342" i="17"/>
  <c r="W332" i="17"/>
  <c r="W340" i="17"/>
  <c r="W329" i="17"/>
  <c r="W328" i="17"/>
  <c r="W1014" i="17"/>
  <c r="W1021" i="17"/>
  <c r="W1019" i="17"/>
  <c r="W1015" i="17"/>
  <c r="W1022" i="17"/>
  <c r="W1007" i="17"/>
  <c r="W1017" i="17"/>
  <c r="W1005" i="17"/>
  <c r="W1016" i="17"/>
  <c r="W1013" i="17"/>
  <c r="W1004" i="17"/>
  <c r="W1011" i="17"/>
  <c r="W1018" i="17"/>
  <c r="W1020" i="17"/>
  <c r="W1006" i="17"/>
  <c r="W1012" i="17"/>
  <c r="W1009" i="17"/>
  <c r="W1003" i="17"/>
  <c r="W1008" i="17"/>
  <c r="W1010" i="17"/>
  <c r="W359" i="17"/>
  <c r="W356" i="17"/>
  <c r="W589" i="17"/>
  <c r="W590" i="17"/>
  <c r="W571" i="17"/>
  <c r="W276" i="17"/>
  <c r="W277" i="17"/>
  <c r="W912" i="17"/>
  <c r="W901" i="17"/>
  <c r="W898" i="17"/>
  <c r="W905" i="17"/>
  <c r="W900" i="17"/>
  <c r="W897" i="17"/>
  <c r="W906" i="17"/>
  <c r="W895" i="17"/>
  <c r="W910" i="17"/>
  <c r="W913" i="17"/>
  <c r="W902" i="17"/>
  <c r="W911" i="17"/>
  <c r="W904" i="17"/>
  <c r="W903" i="17"/>
  <c r="W908" i="17"/>
  <c r="W909" i="17"/>
  <c r="W907" i="17"/>
  <c r="W914" i="17"/>
  <c r="W896" i="17"/>
  <c r="W899" i="17"/>
  <c r="W312" i="17"/>
  <c r="W313" i="17"/>
  <c r="W302" i="17"/>
  <c r="W491" i="17"/>
  <c r="W500" i="17"/>
  <c r="AG16" i="6"/>
  <c r="W231" i="17"/>
  <c r="W239" i="17"/>
  <c r="W232" i="17"/>
  <c r="W228" i="17"/>
  <c r="W220" i="17"/>
  <c r="W234" i="17"/>
  <c r="W237" i="17"/>
  <c r="W223" i="17"/>
  <c r="W226" i="17"/>
  <c r="W233" i="17"/>
  <c r="W227" i="17"/>
  <c r="W230" i="17"/>
  <c r="W238" i="17"/>
  <c r="W225" i="17"/>
  <c r="W235" i="17"/>
  <c r="W221" i="17"/>
  <c r="W222" i="17"/>
  <c r="W229" i="17"/>
  <c r="W224" i="17"/>
  <c r="W236" i="17"/>
  <c r="W331" i="17"/>
  <c r="W366" i="17"/>
  <c r="W357" i="17"/>
  <c r="W572" i="17"/>
  <c r="W577" i="17"/>
  <c r="W580" i="17"/>
  <c r="W287" i="17"/>
  <c r="W293" i="17"/>
  <c r="W600" i="17"/>
  <c r="W616" i="17"/>
  <c r="W605" i="17"/>
  <c r="W617" i="17"/>
  <c r="W607" i="17"/>
  <c r="W608" i="17"/>
  <c r="W599" i="17"/>
  <c r="W602" i="17"/>
  <c r="W611" i="17"/>
  <c r="W606" i="17"/>
  <c r="W613" i="17"/>
  <c r="W603" i="17"/>
  <c r="W612" i="17"/>
  <c r="W609" i="17"/>
  <c r="W615" i="17"/>
  <c r="W610" i="17"/>
  <c r="W601" i="17"/>
  <c r="W598" i="17"/>
  <c r="W614" i="17"/>
  <c r="W604" i="17"/>
  <c r="W846" i="17"/>
  <c r="W850" i="17"/>
  <c r="W859" i="17"/>
  <c r="W855" i="17"/>
  <c r="W848" i="17"/>
  <c r="W853" i="17"/>
  <c r="W858" i="17"/>
  <c r="W857" i="17"/>
  <c r="W844" i="17"/>
  <c r="W845" i="17"/>
  <c r="W849" i="17"/>
  <c r="W856" i="17"/>
  <c r="W851" i="17"/>
  <c r="W841" i="17"/>
  <c r="W843" i="17"/>
  <c r="W842" i="17"/>
  <c r="W860" i="17"/>
  <c r="W852" i="17"/>
  <c r="W847" i="17"/>
  <c r="W854" i="17"/>
  <c r="W303" i="17"/>
  <c r="W317" i="17"/>
  <c r="W503" i="17"/>
  <c r="W494" i="17"/>
  <c r="W509" i="17"/>
  <c r="Z10" i="6"/>
  <c r="W372" i="17"/>
  <c r="W365" i="17"/>
  <c r="W588" i="17"/>
  <c r="W578" i="17"/>
  <c r="W399" i="17"/>
  <c r="W389" i="17"/>
  <c r="W390" i="17"/>
  <c r="W384" i="17"/>
  <c r="W387" i="17"/>
  <c r="W396" i="17"/>
  <c r="W383" i="17"/>
  <c r="W392" i="17"/>
  <c r="W401" i="17"/>
  <c r="W393" i="17"/>
  <c r="W386" i="17"/>
  <c r="W382" i="17"/>
  <c r="W395" i="17"/>
  <c r="W400" i="17"/>
  <c r="W391" i="17"/>
  <c r="W394" i="17"/>
  <c r="W397" i="17"/>
  <c r="W388" i="17"/>
  <c r="W385" i="17"/>
  <c r="W398" i="17"/>
  <c r="W275" i="17"/>
  <c r="W284" i="17"/>
  <c r="W281" i="17"/>
  <c r="W833" i="17"/>
  <c r="W831" i="17"/>
  <c r="W820" i="17"/>
  <c r="W826" i="17"/>
  <c r="W830" i="17"/>
  <c r="W825" i="17"/>
  <c r="W814" i="17"/>
  <c r="W827" i="17"/>
  <c r="W824" i="17"/>
  <c r="W817" i="17"/>
  <c r="W832" i="17"/>
  <c r="W822" i="17"/>
  <c r="W815" i="17"/>
  <c r="W829" i="17"/>
  <c r="W821" i="17"/>
  <c r="W823" i="17"/>
  <c r="W816" i="17"/>
  <c r="W828" i="17"/>
  <c r="W818" i="17"/>
  <c r="W819" i="17"/>
  <c r="W657" i="17"/>
  <c r="W656" i="17"/>
  <c r="W662" i="17"/>
  <c r="W664" i="17"/>
  <c r="W654" i="17"/>
  <c r="W663" i="17"/>
  <c r="W670" i="17"/>
  <c r="W665" i="17"/>
  <c r="W669" i="17"/>
  <c r="W658" i="17"/>
  <c r="W667" i="17"/>
  <c r="W671" i="17"/>
  <c r="W652" i="17"/>
  <c r="W661" i="17"/>
  <c r="W659" i="17"/>
  <c r="W668" i="17"/>
  <c r="W660" i="17"/>
  <c r="W666" i="17"/>
  <c r="W653" i="17"/>
  <c r="W655" i="17"/>
  <c r="W118" i="17"/>
  <c r="W114" i="17"/>
  <c r="W126" i="17"/>
  <c r="W121" i="17"/>
  <c r="W129" i="17"/>
  <c r="W131" i="17"/>
  <c r="W127" i="17"/>
  <c r="W130" i="17"/>
  <c r="W125" i="17"/>
  <c r="W119" i="17"/>
  <c r="W128" i="17"/>
  <c r="W122" i="17"/>
  <c r="W115" i="17"/>
  <c r="W113" i="17"/>
  <c r="W117" i="17"/>
  <c r="W124" i="17"/>
  <c r="W120" i="17"/>
  <c r="W116" i="17"/>
  <c r="W112" i="17"/>
  <c r="W123" i="17"/>
  <c r="W722" i="17"/>
  <c r="W714" i="17"/>
  <c r="W715" i="17"/>
  <c r="W710" i="17"/>
  <c r="W709" i="17"/>
  <c r="W706" i="17"/>
  <c r="W707" i="17"/>
  <c r="W721" i="17"/>
  <c r="W716" i="17"/>
  <c r="W712" i="17"/>
  <c r="W708" i="17"/>
  <c r="W723" i="17"/>
  <c r="W713" i="17"/>
  <c r="W711" i="17"/>
  <c r="W718" i="17"/>
  <c r="W724" i="17"/>
  <c r="W720" i="17"/>
  <c r="W717" i="17"/>
  <c r="W719" i="17"/>
  <c r="W725" i="17"/>
  <c r="W309" i="17"/>
  <c r="W301" i="17"/>
  <c r="W490" i="17"/>
  <c r="W501" i="17"/>
  <c r="W492" i="17"/>
  <c r="T21" i="6"/>
  <c r="V21" i="6"/>
  <c r="Z21" i="6"/>
  <c r="Y21" i="6"/>
  <c r="U21" i="6"/>
  <c r="X21" i="6"/>
  <c r="S21" i="6"/>
  <c r="W981" i="17"/>
  <c r="W982" i="17"/>
  <c r="W991" i="17"/>
  <c r="W985" i="17"/>
  <c r="W978" i="17"/>
  <c r="W984" i="17"/>
  <c r="W979" i="17"/>
  <c r="W992" i="17"/>
  <c r="W994" i="17"/>
  <c r="W988" i="17"/>
  <c r="W986" i="17"/>
  <c r="W995" i="17"/>
  <c r="W983" i="17"/>
  <c r="W976" i="17"/>
  <c r="W987" i="17"/>
  <c r="W993" i="17"/>
  <c r="W990" i="17"/>
  <c r="W989" i="17"/>
  <c r="W977" i="17"/>
  <c r="W980" i="17"/>
  <c r="W90" i="17"/>
  <c r="W101" i="17"/>
  <c r="W93" i="17"/>
  <c r="W96" i="17"/>
  <c r="W88" i="17"/>
  <c r="W97" i="17"/>
  <c r="W92" i="17"/>
  <c r="W103" i="17"/>
  <c r="W99" i="17"/>
  <c r="W91" i="17"/>
  <c r="W87" i="17"/>
  <c r="W85" i="17"/>
  <c r="W104" i="17"/>
  <c r="W100" i="17"/>
  <c r="W98" i="17"/>
  <c r="W95" i="17"/>
  <c r="W86" i="17"/>
  <c r="W102" i="17"/>
  <c r="W89" i="17"/>
  <c r="W94" i="17"/>
  <c r="W373" i="17"/>
  <c r="W360" i="17"/>
  <c r="W585" i="17"/>
  <c r="W575" i="17"/>
  <c r="W279" i="17"/>
  <c r="W274" i="17"/>
  <c r="W278" i="17"/>
  <c r="W306" i="17"/>
  <c r="W315" i="17"/>
  <c r="W497" i="17"/>
  <c r="W508" i="17"/>
  <c r="AY8" i="6"/>
  <c r="AY34" i="6" s="1"/>
  <c r="AG52" i="6"/>
  <c r="AC26" i="6"/>
  <c r="AY7" i="6" s="1"/>
  <c r="AY33" i="6" s="1"/>
  <c r="AG26" i="6"/>
  <c r="W358" i="17"/>
  <c r="W584" i="17"/>
  <c r="W778" i="17"/>
  <c r="W771" i="17"/>
  <c r="W760" i="17"/>
  <c r="W761" i="17"/>
  <c r="W762" i="17"/>
  <c r="W773" i="17"/>
  <c r="W775" i="17"/>
  <c r="W764" i="17"/>
  <c r="W763" i="17"/>
  <c r="W766" i="17"/>
  <c r="W779" i="17"/>
  <c r="W770" i="17"/>
  <c r="W768" i="17"/>
  <c r="W767" i="17"/>
  <c r="W774" i="17"/>
  <c r="W769" i="17"/>
  <c r="W765" i="17"/>
  <c r="W777" i="17"/>
  <c r="W776" i="17"/>
  <c r="W772" i="17"/>
  <c r="W636" i="17"/>
  <c r="W644" i="17"/>
  <c r="W639" i="17"/>
  <c r="W632" i="17"/>
  <c r="W635" i="17"/>
  <c r="W638" i="17"/>
  <c r="W625" i="17"/>
  <c r="W631" i="17"/>
  <c r="W628" i="17"/>
  <c r="W643" i="17"/>
  <c r="W642" i="17"/>
  <c r="W637" i="17"/>
  <c r="W630" i="17"/>
  <c r="W640" i="17"/>
  <c r="W627" i="17"/>
  <c r="W626" i="17"/>
  <c r="W633" i="17"/>
  <c r="W629" i="17"/>
  <c r="W641" i="17"/>
  <c r="W634" i="17"/>
  <c r="W292" i="17"/>
  <c r="W280" i="17"/>
  <c r="W153" i="17"/>
  <c r="W141" i="17"/>
  <c r="W139" i="17"/>
  <c r="W145" i="17"/>
  <c r="W148" i="17"/>
  <c r="W147" i="17"/>
  <c r="W144" i="17"/>
  <c r="W156" i="17"/>
  <c r="W157" i="17"/>
  <c r="W154" i="17"/>
  <c r="W158" i="17"/>
  <c r="W149" i="17"/>
  <c r="W140" i="17"/>
  <c r="W151" i="17"/>
  <c r="W155" i="17"/>
  <c r="W146" i="17"/>
  <c r="W150" i="17"/>
  <c r="W142" i="17"/>
  <c r="W152" i="17"/>
  <c r="W143" i="17"/>
  <c r="W563" i="17"/>
  <c r="W552" i="17"/>
  <c r="W554" i="17"/>
  <c r="W551" i="17"/>
  <c r="W560" i="17"/>
  <c r="W544" i="17"/>
  <c r="W562" i="17"/>
  <c r="W547" i="17"/>
  <c r="W557" i="17"/>
  <c r="W556" i="17"/>
  <c r="W559" i="17"/>
  <c r="W549" i="17"/>
  <c r="W546" i="17"/>
  <c r="W545" i="17"/>
  <c r="W555" i="17"/>
  <c r="W558" i="17"/>
  <c r="W553" i="17"/>
  <c r="W561" i="17"/>
  <c r="W550" i="17"/>
  <c r="W548" i="17"/>
  <c r="W22" i="17"/>
  <c r="W9" i="17"/>
  <c r="W10" i="17"/>
  <c r="W17" i="17"/>
  <c r="W23" i="17"/>
  <c r="W5" i="17"/>
  <c r="W12" i="17"/>
  <c r="W20" i="17"/>
  <c r="W16" i="17"/>
  <c r="W18" i="17"/>
  <c r="W4" i="17"/>
  <c r="W15" i="17"/>
  <c r="W8" i="17"/>
  <c r="W14" i="17"/>
  <c r="W13" i="17"/>
  <c r="W19" i="17"/>
  <c r="W7" i="17"/>
  <c r="W6" i="17"/>
  <c r="W11" i="17"/>
  <c r="W21" i="17"/>
  <c r="V5" i="17"/>
  <c r="W415" i="17"/>
  <c r="W411" i="17"/>
  <c r="W424" i="17"/>
  <c r="W421" i="17"/>
  <c r="W414" i="17"/>
  <c r="W426" i="17"/>
  <c r="W413" i="17"/>
  <c r="W425" i="17"/>
  <c r="W427" i="17"/>
  <c r="W410" i="17"/>
  <c r="W420" i="17"/>
  <c r="W417" i="17"/>
  <c r="W412" i="17"/>
  <c r="W423" i="17"/>
  <c r="W428" i="17"/>
  <c r="W422" i="17"/>
  <c r="W418" i="17"/>
  <c r="W416" i="17"/>
  <c r="W409" i="17"/>
  <c r="W419" i="17"/>
  <c r="W320" i="17"/>
  <c r="W496" i="17"/>
  <c r="W502" i="17"/>
  <c r="Y14" i="6" l="1"/>
  <c r="Y24" i="6"/>
  <c r="AG15" i="6"/>
  <c r="U24" i="6"/>
  <c r="V10" i="6"/>
  <c r="Y10" i="6"/>
  <c r="AO8" i="6"/>
  <c r="AO34" i="6" s="1"/>
  <c r="AG43" i="6"/>
  <c r="Y11" i="6"/>
  <c r="P11" i="6"/>
  <c r="AF10" i="6"/>
  <c r="AL8" i="6"/>
  <c r="AL34" i="6" s="1"/>
  <c r="U17" i="6"/>
  <c r="X17" i="6"/>
  <c r="Z24" i="6"/>
  <c r="AN8" i="6"/>
  <c r="AN34" i="6" s="1"/>
  <c r="U10" i="6"/>
  <c r="V17" i="6"/>
  <c r="S24" i="6"/>
  <c r="AG25" i="6"/>
  <c r="AC15" i="6"/>
  <c r="AN7" i="6" s="1"/>
  <c r="AN33" i="6" s="1"/>
  <c r="T10" i="6"/>
  <c r="T17" i="6"/>
  <c r="X24" i="6"/>
  <c r="AC25" i="6"/>
  <c r="AX7" i="6" s="1"/>
  <c r="AX33" i="6" s="1"/>
  <c r="X10" i="6"/>
  <c r="Y17" i="6"/>
  <c r="Z17" i="6"/>
  <c r="T24" i="6"/>
  <c r="AG51" i="6"/>
  <c r="AC16" i="6"/>
  <c r="AO7" i="6" s="1"/>
  <c r="AO33" i="6" s="1"/>
  <c r="S19" i="6"/>
  <c r="AC20" i="6"/>
  <c r="AS7" i="6" s="1"/>
  <c r="AS33" i="6" s="1"/>
  <c r="AG23" i="6"/>
  <c r="T20" i="6"/>
  <c r="AG20" i="6"/>
  <c r="V19" i="6"/>
  <c r="U20" i="6"/>
  <c r="AG46" i="6"/>
  <c r="AV8" i="6"/>
  <c r="AV34" i="6" s="1"/>
  <c r="Y19" i="6"/>
  <c r="X20" i="6"/>
  <c r="Y25" i="6"/>
  <c r="AG49" i="6"/>
  <c r="X19" i="6"/>
  <c r="Y20" i="6"/>
  <c r="U25" i="6"/>
  <c r="Z20" i="6"/>
  <c r="Z12" i="6"/>
  <c r="Z19" i="6"/>
  <c r="T12" i="6"/>
  <c r="U19" i="6"/>
  <c r="V20" i="6"/>
  <c r="AC10" i="6"/>
  <c r="AI7" i="6" s="1"/>
  <c r="AI33" i="6" s="1"/>
  <c r="AM8" i="6"/>
  <c r="AM34" i="6" s="1"/>
  <c r="V15" i="6"/>
  <c r="AG36" i="6"/>
  <c r="V16" i="6"/>
  <c r="AG40" i="6"/>
  <c r="U15" i="6"/>
  <c r="Z16" i="6"/>
  <c r="AC14" i="6"/>
  <c r="AM7" i="6" s="1"/>
  <c r="AM33" i="6" s="1"/>
  <c r="T15" i="6"/>
  <c r="S16" i="6"/>
  <c r="X15" i="6"/>
  <c r="U16" i="6"/>
  <c r="S15" i="6"/>
  <c r="T16" i="6"/>
  <c r="Z15" i="6"/>
  <c r="AG10" i="6"/>
  <c r="Y16" i="6"/>
  <c r="T14" i="6"/>
  <c r="Z14" i="6"/>
  <c r="V14" i="6"/>
  <c r="X14" i="6"/>
  <c r="S13" i="6"/>
  <c r="AG27" i="6"/>
  <c r="S27" i="6"/>
  <c r="AG22" i="6"/>
  <c r="AZ8" i="6"/>
  <c r="AZ34" i="6" s="1"/>
  <c r="U13" i="6"/>
  <c r="AC27" i="6"/>
  <c r="AZ7" i="6" s="1"/>
  <c r="AZ33" i="6" s="1"/>
  <c r="Z13" i="6"/>
  <c r="X13" i="6"/>
  <c r="T13" i="6"/>
  <c r="V13" i="6"/>
  <c r="U23" i="6"/>
  <c r="T22" i="6"/>
  <c r="T9" i="6"/>
  <c r="AC12" i="6"/>
  <c r="AK7" i="6" s="1"/>
  <c r="AK33" i="6" s="1"/>
  <c r="AG12" i="6"/>
  <c r="AK8" i="6"/>
  <c r="AK53" i="6" s="1"/>
  <c r="AU34" i="6"/>
  <c r="AU36" i="6"/>
  <c r="AU51" i="6"/>
  <c r="AU25" i="6"/>
  <c r="AU10" i="6"/>
  <c r="AU46" i="6"/>
  <c r="AU52" i="6"/>
  <c r="AU26" i="6"/>
  <c r="V9" i="6"/>
  <c r="Y27" i="6"/>
  <c r="Y23" i="6"/>
  <c r="Y28" i="6"/>
  <c r="S22" i="6"/>
  <c r="Z9" i="6"/>
  <c r="Z27" i="6"/>
  <c r="X23" i="6"/>
  <c r="T28" i="6"/>
  <c r="Y9" i="6"/>
  <c r="U27" i="6"/>
  <c r="Z23" i="6"/>
  <c r="S28" i="6"/>
  <c r="Z22" i="6"/>
  <c r="S9" i="6"/>
  <c r="X27" i="6"/>
  <c r="U28" i="6"/>
  <c r="U22" i="6"/>
  <c r="T27" i="6"/>
  <c r="AG48" i="6"/>
  <c r="V23" i="6"/>
  <c r="X28" i="6"/>
  <c r="Y22" i="6"/>
  <c r="U9" i="6"/>
  <c r="AC22" i="6"/>
  <c r="AU7" i="6" s="1"/>
  <c r="AU33" i="6" s="1"/>
  <c r="T23" i="6"/>
  <c r="V28" i="6"/>
  <c r="X22" i="6"/>
  <c r="AJ8" i="6"/>
  <c r="AJ34" i="6" s="1"/>
  <c r="S11" i="6"/>
  <c r="AG17" i="6"/>
  <c r="AG11" i="6"/>
  <c r="T11" i="6"/>
  <c r="AG37" i="6"/>
  <c r="V11" i="6"/>
  <c r="X11" i="6"/>
  <c r="U11" i="6"/>
  <c r="AP8" i="6"/>
  <c r="AP34" i="6" s="1"/>
  <c r="AU24" i="6"/>
  <c r="AG50" i="6"/>
  <c r="AC24" i="6"/>
  <c r="AW7" i="6" s="1"/>
  <c r="AW33" i="6" s="1"/>
  <c r="AG24" i="6"/>
  <c r="AG19" i="6"/>
  <c r="AG13" i="6"/>
  <c r="AG9" i="6"/>
  <c r="AG28" i="6"/>
  <c r="AC13" i="6"/>
  <c r="AL7" i="6" s="1"/>
  <c r="AL33" i="6" s="1"/>
  <c r="AU45" i="6"/>
  <c r="AG45" i="6"/>
  <c r="AC19" i="6"/>
  <c r="AR7" i="6" s="1"/>
  <c r="AR33" i="6" s="1"/>
  <c r="AG35" i="6"/>
  <c r="AC28" i="6"/>
  <c r="BA7" i="6" s="1"/>
  <c r="BA33" i="6" s="1"/>
  <c r="AH8" i="6"/>
  <c r="AH34" i="6" s="1"/>
  <c r="BA8" i="6"/>
  <c r="BA34" i="6" s="1"/>
  <c r="V25" i="6"/>
  <c r="X12" i="6"/>
  <c r="S25" i="6"/>
  <c r="V12" i="6"/>
  <c r="S12" i="6"/>
  <c r="Z25" i="6"/>
  <c r="U12" i="6"/>
  <c r="X25" i="6"/>
  <c r="AK42" i="6"/>
  <c r="X760" i="17"/>
  <c r="Y760" i="17" s="1"/>
  <c r="AQ36" i="6"/>
  <c r="AU19" i="6"/>
  <c r="AQ10" i="6"/>
  <c r="AQ26" i="6"/>
  <c r="AT26" i="6"/>
  <c r="AQ51" i="6"/>
  <c r="AQ19" i="6"/>
  <c r="AU20" i="6"/>
  <c r="AU41" i="6"/>
  <c r="AU42" i="6"/>
  <c r="AQ15" i="6"/>
  <c r="AQ23" i="6"/>
  <c r="AU27" i="6"/>
  <c r="AU50" i="6"/>
  <c r="AU53" i="6"/>
  <c r="AT52" i="6"/>
  <c r="AT53" i="6"/>
  <c r="AT46" i="6"/>
  <c r="AT13" i="6"/>
  <c r="AT23" i="6"/>
  <c r="AR36" i="6"/>
  <c r="AU15" i="6"/>
  <c r="AT36" i="6"/>
  <c r="AT39" i="6"/>
  <c r="AT28" i="6"/>
  <c r="AT41" i="6"/>
  <c r="AT16" i="6"/>
  <c r="AT14" i="6"/>
  <c r="AT54" i="6"/>
  <c r="AT17" i="6"/>
  <c r="AT45" i="6"/>
  <c r="AT25" i="6"/>
  <c r="AS25" i="6"/>
  <c r="AT19" i="6"/>
  <c r="AT24" i="6"/>
  <c r="AT44" i="6"/>
  <c r="AT40" i="6"/>
  <c r="AT9" i="6"/>
  <c r="AT20" i="6"/>
  <c r="AU16" i="6"/>
  <c r="AU49" i="6"/>
  <c r="AT22" i="6"/>
  <c r="AQ48" i="6"/>
  <c r="AT18" i="6"/>
  <c r="AT35" i="6"/>
  <c r="AT42" i="6"/>
  <c r="AT38" i="6"/>
  <c r="AT10" i="6"/>
  <c r="AT51" i="6"/>
  <c r="AT50" i="6"/>
  <c r="AT27" i="6"/>
  <c r="AT15" i="6"/>
  <c r="AT49" i="6"/>
  <c r="AT48" i="6"/>
  <c r="AT12" i="6"/>
  <c r="X706" i="17"/>
  <c r="Y706" i="17" s="1"/>
  <c r="X895" i="17"/>
  <c r="Y895" i="17" s="1"/>
  <c r="AR26" i="6"/>
  <c r="BA13" i="6"/>
  <c r="AT43" i="6"/>
  <c r="X814" i="17"/>
  <c r="Y814" i="17" s="1"/>
  <c r="AW19" i="6"/>
  <c r="AW20" i="6"/>
  <c r="AL41" i="6"/>
  <c r="AW45" i="6"/>
  <c r="AW46" i="6"/>
  <c r="AW52" i="6"/>
  <c r="AL20" i="6"/>
  <c r="AW25" i="6"/>
  <c r="AR52" i="6"/>
  <c r="AW36" i="6"/>
  <c r="AW10" i="6"/>
  <c r="AR51" i="6"/>
  <c r="AX26" i="6"/>
  <c r="AK51" i="6"/>
  <c r="AK24" i="6"/>
  <c r="AK27" i="6"/>
  <c r="AQ16" i="6"/>
  <c r="AP44" i="6"/>
  <c r="AQ45" i="6"/>
  <c r="AQ27" i="6"/>
  <c r="AK15" i="6"/>
  <c r="AX10" i="6"/>
  <c r="AS10" i="6"/>
  <c r="AK26" i="6"/>
  <c r="AS52" i="6"/>
  <c r="AW26" i="6"/>
  <c r="AQ52" i="6"/>
  <c r="AX36" i="6"/>
  <c r="AW51" i="6"/>
  <c r="AQ25" i="6"/>
  <c r="AQ50" i="6"/>
  <c r="AP23" i="6"/>
  <c r="AS26" i="6"/>
  <c r="AK25" i="6"/>
  <c r="AK36" i="6"/>
  <c r="AS51" i="6"/>
  <c r="AK50" i="6"/>
  <c r="AK41" i="6"/>
  <c r="AK23" i="6"/>
  <c r="AK48" i="6"/>
  <c r="AK45" i="6"/>
  <c r="AK20" i="6"/>
  <c r="AQ41" i="6"/>
  <c r="AX52" i="6"/>
  <c r="AK52" i="6"/>
  <c r="AK10" i="6"/>
  <c r="X976" i="17"/>
  <c r="Y976" i="17" s="1"/>
  <c r="AK19" i="6"/>
  <c r="AQ46" i="6"/>
  <c r="AQ20" i="6"/>
  <c r="AQ24" i="6"/>
  <c r="AQ53" i="6"/>
  <c r="AQ42" i="6"/>
  <c r="AQ49" i="6"/>
  <c r="AL45" i="6"/>
  <c r="AL46" i="6"/>
  <c r="AL24" i="6"/>
  <c r="AL18" i="6"/>
  <c r="AL15" i="6"/>
  <c r="AL23" i="6"/>
  <c r="AL22" i="6"/>
  <c r="AL26" i="6"/>
  <c r="AL10" i="6"/>
  <c r="AL50" i="6"/>
  <c r="AL27" i="6"/>
  <c r="AL42" i="6"/>
  <c r="AL49" i="6"/>
  <c r="AL25" i="6"/>
  <c r="AL19" i="6"/>
  <c r="AL38" i="6"/>
  <c r="AL52" i="6"/>
  <c r="AL36" i="6"/>
  <c r="AL51" i="6"/>
  <c r="AL53" i="6"/>
  <c r="AL16" i="6"/>
  <c r="AU23" i="6"/>
  <c r="AQ22" i="6"/>
  <c r="AL48" i="6"/>
  <c r="AL12" i="6"/>
  <c r="AL44" i="6"/>
  <c r="AL14" i="6"/>
  <c r="AQ12" i="6"/>
  <c r="AL35" i="6"/>
  <c r="AS19" i="6"/>
  <c r="AU12" i="6"/>
  <c r="AX19" i="6"/>
  <c r="AS45" i="6"/>
  <c r="AU38" i="6"/>
  <c r="AL40" i="6"/>
  <c r="AL28" i="6"/>
  <c r="AI51" i="6"/>
  <c r="AI26" i="6"/>
  <c r="AQ38" i="6"/>
  <c r="AI20" i="6"/>
  <c r="AI24" i="6"/>
  <c r="AI45" i="6"/>
  <c r="AW27" i="6"/>
  <c r="AI19" i="6"/>
  <c r="AR50" i="6"/>
  <c r="AI52" i="6"/>
  <c r="AX45" i="6"/>
  <c r="AX20" i="6"/>
  <c r="AL9" i="6"/>
  <c r="AR46" i="6"/>
  <c r="X652" i="17"/>
  <c r="Y652" i="17" s="1"/>
  <c r="AS24" i="6"/>
  <c r="AY24" i="6"/>
  <c r="AR53" i="6"/>
  <c r="AR27" i="6"/>
  <c r="AY16" i="6"/>
  <c r="AS42" i="6"/>
  <c r="AS49" i="6"/>
  <c r="AY49" i="6"/>
  <c r="AI22" i="6"/>
  <c r="AR48" i="6"/>
  <c r="AI12" i="6"/>
  <c r="AX44" i="6"/>
  <c r="AR44" i="6"/>
  <c r="AI40" i="6"/>
  <c r="AX39" i="6"/>
  <c r="AS13" i="6"/>
  <c r="AW39" i="6"/>
  <c r="AX9" i="6"/>
  <c r="AR35" i="6"/>
  <c r="AS35" i="6"/>
  <c r="AL54" i="6"/>
  <c r="AX17" i="6"/>
  <c r="AL17" i="6"/>
  <c r="AI47" i="6"/>
  <c r="AS21" i="6"/>
  <c r="AU21" i="6"/>
  <c r="AI37" i="6"/>
  <c r="AT37" i="6"/>
  <c r="AW11" i="6"/>
  <c r="V6" i="17"/>
  <c r="V7" i="17" s="1"/>
  <c r="V8" i="17" s="1"/>
  <c r="AS36" i="6"/>
  <c r="AR10" i="6"/>
  <c r="AI25" i="6"/>
  <c r="AR25" i="6"/>
  <c r="AY51" i="6"/>
  <c r="AI50" i="6"/>
  <c r="AX53" i="6"/>
  <c r="AS53" i="6"/>
  <c r="AW41" i="6"/>
  <c r="AX42" i="6"/>
  <c r="AK22" i="6"/>
  <c r="X922" i="17"/>
  <c r="Y922" i="17" s="1"/>
  <c r="AN38" i="6"/>
  <c r="AW38" i="6"/>
  <c r="AX18" i="6"/>
  <c r="AS44" i="6"/>
  <c r="AK44" i="6"/>
  <c r="AW18" i="6"/>
  <c r="X787" i="17"/>
  <c r="Y787" i="17" s="1"/>
  <c r="AX14" i="6"/>
  <c r="AW40" i="6"/>
  <c r="AU40" i="6"/>
  <c r="AY13" i="6"/>
  <c r="AX13" i="6"/>
  <c r="AR39" i="6"/>
  <c r="X733" i="17"/>
  <c r="Y733" i="17" s="1"/>
  <c r="AS9" i="6"/>
  <c r="AR9" i="6"/>
  <c r="AQ28" i="6"/>
  <c r="AS28" i="6"/>
  <c r="AR28" i="6"/>
  <c r="AX43" i="6"/>
  <c r="AS17" i="6"/>
  <c r="AQ17" i="6"/>
  <c r="AX21" i="6"/>
  <c r="AK47" i="6"/>
  <c r="AR47" i="6"/>
  <c r="AW37" i="6"/>
  <c r="AR37" i="6"/>
  <c r="AY10" i="6"/>
  <c r="AX50" i="6"/>
  <c r="AW53" i="6"/>
  <c r="AR15" i="6"/>
  <c r="AW16" i="6"/>
  <c r="AR42" i="6"/>
  <c r="AX49" i="6"/>
  <c r="AY23" i="6"/>
  <c r="AX48" i="6"/>
  <c r="X1003" i="17"/>
  <c r="Y1003" i="17" s="1"/>
  <c r="AY38" i="6"/>
  <c r="AU18" i="6"/>
  <c r="AU44" i="6"/>
  <c r="AY40" i="6"/>
  <c r="AR14" i="6"/>
  <c r="AY14" i="6"/>
  <c r="AY39" i="6"/>
  <c r="AK13" i="6"/>
  <c r="AU35" i="6"/>
  <c r="AK35" i="6"/>
  <c r="AY54" i="6"/>
  <c r="AU54" i="6"/>
  <c r="AQ54" i="6"/>
  <c r="AU43" i="6"/>
  <c r="AS47" i="6"/>
  <c r="AQ47" i="6"/>
  <c r="AY21" i="6"/>
  <c r="AR21" i="6"/>
  <c r="AX37" i="6"/>
  <c r="AY37" i="6"/>
  <c r="AY46" i="6"/>
  <c r="AS27" i="6"/>
  <c r="AY41" i="6"/>
  <c r="AY15" i="6"/>
  <c r="AI16" i="6"/>
  <c r="AI42" i="6"/>
  <c r="AR23" i="6"/>
  <c r="AR49" i="6"/>
  <c r="AI48" i="6"/>
  <c r="AW12" i="6"/>
  <c r="AS12" i="6"/>
  <c r="AX38" i="6"/>
  <c r="AI44" i="6"/>
  <c r="AW44" i="6"/>
  <c r="AY18" i="6"/>
  <c r="AK40" i="6"/>
  <c r="AI39" i="6"/>
  <c r="AU13" i="6"/>
  <c r="AW9" i="6"/>
  <c r="AQ9" i="6"/>
  <c r="AY9" i="6"/>
  <c r="AY28" i="6"/>
  <c r="AK54" i="6"/>
  <c r="AS43" i="6"/>
  <c r="AW17" i="6"/>
  <c r="AY43" i="6"/>
  <c r="AW21" i="6"/>
  <c r="AU47" i="6"/>
  <c r="AI21" i="6"/>
  <c r="AL21" i="6"/>
  <c r="AU37" i="6"/>
  <c r="AU11" i="6"/>
  <c r="AL37" i="6"/>
  <c r="AQ37" i="6"/>
  <c r="AS50" i="6"/>
  <c r="AW15" i="6"/>
  <c r="AX15" i="6"/>
  <c r="AF11" i="6"/>
  <c r="AF37" i="6"/>
  <c r="AI23" i="6"/>
  <c r="AW49" i="6"/>
  <c r="AW48" i="6"/>
  <c r="AY12" i="6"/>
  <c r="AK18" i="6"/>
  <c r="X949" i="17"/>
  <c r="Y949" i="17" s="1"/>
  <c r="AR40" i="6"/>
  <c r="AN40" i="6"/>
  <c r="AK14" i="6"/>
  <c r="AQ13" i="6"/>
  <c r="AX35" i="6"/>
  <c r="AK9" i="6"/>
  <c r="AI9" i="6"/>
  <c r="AI28" i="6"/>
  <c r="AR54" i="6"/>
  <c r="AW54" i="6"/>
  <c r="AK17" i="6"/>
  <c r="AY17" i="6"/>
  <c r="AQ21" i="6"/>
  <c r="AL47" i="6"/>
  <c r="AK37" i="6"/>
  <c r="AQ11" i="6"/>
  <c r="AL11" i="6"/>
  <c r="V33" i="17"/>
  <c r="V34" i="17" s="1"/>
  <c r="AY25" i="6"/>
  <c r="AY20" i="6"/>
  <c r="AX27" i="6"/>
  <c r="AI53" i="6"/>
  <c r="AI41" i="6"/>
  <c r="AX41" i="6"/>
  <c r="AY42" i="6"/>
  <c r="AR16" i="6"/>
  <c r="AS23" i="6"/>
  <c r="AS22" i="6"/>
  <c r="AY48" i="6"/>
  <c r="AW22" i="6"/>
  <c r="AI38" i="6"/>
  <c r="AS38" i="6"/>
  <c r="AR18" i="6"/>
  <c r="AU14" i="6"/>
  <c r="AI14" i="6"/>
  <c r="AI13" i="6"/>
  <c r="AU39" i="6"/>
  <c r="AQ35" i="6"/>
  <c r="AY35" i="6"/>
  <c r="AX28" i="6"/>
  <c r="AI54" i="6"/>
  <c r="AW28" i="6"/>
  <c r="AI43" i="6"/>
  <c r="AR17" i="6"/>
  <c r="AR43" i="6"/>
  <c r="X679" i="17"/>
  <c r="Y679" i="17" s="1"/>
  <c r="AX47" i="6"/>
  <c r="AT11" i="6"/>
  <c r="AY11" i="6"/>
  <c r="AS37" i="6"/>
  <c r="AY45" i="6"/>
  <c r="AI46" i="6"/>
  <c r="AX24" i="6"/>
  <c r="AR24" i="6"/>
  <c r="AY50" i="6"/>
  <c r="AI27" i="6"/>
  <c r="AY27" i="6"/>
  <c r="AS41" i="6"/>
  <c r="AI15" i="6"/>
  <c r="AR41" i="6"/>
  <c r="AW42" i="6"/>
  <c r="AX16" i="6"/>
  <c r="AK16" i="6"/>
  <c r="AW23" i="6"/>
  <c r="AS48" i="6"/>
  <c r="AY22" i="6"/>
  <c r="AR12" i="6"/>
  <c r="AZ44" i="6"/>
  <c r="AY44" i="6"/>
  <c r="AQ14" i="6"/>
  <c r="AS40" i="6"/>
  <c r="AS14" i="6"/>
  <c r="AK39" i="6"/>
  <c r="AQ39" i="6"/>
  <c r="AZ13" i="6"/>
  <c r="X868" i="17"/>
  <c r="Y868" i="17" s="1"/>
  <c r="AW35" i="6"/>
  <c r="AS54" i="6"/>
  <c r="AK28" i="6"/>
  <c r="AU28" i="6"/>
  <c r="AK43" i="6"/>
  <c r="AU17" i="6"/>
  <c r="AQ43" i="6"/>
  <c r="AL43" i="6"/>
  <c r="AW47" i="6"/>
  <c r="AK21" i="6"/>
  <c r="AK11" i="6"/>
  <c r="AR11" i="6"/>
  <c r="AI11" i="6"/>
  <c r="AY36" i="6"/>
  <c r="AY19" i="6"/>
  <c r="AX46" i="6"/>
  <c r="AR20" i="6"/>
  <c r="AY53" i="6"/>
  <c r="AS15" i="6"/>
  <c r="X841" i="17"/>
  <c r="Y841" i="17" s="1"/>
  <c r="AS16" i="6"/>
  <c r="AI49" i="6"/>
  <c r="AX23" i="6"/>
  <c r="AX22" i="6"/>
  <c r="AR22" i="6"/>
  <c r="AR38" i="6"/>
  <c r="AX12" i="6"/>
  <c r="AS18" i="6"/>
  <c r="AI18" i="6"/>
  <c r="AW14" i="6"/>
  <c r="AQ40" i="6"/>
  <c r="AX40" i="6"/>
  <c r="AW13" i="6"/>
  <c r="AN39" i="6"/>
  <c r="AS39" i="6"/>
  <c r="AR13" i="6"/>
  <c r="AI35" i="6"/>
  <c r="AU9" i="6"/>
  <c r="AX54" i="6"/>
  <c r="AN54" i="6"/>
  <c r="AI17" i="6"/>
  <c r="AW43" i="6"/>
  <c r="AN43" i="6"/>
  <c r="AY47" i="6"/>
  <c r="AX11" i="6"/>
  <c r="AS11" i="6"/>
  <c r="P12" i="6"/>
  <c r="AO18" i="6" l="1"/>
  <c r="AM17" i="6"/>
  <c r="AM9" i="6"/>
  <c r="AM46" i="6"/>
  <c r="AM35" i="6"/>
  <c r="AO14" i="6"/>
  <c r="AO43" i="6"/>
  <c r="AO54" i="6"/>
  <c r="AM11" i="6"/>
  <c r="AO37" i="6"/>
  <c r="AO38" i="6"/>
  <c r="AM47" i="6"/>
  <c r="AO10" i="6"/>
  <c r="AO49" i="6"/>
  <c r="AM28" i="6"/>
  <c r="AO13" i="6"/>
  <c r="AO11" i="6"/>
  <c r="AO23" i="6"/>
  <c r="AO9" i="6"/>
  <c r="AO44" i="6"/>
  <c r="AO47" i="6"/>
  <c r="AO15" i="6"/>
  <c r="AO51" i="6"/>
  <c r="AO27" i="6"/>
  <c r="AO48" i="6"/>
  <c r="AO41" i="6"/>
  <c r="AM20" i="6"/>
  <c r="AO39" i="6"/>
  <c r="AM18" i="6"/>
  <c r="AM21" i="6"/>
  <c r="AO24" i="6"/>
  <c r="AM37" i="6"/>
  <c r="AM13" i="6"/>
  <c r="AM26" i="6"/>
  <c r="AO22" i="6"/>
  <c r="AM39" i="6"/>
  <c r="AO21" i="6"/>
  <c r="AM22" i="6"/>
  <c r="AM23" i="6"/>
  <c r="AO53" i="6"/>
  <c r="AO45" i="6"/>
  <c r="AO20" i="6"/>
  <c r="AO46" i="6"/>
  <c r="AO52" i="6"/>
  <c r="AM43" i="6"/>
  <c r="AO19" i="6"/>
  <c r="AO50" i="6"/>
  <c r="AO25" i="6"/>
  <c r="AO26" i="6"/>
  <c r="AO17" i="6"/>
  <c r="AM54" i="6"/>
  <c r="AO40" i="6"/>
  <c r="AO35" i="6"/>
  <c r="AO12" i="6"/>
  <c r="AO28" i="6"/>
  <c r="AM42" i="6"/>
  <c r="AO36" i="6"/>
  <c r="AN52" i="6"/>
  <c r="AM38" i="6"/>
  <c r="AM27" i="6"/>
  <c r="AM15" i="6"/>
  <c r="AM50" i="6"/>
  <c r="AM41" i="6"/>
  <c r="AM19" i="6"/>
  <c r="AM24" i="6"/>
  <c r="AM51" i="6"/>
  <c r="AM10" i="6"/>
  <c r="AM25" i="6"/>
  <c r="AM53" i="6"/>
  <c r="AM16" i="6"/>
  <c r="AM52" i="6"/>
  <c r="AM12" i="6"/>
  <c r="AM36" i="6"/>
  <c r="AM49" i="6"/>
  <c r="AM48" i="6"/>
  <c r="AM44" i="6"/>
  <c r="AM45" i="6"/>
  <c r="AN50" i="6"/>
  <c r="AV46" i="6"/>
  <c r="AN45" i="6"/>
  <c r="AN24" i="6"/>
  <c r="AZ46" i="6"/>
  <c r="AN17" i="6"/>
  <c r="AN18" i="6"/>
  <c r="AN12" i="6"/>
  <c r="AN9" i="6"/>
  <c r="AN16" i="6"/>
  <c r="AZ41" i="6"/>
  <c r="AN36" i="6"/>
  <c r="AN51" i="6"/>
  <c r="AH21" i="6"/>
  <c r="AH36" i="6"/>
  <c r="AN47" i="6"/>
  <c r="AN42" i="6"/>
  <c r="AH28" i="6"/>
  <c r="AN23" i="6"/>
  <c r="AV39" i="6"/>
  <c r="AN37" i="6"/>
  <c r="AH17" i="6"/>
  <c r="AN35" i="6"/>
  <c r="AZ48" i="6"/>
  <c r="AN49" i="6"/>
  <c r="AJ39" i="6"/>
  <c r="AN19" i="6"/>
  <c r="AV53" i="6"/>
  <c r="AH47" i="6"/>
  <c r="AH11" i="6"/>
  <c r="AN27" i="6"/>
  <c r="AN14" i="6"/>
  <c r="AV21" i="6"/>
  <c r="AZ19" i="6"/>
  <c r="AJ20" i="6"/>
  <c r="AN46" i="6"/>
  <c r="AN10" i="6"/>
  <c r="AV54" i="6"/>
  <c r="AN21" i="6"/>
  <c r="AN48" i="6"/>
  <c r="AN28" i="6"/>
  <c r="AN13" i="6"/>
  <c r="AN25" i="6"/>
  <c r="AN26" i="6"/>
  <c r="AN22" i="6"/>
  <c r="AH44" i="6"/>
  <c r="AH37" i="6"/>
  <c r="AN44" i="6"/>
  <c r="AN11" i="6"/>
  <c r="AN53" i="6"/>
  <c r="AN20" i="6"/>
  <c r="AP28" i="6"/>
  <c r="BA16" i="6"/>
  <c r="BA41" i="6"/>
  <c r="BA14" i="6"/>
  <c r="AP11" i="6"/>
  <c r="AK46" i="6"/>
  <c r="AH10" i="6"/>
  <c r="AH38" i="6"/>
  <c r="AZ11" i="6"/>
  <c r="AZ35" i="6"/>
  <c r="AZ49" i="6"/>
  <c r="AZ37" i="6"/>
  <c r="AV28" i="6"/>
  <c r="AV12" i="6"/>
  <c r="AZ42" i="6"/>
  <c r="AV41" i="6"/>
  <c r="AV47" i="6"/>
  <c r="AZ38" i="6"/>
  <c r="AV26" i="6"/>
  <c r="AV38" i="6"/>
  <c r="AZ39" i="6"/>
  <c r="AZ12" i="6"/>
  <c r="AZ28" i="6"/>
  <c r="AV43" i="6"/>
  <c r="AV18" i="6"/>
  <c r="AV37" i="6"/>
  <c r="AV45" i="6"/>
  <c r="AV51" i="6"/>
  <c r="AV10" i="6"/>
  <c r="AZ47" i="6"/>
  <c r="AV17" i="6"/>
  <c r="AZ54" i="6"/>
  <c r="AV40" i="6"/>
  <c r="AV42" i="6"/>
  <c r="AZ51" i="6"/>
  <c r="AV11" i="6"/>
  <c r="AZ18" i="6"/>
  <c r="AZ9" i="6"/>
  <c r="AZ43" i="6"/>
  <c r="AV13" i="6"/>
  <c r="AZ23" i="6"/>
  <c r="AZ20" i="6"/>
  <c r="AZ45" i="6"/>
  <c r="AV14" i="6"/>
  <c r="AV16" i="6"/>
  <c r="AZ52" i="6"/>
  <c r="AV24" i="6"/>
  <c r="AV36" i="6"/>
  <c r="AV20" i="6"/>
  <c r="AZ14" i="6"/>
  <c r="AV9" i="6"/>
  <c r="AZ10" i="6"/>
  <c r="AV50" i="6"/>
  <c r="AV19" i="6"/>
  <c r="AZ22" i="6"/>
  <c r="AV35" i="6"/>
  <c r="AZ40" i="6"/>
  <c r="AZ21" i="6"/>
  <c r="AZ15" i="6"/>
  <c r="AZ24" i="6"/>
  <c r="AZ26" i="6"/>
  <c r="AV27" i="6"/>
  <c r="AV52" i="6"/>
  <c r="AV48" i="6"/>
  <c r="AV44" i="6"/>
  <c r="AV22" i="6"/>
  <c r="AZ16" i="6"/>
  <c r="AZ50" i="6"/>
  <c r="AZ25" i="6"/>
  <c r="AZ17" i="6"/>
  <c r="AZ36" i="6"/>
  <c r="AV15" i="6"/>
  <c r="AV25" i="6"/>
  <c r="AH18" i="6"/>
  <c r="AJ43" i="6"/>
  <c r="AJ42" i="6"/>
  <c r="AJ40" i="6"/>
  <c r="AH46" i="6"/>
  <c r="AJ52" i="6"/>
  <c r="AJ45" i="6"/>
  <c r="AJ26" i="6"/>
  <c r="AH43" i="6"/>
  <c r="AJ47" i="6"/>
  <c r="AJ12" i="6"/>
  <c r="AJ28" i="6"/>
  <c r="AJ24" i="6"/>
  <c r="AH12" i="6"/>
  <c r="AJ54" i="6"/>
  <c r="AJ25" i="6"/>
  <c r="AJ19" i="6"/>
  <c r="AJ16" i="6"/>
  <c r="AH39" i="6"/>
  <c r="AH45" i="6"/>
  <c r="AJ15" i="6"/>
  <c r="AH26" i="6"/>
  <c r="AH14" i="6"/>
  <c r="AH51" i="6"/>
  <c r="AH41" i="6"/>
  <c r="AH40" i="6"/>
  <c r="AH27" i="6"/>
  <c r="AJ22" i="6"/>
  <c r="AJ38" i="6"/>
  <c r="AJ48" i="6"/>
  <c r="AH53" i="6"/>
  <c r="AJ18" i="6"/>
  <c r="AJ17" i="6"/>
  <c r="AJ27" i="6"/>
  <c r="AJ23" i="6"/>
  <c r="AH16" i="6"/>
  <c r="AJ44" i="6"/>
  <c r="AJ13" i="6"/>
  <c r="AH19" i="6"/>
  <c r="AJ21" i="6"/>
  <c r="AJ35" i="6"/>
  <c r="AH20" i="6"/>
  <c r="AH22" i="6"/>
  <c r="AJ9" i="6"/>
  <c r="AH50" i="6"/>
  <c r="AH42" i="6"/>
  <c r="AJ49" i="6"/>
  <c r="AH48" i="6"/>
  <c r="AH54" i="6"/>
  <c r="AH25" i="6"/>
  <c r="AH49" i="6"/>
  <c r="AH13" i="6"/>
  <c r="AJ46" i="6"/>
  <c r="AH15" i="6"/>
  <c r="AJ53" i="6"/>
  <c r="AH24" i="6"/>
  <c r="AJ36" i="6"/>
  <c r="AJ51" i="6"/>
  <c r="BA21" i="6"/>
  <c r="BA20" i="6"/>
  <c r="AJ41" i="6"/>
  <c r="BA47" i="6"/>
  <c r="BA39" i="6"/>
  <c r="BA24" i="6"/>
  <c r="BA25" i="6"/>
  <c r="BA17" i="6"/>
  <c r="BA9" i="6"/>
  <c r="BA40" i="6"/>
  <c r="BA27" i="6"/>
  <c r="BA12" i="6"/>
  <c r="BA52" i="6"/>
  <c r="BA37" i="6"/>
  <c r="BA43" i="6"/>
  <c r="BA18" i="6"/>
  <c r="BA51" i="6"/>
  <c r="BA22" i="6"/>
  <c r="BA19" i="6"/>
  <c r="BA53" i="6"/>
  <c r="BA45" i="6"/>
  <c r="BA38" i="6"/>
  <c r="BA10" i="6"/>
  <c r="BA11" i="6"/>
  <c r="BA36" i="6"/>
  <c r="BA48" i="6"/>
  <c r="BA44" i="6"/>
  <c r="BA15" i="6"/>
  <c r="BA35" i="6"/>
  <c r="BA49" i="6"/>
  <c r="BA42" i="6"/>
  <c r="BA46" i="6"/>
  <c r="AP54" i="6"/>
  <c r="AP16" i="6"/>
  <c r="AP48" i="6"/>
  <c r="AP52" i="6"/>
  <c r="AP40" i="6"/>
  <c r="AP49" i="6"/>
  <c r="AP15" i="6"/>
  <c r="AP35" i="6"/>
  <c r="AP24" i="6"/>
  <c r="AP41" i="6"/>
  <c r="AP22" i="6"/>
  <c r="AP27" i="6"/>
  <c r="AP53" i="6"/>
  <c r="AP51" i="6"/>
  <c r="AP10" i="6"/>
  <c r="AP14" i="6"/>
  <c r="AP36" i="6"/>
  <c r="AP18" i="6"/>
  <c r="AP19" i="6"/>
  <c r="AP42" i="6"/>
  <c r="AP37" i="6"/>
  <c r="AP21" i="6"/>
  <c r="AP13" i="6"/>
  <c r="AP38" i="6"/>
  <c r="AP45" i="6"/>
  <c r="AP46" i="6"/>
  <c r="AP47" i="6"/>
  <c r="AP39" i="6"/>
  <c r="AP12" i="6"/>
  <c r="AP25" i="6"/>
  <c r="AP50" i="6"/>
  <c r="AP20" i="6"/>
  <c r="AP26" i="6"/>
  <c r="AJ14" i="6"/>
  <c r="AP9" i="6"/>
  <c r="AJ10" i="6"/>
  <c r="AK34" i="6"/>
  <c r="AK49" i="6"/>
  <c r="AH52" i="6"/>
  <c r="BA26" i="6"/>
  <c r="AJ50" i="6"/>
  <c r="AH23" i="6"/>
  <c r="BA23" i="6"/>
  <c r="BA50" i="6"/>
  <c r="X58" i="17"/>
  <c r="Y58" i="17" s="1"/>
  <c r="V35" i="17"/>
  <c r="AF12" i="6"/>
  <c r="AF38" i="6"/>
  <c r="P13" i="6"/>
  <c r="V9" i="17"/>
  <c r="V36" i="17" l="1"/>
  <c r="V10" i="17"/>
  <c r="P14" i="6"/>
  <c r="AF13" i="6"/>
  <c r="AF39" i="6"/>
  <c r="V37" i="17" l="1"/>
  <c r="AF40" i="6"/>
  <c r="AF14" i="6"/>
  <c r="P15" i="6"/>
  <c r="V11" i="17"/>
  <c r="V38" i="17" l="1"/>
  <c r="V39" i="17" s="1"/>
  <c r="V40" i="17" s="1"/>
  <c r="AF41" i="6"/>
  <c r="AF15" i="6"/>
  <c r="P16" i="6"/>
  <c r="V12" i="17"/>
  <c r="X60" i="17" l="1"/>
  <c r="V13" i="17"/>
  <c r="AF16" i="6"/>
  <c r="AF42" i="6"/>
  <c r="V41" i="17"/>
  <c r="P17" i="6"/>
  <c r="V42" i="17" l="1"/>
  <c r="P18" i="6"/>
  <c r="P19" i="6" s="1"/>
  <c r="AF17" i="6"/>
  <c r="AF43" i="6"/>
  <c r="V14" i="17"/>
  <c r="X35" i="17" s="1"/>
  <c r="Y35" i="17" s="1"/>
  <c r="V43" i="17" l="1"/>
  <c r="V44" i="17" s="1"/>
  <c r="X61" i="17" s="1"/>
  <c r="AF19" i="6"/>
  <c r="AF45" i="6"/>
  <c r="P20" i="6"/>
  <c r="V15" i="17"/>
  <c r="AF18" i="6"/>
  <c r="AF44" i="6"/>
  <c r="X62" i="17" l="1"/>
  <c r="X59" i="17"/>
  <c r="V45" i="17"/>
  <c r="X63" i="17" s="1"/>
  <c r="V16" i="17"/>
  <c r="X36" i="17" s="1"/>
  <c r="Y36" i="17" s="1"/>
  <c r="AF20" i="6"/>
  <c r="AF46" i="6"/>
  <c r="P21" i="6"/>
  <c r="V46" i="17" l="1"/>
  <c r="X64" i="17"/>
  <c r="V17" i="17"/>
  <c r="X34" i="17" s="1"/>
  <c r="Y34" i="17" s="1"/>
  <c r="AF47" i="6"/>
  <c r="AF21" i="6"/>
  <c r="P22" i="6"/>
  <c r="P23" i="6" s="1"/>
  <c r="X73" i="17" l="1"/>
  <c r="X72" i="17"/>
  <c r="V47" i="17"/>
  <c r="X65" i="17" s="1"/>
  <c r="AF23" i="6"/>
  <c r="AF49" i="6"/>
  <c r="AF48" i="6"/>
  <c r="AF22" i="6"/>
  <c r="P24" i="6"/>
  <c r="V18" i="17"/>
  <c r="X69" i="17" l="1"/>
  <c r="V48" i="17"/>
  <c r="X75" i="17" s="1"/>
  <c r="X33" i="17"/>
  <c r="Y33" i="17" s="1"/>
  <c r="X67" i="17"/>
  <c r="AF50" i="6"/>
  <c r="AF24" i="6"/>
  <c r="V19" i="17"/>
  <c r="X32" i="17" s="1"/>
  <c r="Y32" i="17" s="1"/>
  <c r="P25" i="6"/>
  <c r="V49" i="17" l="1"/>
  <c r="X77" i="17" s="1"/>
  <c r="X70" i="17"/>
  <c r="X66" i="17"/>
  <c r="X71" i="17"/>
  <c r="X68" i="17"/>
  <c r="X74" i="17"/>
  <c r="X47" i="17"/>
  <c r="Y47" i="17" s="1"/>
  <c r="X76" i="17"/>
  <c r="V20" i="17"/>
  <c r="X38" i="17"/>
  <c r="Y38" i="17" s="1"/>
  <c r="P26" i="6"/>
  <c r="P27" i="6" s="1"/>
  <c r="AF25" i="6"/>
  <c r="AF51" i="6"/>
  <c r="V50" i="17" l="1"/>
  <c r="X45" i="17"/>
  <c r="Y45" i="17" s="1"/>
  <c r="X43" i="17"/>
  <c r="Y43" i="17" s="1"/>
  <c r="X46" i="17"/>
  <c r="Y46" i="17" s="1"/>
  <c r="V21" i="17"/>
  <c r="X31" i="17" s="1"/>
  <c r="Y31" i="17" s="1"/>
  <c r="X40" i="17"/>
  <c r="Y40" i="17" s="1"/>
  <c r="AF26" i="6"/>
  <c r="AF52" i="6"/>
  <c r="AF53" i="6"/>
  <c r="AF27" i="6"/>
  <c r="P28" i="6"/>
  <c r="X37" i="17" l="1"/>
  <c r="Y37" i="17" s="1"/>
  <c r="X48" i="17"/>
  <c r="Y48" i="17" s="1"/>
  <c r="X39" i="17"/>
  <c r="Y39" i="17" s="1"/>
  <c r="X42" i="17"/>
  <c r="Y42" i="17" s="1"/>
  <c r="X44" i="17"/>
  <c r="Y44" i="17" s="1"/>
  <c r="X41" i="17"/>
  <c r="Y41" i="17" s="1"/>
  <c r="V22" i="17"/>
  <c r="AF28" i="6"/>
  <c r="AF54" i="6"/>
  <c r="X50" i="17" l="1"/>
  <c r="Y50" i="17" s="1"/>
  <c r="X49" i="17"/>
  <c r="Y49" i="17" s="1"/>
  <c r="V23" i="17"/>
  <c r="V59" i="17" s="1"/>
  <c r="Y59" i="17" s="1"/>
  <c r="V60" i="17" l="1"/>
  <c r="Y60" i="17" s="1"/>
  <c r="V61" i="17" l="1"/>
  <c r="X85" i="17" s="1"/>
  <c r="Y85" i="17" s="1"/>
  <c r="Y61" i="17" l="1"/>
  <c r="V62" i="17"/>
  <c r="Y62" i="17" s="1"/>
  <c r="V63" i="17" l="1"/>
  <c r="Y63" i="17" l="1"/>
  <c r="V64" i="17"/>
  <c r="Y64" i="17" l="1"/>
  <c r="V65" i="17"/>
  <c r="V66" i="17" l="1"/>
  <c r="Y66" i="17" s="1"/>
  <c r="Y65" i="17"/>
  <c r="V67" i="17" l="1"/>
  <c r="Y67" i="17" s="1"/>
  <c r="X87" i="17" l="1"/>
  <c r="V68" i="17"/>
  <c r="V69" i="17" l="1"/>
  <c r="Y68" i="17"/>
  <c r="X86" i="17" l="1"/>
  <c r="Y69" i="17"/>
  <c r="V70" i="17"/>
  <c r="X90" i="17" s="1"/>
  <c r="V71" i="17" l="1"/>
  <c r="Y71" i="17" s="1"/>
  <c r="Y70" i="17"/>
  <c r="X91" i="17" l="1"/>
  <c r="V72" i="17"/>
  <c r="X88" i="17" l="1"/>
  <c r="Y72" i="17"/>
  <c r="V73" i="17"/>
  <c r="X96" i="17" l="1"/>
  <c r="X94" i="17"/>
  <c r="X92" i="17"/>
  <c r="X101" i="17"/>
  <c r="Y73" i="17"/>
  <c r="V74" i="17"/>
  <c r="X89" i="17" l="1"/>
  <c r="X93" i="17"/>
  <c r="V75" i="17"/>
  <c r="Y74" i="17"/>
  <c r="X100" i="17" l="1"/>
  <c r="X97" i="17"/>
  <c r="X95" i="17"/>
  <c r="X98" i="17"/>
  <c r="X99" i="17"/>
  <c r="V76" i="17"/>
  <c r="Y76" i="17" s="1"/>
  <c r="X102" i="17"/>
  <c r="Y75" i="17"/>
  <c r="V77" i="17" l="1"/>
  <c r="Y77" i="17" s="1"/>
  <c r="X104" i="17"/>
  <c r="X103" i="17"/>
  <c r="V86" i="17" l="1"/>
  <c r="Y86" i="17" s="1"/>
  <c r="V87" i="17" l="1"/>
  <c r="Y87" i="17" s="1"/>
  <c r="V88" i="17" l="1"/>
  <c r="Y88" i="17" s="1"/>
  <c r="V89" i="17" l="1"/>
  <c r="Y89" i="17" s="1"/>
  <c r="V90" i="17" l="1"/>
  <c r="Y90" i="17" s="1"/>
  <c r="V91" i="17" l="1"/>
  <c r="Y91" i="17" s="1"/>
  <c r="V92" i="17" l="1"/>
  <c r="Y92" i="17" s="1"/>
  <c r="V93" i="17" l="1"/>
  <c r="X113" i="17" s="1"/>
  <c r="Y93" i="17" l="1"/>
  <c r="V94" i="17"/>
  <c r="Y94" i="17" s="1"/>
  <c r="X112" i="17"/>
  <c r="Y112" i="17" s="1"/>
  <c r="V95" i="17" l="1"/>
  <c r="V96" i="17" s="1"/>
  <c r="Y96" i="17" s="1"/>
  <c r="X114" i="17"/>
  <c r="Y95" i="17" l="1"/>
  <c r="V97" i="17"/>
  <c r="Y97" i="17" s="1"/>
  <c r="X115" i="17"/>
  <c r="V98" i="17" l="1"/>
  <c r="V99" i="17" s="1"/>
  <c r="X117" i="17" s="1"/>
  <c r="X126" i="17" l="1"/>
  <c r="Y98" i="17"/>
  <c r="X118" i="17"/>
  <c r="V100" i="17"/>
  <c r="Y100" i="17" s="1"/>
  <c r="Y99" i="17"/>
  <c r="X116" i="17"/>
  <c r="X121" i="17"/>
  <c r="X123" i="17" l="1"/>
  <c r="V101" i="17"/>
  <c r="X120" i="17" s="1"/>
  <c r="X124" i="17" l="1"/>
  <c r="V102" i="17"/>
  <c r="X127" i="17" s="1"/>
  <c r="Y101" i="17"/>
  <c r="X119" i="17"/>
  <c r="X122" i="17"/>
  <c r="X129" i="17"/>
  <c r="Y102" i="17" l="1"/>
  <c r="X125" i="17"/>
  <c r="X128" i="17"/>
  <c r="V103" i="17"/>
  <c r="Y103" i="17" l="1"/>
  <c r="X131" i="17"/>
  <c r="V104" i="17"/>
  <c r="Y104" i="17" s="1"/>
  <c r="X130" i="17"/>
  <c r="V113" i="17" l="1"/>
  <c r="V114" i="17" l="1"/>
  <c r="Y114" i="17" s="1"/>
  <c r="Y113" i="17"/>
  <c r="V115" i="17" l="1"/>
  <c r="V116" i="17" l="1"/>
  <c r="V117" i="17" s="1"/>
  <c r="Y117" i="17" s="1"/>
  <c r="Y115" i="17"/>
  <c r="Y116" i="17" l="1"/>
  <c r="V118" i="17"/>
  <c r="X139" i="17" s="1"/>
  <c r="Y139" i="17" s="1"/>
  <c r="Y118" i="17" l="1"/>
  <c r="V119" i="17"/>
  <c r="Y119" i="17" s="1"/>
  <c r="V120" i="17" l="1"/>
  <c r="V121" i="17" s="1"/>
  <c r="Y121" i="17" s="1"/>
  <c r="X140" i="17" l="1"/>
  <c r="Y120" i="17"/>
  <c r="V122" i="17"/>
  <c r="X141" i="17" l="1"/>
  <c r="Y122" i="17"/>
  <c r="V123" i="17"/>
  <c r="X143" i="17"/>
  <c r="X142" i="17" l="1"/>
  <c r="V124" i="17"/>
  <c r="Y124" i="17" s="1"/>
  <c r="Y123" i="17"/>
  <c r="X145" i="17"/>
  <c r="V125" i="17" l="1"/>
  <c r="Y125" i="17" l="1"/>
  <c r="V126" i="17"/>
  <c r="X146" i="17" l="1"/>
  <c r="X150" i="17"/>
  <c r="V127" i="17"/>
  <c r="X149" i="17" s="1"/>
  <c r="Y126" i="17"/>
  <c r="X144" i="17"/>
  <c r="X152" i="17" l="1"/>
  <c r="Y127" i="17"/>
  <c r="V128" i="17"/>
  <c r="X147" i="17" s="1"/>
  <c r="X153" i="17"/>
  <c r="X151" i="17" l="1"/>
  <c r="V129" i="17"/>
  <c r="Y128" i="17"/>
  <c r="X154" i="17" l="1"/>
  <c r="X148" i="17"/>
  <c r="X156" i="17"/>
  <c r="X155" i="17"/>
  <c r="V130" i="17"/>
  <c r="Y129" i="17"/>
  <c r="X158" i="17" l="1"/>
  <c r="X157" i="17"/>
  <c r="Y130" i="17"/>
  <c r="V131" i="17"/>
  <c r="Y131" i="17" s="1"/>
  <c r="V140" i="17" l="1"/>
  <c r="X166" i="17" s="1"/>
  <c r="Y166" i="17" s="1"/>
  <c r="Y140" i="17" l="1"/>
  <c r="V141" i="17"/>
  <c r="Y141" i="17" s="1"/>
  <c r="V142" i="17" l="1"/>
  <c r="Y142" i="17" s="1"/>
  <c r="V143" i="17" l="1"/>
  <c r="Y143" i="17" s="1"/>
  <c r="V144" i="17" l="1"/>
  <c r="V145" i="17" l="1"/>
  <c r="Y145" i="17" s="1"/>
  <c r="Y144" i="17"/>
  <c r="V146" i="17" l="1"/>
  <c r="Y146" i="17" s="1"/>
  <c r="V147" i="17" l="1"/>
  <c r="X168" i="17" l="1"/>
  <c r="V148" i="17"/>
  <c r="Y148" i="17" s="1"/>
  <c r="Y147" i="17"/>
  <c r="V149" i="17" l="1"/>
  <c r="Y149" i="17" s="1"/>
  <c r="X169" i="17"/>
  <c r="V150" i="17" l="1"/>
  <c r="X167" i="17" l="1"/>
  <c r="Y150" i="17"/>
  <c r="V151" i="17"/>
  <c r="Y151" i="17" l="1"/>
  <c r="X175" i="17"/>
  <c r="V152" i="17"/>
  <c r="X170" i="17"/>
  <c r="Y152" i="17" l="1"/>
  <c r="V153" i="17"/>
  <c r="X178" i="17" s="1"/>
  <c r="X172" i="17"/>
  <c r="Y153" i="17" l="1"/>
  <c r="X171" i="17"/>
  <c r="V154" i="17"/>
  <c r="X176" i="17" s="1"/>
  <c r="X173" i="17" l="1"/>
  <c r="V155" i="17"/>
  <c r="Y154" i="17"/>
  <c r="X177" i="17"/>
  <c r="X179" i="17" l="1"/>
  <c r="X180" i="17"/>
  <c r="X174" i="17"/>
  <c r="Y155" i="17"/>
  <c r="V156" i="17"/>
  <c r="X181" i="17" s="1"/>
  <c r="X183" i="17" l="1"/>
  <c r="Y156" i="17"/>
  <c r="X182" i="17"/>
  <c r="V157" i="17"/>
  <c r="X184" i="17" l="1"/>
  <c r="X185" i="17"/>
  <c r="Y157" i="17"/>
  <c r="V158" i="17"/>
  <c r="Y158" i="17" s="1"/>
  <c r="V167" i="17" l="1"/>
  <c r="X193" i="17" s="1"/>
  <c r="Y193" i="17" s="1"/>
  <c r="Y167" i="17" l="1"/>
  <c r="V168" i="17"/>
  <c r="Y168" i="17" s="1"/>
  <c r="V169" i="17" l="1"/>
  <c r="Y169" i="17" s="1"/>
  <c r="V170" i="17" l="1"/>
  <c r="V171" i="17" l="1"/>
  <c r="Y171" i="17" s="1"/>
  <c r="Y170" i="17"/>
  <c r="V172" i="17" l="1"/>
  <c r="Y172" i="17" s="1"/>
  <c r="V173" i="17" l="1"/>
  <c r="V174" i="17" l="1"/>
  <c r="Y174" i="17" s="1"/>
  <c r="Y173" i="17"/>
  <c r="V175" i="17" l="1"/>
  <c r="X194" i="17"/>
  <c r="X195" i="17" l="1"/>
  <c r="Y175" i="17"/>
  <c r="V176" i="17"/>
  <c r="Y176" i="17" s="1"/>
  <c r="V177" i="17" l="1"/>
  <c r="X196" i="17"/>
  <c r="V178" i="17" l="1"/>
  <c r="Y178" i="17" s="1"/>
  <c r="Y177" i="17"/>
  <c r="X198" i="17"/>
  <c r="V179" i="17" l="1"/>
  <c r="X197" i="17"/>
  <c r="V180" i="17" l="1"/>
  <c r="Y180" i="17" s="1"/>
  <c r="Y179" i="17"/>
  <c r="V181" i="17" l="1"/>
  <c r="X203" i="17" s="1"/>
  <c r="X200" i="17"/>
  <c r="X199" i="17" l="1"/>
  <c r="Y181" i="17"/>
  <c r="V182" i="17"/>
  <c r="X202" i="17" s="1"/>
  <c r="X201" i="17"/>
  <c r="X208" i="17" l="1"/>
  <c r="X207" i="17"/>
  <c r="X206" i="17"/>
  <c r="X209" i="17"/>
  <c r="V183" i="17"/>
  <c r="Y182" i="17"/>
  <c r="X205" i="17" l="1"/>
  <c r="X204" i="17"/>
  <c r="Y183" i="17"/>
  <c r="X210" i="17"/>
  <c r="V184" i="17"/>
  <c r="X211" i="17" l="1"/>
  <c r="V185" i="17"/>
  <c r="Y185" i="17" s="1"/>
  <c r="X212" i="17"/>
  <c r="Y184" i="17"/>
  <c r="V194" i="17" l="1"/>
  <c r="Y194" i="17" s="1"/>
  <c r="V195" i="17" l="1"/>
  <c r="Y195" i="17" s="1"/>
  <c r="V196" i="17" l="1"/>
  <c r="X222" i="17" s="1"/>
  <c r="Y196" i="17" l="1"/>
  <c r="V197" i="17"/>
  <c r="X220" i="17"/>
  <c r="Y220" i="17" s="1"/>
  <c r="Y197" i="17" l="1"/>
  <c r="V198" i="17"/>
  <c r="Y198" i="17" s="1"/>
  <c r="V199" i="17" l="1"/>
  <c r="Y199" i="17" s="1"/>
  <c r="V200" i="17" l="1"/>
  <c r="V201" i="17" l="1"/>
  <c r="Y200" i="17"/>
  <c r="V202" i="17" l="1"/>
  <c r="Y201" i="17"/>
  <c r="X221" i="17" l="1"/>
  <c r="Y202" i="17"/>
  <c r="V203" i="17"/>
  <c r="X223" i="17" l="1"/>
  <c r="Y203" i="17"/>
  <c r="V204" i="17"/>
  <c r="Y204" i="17" s="1"/>
  <c r="V205" i="17" l="1"/>
  <c r="Y205" i="17" s="1"/>
  <c r="V206" i="17" l="1"/>
  <c r="Y206" i="17" s="1"/>
  <c r="X225" i="17"/>
  <c r="V207" i="17" l="1"/>
  <c r="X229" i="17" s="1"/>
  <c r="X224" i="17"/>
  <c r="X226" i="17" l="1"/>
  <c r="Y207" i="17"/>
  <c r="V208" i="17"/>
  <c r="X228" i="17"/>
  <c r="X227" i="17" l="1"/>
  <c r="V209" i="17"/>
  <c r="X233" i="17" s="1"/>
  <c r="Y208" i="17"/>
  <c r="X230" i="17"/>
  <c r="X232" i="17" l="1"/>
  <c r="X231" i="17"/>
  <c r="Y209" i="17"/>
  <c r="V210" i="17"/>
  <c r="X235" i="17" l="1"/>
  <c r="X234" i="17"/>
  <c r="X237" i="17"/>
  <c r="Y210" i="17"/>
  <c r="V211" i="17"/>
  <c r="X236" i="17"/>
  <c r="X238" i="17" l="1"/>
  <c r="X239" i="17"/>
  <c r="Y211" i="17"/>
  <c r="V212" i="17"/>
  <c r="Y212" i="17" s="1"/>
  <c r="V221" i="17" l="1"/>
  <c r="Y221" i="17" s="1"/>
  <c r="V222" i="17" l="1"/>
  <c r="Y222" i="17" l="1"/>
  <c r="V223" i="17"/>
  <c r="X247" i="17" s="1"/>
  <c r="Y247" i="17" s="1"/>
  <c r="V224" i="17" l="1"/>
  <c r="Y224" i="17" s="1"/>
  <c r="Y223" i="17"/>
  <c r="V225" i="17" l="1"/>
  <c r="X248" i="17" s="1"/>
  <c r="V226" i="17" l="1"/>
  <c r="V227" i="17" s="1"/>
  <c r="Y227" i="17" s="1"/>
  <c r="Y225" i="17"/>
  <c r="V228" i="17" l="1"/>
  <c r="Y228" i="17" s="1"/>
  <c r="Y226" i="17"/>
  <c r="V229" i="17" l="1"/>
  <c r="X249" i="17" s="1"/>
  <c r="Y229" i="17" l="1"/>
  <c r="V230" i="17"/>
  <c r="Y230" i="17" s="1"/>
  <c r="V231" i="17" l="1"/>
  <c r="X252" i="17" s="1"/>
  <c r="X250" i="17"/>
  <c r="V232" i="17" l="1"/>
  <c r="V233" i="17" s="1"/>
  <c r="Y231" i="17"/>
  <c r="X251" i="17"/>
  <c r="Y232" i="17" l="1"/>
  <c r="V234" i="17"/>
  <c r="Y233" i="17"/>
  <c r="X254" i="17" l="1"/>
  <c r="X256" i="17"/>
  <c r="V235" i="17"/>
  <c r="X260" i="17" s="1"/>
  <c r="Y234" i="17"/>
  <c r="X253" i="17" l="1"/>
  <c r="V236" i="17"/>
  <c r="X258" i="17" s="1"/>
  <c r="Y235" i="17"/>
  <c r="X261" i="17" l="1"/>
  <c r="X255" i="17"/>
  <c r="V237" i="17"/>
  <c r="X263" i="17" s="1"/>
  <c r="Y236" i="17"/>
  <c r="X257" i="17" l="1"/>
  <c r="X259" i="17"/>
  <c r="X264" i="17"/>
  <c r="X262" i="17"/>
  <c r="V238" i="17"/>
  <c r="Y237" i="17"/>
  <c r="X265" i="17" l="1"/>
  <c r="X266" i="17"/>
  <c r="V239" i="17"/>
  <c r="Y238" i="17"/>
  <c r="V248" i="17" l="1"/>
  <c r="Y239" i="17"/>
  <c r="V249" i="17" l="1"/>
  <c r="Y248" i="17"/>
  <c r="V250" i="17" l="1"/>
  <c r="Y249" i="17"/>
  <c r="V251" i="17" l="1"/>
  <c r="Y250" i="17"/>
  <c r="V252" i="17" l="1"/>
  <c r="X274" i="17" s="1"/>
  <c r="Y274" i="17" s="1"/>
  <c r="Y251" i="17"/>
  <c r="V253" i="17" l="1"/>
  <c r="Y252" i="17"/>
  <c r="V254" i="17" l="1"/>
  <c r="X276" i="17" s="1"/>
  <c r="Y253" i="17"/>
  <c r="V255" i="17" l="1"/>
  <c r="Y254" i="17"/>
  <c r="V256" i="17" l="1"/>
  <c r="Y255" i="17"/>
  <c r="X275" i="17" l="1"/>
  <c r="V257" i="17"/>
  <c r="Y256" i="17"/>
  <c r="V258" i="17" l="1"/>
  <c r="X277" i="17" s="1"/>
  <c r="Y257" i="17"/>
  <c r="X278" i="17" l="1"/>
  <c r="V259" i="17"/>
  <c r="Y258" i="17"/>
  <c r="V260" i="17" l="1"/>
  <c r="X285" i="17" s="1"/>
  <c r="Y259" i="17"/>
  <c r="X281" i="17" l="1"/>
  <c r="X279" i="17"/>
  <c r="V261" i="17"/>
  <c r="X280" i="17" s="1"/>
  <c r="Y260" i="17"/>
  <c r="X284" i="17" l="1"/>
  <c r="V262" i="17"/>
  <c r="Y261" i="17"/>
  <c r="X282" i="17" l="1"/>
  <c r="V263" i="17"/>
  <c r="Y262" i="17"/>
  <c r="X288" i="17" l="1"/>
  <c r="X283" i="17"/>
  <c r="V264" i="17"/>
  <c r="Y263" i="17"/>
  <c r="X290" i="17" l="1"/>
  <c r="X287" i="17"/>
  <c r="X291" i="17"/>
  <c r="X286" i="17"/>
  <c r="X289" i="17"/>
  <c r="V265" i="17"/>
  <c r="Y264" i="17"/>
  <c r="X293" i="17" l="1"/>
  <c r="X292" i="17"/>
  <c r="V266" i="17"/>
  <c r="Y265" i="17"/>
  <c r="V275" i="17" l="1"/>
  <c r="X301" i="17" s="1"/>
  <c r="Y301" i="17" s="1"/>
  <c r="Y266" i="17"/>
  <c r="V276" i="17" l="1"/>
  <c r="Y275" i="17"/>
  <c r="V277" i="17" l="1"/>
  <c r="X302" i="17" s="1"/>
  <c r="Y276" i="17"/>
  <c r="V278" i="17" l="1"/>
  <c r="Y277" i="17"/>
  <c r="V279" i="17" l="1"/>
  <c r="Y278" i="17"/>
  <c r="V280" i="17" l="1"/>
  <c r="Y279" i="17"/>
  <c r="V281" i="17" l="1"/>
  <c r="X303" i="17" s="1"/>
  <c r="Y280" i="17"/>
  <c r="V282" i="17" l="1"/>
  <c r="Y281" i="17"/>
  <c r="V283" i="17" l="1"/>
  <c r="Y282" i="17"/>
  <c r="V284" i="17" l="1"/>
  <c r="X307" i="17" s="1"/>
  <c r="Y283" i="17"/>
  <c r="V285" i="17" l="1"/>
  <c r="Y284" i="17"/>
  <c r="X304" i="17" l="1"/>
  <c r="V286" i="17"/>
  <c r="Y285" i="17"/>
  <c r="V287" i="17" l="1"/>
  <c r="Y286" i="17"/>
  <c r="X313" i="17" l="1"/>
  <c r="X305" i="17"/>
  <c r="X312" i="17"/>
  <c r="V288" i="17"/>
  <c r="X306" i="17" s="1"/>
  <c r="Y287" i="17"/>
  <c r="V289" i="17" l="1"/>
  <c r="X308" i="17" s="1"/>
  <c r="Y288" i="17"/>
  <c r="V290" i="17" l="1"/>
  <c r="Y289" i="17"/>
  <c r="X309" i="17" l="1"/>
  <c r="V291" i="17"/>
  <c r="X315" i="17" s="1"/>
  <c r="Y290" i="17"/>
  <c r="X310" i="17" l="1"/>
  <c r="X314" i="17"/>
  <c r="X318" i="17"/>
  <c r="X311" i="17"/>
  <c r="X316" i="17"/>
  <c r="X317" i="17"/>
  <c r="V292" i="17"/>
  <c r="Y291" i="17"/>
  <c r="X319" i="17" l="1"/>
  <c r="X320" i="17"/>
  <c r="V293" i="17"/>
  <c r="Y292" i="17"/>
  <c r="V302" i="17" l="1"/>
  <c r="Y293" i="17"/>
  <c r="V303" i="17" l="1"/>
  <c r="Y302" i="17"/>
  <c r="V304" i="17" l="1"/>
  <c r="Y303" i="17"/>
  <c r="V305" i="17" l="1"/>
  <c r="Y304" i="17"/>
  <c r="X328" i="17" l="1"/>
  <c r="Y328" i="17" s="1"/>
  <c r="V306" i="17"/>
  <c r="Y305" i="17"/>
  <c r="V307" i="17" l="1"/>
  <c r="Y306" i="17"/>
  <c r="X329" i="17" l="1"/>
  <c r="V308" i="17"/>
  <c r="Y307" i="17"/>
  <c r="V309" i="17" l="1"/>
  <c r="X332" i="17" s="1"/>
  <c r="Y308" i="17"/>
  <c r="V310" i="17" l="1"/>
  <c r="Y309" i="17"/>
  <c r="V311" i="17" l="1"/>
  <c r="Y310" i="17"/>
  <c r="X331" i="17" l="1"/>
  <c r="V312" i="17"/>
  <c r="Y311" i="17"/>
  <c r="V313" i="17" l="1"/>
  <c r="X335" i="17" s="1"/>
  <c r="Y312" i="17"/>
  <c r="X333" i="17" l="1"/>
  <c r="X330" i="17"/>
  <c r="X340" i="17"/>
  <c r="V314" i="17"/>
  <c r="Y313" i="17"/>
  <c r="X336" i="17" l="1"/>
  <c r="X334" i="17"/>
  <c r="V315" i="17"/>
  <c r="Y314" i="17"/>
  <c r="V316" i="17" l="1"/>
  <c r="Y315" i="17"/>
  <c r="X341" i="17" l="1"/>
  <c r="X337" i="17"/>
  <c r="V317" i="17"/>
  <c r="Y316" i="17"/>
  <c r="X338" i="17" l="1"/>
  <c r="V318" i="17"/>
  <c r="X342" i="17" s="1"/>
  <c r="Y317" i="17"/>
  <c r="X344" i="17" l="1"/>
  <c r="X343" i="17"/>
  <c r="X339" i="17"/>
  <c r="X345" i="17"/>
  <c r="V319" i="17"/>
  <c r="Y318" i="17"/>
  <c r="X347" i="17" l="1"/>
  <c r="X346" i="17"/>
  <c r="V320" i="17"/>
  <c r="Y319" i="17"/>
  <c r="V329" i="17" l="1"/>
  <c r="Y320" i="17"/>
  <c r="V330" i="17" l="1"/>
  <c r="Y329" i="17"/>
  <c r="V331" i="17" l="1"/>
  <c r="X355" i="17" s="1"/>
  <c r="Y355" i="17" s="1"/>
  <c r="Y330" i="17"/>
  <c r="V332" i="17" l="1"/>
  <c r="X356" i="17" s="1"/>
  <c r="Y331" i="17"/>
  <c r="V333" i="17" l="1"/>
  <c r="Y332" i="17"/>
  <c r="V334" i="17" l="1"/>
  <c r="Y333" i="17"/>
  <c r="V335" i="17" l="1"/>
  <c r="Y334" i="17"/>
  <c r="V336" i="17" l="1"/>
  <c r="X357" i="17" s="1"/>
  <c r="Y335" i="17"/>
  <c r="V337" i="17" l="1"/>
  <c r="Y336" i="17"/>
  <c r="V338" i="17" l="1"/>
  <c r="X360" i="17" s="1"/>
  <c r="Y337" i="17"/>
  <c r="V339" i="17" l="1"/>
  <c r="Y338" i="17"/>
  <c r="V340" i="17" l="1"/>
  <c r="Y339" i="17"/>
  <c r="X358" i="17" l="1"/>
  <c r="V341" i="17"/>
  <c r="Y340" i="17"/>
  <c r="X359" i="17" l="1"/>
  <c r="V342" i="17"/>
  <c r="X362" i="17" s="1"/>
  <c r="Y341" i="17"/>
  <c r="X363" i="17" l="1"/>
  <c r="V343" i="17"/>
  <c r="X361" i="17" s="1"/>
  <c r="Y342" i="17"/>
  <c r="X367" i="17" l="1"/>
  <c r="V344" i="17"/>
  <c r="Y343" i="17"/>
  <c r="X366" i="17" l="1"/>
  <c r="X365" i="17"/>
  <c r="X364" i="17"/>
  <c r="V345" i="17"/>
  <c r="X371" i="17" s="1"/>
  <c r="Y344" i="17"/>
  <c r="X370" i="17" l="1"/>
  <c r="X368" i="17"/>
  <c r="X369" i="17"/>
  <c r="X372" i="17"/>
  <c r="V346" i="17"/>
  <c r="Y345" i="17"/>
  <c r="X374" i="17" l="1"/>
  <c r="X373" i="17"/>
  <c r="V347" i="17"/>
  <c r="Y346" i="17"/>
  <c r="V356" i="17" l="1"/>
  <c r="Y347" i="17"/>
  <c r="V357" i="17" l="1"/>
  <c r="Y356" i="17"/>
  <c r="V358" i="17" l="1"/>
  <c r="Y357" i="17"/>
  <c r="V359" i="17" l="1"/>
  <c r="Y358" i="17"/>
  <c r="V360" i="17" l="1"/>
  <c r="Y359" i="17"/>
  <c r="X382" i="17" l="1"/>
  <c r="Y382" i="17" s="1"/>
  <c r="V361" i="17"/>
  <c r="Y360" i="17"/>
  <c r="V362" i="17" l="1"/>
  <c r="Y361" i="17"/>
  <c r="V363" i="17" l="1"/>
  <c r="X383" i="17" s="1"/>
  <c r="Y362" i="17"/>
  <c r="V364" i="17" l="1"/>
  <c r="X388" i="17" s="1"/>
  <c r="Y363" i="17"/>
  <c r="V365" i="17" l="1"/>
  <c r="X384" i="17" s="1"/>
  <c r="Y364" i="17"/>
  <c r="V366" i="17" l="1"/>
  <c r="X386" i="17" s="1"/>
  <c r="Y365" i="17"/>
  <c r="V367" i="17" l="1"/>
  <c r="Y366" i="17"/>
  <c r="X387" i="17" l="1"/>
  <c r="V368" i="17"/>
  <c r="Y367" i="17"/>
  <c r="X385" i="17" l="1"/>
  <c r="X392" i="17"/>
  <c r="V369" i="17"/>
  <c r="Y368" i="17"/>
  <c r="V370" i="17" l="1"/>
  <c r="X394" i="17" s="1"/>
  <c r="Y369" i="17"/>
  <c r="X390" i="17" l="1"/>
  <c r="V371" i="17"/>
  <c r="X396" i="17" s="1"/>
  <c r="Y370" i="17"/>
  <c r="X395" i="17" l="1"/>
  <c r="X391" i="17"/>
  <c r="V372" i="17"/>
  <c r="Y371" i="17"/>
  <c r="X389" i="17" l="1"/>
  <c r="X397" i="17"/>
  <c r="X398" i="17"/>
  <c r="X393" i="17"/>
  <c r="X399" i="17"/>
  <c r="V373" i="17"/>
  <c r="Y372" i="17"/>
  <c r="X400" i="17" l="1"/>
  <c r="X401" i="17"/>
  <c r="V374" i="17"/>
  <c r="Y373" i="17"/>
  <c r="V383" i="17" l="1"/>
  <c r="Y374" i="17"/>
  <c r="V384" i="17" l="1"/>
  <c r="Y383" i="17"/>
  <c r="V385" i="17" l="1"/>
  <c r="Y384" i="17"/>
  <c r="V386" i="17" l="1"/>
  <c r="Y385" i="17"/>
  <c r="V387" i="17" l="1"/>
  <c r="Y386" i="17"/>
  <c r="X410" i="17" l="1"/>
  <c r="V388" i="17"/>
  <c r="Y387" i="17"/>
  <c r="X409" i="17" l="1"/>
  <c r="Y409" i="17" s="1"/>
  <c r="V389" i="17"/>
  <c r="X411" i="17" s="1"/>
  <c r="Y388" i="17"/>
  <c r="V390" i="17" l="1"/>
  <c r="Y389" i="17"/>
  <c r="V391" i="17" l="1"/>
  <c r="Y390" i="17"/>
  <c r="V392" i="17" l="1"/>
  <c r="X412" i="17" s="1"/>
  <c r="Y391" i="17"/>
  <c r="V393" i="17" l="1"/>
  <c r="Y392" i="17"/>
  <c r="V394" i="17" l="1"/>
  <c r="X413" i="17" s="1"/>
  <c r="Y393" i="17"/>
  <c r="V395" i="17" l="1"/>
  <c r="X416" i="17" s="1"/>
  <c r="Y394" i="17"/>
  <c r="X420" i="17" l="1"/>
  <c r="V396" i="17"/>
  <c r="X422" i="17" s="1"/>
  <c r="Y395" i="17"/>
  <c r="X415" i="17" l="1"/>
  <c r="V397" i="17"/>
  <c r="Y396" i="17"/>
  <c r="X417" i="17" l="1"/>
  <c r="X414" i="17"/>
  <c r="V398" i="17"/>
  <c r="Y397" i="17"/>
  <c r="X424" i="17" l="1"/>
  <c r="X421" i="17"/>
  <c r="X423" i="17"/>
  <c r="X418" i="17"/>
  <c r="V399" i="17"/>
  <c r="Y398" i="17"/>
  <c r="X425" i="17" l="1"/>
  <c r="X419" i="17"/>
  <c r="X426" i="17"/>
  <c r="V400" i="17"/>
  <c r="Y399" i="17"/>
  <c r="X428" i="17" l="1"/>
  <c r="X427" i="17"/>
  <c r="V401" i="17"/>
  <c r="Y400" i="17"/>
  <c r="V410" i="17" l="1"/>
  <c r="Y401" i="17"/>
  <c r="V411" i="17" l="1"/>
  <c r="Y410" i="17"/>
  <c r="V412" i="17" l="1"/>
  <c r="Y411" i="17"/>
  <c r="V413" i="17" l="1"/>
  <c r="Y412" i="17"/>
  <c r="V414" i="17" l="1"/>
  <c r="Y413" i="17"/>
  <c r="V415" i="17" l="1"/>
  <c r="X437" i="17" s="1"/>
  <c r="Y414" i="17"/>
  <c r="V416" i="17" l="1"/>
  <c r="Y415" i="17"/>
  <c r="V417" i="17" l="1"/>
  <c r="X436" i="17" s="1"/>
  <c r="Y436" i="17" s="1"/>
  <c r="Y416" i="17"/>
  <c r="V418" i="17" l="1"/>
  <c r="Y417" i="17"/>
  <c r="V419" i="17" l="1"/>
  <c r="X442" i="17" s="1"/>
  <c r="Y418" i="17"/>
  <c r="V420" i="17" l="1"/>
  <c r="X440" i="17" s="1"/>
  <c r="Y419" i="17"/>
  <c r="V421" i="17" l="1"/>
  <c r="Y420" i="17"/>
  <c r="V422" i="17" l="1"/>
  <c r="Y421" i="17"/>
  <c r="X438" i="17" l="1"/>
  <c r="X445" i="17"/>
  <c r="X444" i="17"/>
  <c r="V423" i="17"/>
  <c r="X443" i="17" s="1"/>
  <c r="Y422" i="17"/>
  <c r="X441" i="17" l="1"/>
  <c r="V424" i="17"/>
  <c r="X447" i="17" s="1"/>
  <c r="Y423" i="17"/>
  <c r="X449" i="17" l="1"/>
  <c r="V425" i="17"/>
  <c r="X451" i="17" s="1"/>
  <c r="Y424" i="17"/>
  <c r="X446" i="17" l="1"/>
  <c r="V426" i="17"/>
  <c r="X452" i="17" s="1"/>
  <c r="Y425" i="17"/>
  <c r="X448" i="17" l="1"/>
  <c r="X450" i="17"/>
  <c r="X439" i="17"/>
  <c r="X453" i="17"/>
  <c r="V427" i="17"/>
  <c r="Y426" i="17"/>
  <c r="X454" i="17" l="1"/>
  <c r="X455" i="17"/>
  <c r="V428" i="17"/>
  <c r="Y427" i="17"/>
  <c r="V437" i="17" l="1"/>
  <c r="Y428" i="17"/>
  <c r="V438" i="17" l="1"/>
  <c r="X463" i="17" s="1"/>
  <c r="Y463" i="17" s="1"/>
  <c r="Y437" i="17"/>
  <c r="V439" i="17" l="1"/>
  <c r="X464" i="17" s="1"/>
  <c r="Y438" i="17"/>
  <c r="V440" i="17" l="1"/>
  <c r="Y439" i="17"/>
  <c r="V441" i="17" l="1"/>
  <c r="Y440" i="17"/>
  <c r="V442" i="17" l="1"/>
  <c r="Y441" i="17"/>
  <c r="V443" i="17" l="1"/>
  <c r="Y442" i="17"/>
  <c r="V444" i="17" l="1"/>
  <c r="X468" i="17" s="1"/>
  <c r="Y443" i="17"/>
  <c r="V445" i="17" l="1"/>
  <c r="Y444" i="17"/>
  <c r="V446" i="17" l="1"/>
  <c r="X467" i="17" s="1"/>
  <c r="Y445" i="17"/>
  <c r="X469" i="17" l="1"/>
  <c r="V447" i="17"/>
  <c r="Y446" i="17"/>
  <c r="V448" i="17" l="1"/>
  <c r="Y447" i="17"/>
  <c r="X465" i="17" l="1"/>
  <c r="V449" i="17"/>
  <c r="Y448" i="17"/>
  <c r="V450" i="17" l="1"/>
  <c r="X475" i="17" s="1"/>
  <c r="Y449" i="17"/>
  <c r="V451" i="17" l="1"/>
  <c r="Y450" i="17"/>
  <c r="X466" i="17" l="1"/>
  <c r="X471" i="17"/>
  <c r="V452" i="17"/>
  <c r="X476" i="17" s="1"/>
  <c r="Y451" i="17"/>
  <c r="X470" i="17" l="1"/>
  <c r="X472" i="17"/>
  <c r="X474" i="17"/>
  <c r="V453" i="17"/>
  <c r="X477" i="17" s="1"/>
  <c r="Y452" i="17"/>
  <c r="X479" i="17" l="1"/>
  <c r="X473" i="17"/>
  <c r="X478" i="17"/>
  <c r="X480" i="17"/>
  <c r="V454" i="17"/>
  <c r="Y453" i="17"/>
  <c r="X482" i="17" l="1"/>
  <c r="X481" i="17"/>
  <c r="V455" i="17"/>
  <c r="Y454" i="17"/>
  <c r="V464" i="17" l="1"/>
  <c r="Y455" i="17"/>
  <c r="V465" i="17" l="1"/>
  <c r="Y464" i="17"/>
  <c r="V466" i="17" l="1"/>
  <c r="X490" i="17" s="1"/>
  <c r="Y490" i="17" s="1"/>
  <c r="Y465" i="17"/>
  <c r="V467" i="17" l="1"/>
  <c r="Y466" i="17"/>
  <c r="V468" i="17" l="1"/>
  <c r="Y467" i="17"/>
  <c r="V469" i="17" l="1"/>
  <c r="Y468" i="17"/>
  <c r="V470" i="17" l="1"/>
  <c r="Y469" i="17"/>
  <c r="V471" i="17" l="1"/>
  <c r="Y470" i="17"/>
  <c r="V472" i="17" l="1"/>
  <c r="Y471" i="17"/>
  <c r="V473" i="17" l="1"/>
  <c r="Y472" i="17"/>
  <c r="V474" i="17" l="1"/>
  <c r="Y473" i="17"/>
  <c r="X497" i="17" l="1"/>
  <c r="V475" i="17"/>
  <c r="X495" i="17" s="1"/>
  <c r="Y474" i="17"/>
  <c r="X498" i="17" l="1"/>
  <c r="V476" i="17"/>
  <c r="X499" i="17" s="1"/>
  <c r="Y475" i="17"/>
  <c r="X493" i="17" l="1"/>
  <c r="V477" i="17"/>
  <c r="Y476" i="17"/>
  <c r="X496" i="17" l="1"/>
  <c r="V478" i="17"/>
  <c r="Y477" i="17"/>
  <c r="X500" i="17" l="1"/>
  <c r="X503" i="17"/>
  <c r="X502" i="17"/>
  <c r="X491" i="17"/>
  <c r="V479" i="17"/>
  <c r="Y478" i="17"/>
  <c r="X492" i="17" l="1"/>
  <c r="X501" i="17"/>
  <c r="X504" i="17"/>
  <c r="V480" i="17"/>
  <c r="X505" i="17" s="1"/>
  <c r="Y479" i="17"/>
  <c r="X507" i="17" l="1"/>
  <c r="X494" i="17"/>
  <c r="X506" i="17"/>
  <c r="V481" i="17"/>
  <c r="Y480" i="17"/>
  <c r="X508" i="17" l="1"/>
  <c r="X509" i="17"/>
  <c r="V482" i="17"/>
  <c r="Y481" i="17"/>
  <c r="V491" i="17" l="1"/>
  <c r="Y482" i="17"/>
  <c r="V492" i="17" l="1"/>
  <c r="Y491" i="17"/>
  <c r="V493" i="17" l="1"/>
  <c r="X517" i="17" s="1"/>
  <c r="Y517" i="17" s="1"/>
  <c r="Y492" i="17"/>
  <c r="V494" i="17" l="1"/>
  <c r="Y493" i="17"/>
  <c r="V495" i="17" l="1"/>
  <c r="Y494" i="17"/>
  <c r="V496" i="17" l="1"/>
  <c r="Y495" i="17"/>
  <c r="V497" i="17" l="1"/>
  <c r="Y496" i="17"/>
  <c r="V498" i="17" l="1"/>
  <c r="Y497" i="17"/>
  <c r="X518" i="17" l="1"/>
  <c r="V499" i="17"/>
  <c r="X520" i="17" s="1"/>
  <c r="Y498" i="17"/>
  <c r="V500" i="17" l="1"/>
  <c r="Y499" i="17"/>
  <c r="X521" i="17" l="1"/>
  <c r="V501" i="17"/>
  <c r="Y500" i="17"/>
  <c r="X519" i="17" l="1"/>
  <c r="V502" i="17"/>
  <c r="X522" i="17" s="1"/>
  <c r="Y501" i="17"/>
  <c r="V503" i="17" l="1"/>
  <c r="X523" i="17" s="1"/>
  <c r="Y502" i="17"/>
  <c r="V504" i="17" l="1"/>
  <c r="Y503" i="17"/>
  <c r="X529" i="17" l="1"/>
  <c r="V505" i="17"/>
  <c r="X530" i="17" s="1"/>
  <c r="Y504" i="17"/>
  <c r="X526" i="17" l="1"/>
  <c r="X525" i="17"/>
  <c r="X524" i="17"/>
  <c r="V506" i="17"/>
  <c r="Y505" i="17"/>
  <c r="X531" i="17" l="1"/>
  <c r="X527" i="17"/>
  <c r="V507" i="17"/>
  <c r="X534" i="17" s="1"/>
  <c r="Y506" i="17"/>
  <c r="X532" i="17" l="1"/>
  <c r="X528" i="17"/>
  <c r="X533" i="17"/>
  <c r="V508" i="17"/>
  <c r="Y507" i="17"/>
  <c r="X536" i="17" l="1"/>
  <c r="X535" i="17"/>
  <c r="V509" i="17"/>
  <c r="Y508" i="17"/>
  <c r="V518" i="17" l="1"/>
  <c r="Y509" i="17"/>
  <c r="V519" i="17" l="1"/>
  <c r="Y518" i="17"/>
  <c r="V520" i="17" l="1"/>
  <c r="Y519" i="17"/>
  <c r="V521" i="17" l="1"/>
  <c r="Y520" i="17"/>
  <c r="V522" i="17" l="1"/>
  <c r="Y521" i="17"/>
  <c r="X545" i="17" l="1"/>
  <c r="V523" i="17"/>
  <c r="X544" i="17" s="1"/>
  <c r="Y544" i="17" s="1"/>
  <c r="Y522" i="17"/>
  <c r="V524" i="17" l="1"/>
  <c r="X547" i="17" s="1"/>
  <c r="Y523" i="17"/>
  <c r="V525" i="17" l="1"/>
  <c r="Y524" i="17"/>
  <c r="V526" i="17" l="1"/>
  <c r="X546" i="17" s="1"/>
  <c r="Y525" i="17"/>
  <c r="V527" i="17" l="1"/>
  <c r="Y526" i="17"/>
  <c r="V528" i="17" l="1"/>
  <c r="Y527" i="17"/>
  <c r="V529" i="17" l="1"/>
  <c r="Y528" i="17"/>
  <c r="X550" i="17" l="1"/>
  <c r="X548" i="17"/>
  <c r="V530" i="17"/>
  <c r="X553" i="17" s="1"/>
  <c r="Y529" i="17"/>
  <c r="X551" i="17" l="1"/>
  <c r="V531" i="17"/>
  <c r="X552" i="17" s="1"/>
  <c r="Y530" i="17"/>
  <c r="X549" i="17" l="1"/>
  <c r="V532" i="17"/>
  <c r="X554" i="17" s="1"/>
  <c r="Y531" i="17"/>
  <c r="V533" i="17" l="1"/>
  <c r="Y532" i="17"/>
  <c r="X558" i="17" l="1"/>
  <c r="X556" i="17"/>
  <c r="X557" i="17"/>
  <c r="X555" i="17"/>
  <c r="V534" i="17"/>
  <c r="X561" i="17" s="1"/>
  <c r="Y533" i="17"/>
  <c r="X559" i="17" l="1"/>
  <c r="X560" i="17"/>
  <c r="V535" i="17"/>
  <c r="Y534" i="17"/>
  <c r="X563" i="17" l="1"/>
  <c r="X562" i="17"/>
  <c r="V536" i="17"/>
  <c r="Y535" i="17"/>
  <c r="V545" i="17" l="1"/>
  <c r="Y536" i="17"/>
  <c r="V546" i="17" l="1"/>
  <c r="X571" i="17" s="1"/>
  <c r="Y571" i="17" s="1"/>
  <c r="Y545" i="17"/>
  <c r="V547" i="17" l="1"/>
  <c r="Y546" i="17"/>
  <c r="V548" i="17" l="1"/>
  <c r="Y547" i="17"/>
  <c r="V549" i="17" l="1"/>
  <c r="X572" i="17" s="1"/>
  <c r="Y548" i="17"/>
  <c r="V550" i="17" l="1"/>
  <c r="Y549" i="17"/>
  <c r="V551" i="17" l="1"/>
  <c r="Y550" i="17"/>
  <c r="V552" i="17" l="1"/>
  <c r="Y551" i="17"/>
  <c r="V553" i="17" l="1"/>
  <c r="Y552" i="17"/>
  <c r="V554" i="17" l="1"/>
  <c r="Y553" i="17"/>
  <c r="X574" i="17" l="1"/>
  <c r="X575" i="17"/>
  <c r="V555" i="17"/>
  <c r="Y554" i="17"/>
  <c r="V556" i="17" l="1"/>
  <c r="Y555" i="17"/>
  <c r="X576" i="17" l="1"/>
  <c r="X573" i="17"/>
  <c r="V557" i="17"/>
  <c r="X577" i="17" s="1"/>
  <c r="Y556" i="17"/>
  <c r="X584" i="17" l="1"/>
  <c r="V558" i="17"/>
  <c r="Y557" i="17"/>
  <c r="V559" i="17" l="1"/>
  <c r="X581" i="17" s="1"/>
  <c r="Y558" i="17"/>
  <c r="X583" i="17" l="1"/>
  <c r="V560" i="17"/>
  <c r="Y559" i="17"/>
  <c r="X587" i="17" l="1"/>
  <c r="X580" i="17"/>
  <c r="X582" i="17"/>
  <c r="X579" i="17"/>
  <c r="V561" i="17"/>
  <c r="X586" i="17" s="1"/>
  <c r="Y560" i="17"/>
  <c r="X588" i="17" l="1"/>
  <c r="X578" i="17"/>
  <c r="X585" i="17"/>
  <c r="V562" i="17"/>
  <c r="Y561" i="17"/>
  <c r="X589" i="17" l="1"/>
  <c r="X590" i="17"/>
  <c r="V563" i="17"/>
  <c r="Y562" i="17"/>
  <c r="V572" i="17" l="1"/>
  <c r="Y563" i="17"/>
  <c r="V573" i="17" l="1"/>
  <c r="Y572" i="17"/>
  <c r="V574" i="17" l="1"/>
  <c r="Y573" i="17"/>
  <c r="V575" i="17" l="1"/>
  <c r="Y574" i="17"/>
  <c r="V576" i="17" l="1"/>
  <c r="Y575" i="17"/>
  <c r="V577" i="17" l="1"/>
  <c r="Y576" i="17"/>
  <c r="V578" i="17" l="1"/>
  <c r="X601" i="17" s="1"/>
  <c r="Y577" i="17"/>
  <c r="V579" i="17" l="1"/>
  <c r="Y578" i="17"/>
  <c r="V580" i="17" l="1"/>
  <c r="Y579" i="17"/>
  <c r="X600" i="17" l="1"/>
  <c r="X598" i="17"/>
  <c r="Y598" i="17" s="1"/>
  <c r="V581" i="17"/>
  <c r="X599" i="17" s="1"/>
  <c r="Y580" i="17"/>
  <c r="V582" i="17" l="1"/>
  <c r="X602" i="17" s="1"/>
  <c r="Y581" i="17"/>
  <c r="V583" i="17" l="1"/>
  <c r="Y582" i="17"/>
  <c r="X603" i="17" l="1"/>
  <c r="V584" i="17"/>
  <c r="Y583" i="17"/>
  <c r="X605" i="17" l="1"/>
  <c r="V585" i="17"/>
  <c r="Y584" i="17"/>
  <c r="X607" i="17" l="1"/>
  <c r="X606" i="17"/>
  <c r="V586" i="17"/>
  <c r="Y585" i="17"/>
  <c r="X604" i="17" l="1"/>
  <c r="V587" i="17"/>
  <c r="Y586" i="17"/>
  <c r="X608" i="17" l="1"/>
  <c r="X609" i="17"/>
  <c r="X610" i="17"/>
  <c r="X612" i="17"/>
  <c r="V588" i="17"/>
  <c r="X611" i="17" s="1"/>
  <c r="Y587" i="17"/>
  <c r="X613" i="17" l="1"/>
  <c r="X615" i="17"/>
  <c r="X614" i="17"/>
  <c r="V589" i="17"/>
  <c r="Y588" i="17"/>
  <c r="X617" i="17" l="1"/>
  <c r="X616" i="17"/>
  <c r="V590" i="17"/>
  <c r="Y589" i="17"/>
  <c r="V599" i="17" l="1"/>
  <c r="Y590" i="17"/>
  <c r="V600" i="17" l="1"/>
  <c r="Y599" i="17"/>
  <c r="V601" i="17" l="1"/>
  <c r="X625" i="17" s="1"/>
  <c r="Y600" i="17"/>
  <c r="Y625" i="17" l="1"/>
  <c r="AB9" i="6"/>
  <c r="V602" i="17"/>
  <c r="Y601" i="17"/>
  <c r="AD9" i="6" l="1"/>
  <c r="O9" i="6" s="1"/>
  <c r="V603" i="17"/>
  <c r="Y602" i="17"/>
  <c r="X628" i="17" l="1"/>
  <c r="V604" i="17"/>
  <c r="X626" i="17" s="1"/>
  <c r="Y603" i="17"/>
  <c r="V605" i="17" l="1"/>
  <c r="Y604" i="17"/>
  <c r="V606" i="17" l="1"/>
  <c r="Y605" i="17"/>
  <c r="V607" i="17" l="1"/>
  <c r="X627" i="17" s="1"/>
  <c r="Y606" i="17"/>
  <c r="V608" i="17" l="1"/>
  <c r="Y607" i="17"/>
  <c r="V609" i="17" l="1"/>
  <c r="Y608" i="17"/>
  <c r="X629" i="17" l="1"/>
  <c r="V610" i="17"/>
  <c r="Y609" i="17"/>
  <c r="X630" i="17" l="1"/>
  <c r="V611" i="17"/>
  <c r="Y610" i="17"/>
  <c r="X633" i="17" l="1"/>
  <c r="V612" i="17"/>
  <c r="Y611" i="17"/>
  <c r="X636" i="17" l="1"/>
  <c r="X631" i="17"/>
  <c r="V613" i="17"/>
  <c r="Y612" i="17"/>
  <c r="X635" i="17" l="1"/>
  <c r="X632" i="17"/>
  <c r="V614" i="17"/>
  <c r="X637" i="17" s="1"/>
  <c r="Y613" i="17"/>
  <c r="X638" i="17" l="1"/>
  <c r="V615" i="17"/>
  <c r="X640" i="17" s="1"/>
  <c r="Y614" i="17"/>
  <c r="X641" i="17" l="1"/>
  <c r="X639" i="17"/>
  <c r="X634" i="17"/>
  <c r="X642" i="17"/>
  <c r="V616" i="17"/>
  <c r="Y615" i="17"/>
  <c r="X644" i="17" l="1"/>
  <c r="X643" i="17"/>
  <c r="V617" i="17"/>
  <c r="Y616" i="17"/>
  <c r="V626" i="17" l="1"/>
  <c r="Y617" i="17"/>
  <c r="X653" i="17" l="1"/>
  <c r="V627" i="17"/>
  <c r="Y626" i="17"/>
  <c r="V628" i="17" l="1"/>
  <c r="X654" i="17" s="1"/>
  <c r="Y627" i="17"/>
  <c r="X655" i="17" l="1"/>
  <c r="V629" i="17"/>
  <c r="Y628" i="17"/>
  <c r="V630" i="17" l="1"/>
  <c r="X656" i="17" s="1"/>
  <c r="Y629" i="17"/>
  <c r="X657" i="17" l="1"/>
  <c r="V631" i="17"/>
  <c r="Y630" i="17"/>
  <c r="V632" i="17" l="1"/>
  <c r="Y631" i="17"/>
  <c r="X659" i="17" l="1"/>
  <c r="V633" i="17"/>
  <c r="Y632" i="17"/>
  <c r="X660" i="17" l="1"/>
  <c r="V634" i="17"/>
  <c r="Y633" i="17"/>
  <c r="V635" i="17" l="1"/>
  <c r="X661" i="17" s="1"/>
  <c r="Y634" i="17"/>
  <c r="X662" i="17" l="1"/>
  <c r="V636" i="17"/>
  <c r="Y635" i="17"/>
  <c r="X663" i="17" l="1"/>
  <c r="V637" i="17"/>
  <c r="Y636" i="17"/>
  <c r="V638" i="17" l="1"/>
  <c r="Y637" i="17"/>
  <c r="V639" i="17" l="1"/>
  <c r="X658" i="17" s="1"/>
  <c r="Y638" i="17"/>
  <c r="X665" i="17" l="1"/>
  <c r="X666" i="17"/>
  <c r="V640" i="17"/>
  <c r="X664" i="17" s="1"/>
  <c r="Y639" i="17"/>
  <c r="V641" i="17" l="1"/>
  <c r="X667" i="17" s="1"/>
  <c r="Y640" i="17"/>
  <c r="X668" i="17" l="1"/>
  <c r="V642" i="17"/>
  <c r="Y641" i="17"/>
  <c r="X669" i="17" l="1"/>
  <c r="V643" i="17"/>
  <c r="Y642" i="17"/>
  <c r="X670" i="17" l="1"/>
  <c r="X671" i="17"/>
  <c r="V644" i="17"/>
  <c r="Y643" i="17"/>
  <c r="V653" i="17" l="1"/>
  <c r="Y644" i="17"/>
  <c r="X680" i="17" l="1"/>
  <c r="V654" i="17"/>
  <c r="Y653" i="17"/>
  <c r="X681" i="17" l="1"/>
  <c r="V655" i="17"/>
  <c r="Y654" i="17"/>
  <c r="X682" i="17" l="1"/>
  <c r="V656" i="17"/>
  <c r="Y655" i="17"/>
  <c r="V657" i="17" l="1"/>
  <c r="X683" i="17" s="1"/>
  <c r="Y656" i="17"/>
  <c r="X684" i="17" l="1"/>
  <c r="V658" i="17"/>
  <c r="Y657" i="17"/>
  <c r="X685" i="17" l="1"/>
  <c r="V659" i="17"/>
  <c r="Y658" i="17"/>
  <c r="X686" i="17" l="1"/>
  <c r="V660" i="17"/>
  <c r="Y659" i="17"/>
  <c r="V661" i="17" l="1"/>
  <c r="Y660" i="17"/>
  <c r="X688" i="17" l="1"/>
  <c r="V662" i="17"/>
  <c r="X687" i="17" s="1"/>
  <c r="Y661" i="17"/>
  <c r="V663" i="17" l="1"/>
  <c r="X689" i="17" s="1"/>
  <c r="Y662" i="17"/>
  <c r="X690" i="17" l="1"/>
  <c r="V664" i="17"/>
  <c r="Y663" i="17"/>
  <c r="V665" i="17" l="1"/>
  <c r="Y664" i="17"/>
  <c r="X692" i="17" l="1"/>
  <c r="V666" i="17"/>
  <c r="X691" i="17" s="1"/>
  <c r="Y665" i="17"/>
  <c r="X693" i="17" l="1"/>
  <c r="V667" i="17"/>
  <c r="Y666" i="17"/>
  <c r="X694" i="17" l="1"/>
  <c r="V668" i="17"/>
  <c r="Y667" i="17"/>
  <c r="X695" i="17" l="1"/>
  <c r="V669" i="17"/>
  <c r="Y668" i="17"/>
  <c r="X696" i="17" l="1"/>
  <c r="V670" i="17"/>
  <c r="Y669" i="17"/>
  <c r="X697" i="17" l="1"/>
  <c r="X698" i="17"/>
  <c r="V671" i="17"/>
  <c r="Y670" i="17"/>
  <c r="V680" i="17" l="1"/>
  <c r="Y671" i="17"/>
  <c r="X707" i="17" l="1"/>
  <c r="V681" i="17"/>
  <c r="Y680" i="17"/>
  <c r="V682" i="17" l="1"/>
  <c r="Y681" i="17"/>
  <c r="V683" i="17" l="1"/>
  <c r="X709" i="17" s="1"/>
  <c r="Y682" i="17"/>
  <c r="V684" i="17" l="1"/>
  <c r="X710" i="17" s="1"/>
  <c r="Y683" i="17"/>
  <c r="X711" i="17" l="1"/>
  <c r="V685" i="17"/>
  <c r="Y684" i="17"/>
  <c r="X712" i="17" l="1"/>
  <c r="V686" i="17"/>
  <c r="Y685" i="17"/>
  <c r="X713" i="17" l="1"/>
  <c r="V687" i="17"/>
  <c r="Y686" i="17"/>
  <c r="X714" i="17" l="1"/>
  <c r="V688" i="17"/>
  <c r="Y687" i="17"/>
  <c r="X715" i="17" l="1"/>
  <c r="V689" i="17"/>
  <c r="X708" i="17" s="1"/>
  <c r="Y688" i="17"/>
  <c r="V690" i="17" l="1"/>
  <c r="Y689" i="17"/>
  <c r="X717" i="17" l="1"/>
  <c r="V691" i="17"/>
  <c r="X716" i="17" s="1"/>
  <c r="Y690" i="17"/>
  <c r="V692" i="17" l="1"/>
  <c r="X718" i="17" s="1"/>
  <c r="Y691" i="17"/>
  <c r="V693" i="17" l="1"/>
  <c r="X719" i="17" s="1"/>
  <c r="Y692" i="17"/>
  <c r="X720" i="17" l="1"/>
  <c r="V694" i="17"/>
  <c r="Y693" i="17"/>
  <c r="X721" i="17" l="1"/>
  <c r="V695" i="17"/>
  <c r="Y694" i="17"/>
  <c r="X722" i="17" l="1"/>
  <c r="V696" i="17"/>
  <c r="Y695" i="17"/>
  <c r="X723" i="17" l="1"/>
  <c r="V697" i="17"/>
  <c r="Y696" i="17"/>
  <c r="X724" i="17" l="1"/>
  <c r="X725" i="17"/>
  <c r="V698" i="17"/>
  <c r="Y697" i="17"/>
  <c r="V707" i="17" l="1"/>
  <c r="Y698" i="17"/>
  <c r="X734" i="17" l="1"/>
  <c r="V708" i="17"/>
  <c r="Y707" i="17"/>
  <c r="V709" i="17" l="1"/>
  <c r="X735" i="17" s="1"/>
  <c r="Y708" i="17"/>
  <c r="V710" i="17" l="1"/>
  <c r="X736" i="17" s="1"/>
  <c r="Y709" i="17"/>
  <c r="X737" i="17" l="1"/>
  <c r="V711" i="17"/>
  <c r="Y710" i="17"/>
  <c r="X738" i="17" l="1"/>
  <c r="V712" i="17"/>
  <c r="Y711" i="17"/>
  <c r="X739" i="17" l="1"/>
  <c r="V713" i="17"/>
  <c r="Y712" i="17"/>
  <c r="X740" i="17" l="1"/>
  <c r="V714" i="17"/>
  <c r="Y713" i="17"/>
  <c r="V715" i="17" l="1"/>
  <c r="Y714" i="17"/>
  <c r="V716" i="17" l="1"/>
  <c r="Y715" i="17"/>
  <c r="X742" i="17" l="1"/>
  <c r="X741" i="17"/>
  <c r="X743" i="17"/>
  <c r="V717" i="17"/>
  <c r="Y716" i="17"/>
  <c r="X744" i="17" l="1"/>
  <c r="V718" i="17"/>
  <c r="Y717" i="17"/>
  <c r="X745" i="17" l="1"/>
  <c r="V719" i="17"/>
  <c r="Y718" i="17"/>
  <c r="X746" i="17" l="1"/>
  <c r="V720" i="17"/>
  <c r="Y719" i="17"/>
  <c r="X747" i="17" l="1"/>
  <c r="V721" i="17"/>
  <c r="Y720" i="17"/>
  <c r="X748" i="17" l="1"/>
  <c r="V722" i="17"/>
  <c r="Y721" i="17"/>
  <c r="X749" i="17" l="1"/>
  <c r="V723" i="17"/>
  <c r="Y722" i="17"/>
  <c r="X750" i="17" l="1"/>
  <c r="V724" i="17"/>
  <c r="Y723" i="17"/>
  <c r="X752" i="17" l="1"/>
  <c r="X751" i="17"/>
  <c r="V725" i="17"/>
  <c r="Y724" i="17"/>
  <c r="V734" i="17" l="1"/>
  <c r="Y725" i="17"/>
  <c r="X761" i="17" l="1"/>
  <c r="V735" i="17"/>
  <c r="Y734" i="17"/>
  <c r="V736" i="17" l="1"/>
  <c r="X762" i="17" s="1"/>
  <c r="Y735" i="17"/>
  <c r="X763" i="17" l="1"/>
  <c r="V737" i="17"/>
  <c r="Y736" i="17"/>
  <c r="V738" i="17" l="1"/>
  <c r="X764" i="17" s="1"/>
  <c r="Y737" i="17"/>
  <c r="X765" i="17" l="1"/>
  <c r="V739" i="17"/>
  <c r="Y738" i="17"/>
  <c r="X766" i="17" l="1"/>
  <c r="V740" i="17"/>
  <c r="Y739" i="17"/>
  <c r="X767" i="17" l="1"/>
  <c r="V741" i="17"/>
  <c r="Y740" i="17"/>
  <c r="X768" i="17" l="1"/>
  <c r="V742" i="17"/>
  <c r="Y741" i="17"/>
  <c r="V743" i="17" l="1"/>
  <c r="Y742" i="17"/>
  <c r="X770" i="17" l="1"/>
  <c r="V744" i="17"/>
  <c r="Y743" i="17"/>
  <c r="X771" i="17" l="1"/>
  <c r="V745" i="17"/>
  <c r="Y744" i="17"/>
  <c r="V746" i="17" l="1"/>
  <c r="Y745" i="17"/>
  <c r="X773" i="17" l="1"/>
  <c r="V747" i="17"/>
  <c r="X772" i="17" s="1"/>
  <c r="Y746" i="17"/>
  <c r="X774" i="17" l="1"/>
  <c r="V748" i="17"/>
  <c r="Y747" i="17"/>
  <c r="X775" i="17" l="1"/>
  <c r="V749" i="17"/>
  <c r="X769" i="17" s="1"/>
  <c r="Y748" i="17"/>
  <c r="X776" i="17" l="1"/>
  <c r="V750" i="17"/>
  <c r="Y749" i="17"/>
  <c r="X777" i="17" l="1"/>
  <c r="V751" i="17"/>
  <c r="Y750" i="17"/>
  <c r="X779" i="17" l="1"/>
  <c r="X778" i="17"/>
  <c r="V752" i="17"/>
  <c r="Y751" i="17"/>
  <c r="V761" i="17" l="1"/>
  <c r="Y752" i="17"/>
  <c r="X788" i="17" l="1"/>
  <c r="V762" i="17"/>
  <c r="Y761" i="17"/>
  <c r="V763" i="17" l="1"/>
  <c r="X789" i="17" s="1"/>
  <c r="Y762" i="17"/>
  <c r="X790" i="17" l="1"/>
  <c r="V764" i="17"/>
  <c r="Y763" i="17"/>
  <c r="V765" i="17" l="1"/>
  <c r="X791" i="17" s="1"/>
  <c r="Y764" i="17"/>
  <c r="X792" i="17" l="1"/>
  <c r="V766" i="17"/>
  <c r="Y765" i="17"/>
  <c r="V767" i="17" l="1"/>
  <c r="X793" i="17" s="1"/>
  <c r="Y766" i="17"/>
  <c r="V768" i="17" l="1"/>
  <c r="X794" i="17" s="1"/>
  <c r="Y767" i="17"/>
  <c r="V769" i="17" l="1"/>
  <c r="X795" i="17" s="1"/>
  <c r="Y768" i="17"/>
  <c r="X796" i="17" l="1"/>
  <c r="V770" i="17"/>
  <c r="Y769" i="17"/>
  <c r="X797" i="17" l="1"/>
  <c r="V771" i="17"/>
  <c r="Y770" i="17"/>
  <c r="V772" i="17" l="1"/>
  <c r="X798" i="17" s="1"/>
  <c r="Y771" i="17"/>
  <c r="V773" i="17" l="1"/>
  <c r="X799" i="17" s="1"/>
  <c r="Y772" i="17"/>
  <c r="X800" i="17" l="1"/>
  <c r="V774" i="17"/>
  <c r="Y773" i="17"/>
  <c r="X801" i="17" l="1"/>
  <c r="V775" i="17"/>
  <c r="Y774" i="17"/>
  <c r="X802" i="17" l="1"/>
  <c r="V776" i="17"/>
  <c r="Y775" i="17"/>
  <c r="X803" i="17" l="1"/>
  <c r="V777" i="17"/>
  <c r="Y776" i="17"/>
  <c r="X804" i="17" l="1"/>
  <c r="V778" i="17"/>
  <c r="Y777" i="17"/>
  <c r="X805" i="17" l="1"/>
  <c r="X806" i="17"/>
  <c r="V779" i="17"/>
  <c r="Y778" i="17"/>
  <c r="V788" i="17" l="1"/>
  <c r="Y779" i="17"/>
  <c r="X815" i="17" l="1"/>
  <c r="V789" i="17"/>
  <c r="Y788" i="17"/>
  <c r="X816" i="17" l="1"/>
  <c r="V790" i="17"/>
  <c r="Y789" i="17"/>
  <c r="V791" i="17" l="1"/>
  <c r="X817" i="17" s="1"/>
  <c r="Y790" i="17"/>
  <c r="X818" i="17" l="1"/>
  <c r="V792" i="17"/>
  <c r="Y791" i="17"/>
  <c r="X819" i="17" l="1"/>
  <c r="V793" i="17"/>
  <c r="Y792" i="17"/>
  <c r="V794" i="17" l="1"/>
  <c r="X820" i="17" s="1"/>
  <c r="Y793" i="17"/>
  <c r="X821" i="17" l="1"/>
  <c r="V795" i="17"/>
  <c r="Y794" i="17"/>
  <c r="X822" i="17" l="1"/>
  <c r="V796" i="17"/>
  <c r="Y795" i="17"/>
  <c r="X823" i="17" l="1"/>
  <c r="V797" i="17"/>
  <c r="Y796" i="17"/>
  <c r="V798" i="17" l="1"/>
  <c r="Y797" i="17"/>
  <c r="V799" i="17" l="1"/>
  <c r="Y798" i="17"/>
  <c r="X826" i="17" l="1"/>
  <c r="V800" i="17"/>
  <c r="Y799" i="17"/>
  <c r="X827" i="17" l="1"/>
  <c r="V801" i="17"/>
  <c r="X825" i="17" s="1"/>
  <c r="Y800" i="17"/>
  <c r="X828" i="17" l="1"/>
  <c r="V802" i="17"/>
  <c r="Y801" i="17"/>
  <c r="X829" i="17" l="1"/>
  <c r="V803" i="17"/>
  <c r="Y802" i="17"/>
  <c r="X830" i="17" l="1"/>
  <c r="V804" i="17"/>
  <c r="X824" i="17" s="1"/>
  <c r="Y803" i="17"/>
  <c r="X831" i="17" l="1"/>
  <c r="V805" i="17"/>
  <c r="Y804" i="17"/>
  <c r="X832" i="17" l="1"/>
  <c r="X833" i="17"/>
  <c r="V806" i="17"/>
  <c r="Y805" i="17"/>
  <c r="V815" i="17" l="1"/>
  <c r="Y806" i="17"/>
  <c r="X842" i="17" l="1"/>
  <c r="V816" i="17"/>
  <c r="Y815" i="17"/>
  <c r="X843" i="17" l="1"/>
  <c r="V817" i="17"/>
  <c r="Y816" i="17"/>
  <c r="V818" i="17" l="1"/>
  <c r="Y817" i="17"/>
  <c r="X845" i="17" l="1"/>
  <c r="V819" i="17"/>
  <c r="X844" i="17" s="1"/>
  <c r="Y818" i="17"/>
  <c r="X846" i="17" l="1"/>
  <c r="V820" i="17"/>
  <c r="Y819" i="17"/>
  <c r="V821" i="17" l="1"/>
  <c r="X847" i="17" s="1"/>
  <c r="Y820" i="17"/>
  <c r="X848" i="17" l="1"/>
  <c r="V822" i="17"/>
  <c r="Y821" i="17"/>
  <c r="X849" i="17" l="1"/>
  <c r="V823" i="17"/>
  <c r="Y822" i="17"/>
  <c r="X850" i="17" l="1"/>
  <c r="V824" i="17"/>
  <c r="Y823" i="17"/>
  <c r="X851" i="17" l="1"/>
  <c r="V825" i="17"/>
  <c r="Y824" i="17"/>
  <c r="V826" i="17" l="1"/>
  <c r="Y825" i="17"/>
  <c r="X853" i="17" l="1"/>
  <c r="V827" i="17"/>
  <c r="Y826" i="17"/>
  <c r="X854" i="17" l="1"/>
  <c r="V828" i="17"/>
  <c r="X852" i="17" s="1"/>
  <c r="Y827" i="17"/>
  <c r="V829" i="17" l="1"/>
  <c r="X855" i="17" s="1"/>
  <c r="Y828" i="17"/>
  <c r="V830" i="17" l="1"/>
  <c r="X856" i="17" s="1"/>
  <c r="Y829" i="17"/>
  <c r="X857" i="17" l="1"/>
  <c r="V831" i="17"/>
  <c r="Y830" i="17"/>
  <c r="X858" i="17" l="1"/>
  <c r="V832" i="17"/>
  <c r="Y831" i="17"/>
  <c r="X859" i="17" l="1"/>
  <c r="X860" i="17"/>
  <c r="V833" i="17"/>
  <c r="Y832" i="17"/>
  <c r="V842" i="17" l="1"/>
  <c r="Y833" i="17"/>
  <c r="X869" i="17" l="1"/>
  <c r="V843" i="17"/>
  <c r="Y842" i="17"/>
  <c r="X870" i="17" l="1"/>
  <c r="V844" i="17"/>
  <c r="Y843" i="17"/>
  <c r="V845" i="17" l="1"/>
  <c r="X871" i="17" s="1"/>
  <c r="Y844" i="17"/>
  <c r="V846" i="17" l="1"/>
  <c r="X872" i="17" s="1"/>
  <c r="Y845" i="17"/>
  <c r="X873" i="17" l="1"/>
  <c r="V847" i="17"/>
  <c r="Y846" i="17"/>
  <c r="X874" i="17" l="1"/>
  <c r="V848" i="17"/>
  <c r="Y847" i="17"/>
  <c r="V849" i="17" l="1"/>
  <c r="Y848" i="17"/>
  <c r="X876" i="17" l="1"/>
  <c r="V850" i="17"/>
  <c r="Y849" i="17"/>
  <c r="X877" i="17" l="1"/>
  <c r="V851" i="17"/>
  <c r="Y850" i="17"/>
  <c r="V852" i="17" l="1"/>
  <c r="X878" i="17" s="1"/>
  <c r="Y851" i="17"/>
  <c r="V853" i="17" l="1"/>
  <c r="X879" i="17" s="1"/>
  <c r="Y852" i="17"/>
  <c r="X880" i="17" l="1"/>
  <c r="V854" i="17"/>
  <c r="Y853" i="17"/>
  <c r="X881" i="17" l="1"/>
  <c r="V855" i="17"/>
  <c r="Y854" i="17"/>
  <c r="X882" i="17" l="1"/>
  <c r="V856" i="17"/>
  <c r="Y855" i="17"/>
  <c r="X883" i="17" l="1"/>
  <c r="V857" i="17"/>
  <c r="Y856" i="17"/>
  <c r="V858" i="17" l="1"/>
  <c r="X875" i="17" s="1"/>
  <c r="Y857" i="17"/>
  <c r="X884" i="17" l="1"/>
  <c r="X885" i="17"/>
  <c r="V859" i="17"/>
  <c r="Y858" i="17"/>
  <c r="X886" i="17" l="1"/>
  <c r="X887" i="17"/>
  <c r="V860" i="17"/>
  <c r="Y859" i="17"/>
  <c r="V869" i="17" l="1"/>
  <c r="Y860" i="17"/>
  <c r="X896" i="17" l="1"/>
  <c r="AB10" i="6" s="1"/>
  <c r="V870" i="17"/>
  <c r="Y869" i="17"/>
  <c r="V871" i="17" l="1"/>
  <c r="X897" i="17" s="1"/>
  <c r="AB11" i="6" s="1"/>
  <c r="Y870" i="17"/>
  <c r="X898" i="17" l="1"/>
  <c r="AB12" i="6" s="1"/>
  <c r="V872" i="17"/>
  <c r="Y871" i="17"/>
  <c r="X899" i="17" l="1"/>
  <c r="AB13" i="6" s="1"/>
  <c r="V873" i="17"/>
  <c r="Y872" i="17"/>
  <c r="X900" i="17" l="1"/>
  <c r="AB14" i="6" s="1"/>
  <c r="V874" i="17"/>
  <c r="Y873" i="17"/>
  <c r="X901" i="17" l="1"/>
  <c r="AB15" i="6" s="1"/>
  <c r="V875" i="17"/>
  <c r="Y874" i="17"/>
  <c r="X902" i="17" l="1"/>
  <c r="AB16" i="6" s="1"/>
  <c r="V876" i="17"/>
  <c r="Y875" i="17"/>
  <c r="X903" i="17" l="1"/>
  <c r="AB17" i="6" s="1"/>
  <c r="V877" i="17"/>
  <c r="Y876" i="17"/>
  <c r="X904" i="17" l="1"/>
  <c r="AB18" i="6" s="1"/>
  <c r="V878" i="17"/>
  <c r="Y877" i="17"/>
  <c r="V879" i="17" l="1"/>
  <c r="X905" i="17" s="1"/>
  <c r="AB19" i="6" s="1"/>
  <c r="Y878" i="17"/>
  <c r="V880" i="17" l="1"/>
  <c r="X906" i="17" s="1"/>
  <c r="AB20" i="6" s="1"/>
  <c r="Y879" i="17"/>
  <c r="X907" i="17" l="1"/>
  <c r="AB21" i="6" s="1"/>
  <c r="V881" i="17"/>
  <c r="Y880" i="17"/>
  <c r="X908" i="17" l="1"/>
  <c r="AB22" i="6" s="1"/>
  <c r="V882" i="17"/>
  <c r="Y881" i="17"/>
  <c r="X909" i="17" l="1"/>
  <c r="AB23" i="6" s="1"/>
  <c r="V883" i="17"/>
  <c r="Y882" i="17"/>
  <c r="X910" i="17" l="1"/>
  <c r="AB24" i="6" s="1"/>
  <c r="V884" i="17"/>
  <c r="Y883" i="17"/>
  <c r="V885" i="17" l="1"/>
  <c r="X911" i="17" s="1"/>
  <c r="AB25" i="6" s="1"/>
  <c r="Y884" i="17"/>
  <c r="X912" i="17" l="1"/>
  <c r="AB26" i="6" s="1"/>
  <c r="V886" i="17"/>
  <c r="Y885" i="17"/>
  <c r="X913" i="17" l="1"/>
  <c r="X914" i="17"/>
  <c r="V887" i="17"/>
  <c r="Y886" i="17"/>
  <c r="AB27" i="6" l="1"/>
  <c r="AB28" i="6"/>
  <c r="V896" i="17"/>
  <c r="Y887" i="17"/>
  <c r="X923" i="17" l="1"/>
  <c r="V897" i="17"/>
  <c r="Y896" i="17"/>
  <c r="AD10" i="6" s="1"/>
  <c r="O10" i="6" s="1"/>
  <c r="X924" i="17" l="1"/>
  <c r="V898" i="17"/>
  <c r="Y897" i="17"/>
  <c r="AD11" i="6" s="1"/>
  <c r="O11" i="6" s="1"/>
  <c r="X925" i="17" l="1"/>
  <c r="V899" i="17"/>
  <c r="Y898" i="17"/>
  <c r="AD12" i="6" s="1"/>
  <c r="O12" i="6" s="1"/>
  <c r="X926" i="17" l="1"/>
  <c r="V900" i="17"/>
  <c r="Y899" i="17"/>
  <c r="AD13" i="6" s="1"/>
  <c r="O13" i="6" s="1"/>
  <c r="X927" i="17" l="1"/>
  <c r="V901" i="17"/>
  <c r="Y900" i="17"/>
  <c r="AD14" i="6" s="1"/>
  <c r="O14" i="6" s="1"/>
  <c r="X928" i="17" l="1"/>
  <c r="V902" i="17"/>
  <c r="Y901" i="17"/>
  <c r="AD15" i="6" s="1"/>
  <c r="O15" i="6" s="1"/>
  <c r="X929" i="17" l="1"/>
  <c r="V903" i="17"/>
  <c r="Y902" i="17"/>
  <c r="AD16" i="6" s="1"/>
  <c r="O16" i="6" s="1"/>
  <c r="X930" i="17" l="1"/>
  <c r="V904" i="17"/>
  <c r="Y903" i="17"/>
  <c r="AD17" i="6" s="1"/>
  <c r="O17" i="6" s="1"/>
  <c r="X931" i="17" l="1"/>
  <c r="V905" i="17"/>
  <c r="Y904" i="17"/>
  <c r="AD18" i="6" s="1"/>
  <c r="O18" i="6" s="1"/>
  <c r="X932" i="17" l="1"/>
  <c r="V906" i="17"/>
  <c r="Y905" i="17"/>
  <c r="AD19" i="6" s="1"/>
  <c r="O19" i="6" s="1"/>
  <c r="X933" i="17" l="1"/>
  <c r="V907" i="17"/>
  <c r="Y906" i="17"/>
  <c r="AD20" i="6" s="1"/>
  <c r="O20" i="6" s="1"/>
  <c r="X934" i="17" l="1"/>
  <c r="V908" i="17"/>
  <c r="Y907" i="17"/>
  <c r="AD21" i="6" s="1"/>
  <c r="O21" i="6" s="1"/>
  <c r="X935" i="17" l="1"/>
  <c r="V909" i="17"/>
  <c r="Y908" i="17"/>
  <c r="AD22" i="6" s="1"/>
  <c r="O22" i="6" s="1"/>
  <c r="X936" i="17" l="1"/>
  <c r="V910" i="17"/>
  <c r="Y909" i="17"/>
  <c r="AD23" i="6" s="1"/>
  <c r="O23" i="6" s="1"/>
  <c r="X937" i="17" l="1"/>
  <c r="V911" i="17"/>
  <c r="Y910" i="17"/>
  <c r="AD24" i="6" s="1"/>
  <c r="O24" i="6" s="1"/>
  <c r="X938" i="17" l="1"/>
  <c r="V912" i="17"/>
  <c r="Y911" i="17"/>
  <c r="AD25" i="6" s="1"/>
  <c r="O25" i="6" s="1"/>
  <c r="X939" i="17" l="1"/>
  <c r="V913" i="17"/>
  <c r="Y912" i="17"/>
  <c r="AD26" i="6" s="1"/>
  <c r="O26" i="6" s="1"/>
  <c r="X940" i="17" l="1"/>
  <c r="X941" i="17"/>
  <c r="V914" i="17"/>
  <c r="Y913" i="17"/>
  <c r="AD28" i="6" l="1"/>
  <c r="O28" i="6" s="1"/>
  <c r="AD27" i="6"/>
  <c r="O27" i="6" s="1"/>
  <c r="V923" i="17"/>
  <c r="Y914" i="17"/>
  <c r="X950" i="17" l="1"/>
  <c r="V924" i="17"/>
  <c r="Y923" i="17"/>
  <c r="X951" i="17" l="1"/>
  <c r="V925" i="17"/>
  <c r="Y924" i="17"/>
  <c r="X952" i="17" l="1"/>
  <c r="V926" i="17"/>
  <c r="Y925" i="17"/>
  <c r="X953" i="17" l="1"/>
  <c r="V927" i="17"/>
  <c r="Y926" i="17"/>
  <c r="X954" i="17" l="1"/>
  <c r="V928" i="17"/>
  <c r="Y927" i="17"/>
  <c r="X955" i="17" l="1"/>
  <c r="V929" i="17"/>
  <c r="Y928" i="17"/>
  <c r="X956" i="17" l="1"/>
  <c r="V930" i="17"/>
  <c r="Y929" i="17"/>
  <c r="X957" i="17" l="1"/>
  <c r="V931" i="17"/>
  <c r="Y930" i="17"/>
  <c r="X958" i="17" l="1"/>
  <c r="V932" i="17"/>
  <c r="Y931" i="17"/>
  <c r="X959" i="17" l="1"/>
  <c r="V933" i="17"/>
  <c r="Y932" i="17"/>
  <c r="X960" i="17" l="1"/>
  <c r="V934" i="17"/>
  <c r="Y933" i="17"/>
  <c r="X961" i="17" l="1"/>
  <c r="V935" i="17"/>
  <c r="Y934" i="17"/>
  <c r="X962" i="17" l="1"/>
  <c r="V936" i="17"/>
  <c r="Y935" i="17"/>
  <c r="X963" i="17" l="1"/>
  <c r="V937" i="17"/>
  <c r="Y936" i="17"/>
  <c r="X964" i="17" l="1"/>
  <c r="V938" i="17"/>
  <c r="Y937" i="17"/>
  <c r="X965" i="17" l="1"/>
  <c r="V939" i="17"/>
  <c r="Y938" i="17"/>
  <c r="X966" i="17" l="1"/>
  <c r="V940" i="17"/>
  <c r="Y939" i="17"/>
  <c r="X968" i="17" l="1"/>
  <c r="X967" i="17"/>
  <c r="V941" i="17"/>
  <c r="Y940" i="17"/>
  <c r="V950" i="17" l="1"/>
  <c r="Y941" i="17"/>
  <c r="X977" i="17" l="1"/>
  <c r="V951" i="17"/>
  <c r="Y950" i="17"/>
  <c r="X978" i="17" l="1"/>
  <c r="V952" i="17"/>
  <c r="Y951" i="17"/>
  <c r="X979" i="17" l="1"/>
  <c r="V953" i="17"/>
  <c r="Y952" i="17"/>
  <c r="X980" i="17" l="1"/>
  <c r="V954" i="17"/>
  <c r="Y953" i="17"/>
  <c r="X981" i="17" l="1"/>
  <c r="V955" i="17"/>
  <c r="Y954" i="17"/>
  <c r="X982" i="17" l="1"/>
  <c r="V956" i="17"/>
  <c r="Y955" i="17"/>
  <c r="X983" i="17" l="1"/>
  <c r="V957" i="17"/>
  <c r="Y956" i="17"/>
  <c r="X984" i="17" l="1"/>
  <c r="V958" i="17"/>
  <c r="Y957" i="17"/>
  <c r="X985" i="17" l="1"/>
  <c r="V959" i="17"/>
  <c r="Y958" i="17"/>
  <c r="X986" i="17" l="1"/>
  <c r="V960" i="17"/>
  <c r="Y959" i="17"/>
  <c r="X987" i="17" l="1"/>
  <c r="V961" i="17"/>
  <c r="Y960" i="17"/>
  <c r="X988" i="17" l="1"/>
  <c r="V962" i="17"/>
  <c r="Y961" i="17"/>
  <c r="X989" i="17" l="1"/>
  <c r="V963" i="17"/>
  <c r="Y962" i="17"/>
  <c r="X990" i="17" l="1"/>
  <c r="V964" i="17"/>
  <c r="Y963" i="17"/>
  <c r="X991" i="17" l="1"/>
  <c r="V965" i="17"/>
  <c r="Y964" i="17"/>
  <c r="X992" i="17" l="1"/>
  <c r="V966" i="17"/>
  <c r="Y965" i="17"/>
  <c r="X993" i="17" l="1"/>
  <c r="V967" i="17"/>
  <c r="Y966" i="17"/>
  <c r="X995" i="17" l="1"/>
  <c r="X994" i="17"/>
  <c r="V968" i="17"/>
  <c r="Y967" i="17"/>
  <c r="V977" i="17" l="1"/>
  <c r="Y968" i="17"/>
  <c r="X1004" i="17" l="1"/>
  <c r="V978" i="17"/>
  <c r="Y977" i="17"/>
  <c r="X1005" i="17" l="1"/>
  <c r="V979" i="17"/>
  <c r="Y978" i="17"/>
  <c r="X1006" i="17" l="1"/>
  <c r="V980" i="17"/>
  <c r="Y979" i="17"/>
  <c r="X1007" i="17" l="1"/>
  <c r="V981" i="17"/>
  <c r="Y980" i="17"/>
  <c r="X1008" i="17" l="1"/>
  <c r="V982" i="17"/>
  <c r="Y981" i="17"/>
  <c r="X1009" i="17" l="1"/>
  <c r="V983" i="17"/>
  <c r="Y982" i="17"/>
  <c r="X1010" i="17" l="1"/>
  <c r="V984" i="17"/>
  <c r="Y983" i="17"/>
  <c r="X1011" i="17" l="1"/>
  <c r="V985" i="17"/>
  <c r="Y984" i="17"/>
  <c r="X1012" i="17" l="1"/>
  <c r="V986" i="17"/>
  <c r="Y985" i="17"/>
  <c r="X1013" i="17" l="1"/>
  <c r="V987" i="17"/>
  <c r="Y986" i="17"/>
  <c r="X1014" i="17" l="1"/>
  <c r="V988" i="17"/>
  <c r="Y987" i="17"/>
  <c r="X1015" i="17" l="1"/>
  <c r="V989" i="17"/>
  <c r="Y988" i="17"/>
  <c r="X1016" i="17" l="1"/>
  <c r="V990" i="17"/>
  <c r="Y989" i="17"/>
  <c r="X1017" i="17" l="1"/>
  <c r="V991" i="17"/>
  <c r="Y990" i="17"/>
  <c r="X1018" i="17" l="1"/>
  <c r="V992" i="17"/>
  <c r="Y991" i="17"/>
  <c r="X1019" i="17" l="1"/>
  <c r="V993" i="17"/>
  <c r="Y992" i="17"/>
  <c r="X1020" i="17" l="1"/>
  <c r="V994" i="17"/>
  <c r="Y993" i="17"/>
  <c r="X1021" i="17" l="1"/>
  <c r="X1022" i="17"/>
  <c r="V995" i="17"/>
  <c r="Y994" i="17"/>
  <c r="V1004" i="17" l="1"/>
  <c r="Y995" i="17"/>
  <c r="V1005" i="17" l="1"/>
  <c r="Y1004" i="17"/>
  <c r="V1006" i="17" l="1"/>
  <c r="Y1005" i="17"/>
  <c r="V1007" i="17" l="1"/>
  <c r="Y1006" i="17"/>
  <c r="V1008" i="17" l="1"/>
  <c r="Y1007" i="17"/>
  <c r="V1009" i="17" l="1"/>
  <c r="Y1008" i="17"/>
  <c r="V1010" i="17" l="1"/>
  <c r="Y1009" i="17"/>
  <c r="V1011" i="17" l="1"/>
  <c r="Y1010" i="17"/>
  <c r="V1012" i="17" l="1"/>
  <c r="Y1011" i="17"/>
  <c r="V1013" i="17" l="1"/>
  <c r="Y1012" i="17"/>
  <c r="V1014" i="17" l="1"/>
  <c r="Y1013" i="17"/>
  <c r="V1015" i="17" l="1"/>
  <c r="Y1014" i="17"/>
  <c r="V1016" i="17" l="1"/>
  <c r="Y1015" i="17"/>
  <c r="V1017" i="17" l="1"/>
  <c r="Y1016" i="17"/>
  <c r="V1018" i="17" l="1"/>
  <c r="Y1017" i="17"/>
  <c r="V1019" i="17" l="1"/>
  <c r="Y1018" i="17"/>
  <c r="V1020" i="17" l="1"/>
  <c r="Y1019" i="17"/>
  <c r="V1021" i="17" l="1"/>
  <c r="Y1020" i="17"/>
  <c r="V1022" i="17" l="1"/>
  <c r="Y1022" i="17" s="1"/>
  <c r="Y1021" i="17"/>
</calcChain>
</file>

<file path=xl/sharedStrings.xml><?xml version="1.0" encoding="utf-8"?>
<sst xmlns="http://schemas.openxmlformats.org/spreadsheetml/2006/main" count="2324" uniqueCount="586">
  <si>
    <t>Nr.</t>
  </si>
  <si>
    <t>Spielpaarung</t>
  </si>
  <si>
    <t>Ergebnis</t>
  </si>
  <si>
    <t>Tore</t>
  </si>
  <si>
    <t>-</t>
  </si>
  <si>
    <t>1.</t>
  </si>
  <si>
    <t>2.</t>
  </si>
  <si>
    <t>3.</t>
  </si>
  <si>
    <t>4.</t>
  </si>
  <si>
    <t>5.</t>
  </si>
  <si>
    <t>6.</t>
  </si>
  <si>
    <t>Tabelle</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</si>
  <si>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</si>
  <si>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</si>
  <si>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</si>
  <si>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</si>
  <si>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</si>
  <si>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</si>
  <si>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</si>
  <si>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</si>
  <si>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</si>
  <si>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</si>
  <si>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</si>
  <si>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</si>
  <si>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</si>
  <si>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</si>
  <si>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</si>
  <si>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</si>
  <si>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</si>
  <si>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</si>
  <si>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</si>
  <si>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</si>
  <si>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</si>
  <si>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</si>
  <si>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</si>
  <si>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</si>
  <si>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</si>
  <si>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</si>
  <si>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</si>
  <si>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</si>
  <si>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</si>
  <si>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</si>
  <si>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</si>
  <si>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</si>
  <si>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</si>
  <si>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</si>
  <si>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</si>
  <si>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</si>
  <si>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</si>
  <si>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Paarungen</t>
  </si>
  <si>
    <t>Doppelte Spielpaarungen und Spiele gegen sich selbst
führen in der Gesamttabelle zu falschen Werten!</t>
  </si>
  <si>
    <t>mail@hermann-baum.de</t>
  </si>
  <si>
    <t>Bei Unstimmigkeiten bin ich für eine entsprechende Benachrichtigung sehr dankbar!</t>
  </si>
  <si>
    <t>Bonus</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</si>
  <si>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</si>
  <si>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</si>
  <si>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</si>
  <si>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</si>
  <si>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</si>
  <si>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</si>
  <si>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</si>
  <si>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</si>
  <si>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</si>
  <si>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</si>
  <si>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</si>
  <si>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</si>
  <si>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</si>
  <si>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</si>
  <si>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</si>
  <si>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</si>
  <si>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</si>
  <si>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</si>
  <si>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</si>
  <si>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</si>
  <si>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</si>
  <si>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</si>
  <si>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</si>
  <si>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</si>
  <si>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</si>
  <si>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</si>
  <si>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</si>
  <si>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</si>
  <si>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</si>
  <si>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</si>
  <si>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</si>
  <si>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</si>
  <si>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</si>
  <si>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</si>
  <si>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</si>
  <si>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</si>
  <si>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Team</t>
  </si>
  <si>
    <t>Pld</t>
  </si>
  <si>
    <t>W</t>
  </si>
  <si>
    <t>D</t>
  </si>
  <si>
    <t>L</t>
  </si>
  <si>
    <t>GF</t>
  </si>
  <si>
    <t>GA</t>
  </si>
  <si>
    <t>GD</t>
  </si>
  <si>
    <t>Pts</t>
  </si>
  <si>
    <t>Pts+ GD+ GF</t>
  </si>
  <si>
    <t>Choose language</t>
  </si>
  <si>
    <t>my language</t>
  </si>
  <si>
    <t>english</t>
  </si>
  <si>
    <t>Captions</t>
  </si>
  <si>
    <t xml:space="preserve"> - </t>
  </si>
  <si>
    <t xml:space="preserve"> : </t>
  </si>
  <si>
    <t>No.</t>
  </si>
  <si>
    <t>Results</t>
  </si>
  <si>
    <t>Result</t>
  </si>
  <si>
    <t>U</t>
  </si>
  <si>
    <t>Pkt</t>
  </si>
  <si>
    <t>TABELLE UNGÜLTIG</t>
  </si>
  <si>
    <t>INVALID TABLE</t>
  </si>
  <si>
    <t>Participants and schedule</t>
  </si>
  <si>
    <t>Participants</t>
  </si>
  <si>
    <t>Schedule</t>
  </si>
  <si>
    <t>Game no.</t>
  </si>
  <si>
    <t>English</t>
  </si>
  <si>
    <t>Deutsch</t>
  </si>
  <si>
    <t>Pairings</t>
  </si>
  <si>
    <t>If there are any discrepancies, I am very grateful for notification!</t>
  </si>
  <si>
    <t>Überschriften</t>
  </si>
  <si>
    <t>Messages</t>
  </si>
  <si>
    <t>Meldungen</t>
  </si>
  <si>
    <t>Sprache wählen</t>
  </si>
  <si>
    <t>Dein Datum</t>
  </si>
  <si>
    <t>Your date</t>
  </si>
  <si>
    <t>Deine Überschriften</t>
  </si>
  <si>
    <t>Your captions</t>
  </si>
  <si>
    <t>deutsch</t>
  </si>
  <si>
    <t>Hier klicken und Sprache wählen</t>
  </si>
  <si>
    <t>Click here and choose language</t>
  </si>
  <si>
    <t>erz. Tore</t>
  </si>
  <si>
    <t>Double match pairings and matches against oneself
lead to incorrect values in the overall table!</t>
  </si>
  <si>
    <t>first leg</t>
  </si>
  <si>
    <t>second leg</t>
  </si>
  <si>
    <t>Hinspiele</t>
  </si>
  <si>
    <t>Rückspiele</t>
  </si>
  <si>
    <t>First legs</t>
  </si>
  <si>
    <t>Second legs</t>
  </si>
  <si>
    <t>pairing first</t>
  </si>
  <si>
    <t>pairing second</t>
  </si>
  <si>
    <t>Spiel gegen</t>
  </si>
  <si>
    <t>Match against</t>
  </si>
  <si>
    <t>Note</t>
  </si>
  <si>
    <t>Anmerkung</t>
  </si>
  <si>
    <t>final</t>
  </si>
  <si>
    <t>Factors</t>
  </si>
  <si>
    <t>Gdzero</t>
  </si>
  <si>
    <t>return match</t>
  </si>
  <si>
    <t>Zeit</t>
  </si>
  <si>
    <t>Time</t>
  </si>
  <si>
    <t>Datum</t>
  </si>
  <si>
    <t>Date</t>
  </si>
  <si>
    <t>Länge der Abkürzungen:</t>
  </si>
  <si>
    <t>Length of abbreviations:</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</si>
  <si>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</si>
  <si>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</si>
  <si>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</si>
  <si>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</si>
  <si>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</si>
  <si>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</si>
  <si>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</si>
  <si>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</si>
  <si>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</si>
  <si>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</si>
  <si>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</si>
  <si>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</si>
  <si>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</si>
  <si>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</si>
  <si>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</si>
  <si>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</si>
  <si>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</si>
  <si>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</si>
  <si>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</si>
  <si>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</si>
  <si>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</si>
  <si>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</si>
  <si>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</si>
  <si>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</si>
  <si>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</si>
  <si>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</si>
  <si>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</si>
  <si>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</si>
  <si>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</si>
  <si>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</si>
  <si>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</si>
  <si>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</si>
  <si>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</si>
  <si>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</si>
  <si>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</si>
  <si>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</si>
  <si>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</si>
  <si>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</si>
  <si>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</si>
  <si>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</si>
  <si>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</si>
  <si>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</si>
  <si>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</si>
  <si>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</si>
  <si>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</si>
  <si>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</si>
  <si>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</si>
  <si>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</si>
  <si>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</si>
  <si>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</si>
  <si>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</si>
  <si>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</si>
  <si>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</si>
  <si>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</si>
  <si>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</si>
  <si>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</si>
  <si>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</si>
  <si>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</si>
  <si>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</si>
  <si>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</si>
  <si>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</si>
  <si>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</si>
  <si>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</si>
  <si>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</si>
  <si>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</si>
  <si>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</si>
  <si>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</si>
  <si>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</si>
  <si>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</si>
  <si>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</si>
  <si>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</si>
  <si>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</si>
  <si>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</si>
  <si>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</si>
  <si>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</si>
  <si>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</si>
  <si>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</si>
  <si>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</si>
  <si>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</si>
  <si>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</si>
  <si>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</si>
  <si>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</si>
  <si>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</si>
  <si>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</si>
  <si>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</si>
  <si>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</si>
  <si>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</si>
  <si>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</si>
  <si>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</si>
  <si>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</si>
  <si>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</si>
  <si>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</si>
  <si>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</si>
  <si>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</si>
  <si>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</si>
  <si>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</si>
  <si>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</si>
  <si>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</si>
  <si>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</si>
  <si>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</si>
  <si>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</si>
  <si>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</si>
  <si>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</si>
  <si>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</si>
  <si>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</si>
  <si>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</si>
  <si>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</si>
  <si>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</si>
  <si>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</si>
  <si>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</si>
  <si>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</si>
  <si>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</si>
  <si>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</si>
  <si>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</si>
  <si>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</si>
  <si>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</si>
  <si>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</si>
  <si>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</si>
  <si>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</si>
  <si>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</si>
  <si>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</si>
  <si>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</si>
  <si>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</si>
  <si>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</si>
  <si>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</si>
  <si>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</si>
  <si>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</si>
  <si>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</si>
  <si>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</si>
  <si>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</si>
  <si>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</si>
  <si>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</si>
  <si>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</si>
  <si>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</si>
  <si>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</si>
  <si>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</si>
  <si>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</si>
  <si>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</si>
  <si>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</si>
  <si>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</si>
  <si>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</si>
  <si>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</si>
  <si>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</si>
  <si>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</si>
  <si>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</si>
  <si>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</si>
  <si>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</si>
  <si>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</si>
  <si>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</si>
  <si>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</si>
  <si>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</si>
  <si>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</si>
  <si>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</si>
  <si>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</si>
  <si>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</si>
  <si>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</si>
  <si>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</si>
  <si>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</si>
  <si>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</si>
  <si>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</si>
  <si>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</si>
  <si>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</si>
  <si>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</si>
  <si>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</si>
  <si>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</si>
  <si>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</si>
  <si>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</si>
  <si>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</si>
  <si>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</si>
  <si>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</si>
  <si>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</si>
  <si>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</si>
  <si>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</si>
  <si>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</si>
  <si>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</si>
  <si>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</si>
  <si>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</si>
  <si>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</si>
  <si>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</si>
  <si>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</si>
  <si>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</si>
  <si>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</si>
  <si>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</si>
  <si>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</si>
  <si>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</si>
  <si>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</si>
  <si>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</si>
  <si>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</si>
  <si>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</si>
  <si>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</si>
  <si>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</si>
  <si>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</si>
  <si>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</si>
  <si>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</si>
  <si>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</si>
  <si>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</si>
  <si>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</si>
  <si>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</si>
  <si>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</si>
  <si>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</si>
  <si>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</si>
  <si>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</si>
  <si>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</si>
  <si>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</si>
  <si>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</si>
  <si>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</si>
  <si>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</si>
  <si>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</si>
  <si>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</si>
  <si>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</si>
  <si>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</si>
  <si>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</si>
  <si>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</si>
  <si>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</si>
  <si>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</si>
  <si>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</si>
  <si>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</si>
  <si>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</si>
  <si>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</si>
  <si>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</si>
  <si>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</si>
  <si>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</si>
  <si>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</si>
  <si>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</si>
  <si>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</si>
  <si>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</si>
  <si>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</si>
  <si>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</si>
  <si>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</si>
  <si>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</si>
  <si>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</si>
  <si>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</si>
  <si>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</si>
  <si>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</si>
  <si>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</si>
  <si>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</si>
  <si>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</si>
  <si>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</si>
  <si>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</si>
  <si>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</si>
  <si>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</si>
  <si>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</si>
  <si>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</si>
  <si>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</si>
  <si>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</si>
  <si>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</si>
  <si>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</si>
  <si>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</si>
  <si>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</si>
  <si>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</si>
  <si>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</si>
  <si>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</si>
  <si>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</si>
  <si>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</si>
  <si>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</si>
  <si>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</si>
  <si>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</si>
  <si>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</si>
  <si>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</si>
  <si>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</si>
  <si>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</si>
  <si>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</si>
  <si>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</si>
  <si>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</si>
  <si>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</si>
  <si>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</si>
  <si>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</si>
  <si>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</si>
  <si>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</si>
  <si>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</si>
  <si>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</si>
  <si>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</si>
  <si>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</si>
  <si>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</si>
  <si>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</si>
  <si>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</si>
  <si>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</si>
  <si>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</si>
  <si>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</si>
  <si>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</si>
  <si>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</si>
  <si>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</si>
  <si>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</si>
  <si>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</si>
  <si>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</si>
  <si>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</si>
  <si>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</si>
  <si>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</si>
  <si>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</si>
  <si>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</si>
  <si>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</si>
  <si>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</si>
  <si>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</si>
  <si>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</si>
  <si>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</si>
  <si>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</si>
  <si>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</si>
  <si>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</si>
  <si>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</si>
  <si>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</si>
  <si>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</si>
  <si>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</si>
  <si>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</si>
  <si>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</si>
  <si>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</si>
  <si>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</si>
  <si>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</si>
  <si>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</si>
  <si>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Sorted</t>
  </si>
  <si>
    <t>total number of matches</t>
  </si>
  <si>
    <t>number of
teams</t>
  </si>
  <si>
    <t>number of matches played</t>
  </si>
  <si>
    <t>Table</t>
  </si>
  <si>
    <t>Participant or Team</t>
  </si>
  <si>
    <t>Doppelte Namen</t>
  </si>
  <si>
    <t>Duplicate names</t>
  </si>
  <si>
    <t>Pl</t>
  </si>
  <si>
    <t>GF  -  GA</t>
  </si>
  <si>
    <t>TD</t>
  </si>
  <si>
    <t>Sp</t>
  </si>
  <si>
    <t>Abkürzung</t>
  </si>
  <si>
    <t>Abbreviation</t>
  </si>
  <si>
    <t>number of matches per match day</t>
  </si>
  <si>
    <t>Spieltag</t>
  </si>
  <si>
    <t>double</t>
  </si>
  <si>
    <t>doppelt</t>
  </si>
  <si>
    <t>Matchweek</t>
  </si>
  <si>
    <t>Tie break</t>
  </si>
  <si>
    <t>Tie-Break</t>
  </si>
  <si>
    <t>Sind zwei oder mehr Mannschaften nicht unterscheidbar und ein direkter Vergleich oder ein Entscheidungsspiel entscheiden, genügt es, für die bevorzugte Mannschaft einen Bonuspunkt einzutragen.</t>
  </si>
  <si>
    <t>If two or more teams cannot be distinguished and a direct comparison or a decisive match decides, it is sufficient to enter bonus points for the preferred teams.</t>
  </si>
  <si>
    <t>Erläuterung</t>
  </si>
  <si>
    <t>If two (or more) teams have the same number of points, the same goal difference and the same number of goals scored at the end of the season, the following tie-breakers will be used according to §24 of the regulations for the Bundesliga:
1. Points from direct encounters
2. Goal difference from the direct encounters
3. Number of away goals from direct encounters
4. Number of away goals from all matches
If a distinction is still not possible, a play-off takes place on neutral ground.
Since such a case is extremely unlikely after 306 games, these regulations are not taken into account in this game plan. Such a case can be solved by entering a bonus point for the preferred team.</t>
  </si>
  <si>
    <t>Haben zwei (oder mehr) Mannschaften am Ende der Saison dieselbe Punktzahl, dieselbe Tordifferenz und dieselbe Anzahl erzielter Tore, werden nach §24 der Bestimmungen für die Fußball-Bundesliga folgende Tie-Breakers herangezogen:
1.  Punkte aus den Direktbegegnungen
2.  Tordifferenz aus den Direktbegegnungen
3.  Anzahl der Auswärtstore aus den Direktbegegnungen
4.  Anzahl der Auswärtstore aus allen Spielen
Ist immer noch keine Unterscheidung möglich, findet ein Entscheidungsspiel auf neutralem Boden statt.
Da ein solcher Fall nach 306 Spielen äußerst unwahrscheinlich ist, sind diese Bestimmungen in diesem Spielplan nicht berücksichtigt. Ein solcher Fall kann durch Eintragen eines Bonuspunktes für die bevorzugte Mannschaft gelöst werden.</t>
  </si>
  <si>
    <t>Explanation</t>
  </si>
  <si>
    <t xml:space="preserve">CL </t>
  </si>
  <si>
    <t xml:space="preserve">EL </t>
  </si>
  <si>
    <t xml:space="preserve">?  </t>
  </si>
  <si>
    <t xml:space="preserve">R  </t>
  </si>
  <si>
    <t xml:space="preserve">A  </t>
  </si>
  <si>
    <t>Matchups</t>
  </si>
  <si>
    <t>Spielpaarungen</t>
  </si>
  <si>
    <t>n = 4</t>
  </si>
  <si>
    <t>n = 6</t>
  </si>
  <si>
    <t>n = 5</t>
  </si>
  <si>
    <t>n = 7</t>
  </si>
  <si>
    <t>n = 8</t>
  </si>
  <si>
    <t>n = 10</t>
  </si>
  <si>
    <t>n = 11</t>
  </si>
  <si>
    <t>n = 12</t>
  </si>
  <si>
    <t>n = 13</t>
  </si>
  <si>
    <t>n = 20</t>
  </si>
  <si>
    <t>n = 19</t>
  </si>
  <si>
    <t>n = 18</t>
  </si>
  <si>
    <t>n = 17</t>
  </si>
  <si>
    <t>n = 16</t>
  </si>
  <si>
    <t>n = 15</t>
  </si>
  <si>
    <t>n = 14</t>
  </si>
  <si>
    <t>n = 9</t>
  </si>
  <si>
    <t>Settings</t>
  </si>
  <si>
    <t>Einstellungen</t>
  </si>
  <si>
    <t>Anzahl der Punkte für einen Sieg:</t>
  </si>
  <si>
    <t>Number of points for a win:</t>
  </si>
  <si>
    <t>Spieltage</t>
  </si>
  <si>
    <t>Name</t>
  </si>
  <si>
    <t>von</t>
  </si>
  <si>
    <t>bis</t>
  </si>
  <si>
    <t>G</t>
  </si>
  <si>
    <t>V</t>
  </si>
  <si>
    <t>Einzelne Teams im Vergleich für einen bestimmten Zeitraum</t>
  </si>
  <si>
    <t>Individual teams compared for a specific time period</t>
  </si>
  <si>
    <t>Matchweeks</t>
  </si>
  <si>
    <t>from</t>
  </si>
  <si>
    <t>to</t>
  </si>
  <si>
    <t>Matchup</t>
  </si>
  <si>
    <t>Strafpunkte</t>
  </si>
  <si>
    <t>Penalty points</t>
  </si>
  <si>
    <t>penalty points</t>
  </si>
  <si>
    <t>Penalty</t>
  </si>
  <si>
    <t>PenPts</t>
  </si>
  <si>
    <t>Strafp.</t>
  </si>
  <si>
    <t>Bundesliga  2025/26</t>
  </si>
  <si>
    <t>1. FC Köln</t>
  </si>
  <si>
    <t>Köln</t>
  </si>
  <si>
    <t>Hamburger SV</t>
  </si>
  <si>
    <t>HSV</t>
  </si>
  <si>
    <t>1. FC Heidenheim 1846</t>
  </si>
  <si>
    <t>Heidenhei</t>
  </si>
  <si>
    <t>1. FC Union Berlin</t>
  </si>
  <si>
    <t>Union Ber</t>
  </si>
  <si>
    <t>1. FSV Mainz 05</t>
  </si>
  <si>
    <t>Mainz</t>
  </si>
  <si>
    <t>Bayer 04 Leverkusen</t>
  </si>
  <si>
    <t>Leverkuse</t>
  </si>
  <si>
    <t>Borussia Dortmund</t>
  </si>
  <si>
    <t>Dortmund</t>
  </si>
  <si>
    <t>Borussia Mönchengladbach</t>
  </si>
  <si>
    <t>Gladbach</t>
  </si>
  <si>
    <t>Eintracht Frankfurt</t>
  </si>
  <si>
    <t>Frankfurt</t>
  </si>
  <si>
    <t>FC Augsburg</t>
  </si>
  <si>
    <t>Augsburg</t>
  </si>
  <si>
    <t>FC Bayern München</t>
  </si>
  <si>
    <t>Bayern</t>
  </si>
  <si>
    <t>FC St. Pauli</t>
  </si>
  <si>
    <t>St. Pauli</t>
  </si>
  <si>
    <t>RB Leipzig</t>
  </si>
  <si>
    <t>Leipzig</t>
  </si>
  <si>
    <t>SC Freiburg</t>
  </si>
  <si>
    <t>Freiburg</t>
  </si>
  <si>
    <t>SV Werder Bremen</t>
  </si>
  <si>
    <t>Bremen</t>
  </si>
  <si>
    <t>TSG Hoffenheim</t>
  </si>
  <si>
    <t>Hoffenhei</t>
  </si>
  <si>
    <t>VfB Stuttgart</t>
  </si>
  <si>
    <t>Stuttgart</t>
  </si>
  <si>
    <t>VfL Wolfsburg</t>
  </si>
  <si>
    <t>Wolfsburg</t>
  </si>
  <si>
    <t>number of
match days</t>
  </si>
  <si>
    <t>old</t>
  </si>
  <si>
    <t>Alte
Pos.</t>
  </si>
  <si>
    <t>Old
pos.</t>
  </si>
  <si>
    <t>Berücksichtigte Spieltage:</t>
  </si>
  <si>
    <t>Matchweeks considered:</t>
  </si>
  <si>
    <t>match week</t>
  </si>
  <si>
    <t>num of matches</t>
  </si>
  <si>
    <t>min</t>
  </si>
  <si>
    <t>last matchweek</t>
  </si>
  <si>
    <t>Stand: 16.05.2026</t>
  </si>
  <si>
    <t>Version  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</si>
</sst>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
    <numFmt numFmtId="165" formatCode=";;;"/>
    <numFmt numFmtId="166" formatCode="h:mm;@"/>
    <numFmt numFmtId="167" formatCode="\+0_ ;[Red]\-0\ "/>
  </numFmts>
  <fonts count="68"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28"/>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26"/>
      <name val="Calibri"/>
      <family val="2"/>
      <scheme val="minor"/>
    </font>
    <font>
      <sz val="18"/>
      <name val="Calibri"/>
      <family val="2"/>
    </font>
    <font>
      <b/>
      <sz val="14"/>
      <color rgb="FFDA0000"/>
      <name val="Calibri"/>
      <family val="2"/>
      <scheme val="minor"/>
    </font>
    <font>
      <sz val="10"/>
      <color theme="2" tint="-0.249977111117893"/>
      <name val="Calibri"/>
      <family val="2"/>
      <scheme val="minor"/>
    </font>
    <font>
      <sz val="11"/>
      <color rgb="FFDA0000"/>
      <name val="Calibri"/>
      <family val="2"/>
      <scheme val="minor"/>
    </font>
    <font>
      <u/>
      <sz val="10"/>
      <color theme="10"/>
      <name val="Arial"/>
      <family val="2"/>
    </font>
    <font>
      <b/>
      <sz val="12"/>
      <name val="Calibri"/>
      <family val="2"/>
      <scheme val="minor"/>
    </font>
    <font>
      <sz val="11"/>
      <color theme="8" tint="-0.249977111117893"/>
      <name val="Calibri"/>
      <family val="2"/>
      <scheme val="minor"/>
    </font>
    <font>
      <sz val="20"/>
      <color rgb="FF00B050"/>
      <name val="Calibri"/>
      <family val="2"/>
      <scheme val="minor"/>
    </font>
    <font>
      <b/>
      <sz val="20"/>
      <color rgb="FFDA0000"/>
      <name val="Calibri"/>
      <family val="2"/>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26"/>
      <name val="Calibri"/>
      <family val="2"/>
    </font>
    <font>
      <sz val="20"/>
      <color theme="0" tint="-0.14999847407452621"/>
      <name val="Calibri"/>
      <family val="2"/>
    </font>
    <font>
      <sz val="8"/>
      <color indexed="8"/>
      <name val="Arial"/>
      <family val="2"/>
    </font>
    <font>
      <sz val="11"/>
      <color rgb="FF0070C0"/>
      <name val="Calibri"/>
      <family val="2"/>
    </font>
    <font>
      <sz val="11"/>
      <color rgb="FF0070C0"/>
      <name val="Calibri"/>
      <family val="2"/>
      <scheme val="minor"/>
    </font>
    <font>
      <b/>
      <sz val="16"/>
      <color rgb="FF0070C0"/>
      <name val="Calibri"/>
      <family val="2"/>
      <scheme val="minor"/>
    </font>
    <font>
      <sz val="8"/>
      <color theme="5"/>
      <name val="Arial"/>
      <family val="2"/>
    </font>
    <font>
      <b/>
      <sz val="11"/>
      <color rgb="FFDA0000"/>
      <name val="Calibri"/>
      <family val="2"/>
      <scheme val="minor"/>
    </font>
    <font>
      <sz val="8"/>
      <name val="Arial"/>
      <family val="2"/>
    </font>
    <font>
      <sz val="11"/>
      <name val="Calibri"/>
      <family val="2"/>
      <scheme val="minor"/>
    </font>
    <font>
      <sz val="11"/>
      <name val="Calibri"/>
      <family val="2"/>
    </font>
    <font>
      <sz val="20"/>
      <color rgb="FFDA0000"/>
      <name val="Calibri"/>
      <family val="2"/>
    </font>
    <font>
      <sz val="8"/>
      <color indexed="8"/>
      <name val="Calibri"/>
      <family val="2"/>
      <scheme val="minor"/>
    </font>
    <font>
      <sz val="20"/>
      <color rgb="FF00B050"/>
      <name val="Calibri"/>
      <family val="2"/>
    </font>
    <font>
      <sz val="10"/>
      <color theme="0" tint="-0.34998626667073579"/>
      <name val="Calibri"/>
      <family val="2"/>
      <scheme val="minor"/>
    </font>
    <font>
      <b/>
      <sz val="11"/>
      <name val="Calibri"/>
      <family val="2"/>
    </font>
    <font>
      <b/>
      <sz val="10"/>
      <color rgb="FFDA0000"/>
      <name val="Calibri"/>
      <family val="2"/>
      <scheme val="minor"/>
    </font>
    <font>
      <b/>
      <sz val="18"/>
      <color rgb="FFDA0000"/>
      <name val="Calibri"/>
      <family val="2"/>
    </font>
    <font>
      <b/>
      <sz val="14"/>
      <name val="Calibri"/>
      <family val="2"/>
      <scheme val="minor"/>
    </font>
    <font>
      <b/>
      <sz val="24"/>
      <color theme="4"/>
      <name val="Arial"/>
      <family val="2"/>
    </font>
    <font>
      <b/>
      <sz val="24"/>
      <color theme="8"/>
      <name val="Arial"/>
      <family val="2"/>
    </font>
    <font>
      <b/>
      <sz val="9"/>
      <name val="Calibri"/>
      <family val="2"/>
    </font>
    <font>
      <sz val="9"/>
      <name val="Calibri"/>
      <family val="2"/>
    </font>
    <font>
      <b/>
      <sz val="12"/>
      <color rgb="FF0070C0"/>
      <name val="Calibri"/>
      <family val="2"/>
    </font>
    <font>
      <sz val="10"/>
      <name val="Wingdings 3"/>
      <family val="1"/>
      <charset val="2"/>
    </font>
    <font>
      <b/>
      <sz val="10"/>
      <name val="Calibri"/>
      <family val="2"/>
    </font>
  </fonts>
  <fills count="16">
    <fill>
      <patternFill patternType="none"/>
    </fill>
    <fill>
      <patternFill patternType="gray125"/>
    </fill>
    <fill>
      <patternFill patternType="solid">
        <fgColor indexed="42"/>
        <bgColor indexed="64"/>
      </patternFill>
    </fill>
    <fill>
      <patternFill patternType="solid">
        <fgColor rgb="FFF2F2F2"/>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E7FFE7"/>
        <bgColor indexed="64"/>
      </patternFill>
    </fill>
    <fill>
      <patternFill patternType="solid">
        <fgColor rgb="FFFFF9E7"/>
        <bgColor indexed="64"/>
      </patternFill>
    </fill>
    <fill>
      <patternFill patternType="solid">
        <fgColor rgb="FFE6F8E0"/>
        <bgColor indexed="64"/>
      </patternFill>
    </fill>
  </fills>
  <borders count="181">
    <border>
      <left/>
      <right/>
      <top/>
      <bottom/>
      <diagonal/>
    </border>
    <border>
      <left style="thin">
        <color rgb="FF7F7F7F"/>
      </left>
      <right style="thin">
        <color rgb="FF7F7F7F"/>
      </right>
      <top style="thin">
        <color rgb="FF7F7F7F"/>
      </top>
      <bottom style="thin">
        <color rgb="FF7F7F7F"/>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rgb="FFA50021"/>
      </left>
      <right style="thin">
        <color rgb="FFA50021"/>
      </right>
      <top style="thick">
        <color theme="2" tint="-0.499984740745262"/>
      </top>
      <bottom style="thin">
        <color theme="2" tint="-0.499984740745262"/>
      </bottom>
      <diagonal/>
    </border>
    <border>
      <left style="thin">
        <color rgb="FFA50021"/>
      </left>
      <right style="thick">
        <color theme="2" tint="-0.499984740745262"/>
      </right>
      <top style="thick">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ck">
        <color theme="2" tint="-0.499984740745262"/>
      </right>
      <top style="thin">
        <color theme="2" tint="-0.499984740745262"/>
      </top>
      <bottom style="thin">
        <color theme="2" tint="-0.499984740745262"/>
      </bottom>
      <diagonal/>
    </border>
    <border>
      <left/>
      <right/>
      <top style="thin">
        <color theme="2" tint="-0.499984740745262"/>
      </top>
      <bottom style="thick">
        <color theme="2" tint="-0.499984740745262"/>
      </bottom>
      <diagonal/>
    </border>
    <border>
      <left/>
      <right style="thick">
        <color theme="2" tint="-0.499984740745262"/>
      </right>
      <top style="thin">
        <color theme="2" tint="-0.499984740745262"/>
      </top>
      <bottom style="thick">
        <color theme="2" tint="-0.499984740745262"/>
      </bottom>
      <diagonal/>
    </border>
    <border>
      <left style="thin">
        <color rgb="FFA50021"/>
      </left>
      <right/>
      <top style="thick">
        <color theme="2" tint="-0.499984740745262"/>
      </top>
      <bottom style="thin">
        <color theme="2" tint="-0.499984740745262"/>
      </bottom>
      <diagonal/>
    </border>
    <border>
      <left style="thin">
        <color theme="2" tint="-0.499984740745262"/>
      </left>
      <right style="thin">
        <color rgb="FFA50021"/>
      </right>
      <top style="thick">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style="thin">
        <color theme="2" tint="-0.499984740745262"/>
      </left>
      <right/>
      <top style="thin">
        <color theme="2" tint="-0.499984740745262"/>
      </top>
      <bottom style="thick">
        <color theme="2" tint="-0.499984740745262"/>
      </bottom>
      <diagonal/>
    </border>
    <border>
      <left/>
      <right style="thin">
        <color rgb="FFA50021"/>
      </right>
      <top style="thick">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right style="thick">
        <color theme="2" tint="-0.499984740745262"/>
      </right>
      <top style="thin">
        <color theme="2" tint="-0.24994659260841701"/>
      </top>
      <bottom style="thin">
        <color theme="2" tint="-0.24994659260841701"/>
      </bottom>
      <diagonal/>
    </border>
    <border>
      <left/>
      <right/>
      <top/>
      <bottom style="thick">
        <color theme="2" tint="-0.499984740745262"/>
      </bottom>
      <diagonal/>
    </border>
    <border>
      <left style="thin">
        <color theme="2" tint="-0.499984740745262"/>
      </left>
      <right style="thin">
        <color theme="2" tint="-0.499984740745262"/>
      </right>
      <top style="thick">
        <color theme="2" tint="-0.499984740745262"/>
      </top>
      <bottom style="thin">
        <color theme="2" tint="-0.499984740745262"/>
      </bottom>
      <diagonal/>
    </border>
    <border>
      <left style="thin">
        <color theme="2" tint="-0.499984740745262"/>
      </left>
      <right style="thick">
        <color theme="2" tint="-0.499984740745262"/>
      </right>
      <top style="thick">
        <color theme="2" tint="-0.499984740745262"/>
      </top>
      <bottom style="thin">
        <color theme="2" tint="-0.499984740745262"/>
      </bottom>
      <diagonal/>
    </border>
    <border>
      <left style="thin">
        <color theme="2" tint="-0.499984740745262"/>
      </left>
      <right style="thick">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ck">
        <color theme="2" tint="-0.499984740745262"/>
      </right>
      <top/>
      <bottom style="thin">
        <color theme="2" tint="-0.499984740745262"/>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medium">
        <color theme="0" tint="-0.14993743705557422"/>
      </left>
      <right style="medium">
        <color theme="0" tint="-0.14996795556505021"/>
      </right>
      <top style="thin">
        <color theme="0" tint="-0.14996795556505021"/>
      </top>
      <bottom style="thick">
        <color theme="4"/>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medium">
        <color theme="0" tint="-0.14993743705557422"/>
      </left>
      <right/>
      <top style="thin">
        <color theme="0" tint="-0.1499679555650502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2" tint="-0.24994659260841701"/>
      </left>
      <right/>
      <top/>
      <bottom style="thick">
        <color theme="2" tint="-0.499984740745262"/>
      </bottom>
      <diagonal/>
    </border>
    <border>
      <left/>
      <right style="thick">
        <color theme="2" tint="-0.499984740745262"/>
      </right>
      <top/>
      <bottom style="thick">
        <color theme="0" tint="-0.499984740745262"/>
      </bottom>
      <diagonal/>
    </border>
    <border>
      <left style="medium">
        <color theme="2" tint="-0.499984740745262"/>
      </left>
      <right style="thin">
        <color theme="2" tint="-0.24994659260841701"/>
      </right>
      <top style="medium">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right/>
      <top/>
      <bottom style="medium">
        <color theme="2" tint="-0.499984740745262"/>
      </bottom>
      <diagonal/>
    </border>
    <border>
      <left style="thick">
        <color theme="2" tint="-0.499984740745262"/>
      </left>
      <right style="thin">
        <color theme="2" tint="-0.24994659260841701"/>
      </right>
      <top style="thick">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style="thick">
        <color theme="2" tint="-0.499984740745262"/>
      </right>
      <top style="thick">
        <color theme="2" tint="-0.499984740745262"/>
      </top>
      <bottom style="thin">
        <color theme="2" tint="-0.24994659260841701"/>
      </bottom>
      <diagonal/>
    </border>
    <border>
      <left style="thin">
        <color theme="2" tint="-0.24994659260841701"/>
      </left>
      <right style="medium">
        <color theme="2" tint="-0.499984740745262"/>
      </right>
      <top style="medium">
        <color theme="2" tint="-0.499984740745262"/>
      </top>
      <bottom style="thin">
        <color theme="2" tint="-0.24994659260841701"/>
      </bottom>
      <diagonal/>
    </border>
    <border>
      <left style="thin">
        <color theme="2" tint="-0.24994659260841701"/>
      </left>
      <right style="medium">
        <color theme="2" tint="-0.499984740745262"/>
      </right>
      <top style="thin">
        <color theme="2" tint="-0.24994659260841701"/>
      </top>
      <bottom style="thick">
        <color theme="2" tint="-0.499984740745262"/>
      </bottom>
      <diagonal/>
    </border>
    <border>
      <left style="medium">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medium">
        <color theme="2" tint="-0.499984740745262"/>
      </left>
      <right/>
      <top style="thin">
        <color theme="2" tint="-0.24994659260841701"/>
      </top>
      <bottom style="thin">
        <color theme="2" tint="-0.24994659260841701"/>
      </bottom>
      <diagonal/>
    </border>
    <border>
      <left style="medium">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right style="thick">
        <color theme="2" tint="-0.499984740745262"/>
      </right>
      <top/>
      <bottom style="thin">
        <color theme="2" tint="-0.499984740745262"/>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style="thin">
        <color theme="2" tint="-0.499984740745262"/>
      </left>
      <right style="thin">
        <color theme="2" tint="-0.499984740745262"/>
      </right>
      <top/>
      <bottom style="thick">
        <color theme="2" tint="-0.499984740745262"/>
      </bottom>
      <diagonal/>
    </border>
    <border>
      <left style="thin">
        <color theme="2" tint="-0.499984740745262"/>
      </left>
      <right style="thick">
        <color theme="2" tint="-0.499984740745262"/>
      </right>
      <top style="thin">
        <color theme="2" tint="-0.499984740745262"/>
      </top>
      <bottom style="thick">
        <color theme="2" tint="-0.499984740745262"/>
      </bottom>
      <diagonal/>
    </border>
    <border>
      <left/>
      <right style="thin">
        <color theme="2" tint="-0.24994659260841701"/>
      </right>
      <top/>
      <bottom style="thick">
        <color theme="2" tint="-0.499984740745262"/>
      </bottom>
      <diagonal/>
    </border>
    <border>
      <left style="thin">
        <color theme="2" tint="-0.24994659260841701"/>
      </left>
      <right/>
      <top style="thin">
        <color theme="2" tint="-0.24994659260841701"/>
      </top>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style="mediumDashed">
        <color theme="2" tint="-0.499984740745262"/>
      </bottom>
      <diagonal/>
    </border>
    <border>
      <left style="thin">
        <color theme="2" tint="-0.24994659260841701"/>
      </left>
      <right/>
      <top style="thin">
        <color theme="2" tint="-0.24994659260841701"/>
      </top>
      <bottom style="mediumDashed">
        <color theme="2" tint="-0.499984740745262"/>
      </bottom>
      <diagonal/>
    </border>
    <border>
      <left/>
      <right/>
      <top style="thin">
        <color theme="2" tint="-0.24994659260841701"/>
      </top>
      <bottom style="mediumDashed">
        <color theme="2" tint="-0.499984740745262"/>
      </bottom>
      <diagonal/>
    </border>
    <border>
      <left/>
      <right style="thin">
        <color theme="2" tint="-0.24994659260841701"/>
      </right>
      <top style="thin">
        <color theme="2" tint="-0.24994659260841701"/>
      </top>
      <bottom style="mediumDashed">
        <color theme="2" tint="-0.499984740745262"/>
      </bottom>
      <diagonal/>
    </border>
    <border>
      <left/>
      <right style="thick">
        <color theme="2" tint="-0.499984740745262"/>
      </right>
      <top style="thin">
        <color theme="2" tint="-0.24994659260841701"/>
      </top>
      <bottom style="mediumDashed">
        <color theme="2" tint="-0.499984740745262"/>
      </bottom>
      <diagonal/>
    </border>
    <border>
      <left style="thin">
        <color theme="2" tint="-0.24994659260841701"/>
      </left>
      <right style="thick">
        <color theme="2" tint="-0.499984740745262"/>
      </right>
      <top style="thin">
        <color theme="2" tint="-0.24994659260841701"/>
      </top>
      <bottom style="mediumDashed">
        <color theme="2" tint="-0.499984740745262"/>
      </bottom>
      <diagonal/>
    </border>
    <border>
      <left style="thin">
        <color theme="2" tint="-0.24994659260841701"/>
      </left>
      <right/>
      <top style="thick">
        <color theme="2" tint="-0.499984740745262"/>
      </top>
      <bottom style="thin">
        <color theme="2" tint="-0.499984740745262"/>
      </bottom>
      <diagonal/>
    </border>
    <border>
      <left style="thin">
        <color theme="2" tint="-0.24994659260841701"/>
      </left>
      <right/>
      <top style="thin">
        <color theme="2" tint="-0.499984740745262"/>
      </top>
      <bottom style="thin">
        <color theme="2" tint="-0.24994659260841701"/>
      </bottom>
      <diagonal/>
    </border>
    <border>
      <left style="medium">
        <color theme="2" tint="-0.499984740745262"/>
      </left>
      <right style="thick">
        <color theme="2" tint="-0.499984740745262"/>
      </right>
      <top style="medium">
        <color theme="2" tint="-0.499984740745262"/>
      </top>
      <bottom style="thin">
        <color theme="2" tint="-0.499984740745262"/>
      </bottom>
      <diagonal/>
    </border>
    <border>
      <left style="medium">
        <color theme="2" tint="-0.499984740745262"/>
      </left>
      <right style="thick">
        <color theme="2" tint="-0.499984740745262"/>
      </right>
      <top/>
      <bottom/>
      <diagonal/>
    </border>
    <border>
      <left style="medium">
        <color theme="2" tint="-0.499984740745262"/>
      </left>
      <right style="thick">
        <color theme="2" tint="-0.499984740745262"/>
      </right>
      <top/>
      <bottom style="medium">
        <color theme="2" tint="-0.499984740745262"/>
      </bottom>
      <diagonal/>
    </border>
    <border>
      <left style="thick">
        <color theme="2" tint="-0.499984740745262"/>
      </left>
      <right/>
      <top/>
      <bottom style="thin">
        <color theme="2" tint="-0.24994659260841701"/>
      </bottom>
      <diagonal/>
    </border>
    <border>
      <left style="thin">
        <color theme="2" tint="-0.24994659260841701"/>
      </left>
      <right style="thin">
        <color theme="2" tint="-0.24994659260841701"/>
      </right>
      <top/>
      <bottom style="thin">
        <color theme="2" tint="-0.24994659260841701"/>
      </bottom>
      <diagonal/>
    </border>
    <border>
      <left style="thick">
        <color theme="2" tint="-0.499984740745262"/>
      </left>
      <right/>
      <top style="thick">
        <color theme="2" tint="-0.499984740745262"/>
      </top>
      <bottom style="thin">
        <color theme="2" tint="-0.499984740745262"/>
      </bottom>
      <diagonal/>
    </border>
    <border>
      <left/>
      <right style="thick">
        <color theme="2" tint="-0.499984740745262"/>
      </right>
      <top style="thick">
        <color theme="2" tint="-0.499984740745262"/>
      </top>
      <bottom style="thin">
        <color theme="2" tint="-0.499984740745262"/>
      </bottom>
      <diagonal/>
    </border>
    <border>
      <left/>
      <right/>
      <top style="thick">
        <color theme="2" tint="-0.499984740745262"/>
      </top>
      <bottom style="thin">
        <color theme="2" tint="-0.499984740745262"/>
      </bottom>
      <diagonal/>
    </border>
    <border>
      <left/>
      <right style="thin">
        <color theme="2" tint="-0.24994659260841701"/>
      </right>
      <top style="thick">
        <color theme="2" tint="-0.499984740745262"/>
      </top>
      <bottom style="thin">
        <color theme="2" tint="-0.499984740745262"/>
      </bottom>
      <diagonal/>
    </border>
    <border>
      <left/>
      <right/>
      <top/>
      <bottom style="medium">
        <color auto="1"/>
      </bottom>
      <diagonal/>
    </border>
    <border>
      <left style="thin">
        <color theme="5"/>
      </left>
      <right style="thin">
        <color theme="5"/>
      </right>
      <top style="thin">
        <color theme="5"/>
      </top>
      <bottom style="thin">
        <color theme="5"/>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medium">
        <color theme="2" tint="-0.24994659260841701"/>
      </bottom>
      <diagonal/>
    </border>
    <border>
      <left style="thin">
        <color theme="2" tint="-9.9948118533890809E-2"/>
      </left>
      <right style="thin">
        <color theme="2" tint="-9.9948118533890809E-2"/>
      </right>
      <top/>
      <bottom style="thin">
        <color theme="2" tint="-9.9948118533890809E-2"/>
      </bottom>
      <diagonal/>
    </border>
    <border>
      <left/>
      <right/>
      <top/>
      <bottom style="thin">
        <color theme="2" tint="-9.9948118533890809E-2"/>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2" tint="-0.499984740745262"/>
      </left>
      <right style="medium">
        <color theme="2" tint="-0.499984740745262"/>
      </right>
      <top style="medium">
        <color theme="2" tint="-0.499984740745262"/>
      </top>
      <bottom style="thin">
        <color theme="2" tint="-0.499984740745262"/>
      </bottom>
      <diagonal/>
    </border>
    <border>
      <left style="thick">
        <color theme="2" tint="-0.499984740745262"/>
      </left>
      <right style="medium">
        <color theme="2" tint="-0.499984740745262"/>
      </right>
      <top style="thin">
        <color theme="2" tint="-0.499984740745262"/>
      </top>
      <bottom style="thin">
        <color theme="2" tint="-0.24994659260841701"/>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thick">
        <color theme="2" tint="-0.499984740745262"/>
      </left>
      <right/>
      <top style="medium">
        <color theme="2" tint="-0.499984740745262"/>
      </top>
      <bottom style="thin">
        <color theme="2" tint="-0.499984740745262"/>
      </bottom>
      <diagonal/>
    </border>
    <border>
      <left/>
      <right style="medium">
        <color theme="2" tint="-0.499984740745262"/>
      </right>
      <top style="medium">
        <color theme="2" tint="-0.499984740745262"/>
      </top>
      <bottom style="thin">
        <color theme="2" tint="-0.499984740745262"/>
      </bottom>
      <diagonal/>
    </border>
    <border>
      <left style="thick">
        <color theme="2" tint="-0.499984740745262"/>
      </left>
      <right/>
      <top style="medium">
        <color theme="2" tint="-0.499984740745262"/>
      </top>
      <bottom/>
      <diagonal/>
    </border>
    <border>
      <left style="thick">
        <color theme="2" tint="-0.499984740745262"/>
      </left>
      <right/>
      <top/>
      <bottom style="medium">
        <color theme="2" tint="-0.499984740745262"/>
      </bottom>
      <diagonal/>
    </border>
    <border>
      <left style="medium">
        <color theme="2" tint="-0.499984740745262"/>
      </left>
      <right style="thick">
        <color theme="2" tint="-0.499984740745262"/>
      </right>
      <top/>
      <bottom style="thin">
        <color theme="2" tint="-0.24994659260841701"/>
      </bottom>
      <diagonal/>
    </border>
    <border>
      <left style="medium">
        <color theme="2" tint="-0.499984740745262"/>
      </left>
      <right style="thick">
        <color theme="2" tint="-0.499984740745262"/>
      </right>
      <top style="thin">
        <color theme="2" tint="-0.24994659260841701"/>
      </top>
      <bottom/>
      <diagonal/>
    </border>
    <border>
      <left style="medium">
        <color indexed="64"/>
      </left>
      <right style="medium">
        <color indexed="64"/>
      </right>
      <top style="medium">
        <color indexed="64"/>
      </top>
      <bottom style="medium">
        <color indexed="64"/>
      </bottom>
      <diagonal/>
    </border>
    <border>
      <left style="medium">
        <color theme="2" tint="-0.499984740745262"/>
      </left>
      <right style="thick">
        <color theme="2" tint="-0.499984740745262"/>
      </right>
      <top style="thin">
        <color theme="2" tint="-0.24994659260841701"/>
      </top>
      <bottom style="thin">
        <color theme="2" tint="-0.24994659260841701"/>
      </bottom>
      <diagonal/>
    </border>
    <border>
      <left style="medium">
        <color theme="2" tint="-0.499984740745262"/>
      </left>
      <right style="thick">
        <color theme="2" tint="-0.499984740745262"/>
      </right>
      <top style="thin">
        <color theme="2" tint="-0.24994659260841701"/>
      </top>
      <bottom style="medium">
        <color theme="2" tint="-0.499984740745262"/>
      </bottom>
      <diagonal/>
    </border>
    <border>
      <left/>
      <right style="medium">
        <color theme="2" tint="-0.499984740745262"/>
      </right>
      <top style="thin">
        <color theme="2" tint="-0.499984740745262"/>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s>
  <cellStyleXfs count="4">
    <xf numFmtId="0" fontId="0" fillId="0" borderId="0"/>
    <xf numFmtId="0" fontId="4" fillId="2" borderId="0"/>
    <xf numFmtId="0" fontId="10" fillId="3" borderId="1" applyNumberFormat="0" applyAlignment="0" applyProtection="0"/>
    <xf numFmtId="0" fontId="29" fillId="0" borderId="0" applyNumberFormat="0" applyFill="0" applyBorder="0" applyAlignment="0" applyProtection="0"/>
  </cellStyleXfs>
  <cellXfs count="496">
    <xf numFmtId="0" fontId="0" fillId="0" borderId="0" xfId="0"/>
    <xf numFmtId="0" fontId="8" fillId="0" borderId="0" xfId="0" applyNumberFormat="1" applyFont="1" applyFill="1" applyAlignment="1" applyProtection="1">
      <alignment horizontal="center" vertical="center"/>
      <protection hidden="1"/>
    </xf>
    <xf numFmtId="0" fontId="8" fillId="0" borderId="0" xfId="0" applyNumberFormat="1" applyFont="1" applyFill="1" applyAlignment="1" applyProtection="1">
      <alignment vertical="center"/>
      <protection hidden="1"/>
    </xf>
    <xf numFmtId="0" fontId="8" fillId="0" borderId="0" xfId="0" applyNumberFormat="1" applyFont="1" applyFill="1" applyBorder="1" applyAlignment="1" applyProtection="1">
      <alignment horizontal="center" vertical="center"/>
      <protection hidden="1"/>
    </xf>
    <xf numFmtId="0" fontId="8" fillId="0" borderId="0" xfId="0" applyNumberFormat="1" applyFont="1" applyFill="1" applyBorder="1" applyAlignment="1" applyProtection="1">
      <alignment vertical="center"/>
      <protection hidden="1"/>
    </xf>
    <xf numFmtId="0" fontId="8" fillId="0" borderId="0" xfId="0" applyNumberFormat="1" applyFont="1"/>
    <xf numFmtId="0" fontId="10" fillId="3" borderId="1" xfId="2" applyNumberFormat="1" applyAlignment="1" applyProtection="1">
      <alignment horizontal="center" vertical="center" readingOrder="1"/>
    </xf>
    <xf numFmtId="0" fontId="8" fillId="0" borderId="0" xfId="0" applyNumberFormat="1" applyFont="1" applyFill="1" applyBorder="1" applyAlignment="1" applyProtection="1">
      <alignment horizontal="center" vertical="center"/>
      <protection hidden="1"/>
    </xf>
    <xf numFmtId="0" fontId="11" fillId="0" borderId="2" xfId="0" applyNumberFormat="1" applyFont="1" applyFill="1" applyBorder="1" applyAlignment="1" applyProtection="1">
      <alignment horizontal="center" vertical="center"/>
      <protection hidden="1"/>
    </xf>
    <xf numFmtId="0" fontId="11" fillId="0" borderId="3" xfId="0" applyNumberFormat="1" applyFont="1" applyFill="1" applyBorder="1" applyAlignment="1" applyProtection="1">
      <alignment horizontal="center" vertical="center"/>
      <protection hidden="1"/>
    </xf>
    <xf numFmtId="0" fontId="11" fillId="0" borderId="4" xfId="0" applyNumberFormat="1" applyFont="1" applyFill="1" applyBorder="1" applyAlignment="1" applyProtection="1">
      <alignment horizontal="center" vertical="center"/>
      <protection hidden="1"/>
    </xf>
    <xf numFmtId="0" fontId="13" fillId="0" borderId="0" xfId="0" applyNumberFormat="1" applyFont="1" applyFill="1" applyBorder="1" applyAlignment="1" applyProtection="1">
      <alignment horizontal="center" vertical="center"/>
      <protection hidden="1"/>
    </xf>
    <xf numFmtId="0" fontId="9" fillId="0" borderId="0" xfId="0" applyNumberFormat="1" applyFont="1" applyFill="1" applyAlignment="1" applyProtection="1">
      <alignment horizontal="center" vertical="center"/>
      <protection hidden="1"/>
    </xf>
    <xf numFmtId="3" fontId="12" fillId="0" borderId="0" xfId="0" applyNumberFormat="1" applyFont="1" applyFill="1" applyBorder="1" applyAlignment="1" applyProtection="1">
      <alignment horizontal="center" vertical="center"/>
      <protection hidden="1"/>
    </xf>
    <xf numFmtId="0" fontId="8" fillId="0" borderId="5" xfId="0" applyNumberFormat="1" applyFont="1" applyFill="1" applyBorder="1" applyAlignment="1" applyProtection="1">
      <alignment vertical="center"/>
      <protection hidden="1"/>
    </xf>
    <xf numFmtId="0" fontId="8" fillId="0" borderId="6" xfId="0" applyNumberFormat="1" applyFont="1" applyFill="1" applyBorder="1" applyAlignment="1" applyProtection="1">
      <alignment horizontal="center" vertical="center"/>
      <protection hidden="1"/>
    </xf>
    <xf numFmtId="0" fontId="8" fillId="0" borderId="7" xfId="0" applyNumberFormat="1" applyFont="1" applyFill="1" applyBorder="1" applyAlignment="1" applyProtection="1">
      <alignment horizontal="center" vertical="center"/>
      <protection hidden="1"/>
    </xf>
    <xf numFmtId="0" fontId="8" fillId="0" borderId="8" xfId="0" applyNumberFormat="1" applyFont="1" applyFill="1" applyBorder="1" applyAlignment="1" applyProtection="1">
      <alignment vertical="center"/>
      <protection hidden="1"/>
    </xf>
    <xf numFmtId="0" fontId="8" fillId="0" borderId="9" xfId="0" applyNumberFormat="1" applyFont="1" applyFill="1" applyBorder="1" applyAlignment="1" applyProtection="1">
      <alignment horizontal="center" vertical="center"/>
      <protection hidden="1"/>
    </xf>
    <xf numFmtId="0" fontId="8" fillId="0" borderId="10" xfId="0" applyNumberFormat="1" applyFont="1" applyFill="1" applyBorder="1" applyAlignment="1" applyProtection="1">
      <alignment vertical="center"/>
      <protection hidden="1"/>
    </xf>
    <xf numFmtId="0" fontId="8" fillId="0" borderId="11" xfId="0" applyNumberFormat="1" applyFont="1" applyFill="1" applyBorder="1" applyAlignment="1" applyProtection="1">
      <alignment horizontal="center" vertical="center"/>
      <protection hidden="1"/>
    </xf>
    <xf numFmtId="0" fontId="8" fillId="0" borderId="12" xfId="0" applyNumberFormat="1" applyFont="1" applyFill="1" applyBorder="1" applyAlignment="1" applyProtection="1">
      <alignment horizontal="center" vertical="center"/>
      <protection hidden="1"/>
    </xf>
    <xf numFmtId="0" fontId="5" fillId="0" borderId="0" xfId="0" applyFont="1"/>
    <xf numFmtId="0" fontId="16" fillId="0" borderId="0" xfId="0" applyFont="1"/>
    <xf numFmtId="0" fontId="8" fillId="0" borderId="27" xfId="0" applyNumberFormat="1" applyFont="1" applyFill="1" applyBorder="1" applyAlignment="1" applyProtection="1">
      <alignment horizontal="right" vertical="center" indent="1"/>
      <protection hidden="1"/>
    </xf>
    <xf numFmtId="0" fontId="8" fillId="0" borderId="30" xfId="0" applyNumberFormat="1" applyFont="1" applyFill="1" applyBorder="1" applyAlignment="1" applyProtection="1">
      <alignment horizontal="right" vertical="center" indent="1"/>
      <protection hidden="1"/>
    </xf>
    <xf numFmtId="0" fontId="18" fillId="0" borderId="0" xfId="0" applyFont="1"/>
    <xf numFmtId="0" fontId="5" fillId="0" borderId="0" xfId="0" applyFont="1" applyProtection="1"/>
    <xf numFmtId="0" fontId="8" fillId="0" borderId="29" xfId="0" applyNumberFormat="1" applyFont="1" applyFill="1" applyBorder="1" applyAlignment="1" applyProtection="1">
      <alignment horizontal="left" vertical="center"/>
      <protection hidden="1"/>
    </xf>
    <xf numFmtId="0" fontId="8" fillId="0" borderId="31" xfId="0" applyNumberFormat="1" applyFont="1" applyFill="1" applyBorder="1" applyAlignment="1" applyProtection="1">
      <alignment horizontal="left" vertical="center"/>
      <protection hidden="1"/>
    </xf>
    <xf numFmtId="0" fontId="21" fillId="0" borderId="25" xfId="0" applyFont="1" applyBorder="1" applyAlignment="1">
      <alignment horizontal="center" vertical="center"/>
    </xf>
    <xf numFmtId="0" fontId="30" fillId="7" borderId="24" xfId="0" applyFont="1" applyFill="1" applyBorder="1" applyAlignment="1">
      <alignment horizontal="center" vertical="center"/>
    </xf>
    <xf numFmtId="0" fontId="30" fillId="7" borderId="50" xfId="0" applyFont="1" applyFill="1" applyBorder="1" applyAlignment="1">
      <alignment horizontal="center" vertical="center"/>
    </xf>
    <xf numFmtId="0" fontId="21" fillId="0" borderId="53" xfId="0" applyFont="1" applyBorder="1" applyAlignment="1">
      <alignment horizontal="center" vertical="center"/>
    </xf>
    <xf numFmtId="0" fontId="20" fillId="6" borderId="55" xfId="0" applyFont="1" applyFill="1" applyBorder="1" applyAlignment="1" applyProtection="1">
      <alignment horizontal="center" vertical="center"/>
      <protection locked="0"/>
    </xf>
    <xf numFmtId="0" fontId="20" fillId="6" borderId="51" xfId="0" applyFont="1" applyFill="1" applyBorder="1" applyAlignment="1" applyProtection="1">
      <alignment horizontal="center" vertical="center"/>
      <protection locked="0"/>
    </xf>
    <xf numFmtId="0" fontId="7" fillId="0" borderId="0" xfId="0" applyFont="1" applyAlignment="1" applyProtection="1">
      <alignment vertical="top"/>
    </xf>
    <xf numFmtId="0" fontId="30" fillId="7" borderId="49" xfId="0" applyFont="1" applyFill="1" applyBorder="1" applyAlignment="1">
      <alignment horizontal="left" vertical="center" indent="1"/>
    </xf>
    <xf numFmtId="0" fontId="20" fillId="0" borderId="54" xfId="0" applyFont="1" applyBorder="1" applyAlignment="1">
      <alignment horizontal="left" vertical="center" indent="1"/>
    </xf>
    <xf numFmtId="0" fontId="18" fillId="0" borderId="0" xfId="0" applyNumberFormat="1" applyFont="1" applyAlignment="1">
      <alignment horizontal="center"/>
    </xf>
    <xf numFmtId="0" fontId="8" fillId="0" borderId="57" xfId="0" applyNumberFormat="1" applyFont="1" applyFill="1" applyBorder="1" applyAlignment="1" applyProtection="1">
      <alignment horizontal="right" vertical="center" indent="1"/>
      <protection hidden="1"/>
    </xf>
    <xf numFmtId="0" fontId="8" fillId="0" borderId="58" xfId="0" applyNumberFormat="1" applyFont="1" applyFill="1" applyBorder="1" applyAlignment="1" applyProtection="1">
      <alignment horizontal="right" vertical="center" indent="1"/>
      <protection hidden="1"/>
    </xf>
    <xf numFmtId="0" fontId="13" fillId="0" borderId="0" xfId="0" applyNumberFormat="1" applyFont="1" applyFill="1" applyAlignment="1" applyProtection="1">
      <alignment horizontal="center" vertical="center"/>
      <protection hidden="1"/>
    </xf>
    <xf numFmtId="0" fontId="0" fillId="0" borderId="0" xfId="0" applyProtection="1"/>
    <xf numFmtId="0" fontId="36"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9" borderId="73" xfId="0" applyFill="1" applyBorder="1" applyAlignment="1" applyProtection="1">
      <alignment horizontal="left" indent="1"/>
      <protection locked="0"/>
    </xf>
    <xf numFmtId="0" fontId="0" fillId="10" borderId="74" xfId="0" applyFill="1" applyBorder="1" applyAlignment="1" applyProtection="1">
      <alignment horizontal="left" indent="1"/>
      <protection locked="0"/>
    </xf>
    <xf numFmtId="0" fontId="0" fillId="11" borderId="75" xfId="0" applyFill="1" applyBorder="1" applyAlignment="1" applyProtection="1">
      <alignment horizontal="left" indent="1"/>
      <protection locked="0"/>
    </xf>
    <xf numFmtId="0" fontId="38" fillId="0" borderId="66" xfId="0" applyFont="1" applyFill="1" applyBorder="1" applyAlignment="1">
      <alignment horizontal="left" indent="1"/>
    </xf>
    <xf numFmtId="0" fontId="0" fillId="0" borderId="67" xfId="0" applyBorder="1" applyAlignment="1">
      <alignment horizontal="left" indent="1"/>
    </xf>
    <xf numFmtId="0" fontId="0" fillId="0" borderId="79" xfId="0" applyBorder="1" applyAlignment="1">
      <alignment horizontal="left" indent="1"/>
    </xf>
    <xf numFmtId="0" fontId="38" fillId="0" borderId="69" xfId="0" applyFont="1" applyFill="1" applyBorder="1" applyAlignment="1">
      <alignment horizontal="left" indent="1"/>
    </xf>
    <xf numFmtId="0" fontId="0" fillId="0" borderId="0" xfId="0" applyBorder="1" applyAlignment="1">
      <alignment horizontal="left" indent="1"/>
    </xf>
    <xf numFmtId="0" fontId="0" fillId="0" borderId="65" xfId="0" applyBorder="1" applyAlignment="1">
      <alignment horizontal="left" indent="1"/>
    </xf>
    <xf numFmtId="0" fontId="35" fillId="0" borderId="0" xfId="0" applyFont="1" applyFill="1" applyBorder="1"/>
    <xf numFmtId="0" fontId="39" fillId="0" borderId="0" xfId="0" applyFont="1" applyFill="1" applyBorder="1"/>
    <xf numFmtId="0" fontId="0" fillId="10" borderId="76" xfId="0" applyFill="1" applyBorder="1" applyAlignment="1" applyProtection="1">
      <alignment horizontal="left" vertical="top" wrapText="1" indent="1"/>
      <protection locked="0"/>
    </xf>
    <xf numFmtId="0" fontId="0" fillId="0" borderId="0" xfId="0" applyFill="1" applyAlignment="1">
      <alignment vertical="center"/>
    </xf>
    <xf numFmtId="0" fontId="0" fillId="11" borderId="75" xfId="0" applyFill="1" applyBorder="1" applyAlignment="1" applyProtection="1">
      <alignment horizontal="left" vertical="top" wrapText="1" indent="1"/>
      <protection locked="0"/>
    </xf>
    <xf numFmtId="0" fontId="0" fillId="9" borderId="73" xfId="0" applyFill="1" applyBorder="1" applyAlignment="1" applyProtection="1">
      <alignment horizontal="left" vertical="top" wrapText="1" indent="1"/>
      <protection locked="0"/>
    </xf>
    <xf numFmtId="0" fontId="0" fillId="10" borderId="74" xfId="0" applyFill="1" applyBorder="1" applyAlignment="1" applyProtection="1">
      <alignment horizontal="left" vertical="top" wrapText="1" indent="1"/>
      <protection locked="0"/>
    </xf>
    <xf numFmtId="0" fontId="0" fillId="10" borderId="81" xfId="0" applyFill="1" applyBorder="1" applyAlignment="1" applyProtection="1">
      <alignment horizontal="left" vertical="top" wrapText="1" indent="1"/>
      <protection locked="0"/>
    </xf>
    <xf numFmtId="0" fontId="0" fillId="10" borderId="70" xfId="0" applyFill="1" applyBorder="1" applyAlignment="1" applyProtection="1">
      <alignment horizontal="left" vertical="top" indent="1"/>
      <protection locked="0"/>
    </xf>
    <xf numFmtId="0" fontId="0" fillId="11" borderId="77" xfId="0" applyFill="1" applyBorder="1" applyAlignment="1" applyProtection="1">
      <alignment horizontal="left" vertical="top" indent="1"/>
      <protection locked="0"/>
    </xf>
    <xf numFmtId="0" fontId="0" fillId="9" borderId="83" xfId="0" applyFill="1" applyBorder="1" applyAlignment="1" applyProtection="1">
      <alignment horizontal="left" vertical="top" indent="1"/>
      <protection locked="0"/>
    </xf>
    <xf numFmtId="0" fontId="0" fillId="10" borderId="78" xfId="0" applyFill="1" applyBorder="1" applyAlignment="1" applyProtection="1">
      <alignment horizontal="left" vertical="top" wrapText="1" indent="1"/>
      <protection locked="0"/>
    </xf>
    <xf numFmtId="0" fontId="4" fillId="9" borderId="73" xfId="0" applyFont="1" applyFill="1" applyBorder="1" applyAlignment="1" applyProtection="1">
      <alignment horizontal="left" vertical="center" indent="1"/>
      <protection locked="0"/>
    </xf>
    <xf numFmtId="0" fontId="4" fillId="11" borderId="75" xfId="0" applyFont="1" applyFill="1" applyBorder="1" applyAlignment="1" applyProtection="1">
      <alignment horizontal="left" vertical="center" indent="1"/>
      <protection locked="0"/>
    </xf>
    <xf numFmtId="0" fontId="4" fillId="11" borderId="75" xfId="0" applyFont="1" applyFill="1" applyBorder="1" applyAlignment="1" applyProtection="1">
      <alignment horizontal="left" vertical="top" wrapText="1" indent="1"/>
      <protection locked="0"/>
    </xf>
    <xf numFmtId="0" fontId="4" fillId="9" borderId="73" xfId="0" applyFont="1" applyFill="1" applyBorder="1" applyAlignment="1" applyProtection="1">
      <alignment horizontal="left" indent="1"/>
      <protection locked="0"/>
    </xf>
    <xf numFmtId="0" fontId="4" fillId="11" borderId="75" xfId="0" applyFont="1" applyFill="1" applyBorder="1" applyAlignment="1" applyProtection="1">
      <alignment horizontal="left" indent="1"/>
      <protection locked="0"/>
    </xf>
    <xf numFmtId="0" fontId="4" fillId="11" borderId="75" xfId="0" applyFont="1" applyFill="1" applyBorder="1" applyAlignment="1">
      <alignment horizontal="left" indent="1"/>
    </xf>
    <xf numFmtId="0" fontId="4" fillId="10" borderId="74" xfId="0" applyFont="1" applyFill="1" applyBorder="1" applyAlignment="1" applyProtection="1">
      <alignment horizontal="left" indent="1"/>
      <protection locked="0"/>
    </xf>
    <xf numFmtId="0" fontId="4" fillId="9" borderId="80" xfId="0" applyFont="1" applyFill="1" applyBorder="1" applyAlignment="1" applyProtection="1">
      <alignment horizontal="left" vertical="top" indent="1"/>
      <protection locked="0"/>
    </xf>
    <xf numFmtId="0" fontId="4" fillId="11" borderId="75" xfId="0" applyFont="1" applyFill="1" applyBorder="1" applyAlignment="1" applyProtection="1">
      <alignment horizontal="left" vertical="top" indent="1"/>
      <protection locked="0"/>
    </xf>
    <xf numFmtId="0" fontId="4" fillId="0" borderId="0" xfId="0" applyFont="1"/>
    <xf numFmtId="0" fontId="34" fillId="0" borderId="0" xfId="0" applyFont="1" applyBorder="1" applyAlignment="1">
      <alignment horizontal="left" vertical="center" wrapText="1"/>
    </xf>
    <xf numFmtId="0" fontId="4" fillId="9" borderId="82" xfId="0" applyFont="1" applyFill="1" applyBorder="1" applyAlignment="1" applyProtection="1">
      <alignment horizontal="left" vertical="top" indent="1"/>
      <protection locked="0"/>
    </xf>
    <xf numFmtId="0" fontId="1" fillId="10" borderId="64" xfId="0" applyFont="1" applyFill="1" applyBorder="1" applyAlignment="1" applyProtection="1">
      <alignment horizontal="center" vertical="center"/>
      <protection locked="0"/>
    </xf>
    <xf numFmtId="0" fontId="4" fillId="11" borderId="69" xfId="0" applyFont="1" applyFill="1" applyBorder="1" applyAlignment="1" applyProtection="1">
      <alignment horizontal="left" vertical="top" indent="1"/>
      <protection locked="0"/>
    </xf>
    <xf numFmtId="0" fontId="4" fillId="9" borderId="72" xfId="0" applyFont="1" applyFill="1" applyBorder="1" applyAlignment="1" applyProtection="1">
      <alignment horizontal="left" vertical="top" wrapText="1" indent="1"/>
      <protection locked="0"/>
    </xf>
    <xf numFmtId="0" fontId="4" fillId="11" borderId="71" xfId="0" applyFont="1" applyFill="1" applyBorder="1" applyAlignment="1" applyProtection="1">
      <alignment horizontal="left" vertical="top" wrapText="1" indent="1"/>
      <protection locked="0"/>
    </xf>
    <xf numFmtId="0" fontId="18" fillId="0" borderId="0" xfId="0" applyNumberFormat="1" applyFont="1" applyAlignment="1">
      <alignment horizontal="center" vertical="center"/>
    </xf>
    <xf numFmtId="0" fontId="30" fillId="9" borderId="0" xfId="0" applyNumberFormat="1" applyFont="1" applyFill="1" applyAlignment="1">
      <alignment horizontal="center"/>
    </xf>
    <xf numFmtId="0" fontId="4" fillId="9" borderId="73" xfId="0" applyFont="1" applyFill="1" applyBorder="1" applyAlignment="1" applyProtection="1">
      <alignment horizontal="left" vertical="top" wrapText="1" indent="1"/>
      <protection locked="0"/>
    </xf>
    <xf numFmtId="0" fontId="8" fillId="0" borderId="28" xfId="0" applyNumberFormat="1" applyFont="1" applyFill="1" applyBorder="1" applyAlignment="1" applyProtection="1">
      <alignment horizontal="center" vertical="center"/>
      <protection hidden="1"/>
    </xf>
    <xf numFmtId="0" fontId="8" fillId="0" borderId="29" xfId="0" applyNumberFormat="1" applyFont="1" applyFill="1" applyBorder="1" applyAlignment="1" applyProtection="1">
      <alignment horizontal="center" vertical="center"/>
      <protection hidden="1"/>
    </xf>
    <xf numFmtId="0" fontId="8" fillId="0" borderId="31" xfId="0" applyNumberFormat="1" applyFont="1" applyFill="1" applyBorder="1" applyAlignment="1" applyProtection="1">
      <alignment horizontal="center" vertical="center"/>
      <protection hidden="1"/>
    </xf>
    <xf numFmtId="14" fontId="27" fillId="0" borderId="0" xfId="0" applyNumberFormat="1" applyFont="1" applyAlignment="1">
      <alignment horizontal="left" vertical="top"/>
    </xf>
    <xf numFmtId="0" fontId="27" fillId="0" borderId="0" xfId="0" applyFont="1" applyAlignment="1">
      <alignment vertical="center"/>
    </xf>
    <xf numFmtId="0" fontId="44" fillId="0" borderId="0" xfId="0" applyNumberFormat="1" applyFont="1" applyFill="1" applyAlignment="1" applyProtection="1">
      <alignment horizontal="center" vertical="center"/>
      <protection hidden="1"/>
    </xf>
    <xf numFmtId="0" fontId="44" fillId="0" borderId="48" xfId="0" applyNumberFormat="1" applyFont="1" applyFill="1" applyBorder="1" applyAlignment="1" applyProtection="1">
      <alignment horizontal="center" vertical="center"/>
      <protection hidden="1"/>
    </xf>
    <xf numFmtId="0" fontId="4" fillId="9" borderId="82" xfId="0" applyFont="1" applyFill="1" applyBorder="1" applyAlignment="1" applyProtection="1">
      <alignment horizontal="left" vertical="top" wrapText="1" indent="1"/>
      <protection locked="0"/>
    </xf>
    <xf numFmtId="0" fontId="4" fillId="11" borderId="69" xfId="0" applyFont="1" applyFill="1" applyBorder="1" applyAlignment="1" applyProtection="1">
      <alignment horizontal="left" vertical="top" wrapText="1" indent="1"/>
      <protection locked="0"/>
    </xf>
    <xf numFmtId="0" fontId="18" fillId="8" borderId="59" xfId="0" applyFont="1" applyFill="1" applyBorder="1" applyProtection="1"/>
    <xf numFmtId="0" fontId="18" fillId="8" borderId="60" xfId="0" applyFont="1" applyFill="1" applyBorder="1" applyProtection="1"/>
    <xf numFmtId="0" fontId="18" fillId="0" borderId="61" xfId="0" applyFont="1" applyFill="1" applyBorder="1" applyProtection="1"/>
    <xf numFmtId="0" fontId="18" fillId="0" borderId="61" xfId="0" applyFont="1" applyFill="1" applyBorder="1" applyAlignment="1" applyProtection="1">
      <alignment vertical="center"/>
    </xf>
    <xf numFmtId="0" fontId="29" fillId="0" borderId="61" xfId="3" applyFill="1" applyBorder="1" applyAlignment="1" applyProtection="1">
      <alignment vertical="center"/>
    </xf>
    <xf numFmtId="0" fontId="18" fillId="8" borderId="84" xfId="0" applyFont="1" applyFill="1" applyBorder="1" applyProtection="1"/>
    <xf numFmtId="0" fontId="18" fillId="8" borderId="85" xfId="0" applyFont="1" applyFill="1" applyBorder="1" applyProtection="1"/>
    <xf numFmtId="164" fontId="23" fillId="0" borderId="34" xfId="0" applyNumberFormat="1" applyFont="1" applyBorder="1" applyAlignment="1">
      <alignment horizontal="center" vertical="center"/>
    </xf>
    <xf numFmtId="164" fontId="23" fillId="0" borderId="37" xfId="0" applyNumberFormat="1" applyFont="1" applyBorder="1" applyAlignment="1">
      <alignment horizontal="center" vertical="center"/>
    </xf>
    <xf numFmtId="0" fontId="4" fillId="9" borderId="93" xfId="0" applyFont="1" applyFill="1" applyBorder="1" applyAlignment="1" applyProtection="1">
      <alignment horizontal="left" vertical="top" wrapText="1" indent="1"/>
      <protection locked="0"/>
    </xf>
    <xf numFmtId="0" fontId="46" fillId="0" borderId="0" xfId="0" applyFont="1" applyBorder="1" applyAlignment="1">
      <alignment horizontal="left" vertical="center" wrapText="1"/>
    </xf>
    <xf numFmtId="0" fontId="47" fillId="0" borderId="0" xfId="0" applyFont="1" applyAlignment="1">
      <alignment horizontal="right" indent="1"/>
    </xf>
    <xf numFmtId="164" fontId="23" fillId="0" borderId="46" xfId="0" applyNumberFormat="1" applyFont="1" applyBorder="1" applyAlignment="1">
      <alignment horizontal="center" vertical="center"/>
    </xf>
    <xf numFmtId="0" fontId="22" fillId="6" borderId="95" xfId="0" applyFont="1" applyFill="1" applyBorder="1" applyAlignment="1">
      <alignment horizontal="center" vertical="center"/>
    </xf>
    <xf numFmtId="0" fontId="21" fillId="0" borderId="94" xfId="0" applyFont="1" applyBorder="1" applyAlignment="1">
      <alignment horizontal="right" vertical="center"/>
    </xf>
    <xf numFmtId="0" fontId="21" fillId="0" borderId="95" xfId="0" applyFont="1" applyBorder="1" applyAlignment="1">
      <alignment horizontal="center" vertical="center"/>
    </xf>
    <xf numFmtId="0" fontId="21" fillId="0" borderId="97" xfId="0" applyFont="1" applyBorder="1" applyAlignment="1">
      <alignment horizontal="left" vertical="center"/>
    </xf>
    <xf numFmtId="0" fontId="18" fillId="8" borderId="100" xfId="0" applyFont="1" applyFill="1" applyBorder="1" applyProtection="1"/>
    <xf numFmtId="0" fontId="18" fillId="8" borderId="101" xfId="0" applyFont="1" applyFill="1" applyBorder="1" applyProtection="1"/>
    <xf numFmtId="0" fontId="18" fillId="0" borderId="0" xfId="0" applyFont="1" applyFill="1" applyBorder="1" applyProtection="1"/>
    <xf numFmtId="0" fontId="48" fillId="0" borderId="0" xfId="0" applyNumberFormat="1" applyFont="1" applyAlignment="1">
      <alignment horizontal="center" vertical="center"/>
    </xf>
    <xf numFmtId="0" fontId="0" fillId="0" borderId="102" xfId="0" applyBorder="1"/>
    <xf numFmtId="0" fontId="0" fillId="0" borderId="103" xfId="0" applyBorder="1" applyAlignment="1">
      <alignment horizontal="left" indent="1"/>
    </xf>
    <xf numFmtId="0" fontId="0" fillId="0" borderId="86" xfId="0" applyBorder="1"/>
    <xf numFmtId="0" fontId="0" fillId="0" borderId="87" xfId="0" applyBorder="1" applyAlignment="1">
      <alignment horizontal="left" indent="1"/>
    </xf>
    <xf numFmtId="0" fontId="0" fillId="0" borderId="88" xfId="0" applyBorder="1"/>
    <xf numFmtId="0" fontId="0" fillId="0" borderId="89" xfId="0" applyBorder="1" applyAlignment="1">
      <alignment horizontal="left" indent="1"/>
    </xf>
    <xf numFmtId="0" fontId="8" fillId="0" borderId="105" xfId="0" applyNumberFormat="1" applyFont="1" applyFill="1" applyBorder="1" applyAlignment="1" applyProtection="1">
      <alignment vertical="center"/>
      <protection hidden="1"/>
    </xf>
    <xf numFmtId="0" fontId="8" fillId="0" borderId="104" xfId="0" applyNumberFormat="1" applyFont="1" applyFill="1" applyBorder="1" applyAlignment="1" applyProtection="1">
      <alignment horizontal="center" vertical="center"/>
      <protection hidden="1"/>
    </xf>
    <xf numFmtId="0" fontId="6" fillId="0" borderId="0" xfId="0" applyFont="1" applyAlignment="1">
      <alignment vertical="center" shrinkToFit="1"/>
    </xf>
    <xf numFmtId="0" fontId="5" fillId="0" borderId="0" xfId="0" applyFont="1" applyAlignment="1">
      <alignment shrinkToFit="1"/>
    </xf>
    <xf numFmtId="0" fontId="24" fillId="0" borderId="0" xfId="0" applyFont="1" applyAlignment="1"/>
    <xf numFmtId="3" fontId="8" fillId="0" borderId="0" xfId="0" applyNumberFormat="1" applyFont="1" applyFill="1" applyBorder="1" applyAlignment="1" applyProtection="1">
      <alignment horizontal="center" vertical="center"/>
      <protection hidden="1"/>
    </xf>
    <xf numFmtId="0" fontId="10" fillId="3" borderId="1" xfId="2" applyNumberFormat="1" applyBorder="1" applyAlignment="1" applyProtection="1">
      <alignment horizontal="center" vertical="center" readingOrder="1"/>
    </xf>
    <xf numFmtId="0" fontId="8" fillId="0" borderId="0" xfId="0" applyNumberFormat="1" applyFont="1" applyFill="1" applyBorder="1" applyAlignment="1" applyProtection="1">
      <alignment horizontal="center" vertical="center"/>
      <protection hidden="1"/>
    </xf>
    <xf numFmtId="0" fontId="40" fillId="0" borderId="0" xfId="0" applyFont="1" applyFill="1" applyBorder="1" applyAlignment="1"/>
    <xf numFmtId="49" fontId="26" fillId="0" borderId="0" xfId="0" applyNumberFormat="1" applyFont="1" applyAlignment="1">
      <alignment vertical="center" wrapText="1"/>
    </xf>
    <xf numFmtId="0" fontId="5" fillId="0" borderId="0" xfId="0" applyFont="1" applyFill="1" applyBorder="1"/>
    <xf numFmtId="0" fontId="16" fillId="0" borderId="0" xfId="0" applyFont="1" applyFill="1" applyBorder="1" applyAlignment="1">
      <alignment vertical="top"/>
    </xf>
    <xf numFmtId="0" fontId="6" fillId="0" borderId="0" xfId="0" applyFont="1" applyFill="1" applyBorder="1" applyAlignment="1">
      <alignment vertical="center" shrinkToFit="1"/>
    </xf>
    <xf numFmtId="0" fontId="5" fillId="0" borderId="0" xfId="0" applyFont="1" applyFill="1" applyBorder="1" applyAlignment="1">
      <alignment shrinkToFit="1"/>
    </xf>
    <xf numFmtId="0" fontId="15" fillId="0" borderId="0" xfId="0" applyFont="1" applyFill="1" applyBorder="1" applyAlignment="1">
      <alignment horizontal="center" vertical="center" shrinkToFit="1"/>
    </xf>
    <xf numFmtId="165" fontId="15" fillId="0" borderId="0" xfId="0" applyNumberFormat="1"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7" fillId="0" borderId="0" xfId="0" applyFont="1" applyFill="1" applyBorder="1" applyAlignment="1">
      <alignment horizontal="center" vertical="center" shrinkToFit="1"/>
    </xf>
    <xf numFmtId="165" fontId="33" fillId="0" borderId="0" xfId="0" applyNumberFormat="1" applyFont="1" applyFill="1" applyBorder="1" applyAlignment="1"/>
    <xf numFmtId="0" fontId="43" fillId="0" borderId="0" xfId="0" applyNumberFormat="1" applyFont="1" applyFill="1" applyBorder="1" applyAlignment="1"/>
    <xf numFmtId="0" fontId="14" fillId="0" borderId="0" xfId="0" applyFont="1" applyFill="1" applyBorder="1" applyAlignment="1">
      <alignment vertical="center" shrinkToFit="1"/>
    </xf>
    <xf numFmtId="165" fontId="32" fillId="0" borderId="0" xfId="0" applyNumberFormat="1" applyFont="1" applyAlignment="1"/>
    <xf numFmtId="0" fontId="21" fillId="0" borderId="108" xfId="0" applyFont="1" applyBorder="1" applyAlignment="1">
      <alignment horizontal="right" vertical="center"/>
    </xf>
    <xf numFmtId="0" fontId="21" fillId="0" borderId="48" xfId="0" applyFont="1" applyBorder="1" applyAlignment="1">
      <alignment horizontal="center" vertical="center"/>
    </xf>
    <xf numFmtId="0" fontId="21" fillId="0" borderId="33" xfId="0" applyFont="1" applyBorder="1" applyAlignment="1">
      <alignment horizontal="left" vertical="center"/>
    </xf>
    <xf numFmtId="14" fontId="52" fillId="0" borderId="99" xfId="0" applyNumberFormat="1" applyFont="1" applyBorder="1" applyAlignment="1">
      <alignment horizontal="center" vertical="center" shrinkToFit="1"/>
    </xf>
    <xf numFmtId="166" fontId="52" fillId="0" borderId="99" xfId="0" applyNumberFormat="1" applyFont="1" applyBorder="1" applyAlignment="1">
      <alignment horizontal="center" vertical="center" shrinkToFit="1"/>
    </xf>
    <xf numFmtId="14" fontId="52" fillId="0" borderId="52" xfId="0" applyNumberFormat="1" applyFont="1" applyBorder="1" applyAlignment="1">
      <alignment horizontal="center" vertical="center" shrinkToFit="1"/>
    </xf>
    <xf numFmtId="166" fontId="52" fillId="0" borderId="52" xfId="0" applyNumberFormat="1" applyFont="1" applyBorder="1" applyAlignment="1">
      <alignment horizontal="center" vertical="center" shrinkToFit="1"/>
    </xf>
    <xf numFmtId="0" fontId="14" fillId="0" borderId="35" xfId="0" applyFont="1" applyBorder="1" applyAlignment="1">
      <alignment horizontal="center" vertical="center" shrinkToFit="1"/>
    </xf>
    <xf numFmtId="0" fontId="14" fillId="0" borderId="41" xfId="0" applyFont="1" applyBorder="1" applyAlignment="1">
      <alignment horizontal="center" vertical="center" shrinkToFit="1"/>
    </xf>
    <xf numFmtId="0" fontId="14" fillId="0" borderId="41" xfId="0" applyFont="1" applyBorder="1" applyAlignment="1">
      <alignment horizontal="right" vertical="center" shrinkToFit="1"/>
    </xf>
    <xf numFmtId="0" fontId="14" fillId="0" borderId="44" xfId="0" applyFont="1" applyBorder="1" applyAlignment="1">
      <alignment horizontal="center" vertical="center" shrinkToFit="1"/>
    </xf>
    <xf numFmtId="0" fontId="14" fillId="0" borderId="40" xfId="0" applyFont="1" applyBorder="1" applyAlignment="1">
      <alignment horizontal="left" vertical="center" shrinkToFit="1"/>
    </xf>
    <xf numFmtId="0" fontId="15" fillId="0" borderId="36" xfId="0" applyFont="1" applyBorder="1" applyAlignment="1">
      <alignment horizontal="center" vertical="center" shrinkToFit="1"/>
    </xf>
    <xf numFmtId="0" fontId="14" fillId="0" borderId="34" xfId="0" applyFont="1" applyBorder="1" applyAlignment="1">
      <alignment horizontal="center" vertical="center" shrinkToFit="1"/>
    </xf>
    <xf numFmtId="0" fontId="14" fillId="4" borderId="35" xfId="0" applyFont="1" applyFill="1" applyBorder="1" applyAlignment="1">
      <alignment horizontal="center" vertical="center" shrinkToFit="1"/>
    </xf>
    <xf numFmtId="0" fontId="14" fillId="0" borderId="36" xfId="0" applyFont="1" applyBorder="1" applyAlignment="1">
      <alignment horizontal="center" vertical="center" shrinkToFit="1"/>
    </xf>
    <xf numFmtId="0" fontId="14" fillId="0" borderId="38" xfId="0" applyFont="1" applyBorder="1" applyAlignment="1">
      <alignment horizontal="center" vertical="center" shrinkToFit="1"/>
    </xf>
    <xf numFmtId="0" fontId="14" fillId="0" borderId="43" xfId="0" applyFont="1" applyBorder="1" applyAlignment="1">
      <alignment horizontal="center" vertical="center" shrinkToFit="1"/>
    </xf>
    <xf numFmtId="0" fontId="14" fillId="0" borderId="43" xfId="0" applyFont="1" applyBorder="1" applyAlignment="1">
      <alignment horizontal="right" vertical="center" shrinkToFit="1"/>
    </xf>
    <xf numFmtId="0" fontId="14" fillId="0" borderId="45" xfId="0" applyFont="1" applyBorder="1" applyAlignment="1">
      <alignment horizontal="center" vertical="center" shrinkToFit="1"/>
    </xf>
    <xf numFmtId="0" fontId="14" fillId="0" borderId="42" xfId="0" applyFont="1" applyBorder="1" applyAlignment="1">
      <alignment horizontal="left" vertical="center" shrinkToFit="1"/>
    </xf>
    <xf numFmtId="0" fontId="15" fillId="0" borderId="39" xfId="0" applyFont="1" applyBorder="1" applyAlignment="1">
      <alignment horizontal="center" vertical="center" shrinkToFit="1"/>
    </xf>
    <xf numFmtId="0" fontId="14" fillId="0" borderId="37" xfId="0" applyFont="1" applyBorder="1" applyAlignment="1">
      <alignment horizontal="center" vertical="center" shrinkToFit="1"/>
    </xf>
    <xf numFmtId="0" fontId="14" fillId="4" borderId="39" xfId="0" applyFont="1" applyFill="1" applyBorder="1" applyAlignment="1">
      <alignment horizontal="center" vertical="center" shrinkToFit="1"/>
    </xf>
    <xf numFmtId="0" fontId="14" fillId="0" borderId="15" xfId="0" applyFont="1" applyBorder="1" applyAlignment="1">
      <alignment vertical="center" shrinkToFit="1"/>
    </xf>
    <xf numFmtId="0" fontId="14" fillId="0" borderId="15" xfId="0" applyFont="1" applyBorder="1" applyAlignment="1">
      <alignment horizontal="center" vertical="center" shrinkToFit="1"/>
    </xf>
    <xf numFmtId="0" fontId="14" fillId="6" borderId="21" xfId="0" applyFont="1" applyFill="1" applyBorder="1" applyAlignment="1" applyProtection="1">
      <alignment horizontal="right" vertical="center" shrinkToFit="1"/>
      <protection locked="0"/>
    </xf>
    <xf numFmtId="0" fontId="14" fillId="6" borderId="15" xfId="0" applyFont="1" applyFill="1" applyBorder="1" applyAlignment="1">
      <alignment horizontal="center" vertical="center" shrinkToFit="1"/>
    </xf>
    <xf numFmtId="0" fontId="14" fillId="6" borderId="16" xfId="0" applyFont="1" applyFill="1" applyBorder="1" applyAlignment="1" applyProtection="1">
      <alignment horizontal="left" vertical="center" shrinkToFit="1"/>
      <protection locked="0"/>
    </xf>
    <xf numFmtId="0" fontId="14" fillId="0" borderId="17" xfId="0" applyFont="1" applyBorder="1" applyAlignment="1">
      <alignment vertical="center" shrinkToFit="1"/>
    </xf>
    <xf numFmtId="0" fontId="14" fillId="0" borderId="17" xfId="0" applyFont="1" applyBorder="1" applyAlignment="1">
      <alignment horizontal="center" vertical="center" shrinkToFit="1"/>
    </xf>
    <xf numFmtId="0" fontId="14" fillId="6" borderId="22" xfId="0" applyFont="1" applyFill="1" applyBorder="1" applyAlignment="1" applyProtection="1">
      <alignment horizontal="right" vertical="center" shrinkToFit="1"/>
      <protection locked="0"/>
    </xf>
    <xf numFmtId="0" fontId="14" fillId="6" borderId="17" xfId="0" applyFont="1" applyFill="1" applyBorder="1" applyAlignment="1">
      <alignment horizontal="center" vertical="center" shrinkToFit="1"/>
    </xf>
    <xf numFmtId="0" fontId="14" fillId="6" borderId="18" xfId="0" applyFont="1" applyFill="1" applyBorder="1" applyAlignment="1" applyProtection="1">
      <alignment horizontal="left" vertical="center" shrinkToFit="1"/>
      <protection locked="0"/>
    </xf>
    <xf numFmtId="0" fontId="8" fillId="0" borderId="32" xfId="0" applyNumberFormat="1" applyFont="1" applyFill="1" applyBorder="1" applyAlignment="1" applyProtection="1">
      <alignment horizontal="right" vertical="center" indent="1"/>
      <protection hidden="1"/>
    </xf>
    <xf numFmtId="0" fontId="8" fillId="0" borderId="33" xfId="0" applyNumberFormat="1" applyFont="1" applyFill="1" applyBorder="1" applyAlignment="1" applyProtection="1">
      <alignment horizontal="left" vertical="center"/>
      <protection hidden="1"/>
    </xf>
    <xf numFmtId="0" fontId="8" fillId="0" borderId="0" xfId="0" applyNumberFormat="1" applyFont="1" applyFill="1" applyAlignment="1" applyProtection="1">
      <alignment horizontal="left" vertical="center"/>
      <protection hidden="1"/>
    </xf>
    <xf numFmtId="0" fontId="8" fillId="0" borderId="5" xfId="0" applyNumberFormat="1" applyFont="1" applyFill="1" applyBorder="1" applyAlignment="1" applyProtection="1">
      <alignment horizontal="left" vertical="center"/>
      <protection hidden="1"/>
    </xf>
    <xf numFmtId="0" fontId="8" fillId="0" borderId="6" xfId="0" applyNumberFormat="1" applyFont="1" applyFill="1" applyBorder="1" applyAlignment="1" applyProtection="1">
      <alignment horizontal="left" vertical="center"/>
      <protection hidden="1"/>
    </xf>
    <xf numFmtId="0" fontId="8" fillId="0" borderId="8" xfId="0" applyNumberFormat="1" applyFont="1" applyFill="1" applyBorder="1" applyAlignment="1" applyProtection="1">
      <alignment horizontal="left" vertical="center"/>
      <protection hidden="1"/>
    </xf>
    <xf numFmtId="0" fontId="8" fillId="0" borderId="0" xfId="0" applyNumberFormat="1" applyFont="1" applyFill="1" applyBorder="1" applyAlignment="1" applyProtection="1">
      <alignment horizontal="left" vertical="center"/>
      <protection hidden="1"/>
    </xf>
    <xf numFmtId="0" fontId="8" fillId="0" borderId="10" xfId="0" applyNumberFormat="1" applyFont="1" applyFill="1" applyBorder="1" applyAlignment="1" applyProtection="1">
      <alignment horizontal="left" vertical="center"/>
      <protection hidden="1"/>
    </xf>
    <xf numFmtId="0" fontId="8" fillId="0" borderId="11" xfId="0" applyNumberFormat="1" applyFont="1" applyFill="1" applyBorder="1" applyAlignment="1" applyProtection="1">
      <alignment horizontal="left" vertical="center"/>
      <protection hidden="1"/>
    </xf>
    <xf numFmtId="0" fontId="8" fillId="0" borderId="0" xfId="0" applyNumberFormat="1" applyFont="1" applyAlignment="1">
      <alignment horizontal="left"/>
    </xf>
    <xf numFmtId="0" fontId="0" fillId="0" borderId="0" xfId="0" applyAlignment="1">
      <alignment horizontal="left"/>
    </xf>
    <xf numFmtId="0" fontId="8" fillId="0" borderId="11" xfId="0" applyNumberFormat="1" applyFont="1" applyFill="1" applyBorder="1" applyAlignment="1" applyProtection="1">
      <alignment vertical="center"/>
      <protection hidden="1"/>
    </xf>
    <xf numFmtId="0" fontId="8" fillId="0" borderId="109" xfId="0" applyNumberFormat="1" applyFont="1" applyFill="1" applyBorder="1" applyAlignment="1" applyProtection="1">
      <alignment horizontal="center" vertical="center"/>
      <protection hidden="1"/>
    </xf>
    <xf numFmtId="165" fontId="33" fillId="0" borderId="0" xfId="0" applyNumberFormat="1" applyFont="1" applyBorder="1" applyAlignment="1">
      <alignment horizontal="center"/>
    </xf>
    <xf numFmtId="165" fontId="53" fillId="0" borderId="0" xfId="0" applyNumberFormat="1" applyFont="1" applyBorder="1" applyAlignment="1">
      <alignment horizontal="center"/>
    </xf>
    <xf numFmtId="0" fontId="14" fillId="0" borderId="0" xfId="0" applyFont="1" applyFill="1" applyBorder="1" applyAlignment="1">
      <alignment horizontal="center" vertical="center" shrinkToFit="1"/>
    </xf>
    <xf numFmtId="0" fontId="14" fillId="4" borderId="113" xfId="0" applyFont="1" applyFill="1" applyBorder="1" applyAlignment="1">
      <alignment horizontal="center" vertical="center" shrinkToFit="1"/>
    </xf>
    <xf numFmtId="0" fontId="14" fillId="0" borderId="114" xfId="0" applyFont="1" applyBorder="1" applyAlignment="1">
      <alignment horizontal="center" vertical="center" shrinkToFit="1"/>
    </xf>
    <xf numFmtId="0" fontId="14" fillId="0" borderId="115" xfId="0" applyFont="1" applyBorder="1" applyAlignment="1">
      <alignment horizontal="center" vertical="center" shrinkToFit="1"/>
    </xf>
    <xf numFmtId="0" fontId="5" fillId="0" borderId="110" xfId="0" applyFont="1" applyBorder="1" applyAlignment="1">
      <alignment horizontal="center" vertical="center" shrinkToFit="1"/>
    </xf>
    <xf numFmtId="0" fontId="5" fillId="0" borderId="92" xfId="0" applyFont="1" applyBorder="1" applyAlignment="1">
      <alignment horizontal="center" vertical="center" shrinkToFit="1"/>
    </xf>
    <xf numFmtId="0" fontId="5" fillId="0" borderId="116" xfId="0" applyFont="1" applyBorder="1" applyAlignment="1">
      <alignment horizontal="center" vertical="center" shrinkToFit="1"/>
    </xf>
    <xf numFmtId="165" fontId="15" fillId="5" borderId="111" xfId="0" applyNumberFormat="1" applyFont="1" applyFill="1" applyBorder="1" applyAlignment="1">
      <alignment vertical="center" shrinkToFit="1"/>
    </xf>
    <xf numFmtId="165" fontId="15" fillId="5" borderId="38" xfId="0" applyNumberFormat="1" applyFont="1" applyFill="1" applyBorder="1" applyAlignment="1">
      <alignment vertical="center" shrinkToFit="1"/>
    </xf>
    <xf numFmtId="165" fontId="15" fillId="5" borderId="117" xfId="0" applyNumberFormat="1" applyFont="1" applyFill="1" applyBorder="1" applyAlignment="1">
      <alignment vertical="center" shrinkToFit="1"/>
    </xf>
    <xf numFmtId="0" fontId="9" fillId="0" borderId="0" xfId="0" applyNumberFormat="1" applyFont="1" applyFill="1" applyAlignment="1" applyProtection="1">
      <alignment horizontal="left" vertical="center"/>
      <protection hidden="1"/>
    </xf>
    <xf numFmtId="0" fontId="54" fillId="0" borderId="0" xfId="0" applyNumberFormat="1" applyFont="1" applyFill="1" applyAlignment="1" applyProtection="1">
      <alignment vertical="top" wrapText="1"/>
      <protection hidden="1"/>
    </xf>
    <xf numFmtId="0" fontId="5" fillId="0" borderId="0" xfId="0" applyFont="1" applyFill="1" applyBorder="1" applyAlignment="1">
      <alignment horizontal="center" vertical="center" shrinkToFit="1"/>
    </xf>
    <xf numFmtId="0" fontId="14" fillId="0" borderId="0" xfId="0" applyFont="1" applyFill="1" applyBorder="1" applyAlignment="1">
      <alignment horizontal="right" vertical="center" indent="1" shrinkToFit="1"/>
    </xf>
    <xf numFmtId="0" fontId="43" fillId="0" borderId="0" xfId="0" applyNumberFormat="1" applyFont="1" applyFill="1" applyBorder="1" applyAlignment="1">
      <alignment vertical="top"/>
    </xf>
    <xf numFmtId="164" fontId="14" fillId="0" borderId="118" xfId="0" applyNumberFormat="1" applyFont="1" applyBorder="1" applyAlignment="1">
      <alignment horizontal="center" vertical="center" shrinkToFit="1"/>
    </xf>
    <xf numFmtId="0" fontId="14" fillId="0" borderId="119" xfId="0" applyFont="1" applyBorder="1" applyAlignment="1">
      <alignment horizontal="left" vertical="center" shrinkToFit="1"/>
    </xf>
    <xf numFmtId="164" fontId="14" fillId="0" borderId="120" xfId="0" applyNumberFormat="1" applyFont="1" applyBorder="1" applyAlignment="1">
      <alignment horizontal="center" vertical="center" shrinkToFit="1"/>
    </xf>
    <xf numFmtId="0" fontId="14" fillId="0" borderId="47" xfId="0" applyFont="1" applyBorder="1" applyAlignment="1">
      <alignment horizontal="left" vertical="center" shrinkToFit="1"/>
    </xf>
    <xf numFmtId="164" fontId="14" fillId="0" borderId="121" xfId="0" applyNumberFormat="1" applyFont="1" applyBorder="1" applyAlignment="1">
      <alignment horizontal="center" vertical="center" shrinkToFit="1"/>
    </xf>
    <xf numFmtId="0" fontId="14" fillId="0" borderId="122" xfId="0" applyFont="1" applyBorder="1" applyAlignment="1">
      <alignment horizontal="left" vertical="center" shrinkToFit="1"/>
    </xf>
    <xf numFmtId="164" fontId="14" fillId="0" borderId="123" xfId="0" applyNumberFormat="1" applyFont="1" applyBorder="1" applyAlignment="1">
      <alignment horizontal="right" vertical="center" indent="1" shrinkToFit="1"/>
    </xf>
    <xf numFmtId="164" fontId="14" fillId="0" borderId="124" xfId="0" applyNumberFormat="1" applyFont="1" applyBorder="1" applyAlignment="1">
      <alignment horizontal="right" vertical="center" indent="1" shrinkToFit="1"/>
    </xf>
    <xf numFmtId="0" fontId="14" fillId="0" borderId="125" xfId="0" applyFont="1" applyBorder="1" applyAlignment="1">
      <alignment horizontal="left" vertical="center" shrinkToFit="1"/>
    </xf>
    <xf numFmtId="14" fontId="52" fillId="0" borderId="54" xfId="0" applyNumberFormat="1" applyFont="1" applyBorder="1" applyAlignment="1">
      <alignment horizontal="center" vertical="center" shrinkToFit="1"/>
    </xf>
    <xf numFmtId="166" fontId="52" fillId="0" borderId="54" xfId="0" applyNumberFormat="1" applyFont="1" applyBorder="1" applyAlignment="1">
      <alignment horizontal="center" vertical="center" shrinkToFit="1"/>
    </xf>
    <xf numFmtId="0" fontId="14" fillId="0" borderId="85" xfId="0" applyFont="1" applyBorder="1" applyAlignment="1">
      <alignment vertical="center" shrinkToFit="1"/>
    </xf>
    <xf numFmtId="0" fontId="14" fillId="0" borderId="85" xfId="0" applyFont="1" applyBorder="1" applyAlignment="1">
      <alignment horizontal="center" vertical="center" shrinkToFit="1"/>
    </xf>
    <xf numFmtId="0" fontId="14" fillId="6" borderId="84" xfId="0" applyFont="1" applyFill="1" applyBorder="1" applyAlignment="1" applyProtection="1">
      <alignment horizontal="right" vertical="center" shrinkToFit="1"/>
      <protection locked="0"/>
    </xf>
    <xf numFmtId="0" fontId="14" fillId="6" borderId="85" xfId="0" applyFont="1" applyFill="1" applyBorder="1" applyAlignment="1">
      <alignment horizontal="center" vertical="center" shrinkToFit="1"/>
    </xf>
    <xf numFmtId="0" fontId="14" fillId="6" borderId="126" xfId="0" applyFont="1" applyFill="1" applyBorder="1" applyAlignment="1" applyProtection="1">
      <alignment horizontal="left" vertical="center" shrinkToFit="1"/>
      <protection locked="0"/>
    </xf>
    <xf numFmtId="14" fontId="51" fillId="6" borderId="127" xfId="0" applyNumberFormat="1" applyFont="1" applyFill="1" applyBorder="1" applyAlignment="1" applyProtection="1">
      <alignment horizontal="center" vertical="center"/>
      <protection locked="0"/>
    </xf>
    <xf numFmtId="166" fontId="51" fillId="6" borderId="128" xfId="0" applyNumberFormat="1" applyFont="1" applyFill="1" applyBorder="1" applyAlignment="1" applyProtection="1">
      <alignment horizontal="center" vertical="center"/>
      <protection locked="0"/>
    </xf>
    <xf numFmtId="14" fontId="51" fillId="6" borderId="34" xfId="0" applyNumberFormat="1" applyFont="1" applyFill="1" applyBorder="1" applyAlignment="1" applyProtection="1">
      <alignment horizontal="center" vertical="center"/>
      <protection locked="0"/>
    </xf>
    <xf numFmtId="166" fontId="51" fillId="6" borderId="36" xfId="0" applyNumberFormat="1" applyFont="1" applyFill="1" applyBorder="1" applyAlignment="1" applyProtection="1">
      <alignment horizontal="center" vertical="center"/>
      <protection locked="0"/>
    </xf>
    <xf numFmtId="14" fontId="51" fillId="6" borderId="37" xfId="0" applyNumberFormat="1" applyFont="1" applyFill="1" applyBorder="1" applyAlignment="1" applyProtection="1">
      <alignment horizontal="center" vertical="center"/>
      <protection locked="0"/>
    </xf>
    <xf numFmtId="166" fontId="51" fillId="6" borderId="39" xfId="0" applyNumberFormat="1" applyFont="1" applyFill="1" applyBorder="1" applyAlignment="1" applyProtection="1">
      <alignment horizontal="center" vertical="center"/>
      <protection locked="0"/>
    </xf>
    <xf numFmtId="0" fontId="21" fillId="6" borderId="128" xfId="0" applyFont="1" applyFill="1" applyBorder="1" applyAlignment="1" applyProtection="1">
      <alignment vertical="center"/>
      <protection locked="0"/>
    </xf>
    <xf numFmtId="0" fontId="21" fillId="6" borderId="36" xfId="0" applyFont="1" applyFill="1" applyBorder="1" applyAlignment="1" applyProtection="1">
      <alignment vertical="center"/>
      <protection locked="0"/>
    </xf>
    <xf numFmtId="0" fontId="21" fillId="6" borderId="39" xfId="0" applyFont="1" applyFill="1" applyBorder="1" applyAlignment="1" applyProtection="1">
      <alignment vertical="center"/>
      <protection locked="0"/>
    </xf>
    <xf numFmtId="0" fontId="8" fillId="0" borderId="86" xfId="0" applyNumberFormat="1" applyFont="1" applyFill="1" applyBorder="1" applyAlignment="1" applyProtection="1">
      <alignment vertical="center"/>
      <protection hidden="1"/>
    </xf>
    <xf numFmtId="0" fontId="20" fillId="0" borderId="99" xfId="0" applyFont="1" applyBorder="1" applyAlignment="1">
      <alignment horizontal="left" vertical="center" indent="1"/>
    </xf>
    <xf numFmtId="0" fontId="21" fillId="0" borderId="26" xfId="0" applyFont="1" applyBorder="1" applyAlignment="1">
      <alignment horizontal="center" vertical="center"/>
    </xf>
    <xf numFmtId="0" fontId="20" fillId="0" borderId="129" xfId="0" applyFont="1" applyBorder="1" applyAlignment="1">
      <alignment horizontal="left" vertical="center" indent="1"/>
    </xf>
    <xf numFmtId="0" fontId="20" fillId="6" borderId="130" xfId="0" applyFont="1" applyFill="1" applyBorder="1" applyAlignment="1" applyProtection="1">
      <alignment horizontal="center" vertical="center"/>
      <protection locked="0"/>
    </xf>
    <xf numFmtId="0" fontId="40" fillId="0" borderId="0" xfId="0" applyFont="1" applyAlignment="1" applyProtection="1">
      <alignment horizontal="center" vertical="center" wrapText="1"/>
    </xf>
    <xf numFmtId="0" fontId="22" fillId="6" borderId="48" xfId="0" applyFont="1" applyFill="1" applyBorder="1" applyAlignment="1">
      <alignment horizontal="center" vertical="center"/>
    </xf>
    <xf numFmtId="165" fontId="28" fillId="0" borderId="0" xfId="0" applyNumberFormat="1" applyFont="1" applyBorder="1" applyAlignment="1">
      <alignment horizontal="left" vertical="center" wrapText="1"/>
    </xf>
    <xf numFmtId="0" fontId="27" fillId="0" borderId="0" xfId="0" applyFont="1" applyProtection="1"/>
    <xf numFmtId="0" fontId="0" fillId="0" borderId="85" xfId="0" applyBorder="1" applyProtection="1"/>
    <xf numFmtId="165" fontId="33" fillId="0" borderId="0" xfId="0" applyNumberFormat="1" applyFont="1" applyBorder="1" applyAlignment="1">
      <alignment horizontal="center"/>
    </xf>
    <xf numFmtId="0" fontId="16" fillId="0" borderId="0" xfId="0" applyFont="1" applyAlignment="1"/>
    <xf numFmtId="0" fontId="40" fillId="0" borderId="0" xfId="0" applyFont="1" applyAlignment="1"/>
    <xf numFmtId="0" fontId="56" fillId="0" borderId="0" xfId="0" applyFont="1" applyAlignment="1">
      <alignment horizontal="left" vertical="center"/>
    </xf>
    <xf numFmtId="14" fontId="56" fillId="0" borderId="0" xfId="0" applyNumberFormat="1" applyFont="1" applyAlignment="1">
      <alignment horizontal="left" vertical="top"/>
    </xf>
    <xf numFmtId="14" fontId="51" fillId="6" borderId="46" xfId="0" applyNumberFormat="1" applyFont="1" applyFill="1" applyBorder="1" applyAlignment="1" applyProtection="1">
      <alignment horizontal="center" vertical="center"/>
      <protection locked="0"/>
    </xf>
    <xf numFmtId="166" fontId="51" fillId="6" borderId="135" xfId="0" applyNumberFormat="1" applyFont="1" applyFill="1" applyBorder="1" applyAlignment="1" applyProtection="1">
      <alignment horizontal="center" vertical="center"/>
      <protection locked="0"/>
    </xf>
    <xf numFmtId="164" fontId="23" fillId="0" borderId="136" xfId="0" applyNumberFormat="1" applyFont="1" applyBorder="1" applyAlignment="1">
      <alignment horizontal="center" vertical="center"/>
    </xf>
    <xf numFmtId="0" fontId="22" fillId="6" borderId="138" xfId="0" applyFont="1" applyFill="1" applyBorder="1" applyAlignment="1">
      <alignment horizontal="center" vertical="center"/>
    </xf>
    <xf numFmtId="0" fontId="21" fillId="0" borderId="137" xfId="0" applyFont="1" applyBorder="1" applyAlignment="1">
      <alignment horizontal="right" vertical="center"/>
    </xf>
    <xf numFmtId="0" fontId="21" fillId="0" borderId="138" xfId="0" applyFont="1" applyBorder="1" applyAlignment="1">
      <alignment horizontal="center" vertical="center"/>
    </xf>
    <xf numFmtId="0" fontId="21" fillId="0" borderId="140" xfId="0" applyFont="1" applyBorder="1" applyAlignment="1">
      <alignment horizontal="left" vertical="center"/>
    </xf>
    <xf numFmtId="166" fontId="51" fillId="6" borderId="141" xfId="0" applyNumberFormat="1" applyFont="1" applyFill="1" applyBorder="1" applyAlignment="1" applyProtection="1">
      <alignment horizontal="center" vertical="center"/>
      <protection locked="0"/>
    </xf>
    <xf numFmtId="165" fontId="49" fillId="0" borderId="0" xfId="0" applyNumberFormat="1" applyFont="1" applyBorder="1" applyAlignment="1">
      <alignment horizontal="center" vertical="center" wrapText="1"/>
    </xf>
    <xf numFmtId="165" fontId="14" fillId="0" borderId="0" xfId="0" applyNumberFormat="1" applyFont="1" applyFill="1" applyBorder="1" applyAlignment="1">
      <alignment vertical="center" shrinkToFit="1"/>
    </xf>
    <xf numFmtId="164" fontId="18" fillId="0" borderId="0" xfId="0" applyNumberFormat="1" applyFont="1" applyAlignment="1">
      <alignment horizontal="center" vertical="center"/>
    </xf>
    <xf numFmtId="1" fontId="18" fillId="0" borderId="0" xfId="0" applyNumberFormat="1" applyFont="1"/>
    <xf numFmtId="1" fontId="24" fillId="0" borderId="0" xfId="0" applyNumberFormat="1" applyFont="1" applyAlignment="1"/>
    <xf numFmtId="0" fontId="18" fillId="0" borderId="0" xfId="0" applyNumberFormat="1" applyFont="1"/>
    <xf numFmtId="0" fontId="24" fillId="0" borderId="0" xfId="0" applyNumberFormat="1" applyFont="1" applyAlignment="1"/>
    <xf numFmtId="1" fontId="18" fillId="0" borderId="145" xfId="0" applyNumberFormat="1" applyFont="1" applyBorder="1" applyAlignment="1">
      <alignment horizontal="center" vertical="center"/>
    </xf>
    <xf numFmtId="1" fontId="18" fillId="0" borderId="146" xfId="0" applyNumberFormat="1" applyFont="1" applyBorder="1"/>
    <xf numFmtId="0" fontId="5" fillId="0" borderId="0" xfId="0" applyFont="1" applyAlignment="1">
      <alignment horizontal="center" vertical="center"/>
    </xf>
    <xf numFmtId="0" fontId="19" fillId="5" borderId="144" xfId="0" applyFont="1" applyFill="1" applyBorder="1" applyAlignment="1">
      <alignment horizontal="center" vertical="center"/>
    </xf>
    <xf numFmtId="0" fontId="5" fillId="0" borderId="25" xfId="0" applyFont="1" applyBorder="1" applyAlignment="1">
      <alignment horizontal="center" vertical="center" shrinkToFit="1"/>
    </xf>
    <xf numFmtId="0" fontId="5" fillId="0" borderId="53" xfId="0" applyFont="1" applyBorder="1" applyAlignment="1">
      <alignment horizontal="center" vertical="center" shrinkToFit="1"/>
    </xf>
    <xf numFmtId="0" fontId="5" fillId="0" borderId="26" xfId="0" applyFont="1" applyBorder="1" applyAlignment="1">
      <alignment horizontal="center" vertical="center" shrinkToFit="1"/>
    </xf>
    <xf numFmtId="0" fontId="57" fillId="5" borderId="24" xfId="0" applyFont="1" applyFill="1" applyBorder="1" applyAlignment="1">
      <alignment horizontal="center" vertical="center"/>
    </xf>
    <xf numFmtId="0" fontId="14" fillId="0" borderId="145" xfId="0" applyFont="1" applyBorder="1" applyAlignment="1">
      <alignment horizontal="center" vertical="center"/>
    </xf>
    <xf numFmtId="0" fontId="14" fillId="0" borderId="146" xfId="0" applyFont="1" applyBorder="1" applyAlignment="1">
      <alignment horizontal="center" vertical="center"/>
    </xf>
    <xf numFmtId="0" fontId="57" fillId="5" borderId="49" xfId="0" applyFont="1" applyFill="1" applyBorder="1" applyAlignment="1">
      <alignment horizontal="center" vertical="center"/>
    </xf>
    <xf numFmtId="0" fontId="52" fillId="0" borderId="0" xfId="0" applyFont="1"/>
    <xf numFmtId="0" fontId="57" fillId="5" borderId="98" xfId="0" applyFont="1" applyFill="1" applyBorder="1" applyAlignment="1">
      <alignment horizontal="center" vertical="center" shrinkToFit="1"/>
    </xf>
    <xf numFmtId="0" fontId="57" fillId="5" borderId="90" xfId="0" applyFont="1" applyFill="1" applyBorder="1" applyAlignment="1">
      <alignment horizontal="center" vertical="center" shrinkToFit="1"/>
    </xf>
    <xf numFmtId="0" fontId="57" fillId="5" borderId="142" xfId="0" applyFont="1" applyFill="1" applyBorder="1" applyAlignment="1">
      <alignment horizontal="center" vertical="center" shrinkToFit="1"/>
    </xf>
    <xf numFmtId="0" fontId="57" fillId="5" borderId="91" xfId="0" applyFont="1" applyFill="1" applyBorder="1" applyAlignment="1">
      <alignment horizontal="center" vertical="center" shrinkToFit="1"/>
    </xf>
    <xf numFmtId="0" fontId="19" fillId="5" borderId="98" xfId="0" applyFont="1" applyFill="1" applyBorder="1" applyAlignment="1">
      <alignment horizontal="right" vertical="center" indent="1"/>
    </xf>
    <xf numFmtId="0" fontId="19" fillId="5" borderId="91" xfId="0" applyFont="1" applyFill="1" applyBorder="1" applyAlignment="1">
      <alignment vertical="center"/>
    </xf>
    <xf numFmtId="0" fontId="21" fillId="6" borderId="143" xfId="0" applyFont="1" applyFill="1" applyBorder="1" applyAlignment="1" applyProtection="1">
      <alignment horizontal="left" vertical="center" indent="1"/>
      <protection locked="0"/>
    </xf>
    <xf numFmtId="0" fontId="21" fillId="6" borderId="41" xfId="0" applyFont="1" applyFill="1" applyBorder="1" applyAlignment="1" applyProtection="1">
      <alignment horizontal="left" vertical="center" indent="1"/>
      <protection locked="0"/>
    </xf>
    <xf numFmtId="0" fontId="21" fillId="6" borderId="43" xfId="0" applyFont="1" applyFill="1" applyBorder="1" applyAlignment="1" applyProtection="1">
      <alignment horizontal="left" vertical="center" indent="1"/>
      <protection locked="0"/>
    </xf>
    <xf numFmtId="0" fontId="19" fillId="5" borderId="142" xfId="0" applyFont="1" applyFill="1" applyBorder="1" applyAlignment="1">
      <alignment horizontal="left" vertical="center" indent="1"/>
    </xf>
    <xf numFmtId="0" fontId="19" fillId="5" borderId="98" xfId="0" applyFont="1" applyFill="1" applyBorder="1" applyAlignment="1">
      <alignment horizontal="center" vertical="center"/>
    </xf>
    <xf numFmtId="0" fontId="19" fillId="5" borderId="91" xfId="0" applyFont="1" applyFill="1" applyBorder="1" applyAlignment="1">
      <alignment horizontal="center" vertical="center"/>
    </xf>
    <xf numFmtId="167" fontId="14" fillId="0" borderId="40" xfId="0" applyNumberFormat="1" applyFont="1" applyBorder="1" applyAlignment="1">
      <alignment horizontal="center" vertical="center" shrinkToFit="1"/>
    </xf>
    <xf numFmtId="167" fontId="14" fillId="0" borderId="42" xfId="0" applyNumberFormat="1" applyFont="1" applyBorder="1" applyAlignment="1">
      <alignment horizontal="center" vertical="center" shrinkToFit="1"/>
    </xf>
    <xf numFmtId="165" fontId="58" fillId="0" borderId="0" xfId="0" applyNumberFormat="1" applyFont="1" applyAlignment="1">
      <alignment horizontal="right" vertical="center" indent="1"/>
    </xf>
    <xf numFmtId="164" fontId="8" fillId="0" borderId="56" xfId="0" applyNumberFormat="1" applyFont="1" applyFill="1" applyBorder="1" applyAlignment="1" applyProtection="1">
      <alignment horizontal="right" vertical="center" indent="1"/>
      <protection hidden="1"/>
    </xf>
    <xf numFmtId="164" fontId="8" fillId="0" borderId="57" xfId="0" applyNumberFormat="1" applyFont="1" applyFill="1" applyBorder="1" applyAlignment="1" applyProtection="1">
      <alignment horizontal="right" vertical="center" indent="1"/>
      <protection hidden="1"/>
    </xf>
    <xf numFmtId="164" fontId="8" fillId="0" borderId="58" xfId="0" applyNumberFormat="1" applyFont="1" applyFill="1" applyBorder="1" applyAlignment="1" applyProtection="1">
      <alignment horizontal="right" vertical="center" indent="1"/>
      <protection hidden="1"/>
    </xf>
    <xf numFmtId="164" fontId="14" fillId="12" borderId="123" xfId="0" applyNumberFormat="1" applyFont="1" applyFill="1" applyBorder="1" applyAlignment="1">
      <alignment horizontal="right" vertical="center" indent="1" shrinkToFit="1"/>
    </xf>
    <xf numFmtId="0" fontId="14" fillId="12" borderId="47" xfId="0" applyFont="1" applyFill="1" applyBorder="1" applyAlignment="1">
      <alignment horizontal="left" vertical="center" shrinkToFit="1"/>
    </xf>
    <xf numFmtId="0" fontId="14" fillId="12" borderId="34" xfId="0" applyFont="1" applyFill="1" applyBorder="1" applyAlignment="1">
      <alignment horizontal="center" vertical="center" shrinkToFit="1"/>
    </xf>
    <xf numFmtId="0" fontId="14" fillId="12" borderId="35" xfId="0" applyFont="1" applyFill="1" applyBorder="1" applyAlignment="1">
      <alignment horizontal="center" vertical="center" shrinkToFit="1"/>
    </xf>
    <xf numFmtId="0" fontId="14" fillId="12" borderId="41" xfId="0" applyFont="1" applyFill="1" applyBorder="1" applyAlignment="1">
      <alignment horizontal="center" vertical="center" shrinkToFit="1"/>
    </xf>
    <xf numFmtId="0" fontId="14" fillId="12" borderId="41" xfId="0" applyFont="1" applyFill="1" applyBorder="1" applyAlignment="1">
      <alignment horizontal="right" vertical="center" shrinkToFit="1"/>
    </xf>
    <xf numFmtId="0" fontId="14" fillId="12" borderId="44" xfId="0" applyFont="1" applyFill="1" applyBorder="1" applyAlignment="1">
      <alignment horizontal="center" vertical="center" shrinkToFit="1"/>
    </xf>
    <xf numFmtId="0" fontId="14" fillId="12" borderId="40" xfId="0" applyFont="1" applyFill="1" applyBorder="1" applyAlignment="1">
      <alignment horizontal="left" vertical="center" shrinkToFit="1"/>
    </xf>
    <xf numFmtId="167" fontId="14" fillId="12" borderId="40" xfId="0" applyNumberFormat="1" applyFont="1" applyFill="1" applyBorder="1" applyAlignment="1">
      <alignment horizontal="center" vertical="center" shrinkToFit="1"/>
    </xf>
    <xf numFmtId="0" fontId="15" fillId="12" borderId="36" xfId="0" applyFont="1" applyFill="1" applyBorder="1" applyAlignment="1">
      <alignment horizontal="center" vertical="center" shrinkToFit="1"/>
    </xf>
    <xf numFmtId="164" fontId="14" fillId="11" borderId="123" xfId="0" applyNumberFormat="1" applyFont="1" applyFill="1" applyBorder="1" applyAlignment="1">
      <alignment horizontal="right" vertical="center" indent="1" shrinkToFit="1"/>
    </xf>
    <xf numFmtId="0" fontId="14" fillId="11" borderId="47" xfId="0" applyFont="1" applyFill="1" applyBorder="1" applyAlignment="1">
      <alignment horizontal="left" vertical="center" shrinkToFit="1"/>
    </xf>
    <xf numFmtId="0" fontId="14" fillId="11" borderId="34" xfId="0" applyFont="1" applyFill="1" applyBorder="1" applyAlignment="1">
      <alignment horizontal="center" vertical="center" shrinkToFit="1"/>
    </xf>
    <xf numFmtId="0" fontId="14" fillId="11" borderId="35" xfId="0" applyFont="1" applyFill="1" applyBorder="1" applyAlignment="1">
      <alignment horizontal="center" vertical="center" shrinkToFit="1"/>
    </xf>
    <xf numFmtId="0" fontId="14" fillId="11" borderId="41" xfId="0" applyFont="1" applyFill="1" applyBorder="1" applyAlignment="1">
      <alignment horizontal="center" vertical="center" shrinkToFit="1"/>
    </xf>
    <xf numFmtId="0" fontId="14" fillId="11" borderId="41" xfId="0" applyFont="1" applyFill="1" applyBorder="1" applyAlignment="1">
      <alignment horizontal="right" vertical="center" shrinkToFit="1"/>
    </xf>
    <xf numFmtId="0" fontId="14" fillId="11" borderId="44" xfId="0" applyFont="1" applyFill="1" applyBorder="1" applyAlignment="1">
      <alignment horizontal="center" vertical="center" shrinkToFit="1"/>
    </xf>
    <xf numFmtId="0" fontId="14" fillId="11" borderId="40" xfId="0" applyFont="1" applyFill="1" applyBorder="1" applyAlignment="1">
      <alignment horizontal="left" vertical="center" shrinkToFit="1"/>
    </xf>
    <xf numFmtId="167" fontId="14" fillId="11" borderId="40" xfId="0" applyNumberFormat="1" applyFont="1" applyFill="1" applyBorder="1" applyAlignment="1">
      <alignment horizontal="center" vertical="center" shrinkToFit="1"/>
    </xf>
    <xf numFmtId="0" fontId="15" fillId="11" borderId="36" xfId="0" applyFont="1" applyFill="1" applyBorder="1" applyAlignment="1">
      <alignment horizontal="center" vertical="center" shrinkToFit="1"/>
    </xf>
    <xf numFmtId="164" fontId="14" fillId="13" borderId="123" xfId="0" applyNumberFormat="1" applyFont="1" applyFill="1" applyBorder="1" applyAlignment="1">
      <alignment horizontal="right" vertical="center" indent="1" shrinkToFit="1"/>
    </xf>
    <xf numFmtId="0" fontId="14" fillId="13" borderId="47" xfId="0" applyFont="1" applyFill="1" applyBorder="1" applyAlignment="1">
      <alignment horizontal="left" vertical="center" shrinkToFit="1"/>
    </xf>
    <xf numFmtId="0" fontId="14" fillId="13" borderId="34" xfId="0" applyFont="1" applyFill="1" applyBorder="1" applyAlignment="1">
      <alignment horizontal="center" vertical="center" shrinkToFit="1"/>
    </xf>
    <xf numFmtId="0" fontId="14" fillId="13" borderId="35" xfId="0" applyFont="1" applyFill="1" applyBorder="1" applyAlignment="1">
      <alignment horizontal="center" vertical="center" shrinkToFit="1"/>
    </xf>
    <xf numFmtId="0" fontId="14" fillId="13" borderId="41" xfId="0" applyFont="1" applyFill="1" applyBorder="1" applyAlignment="1">
      <alignment horizontal="center" vertical="center" shrinkToFit="1"/>
    </xf>
    <xf numFmtId="0" fontId="14" fillId="13" borderId="41" xfId="0" applyFont="1" applyFill="1" applyBorder="1" applyAlignment="1">
      <alignment horizontal="right" vertical="center" shrinkToFit="1"/>
    </xf>
    <xf numFmtId="0" fontId="14" fillId="13" borderId="44" xfId="0" applyFont="1" applyFill="1" applyBorder="1" applyAlignment="1">
      <alignment horizontal="center" vertical="center" shrinkToFit="1"/>
    </xf>
    <xf numFmtId="0" fontId="14" fillId="13" borderId="40" xfId="0" applyFont="1" applyFill="1" applyBorder="1" applyAlignment="1">
      <alignment horizontal="left" vertical="center" shrinkToFit="1"/>
    </xf>
    <xf numFmtId="167" fontId="14" fillId="13" borderId="40" xfId="0" applyNumberFormat="1" applyFont="1" applyFill="1" applyBorder="1" applyAlignment="1">
      <alignment horizontal="center" vertical="center" shrinkToFit="1"/>
    </xf>
    <xf numFmtId="0" fontId="15" fillId="13" borderId="36" xfId="0" applyFont="1" applyFill="1" applyBorder="1" applyAlignment="1">
      <alignment horizontal="center" vertical="center" shrinkToFit="1"/>
    </xf>
    <xf numFmtId="164" fontId="14" fillId="13" borderId="147" xfId="0" applyNumberFormat="1" applyFont="1" applyFill="1" applyBorder="1" applyAlignment="1">
      <alignment horizontal="right" vertical="center" indent="1" shrinkToFit="1"/>
    </xf>
    <xf numFmtId="0" fontId="14" fillId="13" borderId="97" xfId="0" applyFont="1" applyFill="1" applyBorder="1" applyAlignment="1">
      <alignment horizontal="left" vertical="center" shrinkToFit="1"/>
    </xf>
    <xf numFmtId="0" fontId="14" fillId="13" borderId="46" xfId="0" applyFont="1" applyFill="1" applyBorder="1" applyAlignment="1">
      <alignment horizontal="center" vertical="center" shrinkToFit="1"/>
    </xf>
    <xf numFmtId="0" fontId="14" fillId="13" borderId="148" xfId="0" applyFont="1" applyFill="1" applyBorder="1" applyAlignment="1">
      <alignment horizontal="center" vertical="center" shrinkToFit="1"/>
    </xf>
    <xf numFmtId="0" fontId="14" fillId="13" borderId="94" xfId="0" applyFont="1" applyFill="1" applyBorder="1" applyAlignment="1">
      <alignment horizontal="center" vertical="center" shrinkToFit="1"/>
    </xf>
    <xf numFmtId="0" fontId="14" fillId="13" borderId="94" xfId="0" applyFont="1" applyFill="1" applyBorder="1" applyAlignment="1">
      <alignment horizontal="right" vertical="center" shrinkToFit="1"/>
    </xf>
    <xf numFmtId="0" fontId="14" fillId="13" borderId="95" xfId="0" applyFont="1" applyFill="1" applyBorder="1" applyAlignment="1">
      <alignment horizontal="center" vertical="center" shrinkToFit="1"/>
    </xf>
    <xf numFmtId="0" fontId="14" fillId="13" borderId="96" xfId="0" applyFont="1" applyFill="1" applyBorder="1" applyAlignment="1">
      <alignment horizontal="left" vertical="center" shrinkToFit="1"/>
    </xf>
    <xf numFmtId="167" fontId="14" fillId="13" borderId="96" xfId="0" applyNumberFormat="1" applyFont="1" applyFill="1" applyBorder="1" applyAlignment="1">
      <alignment horizontal="center" vertical="center" shrinkToFit="1"/>
    </xf>
    <xf numFmtId="0" fontId="15" fillId="13" borderId="135" xfId="0" applyFont="1" applyFill="1" applyBorder="1" applyAlignment="1">
      <alignment horizontal="center" vertical="center" shrinkToFit="1"/>
    </xf>
    <xf numFmtId="164" fontId="14" fillId="14" borderId="123" xfId="0" applyNumberFormat="1" applyFont="1" applyFill="1" applyBorder="1" applyAlignment="1">
      <alignment horizontal="right" vertical="center" indent="1" shrinkToFit="1"/>
    </xf>
    <xf numFmtId="0" fontId="14" fillId="14" borderId="47" xfId="0" applyFont="1" applyFill="1" applyBorder="1" applyAlignment="1">
      <alignment horizontal="left" vertical="center" shrinkToFit="1"/>
    </xf>
    <xf numFmtId="0" fontId="14" fillId="14" borderId="34" xfId="0" applyFont="1" applyFill="1" applyBorder="1" applyAlignment="1">
      <alignment horizontal="center" vertical="center" shrinkToFit="1"/>
    </xf>
    <xf numFmtId="0" fontId="14" fillId="14" borderId="35" xfId="0" applyFont="1" applyFill="1" applyBorder="1" applyAlignment="1">
      <alignment horizontal="center" vertical="center" shrinkToFit="1"/>
    </xf>
    <xf numFmtId="0" fontId="14" fillId="14" borderId="41" xfId="0" applyFont="1" applyFill="1" applyBorder="1" applyAlignment="1">
      <alignment horizontal="center" vertical="center" shrinkToFit="1"/>
    </xf>
    <xf numFmtId="0" fontId="14" fillId="14" borderId="41" xfId="0" applyFont="1" applyFill="1" applyBorder="1" applyAlignment="1">
      <alignment horizontal="right" vertical="center" shrinkToFit="1"/>
    </xf>
    <xf numFmtId="0" fontId="14" fillId="14" borderId="44" xfId="0" applyFont="1" applyFill="1" applyBorder="1" applyAlignment="1">
      <alignment horizontal="center" vertical="center" shrinkToFit="1"/>
    </xf>
    <xf numFmtId="0" fontId="14" fillId="14" borderId="40" xfId="0" applyFont="1" applyFill="1" applyBorder="1" applyAlignment="1">
      <alignment horizontal="left" vertical="center" shrinkToFit="1"/>
    </xf>
    <xf numFmtId="167" fontId="14" fillId="14" borderId="40" xfId="0" applyNumberFormat="1" applyFont="1" applyFill="1" applyBorder="1" applyAlignment="1">
      <alignment horizontal="center" vertical="center" shrinkToFit="1"/>
    </xf>
    <xf numFmtId="0" fontId="15" fillId="14" borderId="36" xfId="0" applyFont="1" applyFill="1" applyBorder="1" applyAlignment="1">
      <alignment horizontal="center" vertical="center" shrinkToFit="1"/>
    </xf>
    <xf numFmtId="0" fontId="0" fillId="0" borderId="0" xfId="0" applyAlignment="1">
      <alignment horizontal="center"/>
    </xf>
    <xf numFmtId="0" fontId="41" fillId="11" borderId="0" xfId="0" applyFont="1" applyFill="1" applyAlignment="1">
      <alignment horizontal="center"/>
    </xf>
    <xf numFmtId="0" fontId="62" fillId="0" borderId="0" xfId="0" applyFont="1"/>
    <xf numFmtId="0" fontId="0" fillId="11" borderId="154" xfId="0" applyFill="1" applyBorder="1" applyAlignment="1" applyProtection="1">
      <alignment horizontal="center"/>
      <protection locked="0"/>
    </xf>
    <xf numFmtId="0" fontId="4" fillId="0" borderId="0" xfId="0" applyFont="1" applyProtection="1">
      <protection locked="0"/>
    </xf>
    <xf numFmtId="0" fontId="6" fillId="0" borderId="156" xfId="0" applyFont="1" applyFill="1" applyBorder="1" applyAlignment="1">
      <alignment vertical="center" shrinkToFit="1"/>
    </xf>
    <xf numFmtId="0" fontId="6" fillId="0" borderId="157" xfId="0" applyFont="1" applyFill="1" applyBorder="1" applyAlignment="1">
      <alignment vertical="center" shrinkToFit="1"/>
    </xf>
    <xf numFmtId="0" fontId="6" fillId="0" borderId="158" xfId="0" applyFont="1" applyFill="1" applyBorder="1" applyAlignment="1">
      <alignment vertical="center" shrinkToFit="1"/>
    </xf>
    <xf numFmtId="0" fontId="64" fillId="0" borderId="159" xfId="0" applyFont="1" applyFill="1" applyBorder="1" applyAlignment="1">
      <alignment horizontal="center" vertical="center" shrinkToFit="1"/>
    </xf>
    <xf numFmtId="0" fontId="52" fillId="0" borderId="159" xfId="0" applyFont="1" applyFill="1" applyBorder="1" applyAlignment="1">
      <alignment horizontal="center" vertical="center" shrinkToFit="1"/>
    </xf>
    <xf numFmtId="0" fontId="52" fillId="15" borderId="160" xfId="0" applyFont="1" applyFill="1" applyBorder="1" applyAlignment="1" applyProtection="1">
      <alignment horizontal="center" vertical="center" shrinkToFit="1"/>
      <protection locked="0"/>
    </xf>
    <xf numFmtId="0" fontId="52" fillId="0" borderId="160" xfId="0" applyFont="1" applyFill="1" applyBorder="1" applyAlignment="1">
      <alignment horizontal="center" vertical="center" shrinkToFit="1"/>
    </xf>
    <xf numFmtId="0" fontId="52" fillId="15" borderId="160" xfId="0" applyNumberFormat="1" applyFont="1" applyFill="1" applyBorder="1" applyAlignment="1" applyProtection="1">
      <alignment horizontal="center" vertical="top"/>
      <protection locked="0"/>
    </xf>
    <xf numFmtId="0" fontId="52" fillId="0" borderId="160" xfId="0" applyNumberFormat="1" applyFont="1" applyFill="1" applyBorder="1" applyAlignment="1">
      <alignment horizontal="center" vertical="top"/>
    </xf>
    <xf numFmtId="0" fontId="52" fillId="0" borderId="156" xfId="0" applyNumberFormat="1" applyFont="1" applyFill="1" applyBorder="1" applyAlignment="1" applyProtection="1">
      <alignment horizontal="center" vertical="top"/>
    </xf>
    <xf numFmtId="0" fontId="52" fillId="0" borderId="158" xfId="0" applyNumberFormat="1" applyFont="1" applyFill="1" applyBorder="1" applyAlignment="1" applyProtection="1">
      <alignment horizontal="center" vertical="top"/>
    </xf>
    <xf numFmtId="0" fontId="57" fillId="0" borderId="159" xfId="0" applyFont="1" applyFill="1" applyBorder="1" applyAlignment="1">
      <alignment horizontal="center" vertical="center" shrinkToFit="1"/>
    </xf>
    <xf numFmtId="0" fontId="57" fillId="0" borderId="160" xfId="0" applyNumberFormat="1" applyFont="1" applyFill="1" applyBorder="1" applyAlignment="1">
      <alignment horizontal="center" vertical="top"/>
    </xf>
    <xf numFmtId="0" fontId="0" fillId="0" borderId="0" xfId="0" applyAlignment="1" applyProtection="1">
      <alignment vertical="top" wrapText="1"/>
      <protection locked="0"/>
    </xf>
    <xf numFmtId="0" fontId="0" fillId="10" borderId="65" xfId="0" applyFill="1" applyBorder="1" applyAlignment="1" applyProtection="1">
      <alignment horizontal="left" indent="1"/>
      <protection locked="0"/>
    </xf>
    <xf numFmtId="165" fontId="33" fillId="0" borderId="0" xfId="0" applyNumberFormat="1" applyFont="1" applyBorder="1" applyAlignment="1">
      <alignment horizontal="center"/>
    </xf>
    <xf numFmtId="0" fontId="17" fillId="0" borderId="0" xfId="0" applyFont="1" applyFill="1" applyBorder="1" applyAlignment="1">
      <alignment horizontal="center" vertical="center" shrinkToFit="1"/>
    </xf>
    <xf numFmtId="0" fontId="45" fillId="0" borderId="0" xfId="0" applyFont="1" applyBorder="1" applyAlignment="1" applyProtection="1">
      <alignment horizontal="center"/>
    </xf>
    <xf numFmtId="0" fontId="57" fillId="0" borderId="0" xfId="0" applyFont="1" applyFill="1" applyBorder="1" applyAlignment="1">
      <alignment horizontal="center" vertical="center" shrinkToFit="1"/>
    </xf>
    <xf numFmtId="0" fontId="57" fillId="0" borderId="0" xfId="0" applyNumberFormat="1" applyFont="1" applyFill="1" applyBorder="1" applyAlignment="1">
      <alignment horizontal="center" vertical="top"/>
    </xf>
    <xf numFmtId="0" fontId="14" fillId="0" borderId="0" xfId="0" applyFont="1" applyBorder="1" applyAlignment="1">
      <alignment horizontal="center" vertical="center" shrinkToFit="1"/>
    </xf>
    <xf numFmtId="0" fontId="57" fillId="5" borderId="164" xfId="0" applyFont="1" applyFill="1" applyBorder="1" applyAlignment="1">
      <alignment horizontal="center" vertical="center" shrinkToFit="1"/>
    </xf>
    <xf numFmtId="0" fontId="0" fillId="0" borderId="171" xfId="0" applyBorder="1" applyAlignment="1">
      <alignment horizontal="center"/>
    </xf>
    <xf numFmtId="0" fontId="0" fillId="0" borderId="103" xfId="0" applyBorder="1" applyAlignment="1">
      <alignment horizontal="center"/>
    </xf>
    <xf numFmtId="0" fontId="0" fillId="0" borderId="30" xfId="0" applyBorder="1" applyAlignment="1">
      <alignment horizontal="center"/>
    </xf>
    <xf numFmtId="0" fontId="0" fillId="0" borderId="87" xfId="0" applyBorder="1" applyAlignment="1">
      <alignment horizontal="center"/>
    </xf>
    <xf numFmtId="0" fontId="0" fillId="0" borderId="172" xfId="0" applyBorder="1" applyAlignment="1">
      <alignment horizontal="center"/>
    </xf>
    <xf numFmtId="0" fontId="0" fillId="0" borderId="89" xfId="0" applyBorder="1" applyAlignment="1">
      <alignment horizontal="center"/>
    </xf>
    <xf numFmtId="0" fontId="14" fillId="6" borderId="25" xfId="0" applyFont="1" applyFill="1" applyBorder="1" applyAlignment="1" applyProtection="1">
      <alignment horizontal="center" vertical="center" shrinkToFit="1"/>
      <protection locked="0"/>
    </xf>
    <xf numFmtId="0" fontId="14" fillId="6" borderId="166" xfId="0" applyFont="1" applyFill="1" applyBorder="1" applyAlignment="1" applyProtection="1">
      <alignment horizontal="center" vertical="center" shrinkToFit="1"/>
      <protection locked="0"/>
    </xf>
    <xf numFmtId="0" fontId="14" fillId="6" borderId="167" xfId="0" applyFont="1" applyFill="1" applyBorder="1" applyAlignment="1" applyProtection="1">
      <alignment horizontal="center" vertical="center" shrinkToFit="1"/>
      <protection locked="0"/>
    </xf>
    <xf numFmtId="0" fontId="14" fillId="6" borderId="168" xfId="0" applyFont="1" applyFill="1" applyBorder="1" applyAlignment="1" applyProtection="1">
      <alignment horizontal="center" vertical="center" shrinkToFit="1"/>
      <protection locked="0"/>
    </xf>
    <xf numFmtId="0" fontId="14" fillId="0" borderId="165" xfId="0" applyFont="1" applyFill="1" applyBorder="1" applyAlignment="1">
      <alignment horizontal="center" vertical="center" shrinkToFit="1"/>
    </xf>
    <xf numFmtId="0" fontId="14" fillId="0" borderId="162" xfId="0" applyFont="1" applyFill="1" applyBorder="1" applyAlignment="1">
      <alignment horizontal="center" vertical="center" shrinkToFit="1"/>
    </xf>
    <xf numFmtId="0" fontId="14" fillId="0" borderId="163" xfId="0" applyFont="1" applyFill="1" applyBorder="1" applyAlignment="1">
      <alignment horizontal="center" vertical="center" shrinkToFit="1"/>
    </xf>
    <xf numFmtId="0" fontId="21" fillId="0" borderId="127" xfId="0" applyNumberFormat="1" applyFont="1" applyFill="1" applyBorder="1" applyAlignment="1">
      <alignment horizontal="right" vertical="center" indent="1"/>
    </xf>
    <xf numFmtId="0" fontId="21" fillId="0" borderId="34" xfId="0" applyNumberFormat="1" applyFont="1" applyFill="1" applyBorder="1" applyAlignment="1">
      <alignment horizontal="right" vertical="center" indent="1"/>
    </xf>
    <xf numFmtId="0" fontId="21" fillId="0" borderId="37" xfId="0" applyNumberFormat="1" applyFont="1" applyFill="1" applyBorder="1" applyAlignment="1">
      <alignment horizontal="right" vertical="center" indent="1"/>
    </xf>
    <xf numFmtId="0" fontId="51" fillId="0" borderId="0" xfId="0" applyFont="1"/>
    <xf numFmtId="0" fontId="51" fillId="6" borderId="94" xfId="0" applyFont="1" applyFill="1" applyBorder="1" applyAlignment="1" applyProtection="1">
      <alignment vertical="center"/>
      <protection locked="0"/>
    </xf>
    <xf numFmtId="0" fontId="51" fillId="6" borderId="137" xfId="0" applyFont="1" applyFill="1" applyBorder="1" applyAlignment="1" applyProtection="1">
      <alignment vertical="center"/>
      <protection locked="0"/>
    </xf>
    <xf numFmtId="0" fontId="51" fillId="6" borderId="108" xfId="0" applyFont="1" applyFill="1" applyBorder="1" applyAlignment="1" applyProtection="1">
      <alignment vertical="center"/>
      <protection locked="0"/>
    </xf>
    <xf numFmtId="0" fontId="51" fillId="6" borderId="96" xfId="0" applyFont="1" applyFill="1" applyBorder="1" applyAlignment="1" applyProtection="1">
      <alignment horizontal="left" vertical="center"/>
      <protection locked="0"/>
    </xf>
    <xf numFmtId="0" fontId="51" fillId="6" borderId="139" xfId="0" applyFont="1" applyFill="1" applyBorder="1" applyAlignment="1" applyProtection="1">
      <alignment horizontal="left" vertical="center"/>
      <protection locked="0"/>
    </xf>
    <xf numFmtId="0" fontId="51" fillId="6" borderId="131" xfId="0" applyFont="1" applyFill="1" applyBorder="1" applyAlignment="1" applyProtection="1">
      <alignment horizontal="left" vertical="center"/>
      <protection locked="0"/>
    </xf>
    <xf numFmtId="0" fontId="51" fillId="6" borderId="41" xfId="0" applyFont="1" applyFill="1" applyBorder="1" applyAlignment="1" applyProtection="1">
      <alignment vertical="center"/>
      <protection locked="0"/>
    </xf>
    <xf numFmtId="0" fontId="22" fillId="6" borderId="44" xfId="0" applyFont="1" applyFill="1" applyBorder="1" applyAlignment="1">
      <alignment horizontal="center" vertical="center"/>
    </xf>
    <xf numFmtId="0" fontId="51" fillId="6" borderId="40" xfId="0" applyFont="1" applyFill="1" applyBorder="1" applyAlignment="1" applyProtection="1">
      <alignment horizontal="left" vertical="center"/>
      <protection locked="0"/>
    </xf>
    <xf numFmtId="0" fontId="21" fillId="0" borderId="41" xfId="0" applyFont="1" applyBorder="1" applyAlignment="1">
      <alignment horizontal="right" vertical="center"/>
    </xf>
    <xf numFmtId="0" fontId="21" fillId="0" borderId="44" xfId="0" applyFont="1" applyBorder="1" applyAlignment="1">
      <alignment horizontal="center" vertical="center"/>
    </xf>
    <xf numFmtId="0" fontId="21" fillId="0" borderId="47" xfId="0" applyFont="1" applyBorder="1" applyAlignment="1">
      <alignment horizontal="left" vertical="center"/>
    </xf>
    <xf numFmtId="1" fontId="18" fillId="0" borderId="173" xfId="0" applyNumberFormat="1" applyFont="1" applyBorder="1" applyAlignment="1">
      <alignment horizontal="center" vertical="center"/>
    </xf>
    <xf numFmtId="1" fontId="18" fillId="0" borderId="174" xfId="0" applyNumberFormat="1" applyFont="1" applyBorder="1" applyAlignment="1">
      <alignment horizontal="center" vertical="center"/>
    </xf>
    <xf numFmtId="165" fontId="33" fillId="0" borderId="0" xfId="0" applyNumberFormat="1" applyFont="1" applyBorder="1" applyAlignment="1">
      <alignment horizontal="center"/>
    </xf>
    <xf numFmtId="0" fontId="17" fillId="0" borderId="0" xfId="0" applyFont="1" applyFill="1" applyBorder="1" applyAlignment="1">
      <alignment horizontal="center" vertical="center" shrinkToFit="1"/>
    </xf>
    <xf numFmtId="0" fontId="9" fillId="0" borderId="175" xfId="0" applyNumberFormat="1" applyFont="1" applyFill="1" applyBorder="1" applyAlignment="1" applyProtection="1">
      <alignment horizontal="center" vertical="center"/>
      <protection hidden="1"/>
    </xf>
    <xf numFmtId="0" fontId="8" fillId="0" borderId="0" xfId="0" applyNumberFormat="1" applyFont="1" applyAlignment="1">
      <alignment horizontal="center"/>
    </xf>
    <xf numFmtId="0" fontId="5" fillId="0" borderId="0" xfId="0" applyFont="1" applyAlignment="1">
      <alignment horizontal="right" vertical="center"/>
    </xf>
    <xf numFmtId="0" fontId="65" fillId="0" borderId="0" xfId="0" applyFont="1" applyAlignment="1">
      <alignment horizontal="center" vertical="center"/>
    </xf>
    <xf numFmtId="0" fontId="59" fillId="6" borderId="35" xfId="0" applyFont="1" applyFill="1" applyBorder="1" applyAlignment="1" applyProtection="1">
      <alignment horizontal="center" vertical="center"/>
      <protection locked="0"/>
    </xf>
    <xf numFmtId="0" fontId="66" fillId="0" borderId="176" xfId="0" applyFont="1" applyBorder="1" applyAlignment="1">
      <alignment horizontal="center" vertical="center"/>
    </xf>
    <xf numFmtId="0" fontId="66" fillId="0" borderId="177" xfId="0" applyFont="1" applyBorder="1" applyAlignment="1">
      <alignment horizontal="center" vertical="center"/>
    </xf>
    <xf numFmtId="0" fontId="66" fillId="0" borderId="173" xfId="0" applyFont="1" applyBorder="1" applyAlignment="1">
      <alignment horizontal="center" vertical="center"/>
    </xf>
    <xf numFmtId="0" fontId="52" fillId="5" borderId="144" xfId="0" applyFont="1" applyFill="1" applyBorder="1"/>
    <xf numFmtId="0" fontId="5" fillId="0" borderId="0" xfId="0" applyNumberFormat="1" applyFont="1" applyAlignment="1">
      <alignment horizontal="center" vertical="center"/>
    </xf>
    <xf numFmtId="0" fontId="64" fillId="0" borderId="0" xfId="0" applyFont="1" applyFill="1" applyBorder="1" applyAlignment="1">
      <alignment horizontal="center" vertical="center" wrapText="1"/>
    </xf>
    <xf numFmtId="0" fontId="67" fillId="5" borderId="170" xfId="0" applyFont="1" applyFill="1" applyBorder="1" applyAlignment="1">
      <alignment horizontal="center" vertical="center" wrapText="1"/>
    </xf>
    <xf numFmtId="0" fontId="5" fillId="0" borderId="178" xfId="0" applyFont="1" applyFill="1" applyBorder="1" applyAlignment="1">
      <alignment horizontal="center" vertical="center" shrinkToFit="1"/>
    </xf>
    <xf numFmtId="0" fontId="5" fillId="0" borderId="179" xfId="0" applyFont="1" applyFill="1" applyBorder="1" applyAlignment="1">
      <alignment horizontal="center" vertical="center" shrinkToFit="1"/>
    </xf>
    <xf numFmtId="0" fontId="5" fillId="0" borderId="180" xfId="0" applyFont="1" applyFill="1" applyBorder="1" applyAlignment="1">
      <alignment horizontal="center" vertical="center" shrinkToFit="1"/>
    </xf>
    <xf numFmtId="0" fontId="65" fillId="0" borderId="0" xfId="0" applyFont="1" applyAlignment="1"/>
    <xf numFmtId="0" fontId="5" fillId="0" borderId="0" xfId="0" applyFont="1" applyAlignment="1">
      <alignment horizontal="center"/>
    </xf>
    <xf numFmtId="0" fontId="5" fillId="0" borderId="0" xfId="0" applyFont="1" applyAlignment="1">
      <alignment horizontal="center" vertical="center" wrapText="1"/>
    </xf>
    <xf numFmtId="0" fontId="55" fillId="0" borderId="112" xfId="0" applyNumberFormat="1" applyFont="1" applyBorder="1" applyAlignment="1">
      <alignment horizontal="left" vertical="top"/>
    </xf>
    <xf numFmtId="0" fontId="16" fillId="0" borderId="0" xfId="0" applyFont="1" applyAlignment="1">
      <alignment horizontal="right" vertical="center" indent="1"/>
    </xf>
    <xf numFmtId="0" fontId="42" fillId="6" borderId="132" xfId="0" applyFont="1" applyFill="1" applyBorder="1" applyAlignment="1" applyProtection="1">
      <alignment horizontal="center" vertical="top"/>
      <protection locked="0"/>
    </xf>
    <xf numFmtId="0" fontId="42" fillId="6" borderId="133" xfId="0" applyFont="1" applyFill="1" applyBorder="1" applyAlignment="1" applyProtection="1">
      <alignment horizontal="center" vertical="top"/>
      <protection locked="0"/>
    </xf>
    <xf numFmtId="0" fontId="42" fillId="6" borderId="134" xfId="0" applyFont="1" applyFill="1" applyBorder="1" applyAlignment="1" applyProtection="1">
      <alignment horizontal="center" vertical="top"/>
      <protection locked="0"/>
    </xf>
    <xf numFmtId="0" fontId="25" fillId="6" borderId="94" xfId="0" applyFont="1" applyFill="1" applyBorder="1" applyAlignment="1" applyProtection="1">
      <alignment horizontal="center" vertical="center"/>
      <protection locked="0"/>
    </xf>
    <xf numFmtId="0" fontId="25" fillId="6" borderId="95" xfId="0" applyFont="1" applyFill="1" applyBorder="1" applyAlignment="1" applyProtection="1">
      <alignment horizontal="center" vertical="center"/>
      <protection locked="0"/>
    </xf>
    <xf numFmtId="0" fontId="25" fillId="6" borderId="96" xfId="0" applyFont="1" applyFill="1" applyBorder="1" applyAlignment="1" applyProtection="1">
      <alignment horizontal="center" vertical="center"/>
      <protection locked="0"/>
    </xf>
    <xf numFmtId="165" fontId="33" fillId="0" borderId="0" xfId="0" applyNumberFormat="1" applyFont="1" applyBorder="1" applyAlignment="1">
      <alignment horizontal="center"/>
    </xf>
    <xf numFmtId="0" fontId="5" fillId="0" borderId="0" xfId="0" applyFont="1" applyAlignment="1">
      <alignment horizontal="right" vertical="center"/>
    </xf>
    <xf numFmtId="0" fontId="57" fillId="5" borderId="23" xfId="0" applyFont="1" applyFill="1" applyBorder="1" applyAlignment="1">
      <alignment horizontal="center" vertical="center"/>
    </xf>
    <xf numFmtId="0" fontId="57" fillId="5" borderId="13" xfId="0" applyFont="1" applyFill="1" applyBorder="1" applyAlignment="1">
      <alignment horizontal="center" vertical="center"/>
    </xf>
    <xf numFmtId="0" fontId="57" fillId="5" borderId="19" xfId="0" applyFont="1" applyFill="1" applyBorder="1" applyAlignment="1">
      <alignment horizontal="center" vertical="center"/>
    </xf>
    <xf numFmtId="0" fontId="57" fillId="5" borderId="20" xfId="0" applyFont="1" applyFill="1" applyBorder="1" applyAlignment="1">
      <alignment horizontal="center" vertical="center"/>
    </xf>
    <xf numFmtId="0" fontId="57" fillId="5" borderId="14" xfId="0" applyFont="1" applyFill="1" applyBorder="1" applyAlignment="1">
      <alignment horizontal="center" vertical="center"/>
    </xf>
    <xf numFmtId="0" fontId="45" fillId="0" borderId="48" xfId="0" applyFont="1" applyBorder="1" applyAlignment="1" applyProtection="1">
      <alignment horizontal="center"/>
    </xf>
    <xf numFmtId="0" fontId="57" fillId="5" borderId="142" xfId="0" applyFont="1" applyFill="1" applyBorder="1" applyAlignment="1">
      <alignment horizontal="center" vertical="center" shrinkToFit="1"/>
    </xf>
    <xf numFmtId="0" fontId="57" fillId="5" borderId="151" xfId="0" applyFont="1" applyFill="1" applyBorder="1" applyAlignment="1">
      <alignment horizontal="center" vertical="center" shrinkToFit="1"/>
    </xf>
    <xf numFmtId="0" fontId="57" fillId="5" borderId="152" xfId="0" applyFont="1" applyFill="1" applyBorder="1" applyAlignment="1">
      <alignment horizontal="center" vertical="center" shrinkToFit="1"/>
    </xf>
    <xf numFmtId="0" fontId="52" fillId="5" borderId="149" xfId="0" applyFont="1" applyFill="1" applyBorder="1" applyAlignment="1">
      <alignment horizontal="center" vertical="center" shrinkToFit="1"/>
    </xf>
    <xf numFmtId="0" fontId="52" fillId="5" borderId="150" xfId="0" applyFont="1" applyFill="1" applyBorder="1" applyAlignment="1">
      <alignment horizontal="center" vertical="center" shrinkToFit="1"/>
    </xf>
    <xf numFmtId="0" fontId="57" fillId="5" borderId="169" xfId="0" applyFont="1" applyFill="1" applyBorder="1" applyAlignment="1">
      <alignment horizontal="center" vertical="center" shrinkToFit="1"/>
    </xf>
    <xf numFmtId="0" fontId="57" fillId="5" borderId="170" xfId="0" applyFont="1" applyFill="1" applyBorder="1" applyAlignment="1">
      <alignment horizontal="center" vertical="center" shrinkToFit="1"/>
    </xf>
    <xf numFmtId="0" fontId="63" fillId="0" borderId="155" xfId="0" applyFont="1" applyBorder="1" applyAlignment="1">
      <alignment horizontal="center"/>
    </xf>
    <xf numFmtId="0" fontId="63" fillId="0" borderId="155" xfId="0" applyFont="1" applyFill="1" applyBorder="1" applyAlignment="1">
      <alignment horizontal="center" shrinkToFit="1"/>
    </xf>
    <xf numFmtId="0" fontId="52" fillId="0" borderId="159"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161" xfId="0" applyFont="1" applyFill="1" applyBorder="1" applyAlignment="1">
      <alignment horizontal="center" vertical="center" shrinkToFit="1"/>
    </xf>
    <xf numFmtId="0" fontId="55" fillId="0" borderId="0" xfId="0" applyNumberFormat="1" applyFont="1" applyBorder="1" applyAlignment="1">
      <alignment horizontal="left" vertical="top"/>
    </xf>
    <xf numFmtId="165" fontId="49" fillId="0" borderId="48" xfId="0" applyNumberFormat="1" applyFont="1" applyBorder="1" applyAlignment="1">
      <alignment horizontal="center" vertical="center" wrapText="1"/>
    </xf>
    <xf numFmtId="0" fontId="19" fillId="5" borderId="90" xfId="0" applyFont="1" applyFill="1" applyBorder="1" applyAlignment="1">
      <alignment horizontal="center" vertical="center"/>
    </xf>
    <xf numFmtId="0" fontId="19" fillId="5" borderId="91" xfId="0" applyFont="1" applyFill="1" applyBorder="1" applyAlignment="1">
      <alignment horizontal="center" vertical="center"/>
    </xf>
    <xf numFmtId="165" fontId="28" fillId="0" borderId="0" xfId="0" applyNumberFormat="1" applyFont="1" applyBorder="1" applyAlignment="1">
      <alignment horizontal="left" vertical="center" wrapText="1"/>
    </xf>
    <xf numFmtId="0" fontId="54" fillId="0" borderId="0" xfId="0" applyNumberFormat="1" applyFont="1" applyFill="1" applyAlignment="1" applyProtection="1">
      <alignment horizontal="left" vertical="top" wrapText="1"/>
      <protection hidden="1"/>
    </xf>
    <xf numFmtId="0" fontId="3" fillId="0" borderId="112" xfId="0" applyFont="1" applyBorder="1" applyAlignment="1">
      <alignment horizontal="center"/>
    </xf>
    <xf numFmtId="0" fontId="0" fillId="0" borderId="0" xfId="0" applyAlignment="1">
      <alignment horizontal="right"/>
    </xf>
    <xf numFmtId="0" fontId="24" fillId="0" borderId="0" xfId="0" applyFont="1" applyAlignment="1">
      <alignment horizontal="center" vertical="center"/>
    </xf>
    <xf numFmtId="0" fontId="31" fillId="0" borderId="0" xfId="0" applyFont="1" applyAlignment="1">
      <alignment horizontal="center" vertical="center" wrapText="1"/>
    </xf>
    <xf numFmtId="0" fontId="21" fillId="0" borderId="61" xfId="0" applyFont="1" applyBorder="1" applyAlignment="1">
      <alignment horizontal="left" vertical="top" wrapText="1" indent="1"/>
    </xf>
    <xf numFmtId="0" fontId="21" fillId="0" borderId="0" xfId="0" applyFont="1" applyBorder="1" applyAlignment="1">
      <alignment horizontal="left" vertical="top" wrapText="1" indent="1"/>
    </xf>
    <xf numFmtId="0" fontId="21" fillId="0" borderId="62" xfId="0" applyFont="1" applyBorder="1" applyAlignment="1">
      <alignment horizontal="left" vertical="top" wrapText="1" indent="1"/>
    </xf>
    <xf numFmtId="0" fontId="21" fillId="0" borderId="84" xfId="0" applyFont="1" applyBorder="1" applyAlignment="1">
      <alignment horizontal="left" vertical="top" wrapText="1" indent="1"/>
    </xf>
    <xf numFmtId="0" fontId="21" fillId="0" borderId="85" xfId="0" applyFont="1" applyBorder="1" applyAlignment="1">
      <alignment horizontal="left" vertical="top" wrapText="1" indent="1"/>
    </xf>
    <xf numFmtId="0" fontId="21" fillId="0" borderId="101" xfId="0" applyFont="1" applyBorder="1" applyAlignment="1">
      <alignment horizontal="left" vertical="top" wrapText="1" indent="1"/>
    </xf>
    <xf numFmtId="0" fontId="60" fillId="0" borderId="59" xfId="0" applyFont="1" applyBorder="1" applyAlignment="1">
      <alignment horizontal="left" vertical="center" indent="1"/>
    </xf>
    <xf numFmtId="0" fontId="60" fillId="0" borderId="60" xfId="0" applyFont="1" applyBorder="1" applyAlignment="1">
      <alignment horizontal="left" vertical="center" indent="1"/>
    </xf>
    <xf numFmtId="0" fontId="60" fillId="0" borderId="100" xfId="0" applyFont="1" applyBorder="1" applyAlignment="1">
      <alignment horizontal="left" vertical="center" indent="1"/>
    </xf>
    <xf numFmtId="0" fontId="24" fillId="0" borderId="0" xfId="0" applyFont="1" applyAlignment="1">
      <alignment horizontal="center"/>
    </xf>
    <xf numFmtId="0" fontId="37" fillId="10" borderId="68" xfId="0" applyFont="1" applyFill="1" applyBorder="1" applyAlignment="1">
      <alignment horizontal="center" vertical="center" wrapText="1"/>
    </xf>
    <xf numFmtId="0" fontId="37" fillId="10" borderId="70" xfId="0" applyFont="1" applyFill="1" applyBorder="1" applyAlignment="1">
      <alignment horizontal="center" vertical="center"/>
    </xf>
    <xf numFmtId="0" fontId="36" fillId="0" borderId="63" xfId="0" applyFont="1" applyBorder="1" applyAlignment="1">
      <alignment horizontal="center" vertical="top"/>
    </xf>
    <xf numFmtId="0" fontId="37" fillId="0" borderId="0" xfId="0" applyFont="1" applyFill="1" applyBorder="1" applyAlignment="1" applyProtection="1">
      <alignment horizontal="center" vertical="center" wrapText="1"/>
    </xf>
    <xf numFmtId="0" fontId="37" fillId="0" borderId="0" xfId="0" applyFont="1" applyFill="1" applyBorder="1" applyAlignment="1" applyProtection="1">
      <alignment horizontal="center" vertical="center"/>
    </xf>
    <xf numFmtId="0" fontId="0" fillId="0" borderId="65" xfId="0" applyBorder="1" applyAlignment="1" applyProtection="1">
      <alignment horizontal="center"/>
      <protection locked="0"/>
    </xf>
    <xf numFmtId="0" fontId="41" fillId="11" borderId="66" xfId="0" applyFont="1" applyFill="1" applyBorder="1" applyAlignment="1">
      <alignment horizontal="center" vertical="center" wrapText="1"/>
    </xf>
    <xf numFmtId="0" fontId="41" fillId="11" borderId="69" xfId="0" applyFont="1" applyFill="1" applyBorder="1" applyAlignment="1">
      <alignment horizontal="center" vertical="center"/>
    </xf>
    <xf numFmtId="0" fontId="41" fillId="9" borderId="106" xfId="0" applyFont="1" applyFill="1" applyBorder="1" applyAlignment="1">
      <alignment horizontal="center" vertical="center" wrapText="1"/>
    </xf>
    <xf numFmtId="0" fontId="41" fillId="9" borderId="107" xfId="0" applyFont="1" applyFill="1" applyBorder="1" applyAlignment="1">
      <alignment horizontal="center" vertical="center"/>
    </xf>
    <xf numFmtId="0" fontId="0" fillId="0" borderId="0" xfId="0" applyBorder="1" applyAlignment="1">
      <alignment horizontal="right" vertical="center" textRotation="90"/>
    </xf>
    <xf numFmtId="0" fontId="0" fillId="0" borderId="153" xfId="0" applyBorder="1" applyAlignment="1">
      <alignment horizontal="right" vertical="center" textRotation="90"/>
    </xf>
    <xf numFmtId="0" fontId="0" fillId="0" borderId="0" xfId="0" applyAlignment="1">
      <alignment horizontal="right" vertical="center" textRotation="90"/>
    </xf>
    <xf numFmtId="0" fontId="61" fillId="0" borderId="0" xfId="0" applyFont="1" applyAlignment="1">
      <alignment horizontal="center" vertical="top" textRotation="90"/>
    </xf>
    <xf numFmtId="0" fontId="18" fillId="8" borderId="61" xfId="0" applyFont="1" applyFill="1" applyBorder="1" applyAlignment="1" applyProtection="1">
      <alignment horizontal="center" vertical="center"/>
    </xf>
    <xf numFmtId="0" fontId="18" fillId="8" borderId="0" xfId="0" applyFont="1" applyFill="1" applyBorder="1" applyAlignment="1" applyProtection="1">
      <alignment horizontal="center" vertical="center"/>
    </xf>
    <xf numFmtId="0" fontId="29" fillId="8" borderId="61" xfId="3" applyFill="1" applyBorder="1" applyAlignment="1" applyProtection="1">
      <alignment horizontal="center" vertical="center"/>
      <protection locked="0"/>
    </xf>
    <xf numFmtId="0" fontId="29" fillId="8" borderId="0" xfId="3" applyFill="1" applyBorder="1" applyAlignment="1" applyProtection="1">
      <alignment horizontal="center" vertical="center"/>
      <protection locked="0"/>
    </xf>
    <xf numFmtId="0" fontId="18" fillId="8" borderId="62" xfId="0" applyFont="1" applyFill="1" applyBorder="1" applyAlignment="1" applyProtection="1">
      <alignment horizontal="center" vertical="center"/>
    </xf>
    <xf numFmtId="0" fontId="29" fillId="8" borderId="62" xfId="3" applyFill="1" applyBorder="1" applyAlignment="1" applyProtection="1">
      <alignment horizontal="center" vertical="center"/>
      <protection locked="0"/>
    </xf>
  </cellXfs>
  <cellStyles count="4">
    <cellStyle name="Berechnung" xfId="2" builtinId="22"/>
    <cellStyle name="Link" xfId="3" builtinId="8"/>
    <cellStyle name="Standard" xfId="0" builtinId="0"/>
    <cellStyle name="Standard 2" xfId="1" xr:uid="{00000000-0005-0000-0000-000001000000}"/>
  </cellStyles>
  <dxfs count="133">
    <dxf>
      <font>
        <b/>
        <i val="0"/>
      </font>
      <fill>
        <patternFill>
          <bgColor rgb="FFFFFF00"/>
        </patternFill>
      </fill>
    </dxf>
    <dxf>
      <font>
        <b/>
        <i val="0"/>
      </font>
    </dxf>
    <dxf>
      <font>
        <b/>
        <i val="0"/>
      </font>
      <fill>
        <patternFill>
          <bgColor rgb="FFFFFF00"/>
        </patternFill>
      </fill>
    </dxf>
    <dxf>
      <font>
        <b/>
        <i val="0"/>
      </font>
      <fill>
        <patternFill>
          <bgColor rgb="FFFFFF00"/>
        </patternFill>
      </fill>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font>
        <b/>
        <i val="0"/>
      </font>
    </dxf>
    <dxf>
      <font>
        <b/>
        <i val="0"/>
        <color rgb="FFDA0000"/>
      </font>
    </dxf>
    <dxf>
      <border>
        <bottom style="thin">
          <color theme="4"/>
        </bottom>
        <vertical/>
        <horizontal/>
      </border>
    </dxf>
    <dxf>
      <border>
        <bottom style="thin">
          <color rgb="FFDA0000"/>
        </bottom>
        <vertical/>
        <horizontal/>
      </border>
    </dxf>
    <dxf>
      <border>
        <bottom style="dashDot">
          <color rgb="FFDA0000"/>
        </bottom>
        <vertical/>
        <horizontal/>
      </border>
    </dxf>
    <dxf>
      <numFmt numFmtId="30" formatCode="@"/>
    </dxf>
    <dxf>
      <font>
        <b/>
        <i val="0"/>
        <color rgb="FFDA0000"/>
      </font>
    </dxf>
    <dxf>
      <font>
        <b/>
        <i val="0"/>
        <color rgb="FFDA0000"/>
      </font>
    </dxf>
    <dxf>
      <font>
        <b/>
        <i val="0"/>
        <color rgb="FFDA0000"/>
      </font>
    </dxf>
    <dxf>
      <font>
        <b/>
        <i val="0"/>
        <color rgb="FFDA0000"/>
      </font>
    </dxf>
    <dxf>
      <font>
        <b/>
        <i val="0"/>
        <color rgb="FFDA0000"/>
      </font>
    </dxf>
    <dxf>
      <font>
        <b/>
        <i val="0"/>
        <color rgb="FFDA0000"/>
      </font>
    </dxf>
    <dxf>
      <font>
        <b/>
        <i val="0"/>
        <color rgb="FFDA0000"/>
      </font>
    </dxf>
    <dxf>
      <font>
        <b/>
        <i val="0"/>
        <color rgb="FFDA0000"/>
      </font>
    </dxf>
    <dxf>
      <numFmt numFmtId="30" formatCode="@"/>
    </dxf>
    <dxf>
      <numFmt numFmtId="30" formatCode="@"/>
    </dxf>
    <dxf>
      <numFmt numFmtId="30" formatCode="@"/>
    </dxf>
    <dxf>
      <border>
        <bottom style="thin">
          <color theme="4"/>
        </bottom>
        <vertical/>
        <horizontal/>
      </border>
    </dxf>
    <dxf>
      <border>
        <bottom style="thin">
          <color rgb="FFDA0000"/>
        </bottom>
        <vertical/>
        <horizontal/>
      </border>
    </dxf>
    <dxf>
      <border>
        <bottom style="dashDot">
          <color rgb="FFDA0000"/>
        </bottom>
        <vertical/>
        <horizontal/>
      </border>
    </dxf>
    <dxf>
      <font>
        <color rgb="FF00B050"/>
      </font>
      <numFmt numFmtId="30" formatCode="@"/>
    </dxf>
    <dxf>
      <numFmt numFmtId="30" formatCode="@"/>
    </dxf>
    <dxf>
      <font>
        <color rgb="FF00B050"/>
      </font>
      <numFmt numFmtId="30" formatCode="@"/>
    </dxf>
    <dxf>
      <numFmt numFmtId="30" formatCode="@"/>
    </dxf>
    <dxf>
      <numFmt numFmtId="30" formatCode="@"/>
    </dxf>
    <dxf>
      <font>
        <color rgb="FF00B050"/>
      </font>
      <numFmt numFmtId="30" formatCode="@"/>
    </dxf>
    <dxf>
      <numFmt numFmtId="1" formatCode="0"/>
    </dxf>
    <dxf>
      <numFmt numFmtId="165" formatCode=";;;"/>
    </dxf>
    <dxf>
      <font>
        <color rgb="FFDA0000"/>
      </font>
    </dxf>
    <dxf>
      <numFmt numFmtId="165" formatCode=";;;"/>
    </dxf>
    <dxf>
      <font>
        <color rgb="FFDA0000"/>
      </font>
    </dxf>
    <dxf>
      <numFmt numFmtId="165" formatCode=";;;"/>
    </dxf>
    <dxf>
      <numFmt numFmtId="165" formatCode=";;;"/>
    </dxf>
    <dxf>
      <font>
        <color rgb="FF00B050"/>
      </font>
    </dxf>
    <dxf>
      <font>
        <color rgb="FFDA0000"/>
      </font>
    </dxf>
    <dxf>
      <font>
        <color theme="2" tint="-9.9948118533890809E-2"/>
      </font>
    </dxf>
    <dxf>
      <numFmt numFmtId="165" formatCode=";;;"/>
    </dxf>
    <dxf>
      <font>
        <color rgb="FFC0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
      <font>
        <color rgb="FFDA0000"/>
      </font>
    </dxf>
    <dxf>
      <numFmt numFmtId="165" formatCode=";;;"/>
    </dxf>
  </dxfs>
  <tableStyles count="0" defaultTableStyle="TableStyleMedium2" defaultPivotStyle="PivotStyleLight16"/>
  <colors>
    <mruColors>
      <color rgb="FFDA0000"/>
      <color rgb="FF535151"/>
      <color rgb="FF00B050"/>
      <color rgb="FFFFF9E7"/>
      <color rgb="FFE7FFE7"/>
      <color rgb="FFFFFFCC"/>
      <color rgb="FF5E913B"/>
      <color rgb="FFF8F8F8"/>
      <color rgb="FFCCFFCC"/>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676276</xdr:colOff>
      <xdr:row>1</xdr:row>
      <xdr:rowOff>19051</xdr:rowOff>
    </xdr:from>
    <xdr:to>
      <xdr:col>5</xdr:col>
      <xdr:colOff>1133475</xdr:colOff>
      <xdr:row>4</xdr:row>
      <xdr:rowOff>133350</xdr:rowOff>
    </xdr:to>
    <xdr:pic>
      <xdr:nvPicPr>
        <xdr:cNvPr id="5" name="Grafik 4">
          <a:extLst>
            <a:ext uri="{FF2B5EF4-FFF2-40B4-BE49-F238E27FC236}">
              <a16:creationId xmlns:a16="http://schemas.microsoft.com/office/drawing/2014/main" id="{735AAEEE-E574-4629-A870-65BC0D7C5F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05026" y="180976"/>
          <a:ext cx="1685924" cy="11239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66674</xdr:rowOff>
    </xdr:from>
    <xdr:to>
      <xdr:col>7</xdr:col>
      <xdr:colOff>752475</xdr:colOff>
      <xdr:row>23</xdr:row>
      <xdr:rowOff>161924</xdr:rowOff>
    </xdr:to>
    <xdr:sp macro="" textlink="">
      <xdr:nvSpPr>
        <xdr:cNvPr id="2" name="Textfeld 1">
          <a:extLst>
            <a:ext uri="{FF2B5EF4-FFF2-40B4-BE49-F238E27FC236}">
              <a16:creationId xmlns:a16="http://schemas.microsoft.com/office/drawing/2014/main" id="{3F3F3B93-BBA4-4F4B-81CB-1BCAAD41F89D}"/>
            </a:ext>
          </a:extLst>
        </xdr:cNvPr>
        <xdr:cNvSpPr txBox="1"/>
      </xdr:nvSpPr>
      <xdr:spPr>
        <a:xfrm>
          <a:off x="552450" y="390524"/>
          <a:ext cx="5324475" cy="349567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Enter the names of the participants on the far left of the '</a:t>
          </a:r>
          <a:r>
            <a:rPr lang="de-DE" sz="1400" b="1"/>
            <a:t>Plan</a:t>
          </a:r>
          <a:r>
            <a:rPr lang="de-DE" sz="1400"/>
            <a:t>' spreadsheet (the optional abbreviations appear in the 'First Legs' and 'Second Legs' tables on the '</a:t>
          </a:r>
          <a:r>
            <a:rPr lang="de-DE" sz="1400" b="1"/>
            <a:t>Results</a:t>
          </a:r>
          <a:r>
            <a:rPr lang="de-DE" sz="1400"/>
            <a:t>' sheet)</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On the '</a:t>
          </a:r>
          <a:r>
            <a:rPr lang="de-DE" sz="1400" b="1"/>
            <a:t>Plan</a:t>
          </a:r>
          <a:r>
            <a:rPr lang="de-DE" sz="1400"/>
            <a:t>' spreadsheet on the right side under "Schedule", enter the numbers of the participants for each match (can also be copied from the '</a:t>
          </a:r>
          <a:r>
            <a:rPr lang="de-DE" sz="1400" b="1"/>
            <a:t>Matchups</a:t>
          </a:r>
          <a:r>
            <a:rPr lang="de-DE" sz="1400"/>
            <a:t>' spreadsheet)</a:t>
          </a:r>
          <a:endParaRPr lang="de-DE" sz="1400" baseline="0">
            <a:solidFill>
              <a:schemeClr val="tx1">
                <a:lumMod val="65000"/>
                <a:lumOff val="35000"/>
              </a:schemeClr>
            </a:solidFill>
          </a:endParaRP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3:</a:t>
          </a:r>
        </a:p>
        <a:p>
          <a:r>
            <a:rPr lang="de-DE" sz="1400"/>
            <a:t>Enter the game results on the "</a:t>
          </a:r>
          <a:r>
            <a:rPr lang="de-DE" sz="1400" b="1"/>
            <a:t>Results</a:t>
          </a:r>
          <a:r>
            <a:rPr lang="de-DE" sz="1400"/>
            <a:t>" spreadsheet</a:t>
          </a:r>
          <a:endParaRPr lang="de-DE" sz="1400">
            <a:solidFill>
              <a:schemeClr val="tx1">
                <a:lumMod val="65000"/>
                <a:lumOff val="35000"/>
              </a:schemeClr>
            </a:solidFill>
          </a:endParaRPr>
        </a:p>
      </xdr:txBody>
    </xdr:sp>
    <xdr:clientData/>
  </xdr:twoCellAnchor>
  <xdr:twoCellAnchor>
    <xdr:from>
      <xdr:col>1</xdr:col>
      <xdr:colOff>0</xdr:colOff>
      <xdr:row>25</xdr:row>
      <xdr:rowOff>8830</xdr:rowOff>
    </xdr:from>
    <xdr:to>
      <xdr:col>7</xdr:col>
      <xdr:colOff>752475</xdr:colOff>
      <xdr:row>51</xdr:row>
      <xdr:rowOff>9525</xdr:rowOff>
    </xdr:to>
    <xdr:sp macro="" textlink="">
      <xdr:nvSpPr>
        <xdr:cNvPr id="3" name="Textfeld 2">
          <a:extLst>
            <a:ext uri="{FF2B5EF4-FFF2-40B4-BE49-F238E27FC236}">
              <a16:creationId xmlns:a16="http://schemas.microsoft.com/office/drawing/2014/main" id="{624CC0B4-3F50-4F01-ADD8-9D675702EDFF}"/>
            </a:ext>
          </a:extLst>
        </xdr:cNvPr>
        <xdr:cNvSpPr txBox="1"/>
      </xdr:nvSpPr>
      <xdr:spPr>
        <a:xfrm>
          <a:off x="552450" y="4056955"/>
          <a:ext cx="5324475" cy="421074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HINTS</a:t>
          </a:r>
        </a:p>
        <a:p>
          <a:endParaRPr lang="de-DE" sz="1400" b="1">
            <a:solidFill>
              <a:schemeClr val="tx1">
                <a:lumMod val="65000"/>
                <a:lumOff val="35000"/>
              </a:schemeClr>
            </a:solidFill>
          </a:endParaRPr>
        </a:p>
        <a:p>
          <a:r>
            <a:rPr lang="de-DE" sz="1400" b="1" baseline="0">
              <a:solidFill>
                <a:schemeClr val="tx1">
                  <a:lumMod val="65000"/>
                  <a:lumOff val="35000"/>
                </a:schemeClr>
              </a:solidFill>
            </a:rPr>
            <a:t>1.</a:t>
          </a:r>
          <a:endParaRPr lang="de-DE" sz="1400" b="1">
            <a:solidFill>
              <a:schemeClr val="tx1">
                <a:lumMod val="65000"/>
                <a:lumOff val="35000"/>
              </a:schemeClr>
            </a:solidFill>
          </a:endParaRPr>
        </a:p>
        <a:p>
          <a:r>
            <a:rPr lang="de-DE" sz="1400"/>
            <a:t>Entering the same pairing </a:t>
          </a:r>
          <a:r>
            <a:rPr lang="de-DE" sz="1400">
              <a:solidFill>
                <a:schemeClr val="dk1"/>
              </a:solidFill>
              <a:effectLst/>
              <a:latin typeface="+mn-lt"/>
              <a:ea typeface="+mn-ea"/>
              <a:cs typeface="+mn-cs"/>
            </a:rPr>
            <a:t>multiple times </a:t>
          </a:r>
          <a:r>
            <a:rPr lang="de-DE" sz="1400"/>
            <a:t>and playing against yourself will result in incorrect values in the overall table. The </a:t>
          </a:r>
          <a:r>
            <a:rPr lang="de-DE" sz="1400" b="1" baseline="0">
              <a:solidFill>
                <a:srgbClr val="DA0000"/>
              </a:solidFill>
              <a:latin typeface="+mn-lt"/>
              <a:ea typeface="+mn-ea"/>
              <a:cs typeface="+mn-cs"/>
            </a:rPr>
            <a:t>INVALID TABLE </a:t>
          </a:r>
          <a:r>
            <a:rPr lang="de-DE" sz="1400" b="0" baseline="0">
              <a:solidFill>
                <a:sysClr val="windowText" lastClr="000000"/>
              </a:solidFill>
              <a:latin typeface="+mn-lt"/>
              <a:ea typeface="+mn-ea"/>
              <a:cs typeface="+mn-cs"/>
            </a:rPr>
            <a:t>message </a:t>
          </a:r>
          <a:r>
            <a:rPr lang="de-DE" sz="1400"/>
            <a:t>will then appear above the overall table.</a:t>
          </a:r>
          <a:endParaRPr lang="de-DE" sz="1400" baseline="0">
            <a:solidFill>
              <a:schemeClr val="tx1">
                <a:lumMod val="65000"/>
                <a:lumOff val="35000"/>
              </a:schemeClr>
            </a:solidFill>
          </a:endParaRPr>
        </a:p>
        <a:p>
          <a:endParaRPr lang="de-DE" sz="1400" b="0" baseline="0">
            <a:solidFill>
              <a:schemeClr val="tx1">
                <a:lumMod val="65000"/>
                <a:lumOff val="35000"/>
              </a:schemeClr>
            </a:solidFill>
          </a:endParaRPr>
        </a:p>
        <a:p>
          <a:r>
            <a:rPr lang="de-DE" sz="1400" b="1" baseline="0">
              <a:solidFill>
                <a:schemeClr val="tx1">
                  <a:lumMod val="65000"/>
                  <a:lumOff val="35000"/>
                </a:schemeClr>
              </a:solidFill>
            </a:rPr>
            <a:t>2.</a:t>
          </a:r>
        </a:p>
        <a:p>
          <a:r>
            <a:rPr lang="de-DE" sz="1400"/>
            <a:t>Teams whose ranking is not clear will appear in </a:t>
          </a:r>
          <a:r>
            <a:rPr lang="de-DE" sz="1400" b="1">
              <a:solidFill>
                <a:srgbClr val="DA0000"/>
              </a:solidFill>
            </a:rPr>
            <a:t>red</a:t>
          </a:r>
          <a:r>
            <a:rPr lang="de-DE" sz="1400"/>
            <a:t> in the overall table.</a:t>
          </a:r>
        </a:p>
        <a:p>
          <a:endParaRPr lang="de-DE" sz="1400">
            <a:effectLst/>
          </a:endParaRPr>
        </a:p>
        <a:p>
          <a:r>
            <a:rPr lang="de-DE" sz="1400" b="1" baseline="0">
              <a:solidFill>
                <a:schemeClr val="dk1"/>
              </a:solidFill>
              <a:effectLst/>
              <a:latin typeface="+mn-lt"/>
              <a:ea typeface="+mn-ea"/>
              <a:cs typeface="+mn-cs"/>
            </a:rPr>
            <a:t>3.</a:t>
          </a:r>
          <a:endParaRPr lang="de-DE" sz="1400">
            <a:effectLst/>
          </a:endParaRPr>
        </a:p>
        <a:p>
          <a:r>
            <a:rPr lang="de-DE" sz="1400"/>
            <a:t>Select a specific matchday on the "</a:t>
          </a:r>
          <a:r>
            <a:rPr lang="de-DE" sz="1400" b="1"/>
            <a:t>Results</a:t>
          </a:r>
          <a:r>
            <a:rPr lang="de-DE" sz="1400"/>
            <a:t>" spreadsheet and you will see the table at the end of that matchday.</a:t>
          </a:r>
          <a:endParaRPr lang="de-DE" sz="1400">
            <a:effectLst/>
          </a:endParaRPr>
        </a:p>
        <a:p>
          <a:endParaRPr lang="de-DE" sz="1400" b="1" baseline="0">
            <a:solidFill>
              <a:schemeClr val="tx1">
                <a:lumMod val="65000"/>
                <a:lumOff val="35000"/>
              </a:schemeClr>
            </a:solidFill>
          </a:endParaRPr>
        </a:p>
        <a:p>
          <a:r>
            <a:rPr lang="de-DE" sz="1000" b="1"/>
            <a:t>The rank of each team is determined according to the following criteria:</a:t>
          </a:r>
        </a:p>
        <a:p>
          <a:endParaRPr lang="de-DE" sz="800" baseline="0">
            <a:solidFill>
              <a:schemeClr val="tx1">
                <a:lumMod val="65000"/>
                <a:lumOff val="35000"/>
              </a:schemeClr>
            </a:solidFill>
          </a:endParaRPr>
        </a:p>
        <a:p>
          <a:r>
            <a:rPr lang="de-DE" sz="1000" baseline="0">
              <a:solidFill>
                <a:schemeClr val="tx1">
                  <a:lumMod val="65000"/>
                  <a:lumOff val="35000"/>
                </a:schemeClr>
              </a:solidFill>
            </a:rPr>
            <a:t>1.   </a:t>
          </a:r>
          <a:r>
            <a:rPr lang="de-DE" sz="1000"/>
            <a:t>Number of points from all matches</a:t>
          </a:r>
        </a:p>
        <a:p>
          <a:r>
            <a:rPr lang="de-DE" sz="1000" baseline="0">
              <a:solidFill>
                <a:schemeClr val="tx1">
                  <a:lumMod val="65000"/>
                  <a:lumOff val="35000"/>
                </a:schemeClr>
              </a:solidFill>
            </a:rPr>
            <a:t>2.   </a:t>
          </a:r>
          <a:r>
            <a:rPr lang="de-DE" sz="1000" b="0"/>
            <a:t>Goal difference from all matches</a:t>
          </a:r>
        </a:p>
        <a:p>
          <a:r>
            <a:rPr lang="de-DE" sz="1000" baseline="0">
              <a:solidFill>
                <a:schemeClr val="tx1">
                  <a:lumMod val="65000"/>
                  <a:lumOff val="35000"/>
                </a:schemeClr>
              </a:solidFill>
            </a:rPr>
            <a:t>3.   </a:t>
          </a:r>
          <a:r>
            <a:rPr lang="de-DE" sz="1000"/>
            <a:t>Number of goals scored in all matches</a:t>
          </a:r>
        </a:p>
      </xdr:txBody>
    </xdr:sp>
    <xdr:clientData/>
  </xdr:twoCellAnchor>
  <xdr:twoCellAnchor>
    <xdr:from>
      <xdr:col>8</xdr:col>
      <xdr:colOff>266698</xdr:colOff>
      <xdr:row>2</xdr:row>
      <xdr:rowOff>66675</xdr:rowOff>
    </xdr:from>
    <xdr:to>
      <xdr:col>15</xdr:col>
      <xdr:colOff>761999</xdr:colOff>
      <xdr:row>24</xdr:row>
      <xdr:rowOff>9525</xdr:rowOff>
    </xdr:to>
    <xdr:sp macro="" textlink="">
      <xdr:nvSpPr>
        <xdr:cNvPr id="4" name="Textfeld 3">
          <a:extLst>
            <a:ext uri="{FF2B5EF4-FFF2-40B4-BE49-F238E27FC236}">
              <a16:creationId xmlns:a16="http://schemas.microsoft.com/office/drawing/2014/main" id="{088B9FA7-033F-439B-A28E-E8F27FDCF245}"/>
            </a:ext>
          </a:extLst>
        </xdr:cNvPr>
        <xdr:cNvSpPr txBox="1"/>
      </xdr:nvSpPr>
      <xdr:spPr>
        <a:xfrm>
          <a:off x="6153148" y="390525"/>
          <a:ext cx="5334001" cy="35052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chemeClr val="tx1">
                  <a:lumMod val="65000"/>
                  <a:lumOff val="35000"/>
                </a:schemeClr>
              </a:solidFill>
            </a:rPr>
            <a:t>Auf</a:t>
          </a:r>
          <a:r>
            <a:rPr lang="de-DE" sz="1400" baseline="0">
              <a:solidFill>
                <a:schemeClr val="tx1">
                  <a:lumMod val="65000"/>
                  <a:lumOff val="35000"/>
                </a:schemeClr>
              </a:solidFill>
            </a:rPr>
            <a:t> dem Tabellenblatt '</a:t>
          </a:r>
          <a:r>
            <a:rPr lang="de-DE" sz="1400" b="1" baseline="0">
              <a:solidFill>
                <a:schemeClr val="tx1">
                  <a:lumMod val="65000"/>
                  <a:lumOff val="35000"/>
                </a:schemeClr>
              </a:solidFill>
            </a:rPr>
            <a:t>Plan</a:t>
          </a:r>
          <a:r>
            <a:rPr lang="de-DE" sz="1400" baseline="0">
              <a:solidFill>
                <a:schemeClr val="tx1">
                  <a:lumMod val="65000"/>
                  <a:lumOff val="35000"/>
                </a:schemeClr>
              </a:solidFill>
            </a:rPr>
            <a:t>' g</a:t>
          </a:r>
          <a:r>
            <a:rPr lang="de-DE" sz="1400">
              <a:solidFill>
                <a:schemeClr val="tx1">
                  <a:lumMod val="65000"/>
                  <a:lumOff val="35000"/>
                </a:schemeClr>
              </a:solidFill>
            </a:rPr>
            <a:t>anz links die Namen der Teilnehmer</a:t>
          </a:r>
          <a:r>
            <a:rPr lang="de-DE" sz="1400" baseline="0">
              <a:solidFill>
                <a:schemeClr val="tx1">
                  <a:lumMod val="65000"/>
                  <a:lumOff val="35000"/>
                </a:schemeClr>
              </a:solidFill>
            </a:rPr>
            <a:t> eintragen (die optionalen Abkürzungen erscheinen in den Tabellen 'Hinspiele' und 'Rückspiele' auf dem Tabellenblatt "</a:t>
          </a:r>
          <a:r>
            <a:rPr lang="de-DE" sz="1400" b="1" baseline="0">
              <a:solidFill>
                <a:schemeClr val="tx1">
                  <a:lumMod val="65000"/>
                  <a:lumOff val="35000"/>
                </a:schemeClr>
              </a:solidFill>
            </a:rPr>
            <a:t>Results</a:t>
          </a:r>
          <a:r>
            <a:rPr lang="de-DE" sz="1400" baseline="0">
              <a:solidFill>
                <a:schemeClr val="tx1">
                  <a:lumMod val="65000"/>
                  <a:lumOff val="35000"/>
                </a:schemeClr>
              </a:solidFill>
            </a:rPr>
            <a:t>")</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a:solidFill>
                <a:schemeClr val="dk1"/>
              </a:solidFill>
              <a:effectLst/>
              <a:latin typeface="+mn-lt"/>
              <a:ea typeface="+mn-ea"/>
              <a:cs typeface="+mn-cs"/>
            </a:rPr>
            <a:t>Auf</a:t>
          </a:r>
          <a:r>
            <a:rPr lang="de-DE" sz="1400" baseline="0">
              <a:solidFill>
                <a:schemeClr val="dk1"/>
              </a:solidFill>
              <a:effectLst/>
              <a:latin typeface="+mn-lt"/>
              <a:ea typeface="+mn-ea"/>
              <a:cs typeface="+mn-cs"/>
            </a:rPr>
            <a:t> dem Tabellenblatt '</a:t>
          </a:r>
          <a:r>
            <a:rPr lang="de-DE" sz="1400" b="1" baseline="0">
              <a:solidFill>
                <a:schemeClr val="dk1"/>
              </a:solidFill>
              <a:effectLst/>
              <a:latin typeface="+mn-lt"/>
              <a:ea typeface="+mn-ea"/>
              <a:cs typeface="+mn-cs"/>
            </a:rPr>
            <a:t>Plan</a:t>
          </a:r>
          <a:r>
            <a:rPr lang="de-DE" sz="1400" baseline="0">
              <a:solidFill>
                <a:schemeClr val="dk1"/>
              </a:solidFill>
              <a:effectLst/>
              <a:latin typeface="+mn-lt"/>
              <a:ea typeface="+mn-ea"/>
              <a:cs typeface="+mn-cs"/>
            </a:rPr>
            <a:t>' </a:t>
          </a:r>
          <a:r>
            <a:rPr lang="de-DE" sz="1400" baseline="0">
              <a:solidFill>
                <a:schemeClr val="tx1">
                  <a:lumMod val="65000"/>
                  <a:lumOff val="35000"/>
                </a:schemeClr>
              </a:solidFill>
              <a:effectLst/>
              <a:latin typeface="+mn-lt"/>
              <a:ea typeface="+mn-ea"/>
              <a:cs typeface="+mn-cs"/>
            </a:rPr>
            <a:t>r</a:t>
          </a:r>
          <a:r>
            <a:rPr lang="de-DE" sz="1400" baseline="0">
              <a:solidFill>
                <a:schemeClr val="tx1">
                  <a:lumMod val="65000"/>
                  <a:lumOff val="35000"/>
                </a:schemeClr>
              </a:solidFill>
            </a:rPr>
            <a:t>echts unter "Ablaufplan" für jedes Spiel die Nummern der Teilnehmer eintragen (können auch vom Tabellenblatt '</a:t>
          </a:r>
          <a:r>
            <a:rPr lang="de-DE" sz="1400" b="1" baseline="0">
              <a:solidFill>
                <a:schemeClr val="tx1">
                  <a:lumMod val="65000"/>
                  <a:lumOff val="35000"/>
                </a:schemeClr>
              </a:solidFill>
            </a:rPr>
            <a:t>Matchups</a:t>
          </a:r>
          <a:r>
            <a:rPr lang="de-DE" sz="1400" baseline="0">
              <a:solidFill>
                <a:schemeClr val="tx1">
                  <a:lumMod val="65000"/>
                  <a:lumOff val="35000"/>
                </a:schemeClr>
              </a:solidFill>
            </a:rPr>
            <a:t>' kopiert werden)</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3. Schritt:</a:t>
          </a:r>
        </a:p>
        <a:p>
          <a:r>
            <a:rPr lang="de-DE" sz="1400" baseline="0">
              <a:solidFill>
                <a:schemeClr val="tx1">
                  <a:lumMod val="65000"/>
                  <a:lumOff val="35000"/>
                </a:schemeClr>
              </a:solidFill>
            </a:rPr>
            <a:t>Auf dem Tabellenblatt "</a:t>
          </a:r>
          <a:r>
            <a:rPr lang="de-DE" sz="1400" b="1" baseline="0">
              <a:solidFill>
                <a:schemeClr val="tx1">
                  <a:lumMod val="65000"/>
                  <a:lumOff val="35000"/>
                </a:schemeClr>
              </a:solidFill>
            </a:rPr>
            <a:t>Results</a:t>
          </a:r>
          <a:r>
            <a:rPr lang="de-DE" sz="1400" baseline="0">
              <a:solidFill>
                <a:schemeClr val="tx1">
                  <a:lumMod val="65000"/>
                  <a:lumOff val="35000"/>
                </a:schemeClr>
              </a:solidFill>
            </a:rPr>
            <a:t>" die Spielergebnisse eintragen</a:t>
          </a:r>
          <a:endParaRPr lang="de-DE" sz="1400">
            <a:solidFill>
              <a:schemeClr val="tx1">
                <a:lumMod val="65000"/>
                <a:lumOff val="35000"/>
              </a:schemeClr>
            </a:solidFill>
          </a:endParaRPr>
        </a:p>
      </xdr:txBody>
    </xdr:sp>
    <xdr:clientData/>
  </xdr:twoCellAnchor>
  <xdr:twoCellAnchor>
    <xdr:from>
      <xdr:col>8</xdr:col>
      <xdr:colOff>266699</xdr:colOff>
      <xdr:row>25</xdr:row>
      <xdr:rowOff>9525</xdr:rowOff>
    </xdr:from>
    <xdr:to>
      <xdr:col>15</xdr:col>
      <xdr:colOff>752475</xdr:colOff>
      <xdr:row>51</xdr:row>
      <xdr:rowOff>0</xdr:rowOff>
    </xdr:to>
    <xdr:sp macro="" textlink="">
      <xdr:nvSpPr>
        <xdr:cNvPr id="5" name="Textfeld 4">
          <a:extLst>
            <a:ext uri="{FF2B5EF4-FFF2-40B4-BE49-F238E27FC236}">
              <a16:creationId xmlns:a16="http://schemas.microsoft.com/office/drawing/2014/main" id="{E0077E18-4BE3-4D8F-A91A-D2A12F27629E}"/>
            </a:ext>
          </a:extLst>
        </xdr:cNvPr>
        <xdr:cNvSpPr txBox="1"/>
      </xdr:nvSpPr>
      <xdr:spPr>
        <a:xfrm>
          <a:off x="6153149" y="4057650"/>
          <a:ext cx="5324476" cy="420052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accent1"/>
              </a:solidFill>
            </a:rPr>
            <a:t>HINWEISE</a:t>
          </a:r>
        </a:p>
        <a:p>
          <a:endParaRPr lang="de-DE" sz="1400" b="1">
            <a:solidFill>
              <a:schemeClr val="tx1">
                <a:lumMod val="65000"/>
                <a:lumOff val="35000"/>
              </a:schemeClr>
            </a:solidFill>
          </a:endParaRPr>
        </a:p>
        <a:p>
          <a:r>
            <a:rPr lang="de-DE" sz="1400" b="1" baseline="0">
              <a:solidFill>
                <a:schemeClr val="tx1">
                  <a:lumMod val="65000"/>
                  <a:lumOff val="35000"/>
                </a:schemeClr>
              </a:solidFill>
            </a:rPr>
            <a:t>1.</a:t>
          </a:r>
          <a:endParaRPr lang="de-DE" sz="1400" b="1">
            <a:solidFill>
              <a:schemeClr val="tx1">
                <a:lumMod val="65000"/>
                <a:lumOff val="35000"/>
              </a:schemeClr>
            </a:solidFill>
          </a:endParaRPr>
        </a:p>
        <a:p>
          <a:r>
            <a:rPr lang="de-DE" sz="1400">
              <a:solidFill>
                <a:schemeClr val="tx1">
                  <a:lumMod val="65000"/>
                  <a:lumOff val="35000"/>
                </a:schemeClr>
              </a:solidFill>
            </a:rPr>
            <a:t>Mehrmaliges</a:t>
          </a:r>
          <a:r>
            <a:rPr lang="de-DE" sz="1400" baseline="0">
              <a:solidFill>
                <a:schemeClr val="tx1">
                  <a:lumMod val="65000"/>
                  <a:lumOff val="35000"/>
                </a:schemeClr>
              </a:solidFill>
            </a:rPr>
            <a:t> Eintragen derselben Spielpaarung und Spiele gegen sich selbst führen zu falschen Werten in der Gesamttabelle. Über der Gesamttabelle erscheint dann die Anzeige </a:t>
          </a:r>
          <a:r>
            <a:rPr lang="de-DE" sz="1400" b="1" baseline="0">
              <a:solidFill>
                <a:srgbClr val="DA0000"/>
              </a:solidFill>
            </a:rPr>
            <a:t>TABELLE UNGÜLTIG</a:t>
          </a:r>
          <a:r>
            <a:rPr lang="de-DE" sz="1400" baseline="0">
              <a:solidFill>
                <a:schemeClr val="tx1">
                  <a:lumMod val="65000"/>
                  <a:lumOff val="35000"/>
                </a:schemeClr>
              </a:solidFill>
            </a:rPr>
            <a:t>.</a:t>
          </a:r>
        </a:p>
        <a:p>
          <a:endParaRPr lang="de-DE" sz="1400">
            <a:effectLst/>
          </a:endParaRPr>
        </a:p>
        <a:p>
          <a:r>
            <a:rPr lang="de-DE" sz="1400" b="1" baseline="0">
              <a:solidFill>
                <a:schemeClr val="dk1"/>
              </a:solidFill>
              <a:effectLst/>
              <a:latin typeface="+mn-lt"/>
              <a:ea typeface="+mn-ea"/>
              <a:cs typeface="+mn-cs"/>
            </a:rPr>
            <a:t>2.</a:t>
          </a:r>
          <a:endParaRPr lang="de-DE" sz="1400">
            <a:effectLst/>
          </a:endParaRPr>
        </a:p>
        <a:p>
          <a:r>
            <a:rPr lang="de-DE" sz="1400" b="0" baseline="0">
              <a:solidFill>
                <a:schemeClr val="dk1"/>
              </a:solidFill>
              <a:effectLst/>
              <a:latin typeface="+mn-lt"/>
              <a:ea typeface="+mn-ea"/>
              <a:cs typeface="+mn-cs"/>
            </a:rPr>
            <a:t>Teams, deren Rangfolge nicht eindeutig geklärt ist, erscheinen in der Gesamttabelle in </a:t>
          </a:r>
          <a:r>
            <a:rPr lang="de-DE" sz="1400" b="1" baseline="0">
              <a:solidFill>
                <a:srgbClr val="DA0000"/>
              </a:solidFill>
              <a:effectLst/>
              <a:latin typeface="+mn-lt"/>
              <a:ea typeface="+mn-ea"/>
              <a:cs typeface="+mn-cs"/>
            </a:rPr>
            <a:t>roter</a:t>
          </a:r>
          <a:r>
            <a:rPr lang="de-DE" sz="1400" b="0" baseline="0">
              <a:solidFill>
                <a:schemeClr val="dk1"/>
              </a:solidFill>
              <a:effectLst/>
              <a:latin typeface="+mn-lt"/>
              <a:ea typeface="+mn-ea"/>
              <a:cs typeface="+mn-cs"/>
            </a:rPr>
            <a:t> Schrift.</a:t>
          </a:r>
        </a:p>
        <a:p>
          <a:endParaRPr lang="de-DE" sz="1400">
            <a:effectLst/>
          </a:endParaRPr>
        </a:p>
        <a:p>
          <a:r>
            <a:rPr lang="de-DE" sz="1400" b="1" baseline="0">
              <a:solidFill>
                <a:schemeClr val="dk1"/>
              </a:solidFill>
              <a:effectLst/>
              <a:latin typeface="+mn-lt"/>
              <a:ea typeface="+mn-ea"/>
              <a:cs typeface="+mn-cs"/>
            </a:rPr>
            <a:t>3.</a:t>
          </a:r>
          <a:endParaRPr lang="de-DE" sz="1400">
            <a:effectLst/>
          </a:endParaRPr>
        </a:p>
        <a:p>
          <a:r>
            <a:rPr lang="de-DE" sz="1400" b="0" baseline="0">
              <a:solidFill>
                <a:schemeClr val="dk1"/>
              </a:solidFill>
              <a:effectLst/>
              <a:latin typeface="+mn-lt"/>
              <a:ea typeface="+mn-ea"/>
              <a:cs typeface="+mn-cs"/>
            </a:rPr>
            <a:t>Wähle auf dem Tabellenblatt "</a:t>
          </a:r>
          <a:r>
            <a:rPr lang="de-DE" sz="1400" b="1" baseline="0">
              <a:solidFill>
                <a:schemeClr val="dk1"/>
              </a:solidFill>
              <a:effectLst/>
              <a:latin typeface="+mn-lt"/>
              <a:ea typeface="+mn-ea"/>
              <a:cs typeface="+mn-cs"/>
            </a:rPr>
            <a:t>Results</a:t>
          </a:r>
          <a:r>
            <a:rPr lang="de-DE" sz="1400" b="0" baseline="0">
              <a:solidFill>
                <a:schemeClr val="dk1"/>
              </a:solidFill>
              <a:effectLst/>
              <a:latin typeface="+mn-lt"/>
              <a:ea typeface="+mn-ea"/>
              <a:cs typeface="+mn-cs"/>
            </a:rPr>
            <a:t>" einen bestimmten Spieltag und du siehst die Tabelle am Ende dieses Spieltags.</a:t>
          </a:r>
          <a:endParaRPr lang="de-DE" sz="1400">
            <a:effectLst/>
          </a:endParaRPr>
        </a:p>
        <a:p>
          <a:endParaRPr lang="de-DE" sz="1400" b="1" baseline="0">
            <a:solidFill>
              <a:schemeClr val="tx1">
                <a:lumMod val="65000"/>
                <a:lumOff val="35000"/>
              </a:schemeClr>
            </a:solidFill>
          </a:endParaRPr>
        </a:p>
        <a:p>
          <a:r>
            <a:rPr lang="de-DE" sz="1000" b="1" baseline="0">
              <a:solidFill>
                <a:schemeClr val="tx1">
                  <a:lumMod val="65000"/>
                  <a:lumOff val="35000"/>
                </a:schemeClr>
              </a:solidFill>
            </a:rPr>
            <a:t>Der Rang eines jedes Teams wird nach folgenden Kriterien ermittelt:</a:t>
          </a:r>
        </a:p>
        <a:p>
          <a:endParaRPr lang="de-DE" sz="800" baseline="0">
            <a:solidFill>
              <a:schemeClr val="tx1">
                <a:lumMod val="65000"/>
                <a:lumOff val="35000"/>
              </a:schemeClr>
            </a:solidFill>
          </a:endParaRPr>
        </a:p>
        <a:p>
          <a:r>
            <a:rPr lang="de-DE" sz="1000" baseline="0">
              <a:solidFill>
                <a:schemeClr val="tx1">
                  <a:lumMod val="65000"/>
                  <a:lumOff val="35000"/>
                </a:schemeClr>
              </a:solidFill>
            </a:rPr>
            <a:t>1.   </a:t>
          </a:r>
          <a:r>
            <a:rPr lang="de-DE" sz="1000">
              <a:solidFill>
                <a:schemeClr val="dk1"/>
              </a:solidFill>
              <a:latin typeface="+mn-lt"/>
              <a:ea typeface="+mn-ea"/>
              <a:cs typeface="+mn-cs"/>
            </a:rPr>
            <a:t>Anzahl der Punkte aus allen Spielen</a:t>
          </a:r>
        </a:p>
        <a:p>
          <a:r>
            <a:rPr lang="de-DE" sz="1000" baseline="0">
              <a:solidFill>
                <a:schemeClr val="tx1">
                  <a:lumMod val="65000"/>
                  <a:lumOff val="35000"/>
                </a:schemeClr>
              </a:solidFill>
            </a:rPr>
            <a:t>2.   </a:t>
          </a:r>
          <a:r>
            <a:rPr lang="de-DE" sz="1000">
              <a:solidFill>
                <a:schemeClr val="dk1"/>
              </a:solidFill>
              <a:latin typeface="+mn-lt"/>
              <a:ea typeface="+mn-ea"/>
              <a:cs typeface="+mn-cs"/>
            </a:rPr>
            <a:t>Tordifferenz aus allen Spielen</a:t>
          </a:r>
        </a:p>
        <a:p>
          <a:r>
            <a:rPr lang="de-DE" sz="1000" baseline="0">
              <a:solidFill>
                <a:schemeClr val="tx1">
                  <a:lumMod val="65000"/>
                  <a:lumOff val="35000"/>
                </a:schemeClr>
              </a:solidFill>
            </a:rPr>
            <a:t>3.   </a:t>
          </a:r>
          <a:r>
            <a:rPr lang="de-DE" sz="1000">
              <a:solidFill>
                <a:schemeClr val="dk1"/>
              </a:solidFill>
              <a:latin typeface="+mn-lt"/>
              <a:ea typeface="+mn-ea"/>
              <a:cs typeface="+mn-cs"/>
            </a:rPr>
            <a:t>Anzahl der in allen Spielen erzielten Tore</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dimension ref="A1:BG392"/>
  <sheetViews>
    <sheetView showGridLines="0" showRowColHeaders="0" tabSelected="1" zoomScaleNormal="100" workbookViewId="0">
      <selection activeCell="I9" sqref="I9"/>
    </sheetView>
  </sheetViews>
  <sheetFormatPr baseColWidth="10" defaultColWidth="0" defaultRowHeight="12.75" zeroHeight="1" x14ac:dyDescent="0.2"/>
  <cols>
    <col min="1" max="1" width="3" style="22" customWidth="1"/>
    <col min="2" max="2" width="11.42578125" style="272" customWidth="1"/>
    <col min="3" max="3" width="6.7109375" style="22" customWidth="1"/>
    <col min="4" max="4" width="11.85546875" style="22" customWidth="1"/>
    <col min="5" max="5" width="6.5703125" style="22" customWidth="1"/>
    <col min="6" max="6" width="26.7109375" style="22" customWidth="1"/>
    <col min="7" max="7" width="3" style="22" customWidth="1"/>
    <col min="8" max="8" width="26.7109375" style="22" customWidth="1"/>
    <col min="9" max="9" width="6.7109375" style="22" customWidth="1"/>
    <col min="10" max="10" width="2" style="22" customWidth="1"/>
    <col min="11" max="13" width="6.7109375" style="22" customWidth="1"/>
    <col min="14" max="14" width="7.42578125" style="22" customWidth="1"/>
    <col min="15" max="15" width="4.42578125" style="22" customWidth="1"/>
    <col min="16" max="16" width="7.42578125" style="22" customWidth="1"/>
    <col min="17" max="17" width="26.7109375" style="22" customWidth="1"/>
    <col min="18" max="22" width="6.7109375" style="22" customWidth="1"/>
    <col min="23" max="23" width="2.140625" style="22" customWidth="1"/>
    <col min="24" max="28" width="6.7109375" style="22" customWidth="1"/>
    <col min="29" max="29" width="18.85546875" style="22" hidden="1" customWidth="1"/>
    <col min="30" max="30" width="4.85546875" style="22" hidden="1" customWidth="1"/>
    <col min="31" max="31" width="4.85546875" style="22" customWidth="1"/>
    <col min="32" max="32" width="6.85546875" style="22" customWidth="1"/>
    <col min="33" max="33" width="23.7109375" style="22" customWidth="1"/>
    <col min="34" max="53" width="7.85546875" style="22" customWidth="1"/>
    <col min="54" max="54" width="7.28515625" style="22" customWidth="1"/>
    <col min="55" max="55" width="8.7109375" style="22" hidden="1" customWidth="1"/>
    <col min="56" max="56" width="9.85546875" style="22" hidden="1" customWidth="1"/>
    <col min="57" max="57" width="7.140625" style="22" hidden="1" customWidth="1"/>
    <col min="58" max="16384" width="11.42578125" style="22" hidden="1"/>
  </cols>
  <sheetData>
    <row r="1" spans="1:59" x14ac:dyDescent="0.2">
      <c r="B1" s="253" t="s">
        <v>585</v>
      </c>
      <c r="C1" s="253"/>
    </row>
    <row r="2" spans="1:59" x14ac:dyDescent="0.2">
      <c r="B2" s="254">
        <v>46208</v>
      </c>
      <c r="C2" s="254"/>
      <c r="E2" s="252"/>
      <c r="F2" s="252"/>
      <c r="G2" s="252"/>
      <c r="H2" s="252"/>
      <c r="I2" s="252"/>
      <c r="J2" s="252"/>
      <c r="K2" s="252"/>
      <c r="L2" s="252"/>
      <c r="M2" s="252"/>
      <c r="P2" s="135"/>
      <c r="Q2" s="135"/>
    </row>
    <row r="3" spans="1:59" ht="36" x14ac:dyDescent="0.2">
      <c r="G3" s="430" t="s">
        <v>537</v>
      </c>
      <c r="H3" s="431"/>
      <c r="I3" s="431"/>
      <c r="J3" s="431"/>
      <c r="K3" s="431"/>
      <c r="L3" s="431"/>
      <c r="M3" s="431"/>
      <c r="N3" s="431"/>
      <c r="O3" s="431"/>
      <c r="P3" s="431"/>
      <c r="Q3" s="431"/>
      <c r="R3" s="432"/>
      <c r="AH3" s="27"/>
      <c r="AI3" s="36"/>
      <c r="AJ3" s="36"/>
      <c r="AK3" s="36"/>
      <c r="AL3" s="36"/>
      <c r="AM3" s="36"/>
      <c r="AN3" s="36"/>
      <c r="AO3" s="36"/>
      <c r="AP3" s="36"/>
      <c r="AQ3" s="36"/>
      <c r="AR3" s="36"/>
      <c r="AS3" s="36"/>
      <c r="AT3" s="36"/>
      <c r="AU3" s="36"/>
      <c r="AV3" s="36"/>
      <c r="AW3" s="36"/>
      <c r="AX3" s="36"/>
      <c r="AY3" s="36"/>
      <c r="AZ3" s="36"/>
      <c r="BA3" s="36"/>
    </row>
    <row r="4" spans="1:59" ht="30.75" customHeight="1" x14ac:dyDescent="0.4">
      <c r="G4" s="433" t="s">
        <v>584</v>
      </c>
      <c r="H4" s="434"/>
      <c r="I4" s="434"/>
      <c r="J4" s="434"/>
      <c r="K4" s="434"/>
      <c r="L4" s="434"/>
      <c r="M4" s="434"/>
      <c r="N4" s="434"/>
      <c r="O4" s="434"/>
      <c r="P4" s="434"/>
      <c r="Q4" s="434"/>
      <c r="R4" s="435"/>
      <c r="AC4" s="199"/>
      <c r="AD4" s="250"/>
      <c r="AE4" s="408"/>
      <c r="AF4" s="198"/>
      <c r="AG4" s="199"/>
    </row>
    <row r="5" spans="1:59" x14ac:dyDescent="0.2"/>
    <row r="6" spans="1:59" ht="29.25" customHeight="1" thickBot="1" x14ac:dyDescent="0.45">
      <c r="B6" s="251" t="str">
        <f>Language!$E$11</f>
        <v>Ergebnisse</v>
      </c>
      <c r="D6" s="251"/>
      <c r="E6" s="251"/>
      <c r="F6" s="251"/>
      <c r="G6" s="251"/>
      <c r="I6" s="425"/>
      <c r="J6" s="251"/>
      <c r="K6" s="437" t="str">
        <f>Language!$E$56</f>
        <v>Berücksichtigte Spieltage:</v>
      </c>
      <c r="L6" s="437"/>
      <c r="M6" s="437"/>
      <c r="N6" s="437"/>
      <c r="O6" s="413">
        <f t="array" aca="1" ref="O6" ca="1">MIN(QUOTIENT(MAX(((I9:I389&lt;&gt;"")*(K9:K389&lt;&gt;"")*(F9:F389&lt;&gt;"")*(H9:H389&lt;&gt;"")&gt;0)*ROW($I$9:$I$389))-9,Calc!$F$26)+1,Calc!$B$2,$BF$9)</f>
        <v>34</v>
      </c>
      <c r="P6" s="429" t="str">
        <f>Language!$E$17</f>
        <v>Spieltag</v>
      </c>
      <c r="Q6" s="429"/>
      <c r="R6" s="414"/>
      <c r="S6" s="436" t="str">
        <f>Language!$E$29</f>
        <v>TABELLE UNGÜLTIG</v>
      </c>
      <c r="T6" s="436"/>
      <c r="U6" s="436"/>
      <c r="V6" s="436"/>
      <c r="W6" s="436"/>
      <c r="X6" s="436"/>
      <c r="Y6" s="436"/>
      <c r="Z6" s="436"/>
      <c r="AA6" s="370"/>
      <c r="AB6" s="408"/>
      <c r="AH6" s="428" t="str">
        <f>Language!$E$18</f>
        <v>Hinspiele</v>
      </c>
      <c r="AI6" s="428"/>
      <c r="AJ6" s="428"/>
      <c r="AK6" s="428"/>
      <c r="AL6" s="428"/>
      <c r="AM6" s="428"/>
      <c r="AN6" s="428"/>
      <c r="AO6" s="428"/>
      <c r="AP6" s="428"/>
      <c r="AQ6" s="428"/>
      <c r="AR6" s="428"/>
      <c r="AS6" s="428"/>
      <c r="AT6" s="428"/>
      <c r="AU6" s="428"/>
      <c r="AV6" s="428"/>
      <c r="AW6" s="428"/>
      <c r="AX6" s="428"/>
      <c r="AY6" s="428"/>
      <c r="AZ6" s="428"/>
      <c r="BA6" s="428"/>
      <c r="BB6" s="137"/>
    </row>
    <row r="7" spans="1:59" ht="15.75" customHeight="1" thickBot="1" x14ac:dyDescent="0.3">
      <c r="A7" s="245"/>
      <c r="B7" s="245"/>
      <c r="C7" s="443"/>
      <c r="D7" s="443"/>
      <c r="E7" s="443"/>
      <c r="F7" s="443"/>
      <c r="G7" s="443"/>
      <c r="H7" s="443"/>
      <c r="I7" s="443"/>
      <c r="J7" s="443"/>
      <c r="K7" s="443"/>
      <c r="L7" s="372"/>
      <c r="M7" s="372"/>
      <c r="P7" s="129"/>
      <c r="Q7" s="129"/>
      <c r="R7" s="129"/>
      <c r="S7" s="129"/>
      <c r="T7" s="129"/>
      <c r="U7" s="129"/>
      <c r="V7" s="129"/>
      <c r="W7" s="129"/>
      <c r="X7" s="129"/>
      <c r="Y7" s="129"/>
      <c r="Z7" s="129"/>
      <c r="AA7" s="129"/>
      <c r="AB7" s="129"/>
      <c r="AC7" s="129"/>
      <c r="AD7" s="129"/>
      <c r="AE7" s="129"/>
      <c r="AF7" s="129"/>
      <c r="AG7" s="129"/>
      <c r="AH7" s="204" t="str">
        <f ca="1">AC9</f>
        <v>Bayern</v>
      </c>
      <c r="AI7" s="205" t="str">
        <f ca="1">AC10</f>
        <v>Dortmund</v>
      </c>
      <c r="AJ7" s="205" t="str">
        <f ca="1">AC11</f>
        <v>Leipzig</v>
      </c>
      <c r="AK7" s="205" t="str">
        <f ca="1">AC12</f>
        <v>Stuttgart</v>
      </c>
      <c r="AL7" s="205" t="str">
        <f ca="1">AC13</f>
        <v>Hoffenhei</v>
      </c>
      <c r="AM7" s="205" t="str">
        <f ca="1">AC14</f>
        <v>Leverkuse</v>
      </c>
      <c r="AN7" s="205" t="str">
        <f ca="1">AC15</f>
        <v>Freiburg</v>
      </c>
      <c r="AO7" s="205" t="str">
        <f ca="1">AC16</f>
        <v>Frankfurt</v>
      </c>
      <c r="AP7" s="205" t="str">
        <f ca="1">AC17</f>
        <v>Augsburg</v>
      </c>
      <c r="AQ7" s="205" t="str">
        <f ca="1">AC18</f>
        <v>Mainz</v>
      </c>
      <c r="AR7" s="205" t="str">
        <f ca="1">AC19</f>
        <v>Union Ber</v>
      </c>
      <c r="AS7" s="205" t="str">
        <f ca="1">AC20</f>
        <v>Gladbach</v>
      </c>
      <c r="AT7" s="205" t="str">
        <f ca="1">AC21</f>
        <v>HSV</v>
      </c>
      <c r="AU7" s="205" t="str">
        <f ca="1">AC22</f>
        <v>Köln</v>
      </c>
      <c r="AV7" s="205" t="str">
        <f ca="1">AC23</f>
        <v>Bremen</v>
      </c>
      <c r="AW7" s="205" t="str">
        <f ca="1">AC24</f>
        <v>Wolfsburg</v>
      </c>
      <c r="AX7" s="205" t="str">
        <f ca="1">AC25</f>
        <v>Heidenhei</v>
      </c>
      <c r="AY7" s="205" t="str">
        <f ca="1">AC26</f>
        <v>St. Pauli</v>
      </c>
      <c r="AZ7" s="205" t="str">
        <f ca="1">AC27</f>
        <v/>
      </c>
      <c r="BA7" s="206" t="str">
        <f ca="1">AC28</f>
        <v/>
      </c>
      <c r="BB7" s="140"/>
    </row>
    <row r="8" spans="1:59" ht="30.75" customHeight="1" thickTop="1" thickBot="1" x14ac:dyDescent="0.3">
      <c r="B8" s="273" t="str">
        <f>Language!$E$17</f>
        <v>Spieltag</v>
      </c>
      <c r="C8" s="277" t="str">
        <f>Language!$E$9</f>
        <v>Nr.</v>
      </c>
      <c r="D8" s="280" t="str">
        <f>Language!$E$45</f>
        <v>Datum</v>
      </c>
      <c r="E8" s="280" t="str">
        <f>Language!$E$48</f>
        <v>Zeit</v>
      </c>
      <c r="F8" s="438" t="str">
        <f>Language!$E$14</f>
        <v>Spielpaarung</v>
      </c>
      <c r="G8" s="439"/>
      <c r="H8" s="440"/>
      <c r="I8" s="441" t="str">
        <f>Language!$E$15</f>
        <v>Ergebnis</v>
      </c>
      <c r="J8" s="439"/>
      <c r="K8" s="442"/>
      <c r="L8" s="449" t="str">
        <f>Language!$E$51</f>
        <v>Strafpunkte</v>
      </c>
      <c r="M8" s="450"/>
      <c r="N8" s="281"/>
      <c r="O8" s="418"/>
      <c r="P8" s="447"/>
      <c r="Q8" s="448"/>
      <c r="R8" s="282" t="str">
        <f>Language!$E$21</f>
        <v>Sp</v>
      </c>
      <c r="S8" s="283" t="str">
        <f>Language!$E$22</f>
        <v>G</v>
      </c>
      <c r="T8" s="283" t="str">
        <f>Language!$E$23</f>
        <v>U</v>
      </c>
      <c r="U8" s="284" t="str">
        <f>Language!$E$24</f>
        <v>V</v>
      </c>
      <c r="V8" s="444" t="str">
        <f>Language!$E$25</f>
        <v>Tore</v>
      </c>
      <c r="W8" s="445"/>
      <c r="X8" s="446"/>
      <c r="Y8" s="283" t="str">
        <f>Language!$E$26</f>
        <v>TD</v>
      </c>
      <c r="Z8" s="285" t="str">
        <f>Language!$E$27</f>
        <v>Pkt</v>
      </c>
      <c r="AA8" s="376" t="str">
        <f>Language!$E$52</f>
        <v>Strafp.</v>
      </c>
      <c r="AB8" s="421" t="str">
        <f>Language!$E$62</f>
        <v>Alte
Pos.</v>
      </c>
      <c r="AC8" s="200"/>
      <c r="AD8" s="141"/>
      <c r="AE8" s="420"/>
      <c r="AF8" s="141"/>
      <c r="AG8" s="200"/>
      <c r="AH8" s="207" t="str">
        <f ca="1">Q9</f>
        <v>FC Bayern München</v>
      </c>
      <c r="AI8" s="208" t="str">
        <f ca="1">Q10</f>
        <v>Borussia Dortmund</v>
      </c>
      <c r="AJ8" s="208" t="str">
        <f ca="1">Q11</f>
        <v>RB Leipzig</v>
      </c>
      <c r="AK8" s="208" t="str">
        <f ca="1">Q12</f>
        <v>VfB Stuttgart</v>
      </c>
      <c r="AL8" s="208" t="str">
        <f ca="1">Q13</f>
        <v>TSG Hoffenheim</v>
      </c>
      <c r="AM8" s="208" t="str">
        <f ca="1">Q14</f>
        <v>Bayer 04 Leverkusen</v>
      </c>
      <c r="AN8" s="208" t="str">
        <f ca="1">Q15</f>
        <v>SC Freiburg</v>
      </c>
      <c r="AO8" s="208" t="str">
        <f ca="1">Q16</f>
        <v>Eintracht Frankfurt</v>
      </c>
      <c r="AP8" s="208" t="str">
        <f ca="1">Q17</f>
        <v>FC Augsburg</v>
      </c>
      <c r="AQ8" s="208" t="str">
        <f ca="1">Q18</f>
        <v>1. FSV Mainz 05</v>
      </c>
      <c r="AR8" s="208" t="str">
        <f ca="1">Q19</f>
        <v>1. FC Union Berlin</v>
      </c>
      <c r="AS8" s="208" t="str">
        <f ca="1">Q20</f>
        <v>Borussia Mönchengladbach</v>
      </c>
      <c r="AT8" s="208" t="str">
        <f ca="1">Q21</f>
        <v>Hamburger SV</v>
      </c>
      <c r="AU8" s="208" t="str">
        <f ca="1">Q22</f>
        <v>1. FC Köln</v>
      </c>
      <c r="AV8" s="208" t="str">
        <f ca="1">Q23</f>
        <v>SV Werder Bremen</v>
      </c>
      <c r="AW8" s="208" t="str">
        <f ca="1">Q24</f>
        <v>VfL Wolfsburg</v>
      </c>
      <c r="AX8" s="208" t="str">
        <f ca="1">Q25</f>
        <v>1. FC Heidenheim 1846</v>
      </c>
      <c r="AY8" s="208" t="str">
        <f ca="1">Q26</f>
        <v>FC St. Pauli</v>
      </c>
      <c r="AZ8" s="208" t="str">
        <f ca="1">Q27</f>
        <v/>
      </c>
      <c r="BA8" s="209" t="str">
        <f ca="1">Q28</f>
        <v/>
      </c>
      <c r="BB8" s="140"/>
      <c r="BC8" s="427" t="s">
        <v>580</v>
      </c>
      <c r="BD8" s="427" t="s">
        <v>581</v>
      </c>
      <c r="BE8" s="427" t="s">
        <v>582</v>
      </c>
      <c r="BF8" s="427" t="s">
        <v>583</v>
      </c>
    </row>
    <row r="9" spans="1:59" ht="15.95" customHeight="1" thickTop="1" x14ac:dyDescent="0.2">
      <c r="B9" s="278">
        <f>IF(Calc!$F$26=0,"",IF(OR($C9&gt;Calc!$B$24,MOD($C9-1,Calc!$F$26)&gt;0),"",QUOTIENT($C9-1,Calc!$F$26)+1))</f>
        <v>1</v>
      </c>
      <c r="C9" s="274">
        <v>1</v>
      </c>
      <c r="D9" s="154">
        <f>IF(Plan!$T7="","",Plan!$T7)</f>
        <v>45891</v>
      </c>
      <c r="E9" s="155">
        <f>IF(Plan!$U7="","",Plan!$U7)</f>
        <v>0.85416666666666663</v>
      </c>
      <c r="F9" s="175" t="str">
        <f>Plan!$Q7</f>
        <v>FC Bayern München</v>
      </c>
      <c r="G9" s="176" t="s">
        <v>4</v>
      </c>
      <c r="H9" s="175" t="str">
        <f>Plan!$S7</f>
        <v>RB Leipzig</v>
      </c>
      <c r="I9" s="177">
        <v>6</v>
      </c>
      <c r="J9" s="178" t="str">
        <f>Language!$E$65</f>
        <v xml:space="preserve"> : </v>
      </c>
      <c r="K9" s="179">
        <v>0</v>
      </c>
      <c r="L9" s="383"/>
      <c r="M9" s="384"/>
      <c r="N9" s="412" t="s">
        <v>491</v>
      </c>
      <c r="O9" s="417" t="str">
        <f ca="1">IF(AD9&gt;0,"£",IF(AD9&lt;0,"¤","¬"))</f>
        <v>¬</v>
      </c>
      <c r="P9" s="330">
        <f ca="1">IF(Calc!$K$24=0,"",1)</f>
        <v>1</v>
      </c>
      <c r="Q9" s="331" t="str">
        <f ca="1">IF(Calc!$K$24=0,Calc2!$C4,VLOOKUP(Calc!B4,Calc!$C$4:$N$23,4,0))</f>
        <v>FC Bayern München</v>
      </c>
      <c r="R9" s="332">
        <f ca="1">IF(Calc!$K$24=0,"",VLOOKUP(Calc!B4,Calc!$C$4:$N$23,9,0))</f>
        <v>34</v>
      </c>
      <c r="S9" s="333">
        <f ca="1">IF(Calc!$K$24=0,"",IF($R9=0,"",VLOOKUP(Calc!B4,Calc!$C$4:$N$23,10,0)))</f>
        <v>28</v>
      </c>
      <c r="T9" s="333">
        <f ca="1">IF(Calc!$K$24=0,"",IF($R9=0,"",VLOOKUP(Calc!B4,Calc!$C$4:$N$23,11,0)))</f>
        <v>5</v>
      </c>
      <c r="U9" s="334">
        <f ca="1">IF(Calc!$K$24=0,"",IF($R9=0,"",VLOOKUP(Calc!B4,Calc!$C$4:$N$23,12,0)))</f>
        <v>1</v>
      </c>
      <c r="V9" s="335">
        <f ca="1">IF(Calc!$K$24=0,"",IF($R9=0,"",VLOOKUP(Calc!B4,Calc!$C$4:$N$23,5,0)))</f>
        <v>122</v>
      </c>
      <c r="W9" s="336" t="str">
        <f>Language!$E$65</f>
        <v xml:space="preserve"> : </v>
      </c>
      <c r="X9" s="337">
        <f ca="1">IF(Calc!$K$24=0,"",IF($R9=0,"",VLOOKUP(Calc!B4,Calc!$C$4:$N$23,6,0)))</f>
        <v>36</v>
      </c>
      <c r="Y9" s="338">
        <f ca="1">IF(Calc!$K$24=0,"",IF($R9=0,"",VLOOKUP(Calc!B4,Calc!$C$4:$N$23,7,0)))</f>
        <v>86</v>
      </c>
      <c r="Z9" s="339">
        <f ca="1">IF(Calc!$K$24=0,"",IF($R9=0,"",VLOOKUP(Calc!B4,Calc!$C$4:$N$23,8,0)))</f>
        <v>89</v>
      </c>
      <c r="AA9" s="387" t="str">
        <f ca="1">IF(VLOOKUP(Calc!B4,Calc!$C$4:$O$23,13,0)=0,"",VLOOKUP(Calc!B4,Calc!$C$4:$O$23,13,0))</f>
        <v/>
      </c>
      <c r="AB9" s="422">
        <f ca="1">IFERROR(VLOOKUP(Q9,OFFSET(Calc_match_days!$W$4,($O$6-1)*27,,20,3),2,0),0)</f>
        <v>1</v>
      </c>
      <c r="AC9" s="375" t="str">
        <f ca="1">IF(IFERROR(VLOOKUP($Q9,Plan!$D$7:$E$26,2,0),0)=0,IF(LEN(Q9)&gt;Factors!$D$9,LEFT(Q9,Factors!$D$9)&amp;".",Q9),VLOOKUP($Q9,Plan!$D$7:$E$26,2,0))</f>
        <v>Bayern</v>
      </c>
      <c r="AD9" s="419">
        <f ca="1">IFERROR(VLOOKUP(Q9,OFFSET(Calc_match_days!$W$4,($O$6-1)*27,,20,3),3,0),0)</f>
        <v>0</v>
      </c>
      <c r="AE9" s="419"/>
      <c r="AF9" s="215">
        <f t="shared" ref="AF9:AF28" ca="1" si="0">P9</f>
        <v>1</v>
      </c>
      <c r="AG9" s="216" t="str">
        <f t="shared" ref="AG9:AG28" ca="1" si="1">Q9</f>
        <v>FC Bayern München</v>
      </c>
      <c r="AH9" s="201"/>
      <c r="AI9" s="202" t="str">
        <f ca="1">IFERROR(VLOOKUP($Q9&amp;AI$8,Calc2!$J$4:$L$763,3,0),"")</f>
        <v>2 : 1</v>
      </c>
      <c r="AJ9" s="202" t="str">
        <f ca="1">IFERROR(VLOOKUP($Q9&amp;AJ$8,Calc2!$J$4:$L$763,3,0),"")</f>
        <v>6 : 0</v>
      </c>
      <c r="AK9" s="202" t="str">
        <f ca="1">IFERROR(VLOOKUP($Q9&amp;AK$8,Calc2!$J$4:$L$763,3,0),"")</f>
        <v>5 : 0</v>
      </c>
      <c r="AL9" s="202" t="str">
        <f ca="1">IFERROR(VLOOKUP($Q9&amp;AL$8,Calc2!$J$4:$L$763,3,0),"")</f>
        <v>4 : 1</v>
      </c>
      <c r="AM9" s="202" t="str">
        <f ca="1">IFERROR(VLOOKUP($Q9&amp;AM$8,Calc2!$J$4:$L$763,3,0),"")</f>
        <v>3 : 0</v>
      </c>
      <c r="AN9" s="202" t="str">
        <f ca="1">IFERROR(VLOOKUP($Q9&amp;AN$8,Calc2!$J$4:$L$763,3,0),"")</f>
        <v>6 : 2</v>
      </c>
      <c r="AO9" s="202" t="str">
        <f ca="1">IFERROR(VLOOKUP($Q9&amp;AO$8,Calc2!$J$4:$L$763,3,0),"")</f>
        <v>3 : 0</v>
      </c>
      <c r="AP9" s="202" t="str">
        <f ca="1">IFERROR(VLOOKUP($Q9&amp;AP$8,Calc2!$J$4:$L$763,3,0),"")</f>
        <v>3 : 2</v>
      </c>
      <c r="AQ9" s="202" t="str">
        <f ca="1">IFERROR(VLOOKUP($Q9&amp;AQ$8,Calc2!$J$4:$L$763,3,0),"")</f>
        <v>2 : 2</v>
      </c>
      <c r="AR9" s="202" t="str">
        <f ca="1">IFERROR(VLOOKUP($Q9&amp;AR$8,Calc2!$J$4:$L$763,3,0),"")</f>
        <v>2 : 2</v>
      </c>
      <c r="AS9" s="202" t="str">
        <f ca="1">IFERROR(VLOOKUP($Q9&amp;AS$8,Calc2!$J$4:$L$763,3,0),"")</f>
        <v>3 : 0</v>
      </c>
      <c r="AT9" s="202" t="str">
        <f ca="1">IFERROR(VLOOKUP($Q9&amp;AT$8,Calc2!$J$4:$L$763,3,0),"")</f>
        <v>5 : 0</v>
      </c>
      <c r="AU9" s="202" t="str">
        <f ca="1">IFERROR(VLOOKUP($Q9&amp;AU$8,Calc2!$J$4:$L$763,3,0),"")</f>
        <v>3 : 1</v>
      </c>
      <c r="AV9" s="202" t="str">
        <f ca="1">IFERROR(VLOOKUP($Q9&amp;AV$8,Calc2!$J$4:$L$763,3,0),"")</f>
        <v>4 : 0</v>
      </c>
      <c r="AW9" s="202" t="str">
        <f ca="1">IFERROR(VLOOKUP($Q9&amp;AW$8,Calc2!$J$4:$L$763,3,0),"")</f>
        <v>8 : 1</v>
      </c>
      <c r="AX9" s="202" t="str">
        <f ca="1">IFERROR(VLOOKUP($Q9&amp;AX$8,Calc2!$J$4:$L$763,3,0),"")</f>
        <v>4 : 0</v>
      </c>
      <c r="AY9" s="202" t="str">
        <f ca="1">IFERROR(VLOOKUP($Q9&amp;AY$8,Calc2!$J$4:$L$763,3,0),"")</f>
        <v>3 : 1</v>
      </c>
      <c r="AZ9" s="202" t="str">
        <f ca="1">IFERROR(VLOOKUP($Q9&amp;AZ$8,Calc2!$J$4:$L$763,3,0),"")</f>
        <v/>
      </c>
      <c r="BA9" s="203" t="str">
        <f ca="1">IFERROR(VLOOKUP($Q9&amp;BA$8,Calc2!$J$4:$L$763,3,0),"")</f>
        <v/>
      </c>
      <c r="BB9" s="213"/>
      <c r="BC9" s="426">
        <v>1</v>
      </c>
      <c r="BD9" s="426">
        <f t="array" aca="1" ref="BD9" ca="1">SUM((OFFSET($I$9,(BC9-1)*Calc!$F$26,0,Calc!$F$26)&lt;&gt;"")*(OFFSET($K$9,(BC9-1)*Calc!$F$26,0,Calc!$F$26)&lt;&gt;""))</f>
        <v>9</v>
      </c>
      <c r="BE9" s="426">
        <v>2</v>
      </c>
      <c r="BF9" s="426">
        <f ca="1">MAX($BG$9:$BG$46)</f>
        <v>34</v>
      </c>
      <c r="BG9" s="426">
        <f ca="1">(BD9&gt;$BE$9)*(ROW(BD9)-8)</f>
        <v>1</v>
      </c>
    </row>
    <row r="10" spans="1:59" ht="15.95" customHeight="1" x14ac:dyDescent="0.2">
      <c r="B10" s="278" t="str">
        <f>IF(Calc!$F$26=0,"",IF(OR($C10&gt;Calc!$B$24,MOD($C10-1,Calc!$F$26)&gt;0),"",QUOTIENT($C10-1,Calc!$F$26)+1))</f>
        <v/>
      </c>
      <c r="C10" s="274">
        <v>2</v>
      </c>
      <c r="D10" s="154">
        <f>IF(Plan!$T8="","",Plan!$T8)</f>
        <v>45892</v>
      </c>
      <c r="E10" s="155">
        <f>IF(Plan!$U8="","",Plan!$U8)</f>
        <v>0.64583333333333337</v>
      </c>
      <c r="F10" s="175" t="str">
        <f>Plan!$Q8</f>
        <v>1. FC Union Berlin</v>
      </c>
      <c r="G10" s="176" t="s">
        <v>4</v>
      </c>
      <c r="H10" s="175" t="str">
        <f>Plan!$S8</f>
        <v>VfB Stuttgart</v>
      </c>
      <c r="I10" s="177">
        <v>2</v>
      </c>
      <c r="J10" s="178" t="str">
        <f>Language!$E$65</f>
        <v xml:space="preserve"> : </v>
      </c>
      <c r="K10" s="179">
        <v>1</v>
      </c>
      <c r="L10" s="383"/>
      <c r="M10" s="384"/>
      <c r="N10" s="412" t="s">
        <v>491</v>
      </c>
      <c r="O10" s="415" t="str">
        <f t="shared" ref="O10:O28" ca="1" si="2">IF(AD10&gt;0,"£",IF(AD10&lt;0,"¤","¬"))</f>
        <v>¬</v>
      </c>
      <c r="P10" s="320">
        <f ca="1">IF(Calc!$K$24=0,"",IF(VLOOKUP(Calc!B5,Calc!$C$4:$E$23,3,0)=MAX(P$9:P9),VLOOKUP(Calc!B5,Calc!$C$4:$E$23,3,0),Calc!B5))</f>
        <v>2</v>
      </c>
      <c r="Q10" s="321" t="str">
        <f ca="1">IF(Calc!$K$24=0,Calc2!$C5,VLOOKUP(Calc!B5,Calc!$C$4:$N$23,4,0))</f>
        <v>Borussia Dortmund</v>
      </c>
      <c r="R10" s="322">
        <f ca="1">IF(Calc!$K$24=0,"",VLOOKUP(Calc!B5,Calc!$C$4:$N$23,9,0))</f>
        <v>34</v>
      </c>
      <c r="S10" s="323">
        <f ca="1">IF(Calc!$K$24=0,"",IF($R10=0,"",VLOOKUP(Calc!B5,Calc!$C$4:$N$23,10,0)))</f>
        <v>22</v>
      </c>
      <c r="T10" s="323">
        <f ca="1">IF(Calc!$K$24=0,"",IF($R10=0,"",VLOOKUP(Calc!B5,Calc!$C$4:$N$23,11,0)))</f>
        <v>7</v>
      </c>
      <c r="U10" s="324">
        <f ca="1">IF(Calc!$K$24=0,"",IF($R10=0,"",VLOOKUP(Calc!B5,Calc!$C$4:$N$23,12,0)))</f>
        <v>5</v>
      </c>
      <c r="V10" s="325">
        <f ca="1">IF(Calc!$K$24=0,"",IF($R10=0,"",VLOOKUP(Calc!B5,Calc!$C$4:$N$23,5,0)))</f>
        <v>70</v>
      </c>
      <c r="W10" s="326" t="str">
        <f>Language!$E$65</f>
        <v xml:space="preserve"> : </v>
      </c>
      <c r="X10" s="327">
        <f ca="1">IF(Calc!$K$24=0,"",IF($R10=0,"",VLOOKUP(Calc!B5,Calc!$C$4:$N$23,6,0)))</f>
        <v>34</v>
      </c>
      <c r="Y10" s="328">
        <f ca="1">IF(Calc!$K$24=0,"",IF($R10=0,"",VLOOKUP(Calc!B5,Calc!$C$4:$N$23,7,0)))</f>
        <v>36</v>
      </c>
      <c r="Z10" s="329">
        <f ca="1">IF(Calc!$K$24=0,"",IF($R10=0,"",VLOOKUP(Calc!B5,Calc!$C$4:$N$23,8,0)))</f>
        <v>73</v>
      </c>
      <c r="AA10" s="388" t="str">
        <f ca="1">IF(VLOOKUP(Calc!B5,Calc!$C$4:$O$23,13,0)=0,"",VLOOKUP(Calc!B5,Calc!$C$4:$O$23,13,0))</f>
        <v/>
      </c>
      <c r="AB10" s="423">
        <f ca="1">IFERROR(VLOOKUP(Q10,OFFSET(Calc_match_days!$W$4,($O$6-1)*27,,20,3),2,0),0)</f>
        <v>2</v>
      </c>
      <c r="AC10" s="375" t="str">
        <f ca="1">IF(IFERROR(VLOOKUP($Q10,Plan!$D$7:$E$26,2,0),0)=0,IF(LEN(Q10)&gt;Factors!$D$9,LEFT(Q10,Factors!$D$9)&amp;".",Q10),VLOOKUP($Q10,Plan!$D$7:$E$26,2,0))</f>
        <v>Dortmund</v>
      </c>
      <c r="AD10" s="419">
        <f ca="1">IFERROR(VLOOKUP(Q10,OFFSET(Calc_match_days!$W$4,($O$6-1)*27,,20,3),3,0),0)</f>
        <v>0</v>
      </c>
      <c r="AE10" s="419"/>
      <c r="AF10" s="217">
        <f t="shared" ca="1" si="0"/>
        <v>2</v>
      </c>
      <c r="AG10" s="218" t="str">
        <f t="shared" ca="1" si="1"/>
        <v>Borussia Dortmund</v>
      </c>
      <c r="AH10" s="164" t="str">
        <f ca="1">IFERROR(VLOOKUP($Q10&amp;AH$8,Calc2!$J$4:$L$763,3,0),"")</f>
        <v>1 : 2</v>
      </c>
      <c r="AI10" s="165"/>
      <c r="AJ10" s="158" t="str">
        <f ca="1">IFERROR(VLOOKUP($Q10&amp;AJ$8,Calc2!$J$4:$L$763,3,0),"")</f>
        <v>1 : 1</v>
      </c>
      <c r="AK10" s="158" t="str">
        <f ca="1">IFERROR(VLOOKUP($Q10&amp;AK$8,Calc2!$J$4:$L$763,3,0),"")</f>
        <v>3 : 3</v>
      </c>
      <c r="AL10" s="158" t="str">
        <f ca="1">IFERROR(VLOOKUP($Q10&amp;AL$8,Calc2!$J$4:$L$763,3,0),"")</f>
        <v>2 : 0</v>
      </c>
      <c r="AM10" s="158" t="str">
        <f ca="1">IFERROR(VLOOKUP($Q10&amp;AM$8,Calc2!$J$4:$L$763,3,0),"")</f>
        <v>2 : 1</v>
      </c>
      <c r="AN10" s="158" t="str">
        <f ca="1">IFERROR(VLOOKUP($Q10&amp;AN$8,Calc2!$J$4:$L$763,3,0),"")</f>
        <v>1 : 1</v>
      </c>
      <c r="AO10" s="158" t="str">
        <f ca="1">IFERROR(VLOOKUP($Q10&amp;AO$8,Calc2!$J$4:$L$763,3,0),"")</f>
        <v>3 : 3</v>
      </c>
      <c r="AP10" s="158" t="str">
        <f ca="1">IFERROR(VLOOKUP($Q10&amp;AP$8,Calc2!$J$4:$L$763,3,0),"")</f>
        <v>1 : 0</v>
      </c>
      <c r="AQ10" s="158" t="str">
        <f ca="1">IFERROR(VLOOKUP($Q10&amp;AQ$8,Calc2!$J$4:$L$763,3,0),"")</f>
        <v>2 : 0</v>
      </c>
      <c r="AR10" s="158" t="str">
        <f ca="1">IFERROR(VLOOKUP($Q10&amp;AR$8,Calc2!$J$4:$L$763,3,0),"")</f>
        <v>3 : 0</v>
      </c>
      <c r="AS10" s="158" t="str">
        <f ca="1">IFERROR(VLOOKUP($Q10&amp;AS$8,Calc2!$J$4:$L$763,3,0),"")</f>
        <v>2 : 0</v>
      </c>
      <c r="AT10" s="158" t="str">
        <f ca="1">IFERROR(VLOOKUP($Q10&amp;AT$8,Calc2!$J$4:$L$763,3,0),"")</f>
        <v>1 : 1</v>
      </c>
      <c r="AU10" s="158" t="str">
        <f ca="1">IFERROR(VLOOKUP($Q10&amp;AU$8,Calc2!$J$4:$L$763,3,0),"")</f>
        <v>1 : 0</v>
      </c>
      <c r="AV10" s="158" t="str">
        <f ca="1">IFERROR(VLOOKUP($Q10&amp;AV$8,Calc2!$J$4:$L$763,3,0),"")</f>
        <v>3 : 0</v>
      </c>
      <c r="AW10" s="158" t="str">
        <f ca="1">IFERROR(VLOOKUP($Q10&amp;AW$8,Calc2!$J$4:$L$763,3,0),"")</f>
        <v>1 : 0</v>
      </c>
      <c r="AX10" s="158" t="str">
        <f ca="1">IFERROR(VLOOKUP($Q10&amp;AX$8,Calc2!$J$4:$L$763,3,0),"")</f>
        <v>2 : 0</v>
      </c>
      <c r="AY10" s="158" t="str">
        <f ca="1">IFERROR(VLOOKUP($Q10&amp;AY$8,Calc2!$J$4:$L$763,3,0),"")</f>
        <v>3 : 3</v>
      </c>
      <c r="AZ10" s="158" t="str">
        <f ca="1">IFERROR(VLOOKUP($Q10&amp;AZ$8,Calc2!$J$4:$L$763,3,0),"")</f>
        <v/>
      </c>
      <c r="BA10" s="166" t="str">
        <f ca="1">IFERROR(VLOOKUP($Q10&amp;BA$8,Calc2!$J$4:$L$763,3,0),"")</f>
        <v/>
      </c>
      <c r="BB10" s="213"/>
      <c r="BC10" s="426">
        <v>2</v>
      </c>
      <c r="BD10" s="426">
        <f t="array" aca="1" ref="BD10" ca="1">SUM((OFFSET($I$9,(BC10-1)*Calc!$F$26,0,Calc!$F$26)&lt;&gt;"")*(OFFSET($K$9,(BC10-1)*Calc!$F$26,0,Calc!$F$26)&lt;&gt;""))</f>
        <v>9</v>
      </c>
      <c r="BE10" s="426"/>
      <c r="BF10" s="426"/>
      <c r="BG10" s="426">
        <f t="shared" ref="BG10:BG46" ca="1" si="3">(BD10&gt;$BE$9)*(ROW(BD10)-8)</f>
        <v>2</v>
      </c>
    </row>
    <row r="11" spans="1:59" ht="15.95" customHeight="1" x14ac:dyDescent="0.2">
      <c r="B11" s="278" t="str">
        <f>IF(Calc!$F$26=0,"",IF(OR($C11&gt;Calc!$B$24,MOD($C11-1,Calc!$F$26)&gt;0),"",QUOTIENT($C11-1,Calc!$F$26)+1))</f>
        <v/>
      </c>
      <c r="C11" s="274">
        <v>3</v>
      </c>
      <c r="D11" s="154">
        <f>IF(Plan!$T9="","",Plan!$T9)</f>
        <v>45892</v>
      </c>
      <c r="E11" s="155">
        <f>IF(Plan!$U9="","",Plan!$U9)</f>
        <v>0.64583333333333337</v>
      </c>
      <c r="F11" s="175" t="str">
        <f>Plan!$Q9</f>
        <v>1. FC Heidenheim 1846</v>
      </c>
      <c r="G11" s="176" t="s">
        <v>4</v>
      </c>
      <c r="H11" s="175" t="str">
        <f>Plan!$S9</f>
        <v>VfL Wolfsburg</v>
      </c>
      <c r="I11" s="177">
        <v>1</v>
      </c>
      <c r="J11" s="178" t="str">
        <f>Language!$E$65</f>
        <v xml:space="preserve"> : </v>
      </c>
      <c r="K11" s="179">
        <v>3</v>
      </c>
      <c r="L11" s="383"/>
      <c r="M11" s="384"/>
      <c r="N11" s="412" t="s">
        <v>491</v>
      </c>
      <c r="O11" s="415" t="str">
        <f t="shared" ca="1" si="2"/>
        <v>¬</v>
      </c>
      <c r="P11" s="320">
        <f ca="1">IF(Calc!$K$24=0,"",IF(VLOOKUP(Calc!B6,Calc!$C$4:$E$23,3,0)=MAX(P$9:P10),VLOOKUP(Calc!B6,Calc!$C$4:$E$23,3,0),Calc!B6))</f>
        <v>3</v>
      </c>
      <c r="Q11" s="321" t="str">
        <f ca="1">IF(Calc!$K$24=0,Calc2!$C6,VLOOKUP(Calc!B6,Calc!$C$4:$N$23,4,0))</f>
        <v>RB Leipzig</v>
      </c>
      <c r="R11" s="322">
        <f ca="1">IF(Calc!$K$24=0,"",VLOOKUP(Calc!B6,Calc!$C$4:$N$23,9,0))</f>
        <v>34</v>
      </c>
      <c r="S11" s="323">
        <f ca="1">IF(Calc!$K$24=0,"",IF($R11=0,"",VLOOKUP(Calc!B6,Calc!$C$4:$N$23,10,0)))</f>
        <v>20</v>
      </c>
      <c r="T11" s="323">
        <f ca="1">IF(Calc!$K$24=0,"",IF($R11=0,"",VLOOKUP(Calc!B6,Calc!$C$4:$N$23,11,0)))</f>
        <v>5</v>
      </c>
      <c r="U11" s="324">
        <f ca="1">IF(Calc!$K$24=0,"",IF($R11=0,"",VLOOKUP(Calc!B6,Calc!$C$4:$N$23,12,0)))</f>
        <v>9</v>
      </c>
      <c r="V11" s="325">
        <f ca="1">IF(Calc!$K$24=0,"",IF($R11=0,"",VLOOKUP(Calc!B6,Calc!$C$4:$N$23,5,0)))</f>
        <v>66</v>
      </c>
      <c r="W11" s="326" t="str">
        <f>Language!$E$65</f>
        <v xml:space="preserve"> : </v>
      </c>
      <c r="X11" s="327">
        <f ca="1">IF(Calc!$K$24=0,"",IF($R11=0,"",VLOOKUP(Calc!B6,Calc!$C$4:$N$23,6,0)))</f>
        <v>47</v>
      </c>
      <c r="Y11" s="328">
        <f ca="1">IF(Calc!$K$24=0,"",IF($R11=0,"",VLOOKUP(Calc!B6,Calc!$C$4:$N$23,7,0)))</f>
        <v>19</v>
      </c>
      <c r="Z11" s="329">
        <f ca="1">IF(Calc!$K$24=0,"",IF($R11=0,"",VLOOKUP(Calc!B6,Calc!$C$4:$N$23,8,0)))</f>
        <v>65</v>
      </c>
      <c r="AA11" s="388" t="str">
        <f ca="1">IF(VLOOKUP(Calc!B6,Calc!$C$4:$O$23,13,0)=0,"",VLOOKUP(Calc!B6,Calc!$C$4:$O$23,13,0))</f>
        <v/>
      </c>
      <c r="AB11" s="423">
        <f ca="1">IFERROR(VLOOKUP(Q11,OFFSET(Calc_match_days!$W$4,($O$6-1)*27,,20,3),2,0),0)</f>
        <v>3</v>
      </c>
      <c r="AC11" s="375" t="str">
        <f ca="1">IF(IFERROR(VLOOKUP($Q11,Plan!$D$7:$E$26,2,0),0)=0,IF(LEN(Q11)&gt;Factors!$D$9,LEFT(Q11,Factors!$D$9)&amp;".",Q11),VLOOKUP($Q11,Plan!$D$7:$E$26,2,0))</f>
        <v>Leipzig</v>
      </c>
      <c r="AD11" s="419">
        <f ca="1">IFERROR(VLOOKUP(Q11,OFFSET(Calc_match_days!$W$4,($O$6-1)*27,,20,3),3,0),0)</f>
        <v>0</v>
      </c>
      <c r="AE11" s="419"/>
      <c r="AF11" s="217">
        <f t="shared" ca="1" si="0"/>
        <v>3</v>
      </c>
      <c r="AG11" s="218" t="str">
        <f t="shared" ca="1" si="1"/>
        <v>RB Leipzig</v>
      </c>
      <c r="AH11" s="164" t="str">
        <f ca="1">IFERROR(VLOOKUP($Q11&amp;AH$8,Calc2!$J$4:$L$763,3,0),"")</f>
        <v>0 : 6</v>
      </c>
      <c r="AI11" s="158" t="str">
        <f ca="1">IFERROR(VLOOKUP($Q11&amp;AI$8,Calc2!$J$4:$L$763,3,0),"")</f>
        <v>1 : 1</v>
      </c>
      <c r="AJ11" s="165"/>
      <c r="AK11" s="158" t="str">
        <f ca="1">IFERROR(VLOOKUP($Q11&amp;AK$8,Calc2!$J$4:$L$763,3,0),"")</f>
        <v>3 : 1</v>
      </c>
      <c r="AL11" s="158" t="str">
        <f ca="1">IFERROR(VLOOKUP($Q11&amp;AL$8,Calc2!$J$4:$L$763,3,0),"")</f>
        <v>1 : 3</v>
      </c>
      <c r="AM11" s="158" t="str">
        <f ca="1">IFERROR(VLOOKUP($Q11&amp;AM$8,Calc2!$J$4:$L$763,3,0),"")</f>
        <v>1 : 3</v>
      </c>
      <c r="AN11" s="158" t="str">
        <f ca="1">IFERROR(VLOOKUP($Q11&amp;AN$8,Calc2!$J$4:$L$763,3,0),"")</f>
        <v>2 : 0</v>
      </c>
      <c r="AO11" s="158" t="str">
        <f ca="1">IFERROR(VLOOKUP($Q11&amp;AO$8,Calc2!$J$4:$L$763,3,0),"")</f>
        <v>6 : 0</v>
      </c>
      <c r="AP11" s="158" t="str">
        <f ca="1">IFERROR(VLOOKUP($Q11&amp;AP$8,Calc2!$J$4:$L$763,3,0),"")</f>
        <v>6 : 0</v>
      </c>
      <c r="AQ11" s="158" t="str">
        <f ca="1">IFERROR(VLOOKUP($Q11&amp;AQ$8,Calc2!$J$4:$L$763,3,0),"")</f>
        <v>1 : 0</v>
      </c>
      <c r="AR11" s="158" t="str">
        <f ca="1">IFERROR(VLOOKUP($Q11&amp;AR$8,Calc2!$J$4:$L$763,3,0),"")</f>
        <v>1 : 3</v>
      </c>
      <c r="AS11" s="158" t="str">
        <f ca="1">IFERROR(VLOOKUP($Q11&amp;AS$8,Calc2!$J$4:$L$763,3,0),"")</f>
        <v>0 : 0</v>
      </c>
      <c r="AT11" s="158" t="str">
        <f ca="1">IFERROR(VLOOKUP($Q11&amp;AT$8,Calc2!$J$4:$L$763,3,0),"")</f>
        <v>2 : 1</v>
      </c>
      <c r="AU11" s="158" t="str">
        <f ca="1">IFERROR(VLOOKUP($Q11&amp;AU$8,Calc2!$J$4:$L$763,3,0),"")</f>
        <v>3 : 1</v>
      </c>
      <c r="AV11" s="158" t="str">
        <f ca="1">IFERROR(VLOOKUP($Q11&amp;AV$8,Calc2!$J$4:$L$763,3,0),"")</f>
        <v>2 : 0</v>
      </c>
      <c r="AW11" s="158" t="str">
        <f ca="1">IFERROR(VLOOKUP($Q11&amp;AW$8,Calc2!$J$4:$L$763,3,0),"")</f>
        <v>1 : 0</v>
      </c>
      <c r="AX11" s="158" t="str">
        <f ca="1">IFERROR(VLOOKUP($Q11&amp;AX$8,Calc2!$J$4:$L$763,3,0),"")</f>
        <v>2 : 0</v>
      </c>
      <c r="AY11" s="158" t="str">
        <f ca="1">IFERROR(VLOOKUP($Q11&amp;AY$8,Calc2!$J$4:$L$763,3,0),"")</f>
        <v>1 : 1</v>
      </c>
      <c r="AZ11" s="158" t="str">
        <f ca="1">IFERROR(VLOOKUP($Q11&amp;AZ$8,Calc2!$J$4:$L$763,3,0),"")</f>
        <v/>
      </c>
      <c r="BA11" s="166" t="str">
        <f ca="1">IFERROR(VLOOKUP($Q11&amp;BA$8,Calc2!$J$4:$L$763,3,0),"")</f>
        <v/>
      </c>
      <c r="BB11" s="213"/>
      <c r="BC11" s="426">
        <v>3</v>
      </c>
      <c r="BD11" s="426">
        <f t="array" aca="1" ref="BD11" ca="1">SUM((OFFSET($I$9,(BC11-1)*Calc!$F$26,0,Calc!$F$26)&lt;&gt;"")*(OFFSET($K$9,(BC11-1)*Calc!$F$26,0,Calc!$F$26)&lt;&gt;""))</f>
        <v>9</v>
      </c>
      <c r="BE11" s="426"/>
      <c r="BF11" s="426"/>
      <c r="BG11" s="426">
        <f t="shared" ca="1" si="3"/>
        <v>3</v>
      </c>
    </row>
    <row r="12" spans="1:59" ht="15.95" customHeight="1" x14ac:dyDescent="0.2">
      <c r="B12" s="278" t="str">
        <f>IF(Calc!$F$26=0,"",IF(OR($C12&gt;Calc!$B$24,MOD($C12-1,Calc!$F$26)&gt;0),"",QUOTIENT($C12-1,Calc!$F$26)+1))</f>
        <v/>
      </c>
      <c r="C12" s="274">
        <v>4</v>
      </c>
      <c r="D12" s="154">
        <f>IF(Plan!$T10="","",Plan!$T10)</f>
        <v>45892</v>
      </c>
      <c r="E12" s="155">
        <f>IF(Plan!$U10="","",Plan!$U10)</f>
        <v>0.64583333333333337</v>
      </c>
      <c r="F12" s="175" t="str">
        <f>Plan!$Q10</f>
        <v>SC Freiburg</v>
      </c>
      <c r="G12" s="176" t="s">
        <v>4</v>
      </c>
      <c r="H12" s="175" t="str">
        <f>Plan!$S10</f>
        <v>FC Augsburg</v>
      </c>
      <c r="I12" s="177">
        <v>1</v>
      </c>
      <c r="J12" s="178" t="str">
        <f>Language!$E$65</f>
        <v xml:space="preserve"> : </v>
      </c>
      <c r="K12" s="179">
        <v>3</v>
      </c>
      <c r="L12" s="383"/>
      <c r="M12" s="384"/>
      <c r="N12" s="412" t="s">
        <v>491</v>
      </c>
      <c r="O12" s="415" t="str">
        <f t="shared" ca="1" si="2"/>
        <v>¬</v>
      </c>
      <c r="P12" s="320">
        <f ca="1">IF(Calc!$K$24=0,"",IF(VLOOKUP(Calc!B7,Calc!$C$4:$E$23,3,0)=MAX(P$9:P11),VLOOKUP(Calc!B7,Calc!$C$4:$E$23,3,0),Calc!B7))</f>
        <v>4</v>
      </c>
      <c r="Q12" s="321" t="str">
        <f ca="1">IF(Calc!$K$24=0,Calc2!$C7,VLOOKUP(Calc!B7,Calc!$C$4:$N$23,4,0))</f>
        <v>VfB Stuttgart</v>
      </c>
      <c r="R12" s="322">
        <f ca="1">IF(Calc!$K$24=0,"",VLOOKUP(Calc!B7,Calc!$C$4:$N$23,9,0))</f>
        <v>34</v>
      </c>
      <c r="S12" s="323">
        <f ca="1">IF(Calc!$K$24=0,"",IF($R12=0,"",VLOOKUP(Calc!B7,Calc!$C$4:$N$23,10,0)))</f>
        <v>18</v>
      </c>
      <c r="T12" s="323">
        <f ca="1">IF(Calc!$K$24=0,"",IF($R12=0,"",VLOOKUP(Calc!B7,Calc!$C$4:$N$23,11,0)))</f>
        <v>8</v>
      </c>
      <c r="U12" s="324">
        <f ca="1">IF(Calc!$K$24=0,"",IF($R12=0,"",VLOOKUP(Calc!B7,Calc!$C$4:$N$23,12,0)))</f>
        <v>8</v>
      </c>
      <c r="V12" s="325">
        <f ca="1">IF(Calc!$K$24=0,"",IF($R12=0,"",VLOOKUP(Calc!B7,Calc!$C$4:$N$23,5,0)))</f>
        <v>71</v>
      </c>
      <c r="W12" s="326" t="str">
        <f>Language!$E$65</f>
        <v xml:space="preserve"> : </v>
      </c>
      <c r="X12" s="327">
        <f ca="1">IF(Calc!$K$24=0,"",IF($R12=0,"",VLOOKUP(Calc!B7,Calc!$C$4:$N$23,6,0)))</f>
        <v>49</v>
      </c>
      <c r="Y12" s="328">
        <f ca="1">IF(Calc!$K$24=0,"",IF($R12=0,"",VLOOKUP(Calc!B7,Calc!$C$4:$N$23,7,0)))</f>
        <v>22</v>
      </c>
      <c r="Z12" s="329">
        <f ca="1">IF(Calc!$K$24=0,"",IF($R12=0,"",VLOOKUP(Calc!B7,Calc!$C$4:$N$23,8,0)))</f>
        <v>62</v>
      </c>
      <c r="AA12" s="388" t="str">
        <f ca="1">IF(VLOOKUP(Calc!B7,Calc!$C$4:$O$23,13,0)=0,"",VLOOKUP(Calc!B7,Calc!$C$4:$O$23,13,0))</f>
        <v/>
      </c>
      <c r="AB12" s="423">
        <f ca="1">IFERROR(VLOOKUP(Q12,OFFSET(Calc_match_days!$W$4,($O$6-1)*27,,20,3),2,0),0)</f>
        <v>4</v>
      </c>
      <c r="AC12" s="375" t="str">
        <f ca="1">IF(IFERROR(VLOOKUP($Q12,Plan!$D$7:$E$26,2,0),0)=0,IF(LEN(Q12)&gt;Factors!$D$9,LEFT(Q12,Factors!$D$9)&amp;".",Q12),VLOOKUP($Q12,Plan!$D$7:$E$26,2,0))</f>
        <v>Stuttgart</v>
      </c>
      <c r="AD12" s="419">
        <f ca="1">IFERROR(VLOOKUP(Q12,OFFSET(Calc_match_days!$W$4,($O$6-1)*27,,20,3),3,0),0)</f>
        <v>0</v>
      </c>
      <c r="AE12" s="419"/>
      <c r="AF12" s="217">
        <f t="shared" ca="1" si="0"/>
        <v>4</v>
      </c>
      <c r="AG12" s="218" t="str">
        <f t="shared" ca="1" si="1"/>
        <v>VfB Stuttgart</v>
      </c>
      <c r="AH12" s="164" t="str">
        <f ca="1">IFERROR(VLOOKUP($Q12&amp;AH$8,Calc2!$J$4:$L$763,3,0),"")</f>
        <v>0 : 5</v>
      </c>
      <c r="AI12" s="158" t="str">
        <f ca="1">IFERROR(VLOOKUP($Q12&amp;AI$8,Calc2!$J$4:$L$763,3,0),"")</f>
        <v>3 : 3</v>
      </c>
      <c r="AJ12" s="158" t="str">
        <f ca="1">IFERROR(VLOOKUP($Q12&amp;AJ$8,Calc2!$J$4:$L$763,3,0),"")</f>
        <v>1 : 3</v>
      </c>
      <c r="AK12" s="165"/>
      <c r="AL12" s="158" t="str">
        <f ca="1">IFERROR(VLOOKUP($Q12&amp;AL$8,Calc2!$J$4:$L$763,3,0),"")</f>
        <v>0 : 0</v>
      </c>
      <c r="AM12" s="158" t="str">
        <f ca="1">IFERROR(VLOOKUP($Q12&amp;AM$8,Calc2!$J$4:$L$763,3,0),"")</f>
        <v>4 : 1</v>
      </c>
      <c r="AN12" s="158" t="str">
        <f ca="1">IFERROR(VLOOKUP($Q12&amp;AN$8,Calc2!$J$4:$L$763,3,0),"")</f>
        <v>1 : 3</v>
      </c>
      <c r="AO12" s="158" t="str">
        <f ca="1">IFERROR(VLOOKUP($Q12&amp;AO$8,Calc2!$J$4:$L$763,3,0),"")</f>
        <v>3 : 2</v>
      </c>
      <c r="AP12" s="158" t="str">
        <f ca="1">IFERROR(VLOOKUP($Q12&amp;AP$8,Calc2!$J$4:$L$763,3,0),"")</f>
        <v>3 : 2</v>
      </c>
      <c r="AQ12" s="158" t="str">
        <f ca="1">IFERROR(VLOOKUP($Q12&amp;AQ$8,Calc2!$J$4:$L$763,3,0),"")</f>
        <v>2 : 1</v>
      </c>
      <c r="AR12" s="158" t="str">
        <f ca="1">IFERROR(VLOOKUP($Q12&amp;AR$8,Calc2!$J$4:$L$763,3,0),"")</f>
        <v>1 : 2</v>
      </c>
      <c r="AS12" s="158" t="str">
        <f ca="1">IFERROR(VLOOKUP($Q12&amp;AS$8,Calc2!$J$4:$L$763,3,0),"")</f>
        <v>1 : 0</v>
      </c>
      <c r="AT12" s="158" t="str">
        <f ca="1">IFERROR(VLOOKUP($Q12&amp;AT$8,Calc2!$J$4:$L$763,3,0),"")</f>
        <v>1 : 2</v>
      </c>
      <c r="AU12" s="158" t="str">
        <f ca="1">IFERROR(VLOOKUP($Q12&amp;AU$8,Calc2!$J$4:$L$763,3,0),"")</f>
        <v>2 : 1</v>
      </c>
      <c r="AV12" s="158" t="str">
        <f ca="1">IFERROR(VLOOKUP($Q12&amp;AV$8,Calc2!$J$4:$L$763,3,0),"")</f>
        <v>4 : 0</v>
      </c>
      <c r="AW12" s="158" t="str">
        <f ca="1">IFERROR(VLOOKUP($Q12&amp;AW$8,Calc2!$J$4:$L$763,3,0),"")</f>
        <v>3 : 0</v>
      </c>
      <c r="AX12" s="158" t="str">
        <f ca="1">IFERROR(VLOOKUP($Q12&amp;AX$8,Calc2!$J$4:$L$763,3,0),"")</f>
        <v>1 : 0</v>
      </c>
      <c r="AY12" s="158" t="str">
        <f ca="1">IFERROR(VLOOKUP($Q12&amp;AY$8,Calc2!$J$4:$L$763,3,0),"")</f>
        <v>2 : 0</v>
      </c>
      <c r="AZ12" s="158" t="str">
        <f ca="1">IFERROR(VLOOKUP($Q12&amp;AZ$8,Calc2!$J$4:$L$763,3,0),"")</f>
        <v/>
      </c>
      <c r="BA12" s="166" t="str">
        <f ca="1">IFERROR(VLOOKUP($Q12&amp;BA$8,Calc2!$J$4:$L$763,3,0),"")</f>
        <v/>
      </c>
      <c r="BB12" s="213"/>
      <c r="BC12" s="426">
        <v>4</v>
      </c>
      <c r="BD12" s="426">
        <f t="array" aca="1" ref="BD12" ca="1">SUM((OFFSET($I$9,(BC12-1)*Calc!$F$26,0,Calc!$F$26)&lt;&gt;"")*(OFFSET($K$9,(BC12-1)*Calc!$F$26,0,Calc!$F$26)&lt;&gt;""))</f>
        <v>9</v>
      </c>
      <c r="BE12" s="426"/>
      <c r="BF12" s="426"/>
      <c r="BG12" s="426">
        <f t="shared" ca="1" si="3"/>
        <v>4</v>
      </c>
    </row>
    <row r="13" spans="1:59" ht="15.95" customHeight="1" x14ac:dyDescent="0.2">
      <c r="B13" s="278" t="str">
        <f>IF(Calc!$F$26=0,"",IF(OR($C13&gt;Calc!$B$24,MOD($C13-1,Calc!$F$26)&gt;0),"",QUOTIENT($C13-1,Calc!$F$26)+1))</f>
        <v/>
      </c>
      <c r="C13" s="274">
        <v>5</v>
      </c>
      <c r="D13" s="154">
        <f>IF(Plan!$T11="","",Plan!$T11)</f>
        <v>45892</v>
      </c>
      <c r="E13" s="155">
        <f>IF(Plan!$U11="","",Plan!$U11)</f>
        <v>0.64583333333333337</v>
      </c>
      <c r="F13" s="175" t="str">
        <f>Plan!$Q11</f>
        <v>Bayer 04 Leverkusen</v>
      </c>
      <c r="G13" s="176" t="s">
        <v>4</v>
      </c>
      <c r="H13" s="175" t="str">
        <f>Plan!$S11</f>
        <v>TSG Hoffenheim</v>
      </c>
      <c r="I13" s="177">
        <v>1</v>
      </c>
      <c r="J13" s="178" t="str">
        <f>Language!$E$65</f>
        <v xml:space="preserve"> : </v>
      </c>
      <c r="K13" s="179">
        <v>2</v>
      </c>
      <c r="L13" s="383"/>
      <c r="M13" s="384"/>
      <c r="N13" s="412" t="s">
        <v>492</v>
      </c>
      <c r="O13" s="415" t="str">
        <f t="shared" ca="1" si="2"/>
        <v>¬</v>
      </c>
      <c r="P13" s="310">
        <f ca="1">IF(Calc!$K$24=0,"",IF(VLOOKUP(Calc!B8,Calc!$C$4:$E$23,3,0)=MAX(P$9:P12),VLOOKUP(Calc!B8,Calc!$C$4:$E$23,3,0),Calc!B8))</f>
        <v>5</v>
      </c>
      <c r="Q13" s="311" t="str">
        <f ca="1">IF(Calc!$K$24=0,Calc2!$C8,VLOOKUP(Calc!B8,Calc!$C$4:$N$23,4,0))</f>
        <v>TSG Hoffenheim</v>
      </c>
      <c r="R13" s="312">
        <f ca="1">IF(Calc!$K$24=0,"",VLOOKUP(Calc!B8,Calc!$C$4:$N$23,9,0))</f>
        <v>34</v>
      </c>
      <c r="S13" s="313">
        <f ca="1">IF(Calc!$K$24=0,"",IF($R13=0,"",VLOOKUP(Calc!B8,Calc!$C$4:$N$23,10,0)))</f>
        <v>18</v>
      </c>
      <c r="T13" s="313">
        <f ca="1">IF(Calc!$K$24=0,"",IF($R13=0,"",VLOOKUP(Calc!B8,Calc!$C$4:$N$23,11,0)))</f>
        <v>7</v>
      </c>
      <c r="U13" s="314">
        <f ca="1">IF(Calc!$K$24=0,"",IF($R13=0,"",VLOOKUP(Calc!B8,Calc!$C$4:$N$23,12,0)))</f>
        <v>9</v>
      </c>
      <c r="V13" s="315">
        <f ca="1">IF(Calc!$K$24=0,"",IF($R13=0,"",VLOOKUP(Calc!B8,Calc!$C$4:$N$23,5,0)))</f>
        <v>65</v>
      </c>
      <c r="W13" s="316" t="str">
        <f>Language!$E$65</f>
        <v xml:space="preserve"> : </v>
      </c>
      <c r="X13" s="317">
        <f ca="1">IF(Calc!$K$24=0,"",IF($R13=0,"",VLOOKUP(Calc!B8,Calc!$C$4:$N$23,6,0)))</f>
        <v>52</v>
      </c>
      <c r="Y13" s="318">
        <f ca="1">IF(Calc!$K$24=0,"",IF($R13=0,"",VLOOKUP(Calc!B8,Calc!$C$4:$N$23,7,0)))</f>
        <v>13</v>
      </c>
      <c r="Z13" s="319">
        <f ca="1">IF(Calc!$K$24=0,"",IF($R13=0,"",VLOOKUP(Calc!B8,Calc!$C$4:$N$23,8,0)))</f>
        <v>61</v>
      </c>
      <c r="AA13" s="388" t="str">
        <f ca="1">IF(VLOOKUP(Calc!B8,Calc!$C$4:$O$23,13,0)=0,"",VLOOKUP(Calc!B8,Calc!$C$4:$O$23,13,0))</f>
        <v/>
      </c>
      <c r="AB13" s="423">
        <f ca="1">IFERROR(VLOOKUP(Q13,OFFSET(Calc_match_days!$W$4,($O$6-1)*27,,20,3),2,0),0)</f>
        <v>5</v>
      </c>
      <c r="AC13" s="375" t="str">
        <f ca="1">IF(IFERROR(VLOOKUP($Q13,Plan!$D$7:$E$26,2,0),0)=0,IF(LEN(Q13)&gt;Factors!$D$9,LEFT(Q13,Factors!$D$9)&amp;".",Q13),VLOOKUP($Q13,Plan!$D$7:$E$26,2,0))</f>
        <v>Hoffenhei</v>
      </c>
      <c r="AD13" s="419">
        <f ca="1">IFERROR(VLOOKUP(Q13,OFFSET(Calc_match_days!$W$4,($O$6-1)*27,,20,3),3,0),0)</f>
        <v>0</v>
      </c>
      <c r="AE13" s="419"/>
      <c r="AF13" s="217">
        <f t="shared" ca="1" si="0"/>
        <v>5</v>
      </c>
      <c r="AG13" s="218" t="str">
        <f t="shared" ca="1" si="1"/>
        <v>TSG Hoffenheim</v>
      </c>
      <c r="AH13" s="164" t="str">
        <f ca="1">IFERROR(VLOOKUP($Q13&amp;AH$8,Calc2!$J$4:$L$763,3,0),"")</f>
        <v>1 : 4</v>
      </c>
      <c r="AI13" s="158" t="str">
        <f ca="1">IFERROR(VLOOKUP($Q13&amp;AI$8,Calc2!$J$4:$L$763,3,0),"")</f>
        <v>0 : 2</v>
      </c>
      <c r="AJ13" s="158" t="str">
        <f ca="1">IFERROR(VLOOKUP($Q13&amp;AJ$8,Calc2!$J$4:$L$763,3,0),"")</f>
        <v>3 : 1</v>
      </c>
      <c r="AK13" s="158" t="str">
        <f ca="1">IFERROR(VLOOKUP($Q13&amp;AK$8,Calc2!$J$4:$L$763,3,0),"")</f>
        <v>0 : 0</v>
      </c>
      <c r="AL13" s="165"/>
      <c r="AM13" s="158" t="str">
        <f ca="1">IFERROR(VLOOKUP($Q13&amp;AM$8,Calc2!$J$4:$L$763,3,0),"")</f>
        <v>2 : 1</v>
      </c>
      <c r="AN13" s="158" t="str">
        <f ca="1">IFERROR(VLOOKUP($Q13&amp;AN$8,Calc2!$J$4:$L$763,3,0),"")</f>
        <v>1 : 1</v>
      </c>
      <c r="AO13" s="158" t="str">
        <f ca="1">IFERROR(VLOOKUP($Q13&amp;AO$8,Calc2!$J$4:$L$763,3,0),"")</f>
        <v>1 : 3</v>
      </c>
      <c r="AP13" s="158" t="str">
        <f ca="1">IFERROR(VLOOKUP($Q13&amp;AP$8,Calc2!$J$4:$L$763,3,0),"")</f>
        <v>3 : 0</v>
      </c>
      <c r="AQ13" s="158" t="str">
        <f ca="1">IFERROR(VLOOKUP($Q13&amp;AQ$8,Calc2!$J$4:$L$763,3,0),"")</f>
        <v>1 : 1</v>
      </c>
      <c r="AR13" s="158" t="str">
        <f ca="1">IFERROR(VLOOKUP($Q13&amp;AR$8,Calc2!$J$4:$L$763,3,0),"")</f>
        <v>4 : 2</v>
      </c>
      <c r="AS13" s="158" t="str">
        <f ca="1">IFERROR(VLOOKUP($Q13&amp;AS$8,Calc2!$J$4:$L$763,3,0),"")</f>
        <v>5 : 1</v>
      </c>
      <c r="AT13" s="158" t="str">
        <f ca="1">IFERROR(VLOOKUP($Q13&amp;AT$8,Calc2!$J$4:$L$763,3,0),"")</f>
        <v>4 : 1</v>
      </c>
      <c r="AU13" s="158" t="str">
        <f ca="1">IFERROR(VLOOKUP($Q13&amp;AU$8,Calc2!$J$4:$L$763,3,0),"")</f>
        <v>0 : 1</v>
      </c>
      <c r="AV13" s="158" t="str">
        <f ca="1">IFERROR(VLOOKUP($Q13&amp;AV$8,Calc2!$J$4:$L$763,3,0),"")</f>
        <v>2 : 0</v>
      </c>
      <c r="AW13" s="158" t="str">
        <f ca="1">IFERROR(VLOOKUP($Q13&amp;AW$8,Calc2!$J$4:$L$763,3,0),"")</f>
        <v>3 : 2</v>
      </c>
      <c r="AX13" s="158" t="str">
        <f ca="1">IFERROR(VLOOKUP($Q13&amp;AX$8,Calc2!$J$4:$L$763,3,0),"")</f>
        <v>3 : 1</v>
      </c>
      <c r="AY13" s="158" t="str">
        <f ca="1">IFERROR(VLOOKUP($Q13&amp;AY$8,Calc2!$J$4:$L$763,3,0),"")</f>
        <v>3 : 0</v>
      </c>
      <c r="AZ13" s="158" t="str">
        <f ca="1">IFERROR(VLOOKUP($Q13&amp;AZ$8,Calc2!$J$4:$L$763,3,0),"")</f>
        <v/>
      </c>
      <c r="BA13" s="166" t="str">
        <f ca="1">IFERROR(VLOOKUP($Q13&amp;BA$8,Calc2!$J$4:$L$763,3,0),"")</f>
        <v/>
      </c>
      <c r="BB13" s="213"/>
      <c r="BC13" s="426">
        <v>5</v>
      </c>
      <c r="BD13" s="426">
        <f t="array" aca="1" ref="BD13" ca="1">SUM((OFFSET($I$9,(BC13-1)*Calc!$F$26,0,Calc!$F$26)&lt;&gt;"")*(OFFSET($K$9,(BC13-1)*Calc!$F$26,0,Calc!$F$26)&lt;&gt;""))</f>
        <v>9</v>
      </c>
      <c r="BE13" s="426"/>
      <c r="BF13" s="426"/>
      <c r="BG13" s="426">
        <f t="shared" ca="1" si="3"/>
        <v>5</v>
      </c>
    </row>
    <row r="14" spans="1:59" ht="15.95" customHeight="1" x14ac:dyDescent="0.2">
      <c r="B14" s="278" t="str">
        <f>IF(Calc!$F$26=0,"",IF(OR($C14&gt;Calc!$B$24,MOD($C14-1,Calc!$F$26)&gt;0),"",QUOTIENT($C14-1,Calc!$F$26)+1))</f>
        <v/>
      </c>
      <c r="C14" s="274">
        <v>6</v>
      </c>
      <c r="D14" s="154">
        <f>IF(Plan!$T12="","",Plan!$T12)</f>
        <v>45892</v>
      </c>
      <c r="E14" s="155">
        <f>IF(Plan!$U12="","",Plan!$U12)</f>
        <v>0.64583333333333337</v>
      </c>
      <c r="F14" s="175" t="str">
        <f>Plan!$Q12</f>
        <v>Eintracht Frankfurt</v>
      </c>
      <c r="G14" s="176" t="s">
        <v>4</v>
      </c>
      <c r="H14" s="175" t="str">
        <f>Plan!$S12</f>
        <v>SV Werder Bremen</v>
      </c>
      <c r="I14" s="177">
        <v>4</v>
      </c>
      <c r="J14" s="178" t="str">
        <f>Language!$E$65</f>
        <v xml:space="preserve"> : </v>
      </c>
      <c r="K14" s="179">
        <v>1</v>
      </c>
      <c r="L14" s="383"/>
      <c r="M14" s="384"/>
      <c r="N14" s="412" t="s">
        <v>493</v>
      </c>
      <c r="O14" s="415" t="str">
        <f t="shared" ca="1" si="2"/>
        <v>¬</v>
      </c>
      <c r="P14" s="340">
        <f ca="1">IF(Calc!$K$24=0,"",IF(VLOOKUP(Calc!B9,Calc!$C$4:$E$23,3,0)=MAX(P$9:P13),VLOOKUP(Calc!B9,Calc!$C$4:$E$23,3,0),Calc!B9))</f>
        <v>6</v>
      </c>
      <c r="Q14" s="341" t="str">
        <f ca="1">IF(Calc!$K$24=0,Calc2!$C9,VLOOKUP(Calc!B9,Calc!$C$4:$N$23,4,0))</f>
        <v>Bayer 04 Leverkusen</v>
      </c>
      <c r="R14" s="342">
        <f ca="1">IF(Calc!$K$24=0,"",VLOOKUP(Calc!B9,Calc!$C$4:$N$23,9,0))</f>
        <v>34</v>
      </c>
      <c r="S14" s="343">
        <f ca="1">IF(Calc!$K$24=0,"",IF($R14=0,"",VLOOKUP(Calc!B9,Calc!$C$4:$N$23,10,0)))</f>
        <v>17</v>
      </c>
      <c r="T14" s="343">
        <f ca="1">IF(Calc!$K$24=0,"",IF($R14=0,"",VLOOKUP(Calc!B9,Calc!$C$4:$N$23,11,0)))</f>
        <v>8</v>
      </c>
      <c r="U14" s="344">
        <f ca="1">IF(Calc!$K$24=0,"",IF($R14=0,"",VLOOKUP(Calc!B9,Calc!$C$4:$N$23,12,0)))</f>
        <v>9</v>
      </c>
      <c r="V14" s="345">
        <f ca="1">IF(Calc!$K$24=0,"",IF($R14=0,"",VLOOKUP(Calc!B9,Calc!$C$4:$N$23,5,0)))</f>
        <v>68</v>
      </c>
      <c r="W14" s="346" t="str">
        <f>Language!$E$65</f>
        <v xml:space="preserve"> : </v>
      </c>
      <c r="X14" s="347">
        <f ca="1">IF(Calc!$K$24=0,"",IF($R14=0,"",VLOOKUP(Calc!B9,Calc!$C$4:$N$23,6,0)))</f>
        <v>47</v>
      </c>
      <c r="Y14" s="348">
        <f ca="1">IF(Calc!$K$24=0,"",IF($R14=0,"",VLOOKUP(Calc!B9,Calc!$C$4:$N$23,7,0)))</f>
        <v>21</v>
      </c>
      <c r="Z14" s="349">
        <f ca="1">IF(Calc!$K$24=0,"",IF($R14=0,"",VLOOKUP(Calc!B9,Calc!$C$4:$N$23,8,0)))</f>
        <v>59</v>
      </c>
      <c r="AA14" s="388" t="str">
        <f ca="1">IF(VLOOKUP(Calc!B9,Calc!$C$4:$O$23,13,0)=0,"",VLOOKUP(Calc!B9,Calc!$C$4:$O$23,13,0))</f>
        <v/>
      </c>
      <c r="AB14" s="423">
        <f ca="1">IFERROR(VLOOKUP(Q14,OFFSET(Calc_match_days!$W$4,($O$6-1)*27,,20,3),2,0),0)</f>
        <v>6</v>
      </c>
      <c r="AC14" s="375" t="str">
        <f ca="1">IF(IFERROR(VLOOKUP($Q14,Plan!$D$7:$E$26,2,0),0)=0,IF(LEN(Q14)&gt;Factors!$D$9,LEFT(Q14,Factors!$D$9)&amp;".",Q14),VLOOKUP($Q14,Plan!$D$7:$E$26,2,0))</f>
        <v>Leverkuse</v>
      </c>
      <c r="AD14" s="419">
        <f ca="1">IFERROR(VLOOKUP(Q14,OFFSET(Calc_match_days!$W$4,($O$6-1)*27,,20,3),3,0),0)</f>
        <v>0</v>
      </c>
      <c r="AE14" s="419"/>
      <c r="AF14" s="217">
        <f t="shared" ca="1" si="0"/>
        <v>6</v>
      </c>
      <c r="AG14" s="218" t="str">
        <f t="shared" ca="1" si="1"/>
        <v>Bayer 04 Leverkusen</v>
      </c>
      <c r="AH14" s="164" t="str">
        <f ca="1">IFERROR(VLOOKUP($Q14&amp;AH$8,Calc2!$J$4:$L$763,3,0),"")</f>
        <v>0 : 3</v>
      </c>
      <c r="AI14" s="158" t="str">
        <f ca="1">IFERROR(VLOOKUP($Q14&amp;AI$8,Calc2!$J$4:$L$763,3,0),"")</f>
        <v>1 : 2</v>
      </c>
      <c r="AJ14" s="158" t="str">
        <f ca="1">IFERROR(VLOOKUP($Q14&amp;AJ$8,Calc2!$J$4:$L$763,3,0),"")</f>
        <v>3 : 1</v>
      </c>
      <c r="AK14" s="158" t="str">
        <f ca="1">IFERROR(VLOOKUP($Q14&amp;AK$8,Calc2!$J$4:$L$763,3,0),"")</f>
        <v>1 : 4</v>
      </c>
      <c r="AL14" s="158" t="str">
        <f ca="1">IFERROR(VLOOKUP($Q14&amp;AL$8,Calc2!$J$4:$L$763,3,0),"")</f>
        <v>1 : 2</v>
      </c>
      <c r="AM14" s="165"/>
      <c r="AN14" s="158" t="str">
        <f ca="1">IFERROR(VLOOKUP($Q14&amp;AN$8,Calc2!$J$4:$L$763,3,0),"")</f>
        <v>2 : 0</v>
      </c>
      <c r="AO14" s="158" t="str">
        <f ca="1">IFERROR(VLOOKUP($Q14&amp;AO$8,Calc2!$J$4:$L$763,3,0),"")</f>
        <v>3 : 1</v>
      </c>
      <c r="AP14" s="158" t="str">
        <f ca="1">IFERROR(VLOOKUP($Q14&amp;AP$8,Calc2!$J$4:$L$763,3,0),"")</f>
        <v>0 : 2</v>
      </c>
      <c r="AQ14" s="158" t="str">
        <f ca="1">IFERROR(VLOOKUP($Q14&amp;AQ$8,Calc2!$J$4:$L$763,3,0),"")</f>
        <v>4 : 3</v>
      </c>
      <c r="AR14" s="158" t="str">
        <f ca="1">IFERROR(VLOOKUP($Q14&amp;AR$8,Calc2!$J$4:$L$763,3,0),"")</f>
        <v>2 : 0</v>
      </c>
      <c r="AS14" s="158" t="str">
        <f ca="1">IFERROR(VLOOKUP($Q14&amp;AS$8,Calc2!$J$4:$L$763,3,0),"")</f>
        <v>1 : 1</v>
      </c>
      <c r="AT14" s="158" t="str">
        <f ca="1">IFERROR(VLOOKUP($Q14&amp;AT$8,Calc2!$J$4:$L$763,3,0),"")</f>
        <v>1 : 0</v>
      </c>
      <c r="AU14" s="158" t="str">
        <f ca="1">IFERROR(VLOOKUP($Q14&amp;AU$8,Calc2!$J$4:$L$763,3,0),"")</f>
        <v>2 : 0</v>
      </c>
      <c r="AV14" s="158" t="str">
        <f ca="1">IFERROR(VLOOKUP($Q14&amp;AV$8,Calc2!$J$4:$L$763,3,0),"")</f>
        <v>3 : 3</v>
      </c>
      <c r="AW14" s="158" t="str">
        <f ca="1">IFERROR(VLOOKUP($Q14&amp;AW$8,Calc2!$J$4:$L$763,3,0),"")</f>
        <v>3 : 1</v>
      </c>
      <c r="AX14" s="158" t="str">
        <f ca="1">IFERROR(VLOOKUP($Q14&amp;AX$8,Calc2!$J$4:$L$763,3,0),"")</f>
        <v>6 : 0</v>
      </c>
      <c r="AY14" s="158" t="str">
        <f ca="1">IFERROR(VLOOKUP($Q14&amp;AY$8,Calc2!$J$4:$L$763,3,0),"")</f>
        <v>2 : 1</v>
      </c>
      <c r="AZ14" s="158" t="str">
        <f ca="1">IFERROR(VLOOKUP($Q14&amp;AZ$8,Calc2!$J$4:$L$763,3,0),"")</f>
        <v/>
      </c>
      <c r="BA14" s="166" t="str">
        <f ca="1">IFERROR(VLOOKUP($Q14&amp;BA$8,Calc2!$J$4:$L$763,3,0),"")</f>
        <v/>
      </c>
      <c r="BB14" s="213"/>
      <c r="BC14" s="426">
        <v>6</v>
      </c>
      <c r="BD14" s="426">
        <f t="array" aca="1" ref="BD14" ca="1">SUM((OFFSET($I$9,(BC14-1)*Calc!$F$26,0,Calc!$F$26)&lt;&gt;"")*(OFFSET($K$9,(BC14-1)*Calc!$F$26,0,Calc!$F$26)&lt;&gt;""))</f>
        <v>9</v>
      </c>
      <c r="BE14" s="426"/>
      <c r="BF14" s="426"/>
      <c r="BG14" s="426">
        <f t="shared" ca="1" si="3"/>
        <v>6</v>
      </c>
    </row>
    <row r="15" spans="1:59" ht="15.95" customHeight="1" x14ac:dyDescent="0.2">
      <c r="B15" s="278" t="str">
        <f>IF(Calc!$F$26=0,"",IF(OR($C15&gt;Calc!$B$24,MOD($C15-1,Calc!$F$26)&gt;0),"",QUOTIENT($C15-1,Calc!$F$26)+1))</f>
        <v/>
      </c>
      <c r="C15" s="274">
        <v>7</v>
      </c>
      <c r="D15" s="154">
        <f>IF(Plan!$T13="","",Plan!$T13)</f>
        <v>45892</v>
      </c>
      <c r="E15" s="155">
        <f>IF(Plan!$U13="","",Plan!$U13)</f>
        <v>0.77083333333333337</v>
      </c>
      <c r="F15" s="175" t="str">
        <f>Plan!$Q13</f>
        <v>FC St. Pauli</v>
      </c>
      <c r="G15" s="176" t="s">
        <v>4</v>
      </c>
      <c r="H15" s="175" t="str">
        <f>Plan!$S13</f>
        <v>Borussia Dortmund</v>
      </c>
      <c r="I15" s="177">
        <v>3</v>
      </c>
      <c r="J15" s="178" t="str">
        <f>Language!$E$65</f>
        <v xml:space="preserve"> : </v>
      </c>
      <c r="K15" s="179">
        <v>3</v>
      </c>
      <c r="L15" s="383"/>
      <c r="M15" s="384"/>
      <c r="N15" s="412"/>
      <c r="O15" s="415" t="str">
        <f t="shared" ca="1" si="2"/>
        <v>¬</v>
      </c>
      <c r="P15" s="221">
        <f ca="1">IF(Calc!$K$24=0,"",IF(VLOOKUP(Calc!B10,Calc!$C$4:$E$23,3,0)=MAX(P$9:P14),VLOOKUP(Calc!B10,Calc!$C$4:$E$23,3,0),Calc!B10))</f>
        <v>7</v>
      </c>
      <c r="Q15" s="218" t="str">
        <f ca="1">IF(Calc!$K$24=0,Calc2!$C10,VLOOKUP(Calc!B10,Calc!$C$4:$N$23,4,0))</f>
        <v>SC Freiburg</v>
      </c>
      <c r="R15" s="164">
        <f ca="1">IF(Calc!$K$24=0,"",VLOOKUP(Calc!B10,Calc!$C$4:$N$23,9,0))</f>
        <v>34</v>
      </c>
      <c r="S15" s="158">
        <f ca="1">IF(Calc!$K$24=0,"",IF($R15=0,"",VLOOKUP(Calc!B10,Calc!$C$4:$N$23,10,0)))</f>
        <v>13</v>
      </c>
      <c r="T15" s="158">
        <f ca="1">IF(Calc!$K$24=0,"",IF($R15=0,"",VLOOKUP(Calc!B10,Calc!$C$4:$N$23,11,0)))</f>
        <v>8</v>
      </c>
      <c r="U15" s="159">
        <f ca="1">IF(Calc!$K$24=0,"",IF($R15=0,"",VLOOKUP(Calc!B10,Calc!$C$4:$N$23,12,0)))</f>
        <v>13</v>
      </c>
      <c r="V15" s="160">
        <f ca="1">IF(Calc!$K$24=0,"",IF($R15=0,"",VLOOKUP(Calc!B10,Calc!$C$4:$N$23,5,0)))</f>
        <v>51</v>
      </c>
      <c r="W15" s="161" t="str">
        <f>Language!$E$65</f>
        <v xml:space="preserve"> : </v>
      </c>
      <c r="X15" s="162">
        <f ca="1">IF(Calc!$K$24=0,"",IF($R15=0,"",VLOOKUP(Calc!B10,Calc!$C$4:$N$23,6,0)))</f>
        <v>57</v>
      </c>
      <c r="Y15" s="294">
        <f ca="1">IF(Calc!$K$24=0,"",IF($R15=0,"",VLOOKUP(Calc!B10,Calc!$C$4:$N$23,7,0)))</f>
        <v>-6</v>
      </c>
      <c r="Z15" s="163">
        <f ca="1">IF(Calc!$K$24=0,"",IF($R15=0,"",VLOOKUP(Calc!B10,Calc!$C$4:$N$23,8,0)))</f>
        <v>47</v>
      </c>
      <c r="AA15" s="388" t="str">
        <f ca="1">IF(VLOOKUP(Calc!B10,Calc!$C$4:$O$23,13,0)=0,"",VLOOKUP(Calc!B10,Calc!$C$4:$O$23,13,0))</f>
        <v/>
      </c>
      <c r="AB15" s="423">
        <f ca="1">IFERROR(VLOOKUP(Q15,OFFSET(Calc_match_days!$W$4,($O$6-1)*27,,20,3),2,0),0)</f>
        <v>7</v>
      </c>
      <c r="AC15" s="375" t="str">
        <f ca="1">IF(IFERROR(VLOOKUP($Q15,Plan!$D$7:$E$26,2,0),0)=0,IF(LEN(Q15)&gt;Factors!$D$9,LEFT(Q15,Factors!$D$9)&amp;".",Q15),VLOOKUP($Q15,Plan!$D$7:$E$26,2,0))</f>
        <v>Freiburg</v>
      </c>
      <c r="AD15" s="419">
        <f ca="1">IFERROR(VLOOKUP(Q15,OFFSET(Calc_match_days!$W$4,($O$6-1)*27,,20,3),3,0),0)</f>
        <v>0</v>
      </c>
      <c r="AE15" s="419"/>
      <c r="AF15" s="217">
        <f t="shared" ca="1" si="0"/>
        <v>7</v>
      </c>
      <c r="AG15" s="218" t="str">
        <f t="shared" ca="1" si="1"/>
        <v>SC Freiburg</v>
      </c>
      <c r="AH15" s="164" t="str">
        <f ca="1">IFERROR(VLOOKUP($Q15&amp;AH$8,Calc2!$J$4:$L$763,3,0),"")</f>
        <v>2 : 6</v>
      </c>
      <c r="AI15" s="158" t="str">
        <f ca="1">IFERROR(VLOOKUP($Q15&amp;AI$8,Calc2!$J$4:$L$763,3,0),"")</f>
        <v>1 : 1</v>
      </c>
      <c r="AJ15" s="158" t="str">
        <f ca="1">IFERROR(VLOOKUP($Q15&amp;AJ$8,Calc2!$J$4:$L$763,3,0),"")</f>
        <v>0 : 2</v>
      </c>
      <c r="AK15" s="158" t="str">
        <f ca="1">IFERROR(VLOOKUP($Q15&amp;AK$8,Calc2!$J$4:$L$763,3,0),"")</f>
        <v>3 : 1</v>
      </c>
      <c r="AL15" s="158" t="str">
        <f ca="1">IFERROR(VLOOKUP($Q15&amp;AL$8,Calc2!$J$4:$L$763,3,0),"")</f>
        <v>1 : 1</v>
      </c>
      <c r="AM15" s="158" t="str">
        <f ca="1">IFERROR(VLOOKUP($Q15&amp;AM$8,Calc2!$J$4:$L$763,3,0),"")</f>
        <v>0 : 2</v>
      </c>
      <c r="AN15" s="165"/>
      <c r="AO15" s="158" t="str">
        <f ca="1">IFERROR(VLOOKUP($Q15&amp;AO$8,Calc2!$J$4:$L$763,3,0),"")</f>
        <v>2 : 2</v>
      </c>
      <c r="AP15" s="158" t="str">
        <f ca="1">IFERROR(VLOOKUP($Q15&amp;AP$8,Calc2!$J$4:$L$763,3,0),"")</f>
        <v>1 : 3</v>
      </c>
      <c r="AQ15" s="158" t="str">
        <f ca="1">IFERROR(VLOOKUP($Q15&amp;AQ$8,Calc2!$J$4:$L$763,3,0),"")</f>
        <v>4 : 0</v>
      </c>
      <c r="AR15" s="158" t="str">
        <f ca="1">IFERROR(VLOOKUP($Q15&amp;AR$8,Calc2!$J$4:$L$763,3,0),"")</f>
        <v>0 : 0</v>
      </c>
      <c r="AS15" s="158" t="str">
        <f ca="1">IFERROR(VLOOKUP($Q15&amp;AS$8,Calc2!$J$4:$L$763,3,0),"")</f>
        <v>0 : 0</v>
      </c>
      <c r="AT15" s="158" t="str">
        <f ca="1">IFERROR(VLOOKUP($Q15&amp;AT$8,Calc2!$J$4:$L$763,3,0),"")</f>
        <v>2 : 1</v>
      </c>
      <c r="AU15" s="158" t="str">
        <f ca="1">IFERROR(VLOOKUP($Q15&amp;AU$8,Calc2!$J$4:$L$763,3,0),"")</f>
        <v>1 : 4</v>
      </c>
      <c r="AV15" s="158" t="str">
        <f ca="1">IFERROR(VLOOKUP($Q15&amp;AV$8,Calc2!$J$4:$L$763,3,0),"")</f>
        <v>3 : 0</v>
      </c>
      <c r="AW15" s="158" t="str">
        <f ca="1">IFERROR(VLOOKUP($Q15&amp;AW$8,Calc2!$J$4:$L$763,3,0),"")</f>
        <v>4 : 3</v>
      </c>
      <c r="AX15" s="158" t="str">
        <f ca="1">IFERROR(VLOOKUP($Q15&amp;AX$8,Calc2!$J$4:$L$763,3,0),"")</f>
        <v>1 : 2</v>
      </c>
      <c r="AY15" s="158" t="str">
        <f ca="1">IFERROR(VLOOKUP($Q15&amp;AY$8,Calc2!$J$4:$L$763,3,0),"")</f>
        <v>2 : 1</v>
      </c>
      <c r="AZ15" s="158" t="str">
        <f ca="1">IFERROR(VLOOKUP($Q15&amp;AZ$8,Calc2!$J$4:$L$763,3,0),"")</f>
        <v/>
      </c>
      <c r="BA15" s="166" t="str">
        <f ca="1">IFERROR(VLOOKUP($Q15&amp;BA$8,Calc2!$J$4:$L$763,3,0),"")</f>
        <v/>
      </c>
      <c r="BB15" s="213"/>
      <c r="BC15" s="426">
        <v>7</v>
      </c>
      <c r="BD15" s="426">
        <f t="array" aca="1" ref="BD15" ca="1">SUM((OFFSET($I$9,(BC15-1)*Calc!$F$26,0,Calc!$F$26)&lt;&gt;"")*(OFFSET($K$9,(BC15-1)*Calc!$F$26,0,Calc!$F$26)&lt;&gt;""))</f>
        <v>9</v>
      </c>
      <c r="BE15" s="426"/>
      <c r="BF15" s="426"/>
      <c r="BG15" s="426">
        <f t="shared" ca="1" si="3"/>
        <v>7</v>
      </c>
    </row>
    <row r="16" spans="1:59" ht="15.95" customHeight="1" x14ac:dyDescent="0.2">
      <c r="B16" s="278" t="str">
        <f>IF(Calc!$F$26=0,"",IF(OR($C16&gt;Calc!$B$24,MOD($C16-1,Calc!$F$26)&gt;0),"",QUOTIENT($C16-1,Calc!$F$26)+1))</f>
        <v/>
      </c>
      <c r="C16" s="274">
        <v>8</v>
      </c>
      <c r="D16" s="154">
        <f>IF(Plan!$T14="","",Plan!$T14)</f>
        <v>45893</v>
      </c>
      <c r="E16" s="155">
        <f>IF(Plan!$U14="","",Plan!$U14)</f>
        <v>0.64583333333333337</v>
      </c>
      <c r="F16" s="175" t="str">
        <f>Plan!$Q14</f>
        <v>1. FSV Mainz 05</v>
      </c>
      <c r="G16" s="176" t="s">
        <v>4</v>
      </c>
      <c r="H16" s="175" t="str">
        <f>Plan!$S14</f>
        <v>1. FC Köln</v>
      </c>
      <c r="I16" s="177">
        <v>0</v>
      </c>
      <c r="J16" s="178" t="str">
        <f>Language!$E$65</f>
        <v xml:space="preserve"> : </v>
      </c>
      <c r="K16" s="179">
        <v>1</v>
      </c>
      <c r="L16" s="383"/>
      <c r="M16" s="384"/>
      <c r="N16" s="412"/>
      <c r="O16" s="415" t="str">
        <f t="shared" ca="1" si="2"/>
        <v>¬</v>
      </c>
      <c r="P16" s="221">
        <f ca="1">IF(Calc!$K$24=0,"",IF(VLOOKUP(Calc!B11,Calc!$C$4:$E$23,3,0)=MAX(P$9:P15),VLOOKUP(Calc!B11,Calc!$C$4:$E$23,3,0),Calc!B11))</f>
        <v>8</v>
      </c>
      <c r="Q16" s="218" t="str">
        <f ca="1">IF(Calc!$K$24=0,Calc2!$C11,VLOOKUP(Calc!B11,Calc!$C$4:$N$23,4,0))</f>
        <v>Eintracht Frankfurt</v>
      </c>
      <c r="R16" s="164">
        <f ca="1">IF(Calc!$K$24=0,"",VLOOKUP(Calc!B11,Calc!$C$4:$N$23,9,0))</f>
        <v>34</v>
      </c>
      <c r="S16" s="158">
        <f ca="1">IF(Calc!$K$24=0,"",IF($R16=0,"",VLOOKUP(Calc!B11,Calc!$C$4:$N$23,10,0)))</f>
        <v>11</v>
      </c>
      <c r="T16" s="158">
        <f ca="1">IF(Calc!$K$24=0,"",IF($R16=0,"",VLOOKUP(Calc!B11,Calc!$C$4:$N$23,11,0)))</f>
        <v>11</v>
      </c>
      <c r="U16" s="159">
        <f ca="1">IF(Calc!$K$24=0,"",IF($R16=0,"",VLOOKUP(Calc!B11,Calc!$C$4:$N$23,12,0)))</f>
        <v>12</v>
      </c>
      <c r="V16" s="160">
        <f ca="1">IF(Calc!$K$24=0,"",IF($R16=0,"",VLOOKUP(Calc!B11,Calc!$C$4:$N$23,5,0)))</f>
        <v>61</v>
      </c>
      <c r="W16" s="161" t="str">
        <f>Language!$E$65</f>
        <v xml:space="preserve"> : </v>
      </c>
      <c r="X16" s="162">
        <f ca="1">IF(Calc!$K$24=0,"",IF($R16=0,"",VLOOKUP(Calc!B11,Calc!$C$4:$N$23,6,0)))</f>
        <v>65</v>
      </c>
      <c r="Y16" s="294">
        <f ca="1">IF(Calc!$K$24=0,"",IF($R16=0,"",VLOOKUP(Calc!B11,Calc!$C$4:$N$23,7,0)))</f>
        <v>-4</v>
      </c>
      <c r="Z16" s="163">
        <f ca="1">IF(Calc!$K$24=0,"",IF($R16=0,"",VLOOKUP(Calc!B11,Calc!$C$4:$N$23,8,0)))</f>
        <v>44</v>
      </c>
      <c r="AA16" s="388" t="str">
        <f ca="1">IF(VLOOKUP(Calc!B11,Calc!$C$4:$O$23,13,0)=0,"",VLOOKUP(Calc!B11,Calc!$C$4:$O$23,13,0))</f>
        <v/>
      </c>
      <c r="AB16" s="423">
        <f ca="1">IFERROR(VLOOKUP(Q16,OFFSET(Calc_match_days!$W$4,($O$6-1)*27,,20,3),2,0),0)</f>
        <v>8</v>
      </c>
      <c r="AC16" s="375" t="str">
        <f ca="1">IF(IFERROR(VLOOKUP($Q16,Plan!$D$7:$E$26,2,0),0)=0,IF(LEN(Q16)&gt;Factors!$D$9,LEFT(Q16,Factors!$D$9)&amp;".",Q16),VLOOKUP($Q16,Plan!$D$7:$E$26,2,0))</f>
        <v>Frankfurt</v>
      </c>
      <c r="AD16" s="419">
        <f ca="1">IFERROR(VLOOKUP(Q16,OFFSET(Calc_match_days!$W$4,($O$6-1)*27,,20,3),3,0),0)</f>
        <v>0</v>
      </c>
      <c r="AE16" s="419"/>
      <c r="AF16" s="217">
        <f t="shared" ca="1" si="0"/>
        <v>8</v>
      </c>
      <c r="AG16" s="218" t="str">
        <f t="shared" ca="1" si="1"/>
        <v>Eintracht Frankfurt</v>
      </c>
      <c r="AH16" s="164" t="str">
        <f ca="1">IFERROR(VLOOKUP($Q16&amp;AH$8,Calc2!$J$4:$L$763,3,0),"")</f>
        <v>0 : 3</v>
      </c>
      <c r="AI16" s="158" t="str">
        <f ca="1">IFERROR(VLOOKUP($Q16&amp;AI$8,Calc2!$J$4:$L$763,3,0),"")</f>
        <v>3 : 3</v>
      </c>
      <c r="AJ16" s="158" t="str">
        <f ca="1">IFERROR(VLOOKUP($Q16&amp;AJ$8,Calc2!$J$4:$L$763,3,0),"")</f>
        <v>0 : 6</v>
      </c>
      <c r="AK16" s="158" t="str">
        <f ca="1">IFERROR(VLOOKUP($Q16&amp;AK$8,Calc2!$J$4:$L$763,3,0),"")</f>
        <v>2 : 3</v>
      </c>
      <c r="AL16" s="158" t="str">
        <f ca="1">IFERROR(VLOOKUP($Q16&amp;AL$8,Calc2!$J$4:$L$763,3,0),"")</f>
        <v>3 : 1</v>
      </c>
      <c r="AM16" s="158" t="str">
        <f ca="1">IFERROR(VLOOKUP($Q16&amp;AM$8,Calc2!$J$4:$L$763,3,0),"")</f>
        <v>1 : 3</v>
      </c>
      <c r="AN16" s="158" t="str">
        <f ca="1">IFERROR(VLOOKUP($Q16&amp;AN$8,Calc2!$J$4:$L$763,3,0),"")</f>
        <v>2 : 2</v>
      </c>
      <c r="AO16" s="165"/>
      <c r="AP16" s="158" t="str">
        <f ca="1">IFERROR(VLOOKUP($Q16&amp;AP$8,Calc2!$J$4:$L$763,3,0),"")</f>
        <v>1 : 0</v>
      </c>
      <c r="AQ16" s="158" t="str">
        <f ca="1">IFERROR(VLOOKUP($Q16&amp;AQ$8,Calc2!$J$4:$L$763,3,0),"")</f>
        <v>1 : 0</v>
      </c>
      <c r="AR16" s="158" t="str">
        <f ca="1">IFERROR(VLOOKUP($Q16&amp;AR$8,Calc2!$J$4:$L$763,3,0),"")</f>
        <v>3 : 4</v>
      </c>
      <c r="AS16" s="158" t="str">
        <f ca="1">IFERROR(VLOOKUP($Q16&amp;AS$8,Calc2!$J$4:$L$763,3,0),"")</f>
        <v>6 : 4</v>
      </c>
      <c r="AT16" s="158" t="str">
        <f ca="1">IFERROR(VLOOKUP($Q16&amp;AT$8,Calc2!$J$4:$L$763,3,0),"")</f>
        <v>1 : 1</v>
      </c>
      <c r="AU16" s="158" t="str">
        <f ca="1">IFERROR(VLOOKUP($Q16&amp;AU$8,Calc2!$J$4:$L$763,3,0),"")</f>
        <v>4 : 3</v>
      </c>
      <c r="AV16" s="158" t="str">
        <f ca="1">IFERROR(VLOOKUP($Q16&amp;AV$8,Calc2!$J$4:$L$763,3,0),"")</f>
        <v>4 : 1</v>
      </c>
      <c r="AW16" s="158" t="str">
        <f ca="1">IFERROR(VLOOKUP($Q16&amp;AW$8,Calc2!$J$4:$L$763,3,0),"")</f>
        <v>1 : 1</v>
      </c>
      <c r="AX16" s="158" t="str">
        <f ca="1">IFERROR(VLOOKUP($Q16&amp;AX$8,Calc2!$J$4:$L$763,3,0),"")</f>
        <v>1 : 1</v>
      </c>
      <c r="AY16" s="158" t="str">
        <f ca="1">IFERROR(VLOOKUP($Q16&amp;AY$8,Calc2!$J$4:$L$763,3,0),"")</f>
        <v>2 : 0</v>
      </c>
      <c r="AZ16" s="158" t="str">
        <f ca="1">IFERROR(VLOOKUP($Q16&amp;AZ$8,Calc2!$J$4:$L$763,3,0),"")</f>
        <v/>
      </c>
      <c r="BA16" s="166" t="str">
        <f ca="1">IFERROR(VLOOKUP($Q16&amp;BA$8,Calc2!$J$4:$L$763,3,0),"")</f>
        <v/>
      </c>
      <c r="BB16" s="213"/>
      <c r="BC16" s="426">
        <v>8</v>
      </c>
      <c r="BD16" s="426">
        <f t="array" aca="1" ref="BD16" ca="1">SUM((OFFSET($I$9,(BC16-1)*Calc!$F$26,0,Calc!$F$26)&lt;&gt;"")*(OFFSET($K$9,(BC16-1)*Calc!$F$26,0,Calc!$F$26)&lt;&gt;""))</f>
        <v>9</v>
      </c>
      <c r="BE16" s="426"/>
      <c r="BF16" s="426"/>
      <c r="BG16" s="426">
        <f t="shared" ca="1" si="3"/>
        <v>8</v>
      </c>
    </row>
    <row r="17" spans="2:59" ht="15.95" customHeight="1" x14ac:dyDescent="0.2">
      <c r="B17" s="278" t="str">
        <f>IF(Calc!$F$26=0,"",IF(OR($C17&gt;Calc!$B$24,MOD($C17-1,Calc!$F$26)&gt;0),"",QUOTIENT($C17-1,Calc!$F$26)+1))</f>
        <v/>
      </c>
      <c r="C17" s="274">
        <v>9</v>
      </c>
      <c r="D17" s="154">
        <f>IF(Plan!$T15="","",Plan!$T15)</f>
        <v>45893</v>
      </c>
      <c r="E17" s="155">
        <f>IF(Plan!$U15="","",Plan!$U15)</f>
        <v>0.72916666666666663</v>
      </c>
      <c r="F17" s="175" t="str">
        <f>Plan!$Q15</f>
        <v>Borussia Mönchengladbach</v>
      </c>
      <c r="G17" s="176" t="s">
        <v>4</v>
      </c>
      <c r="H17" s="175" t="str">
        <f>Plan!$S15</f>
        <v>Hamburger SV</v>
      </c>
      <c r="I17" s="177">
        <v>0</v>
      </c>
      <c r="J17" s="178" t="str">
        <f>Language!$E$65</f>
        <v xml:space="preserve"> : </v>
      </c>
      <c r="K17" s="179">
        <v>0</v>
      </c>
      <c r="L17" s="383"/>
      <c r="M17" s="384"/>
      <c r="N17" s="412"/>
      <c r="O17" s="415" t="str">
        <f t="shared" ca="1" si="2"/>
        <v>¬</v>
      </c>
      <c r="P17" s="221">
        <f ca="1">IF(Calc!$K$24=0,"",IF(VLOOKUP(Calc!B12,Calc!$C$4:$E$23,3,0)=MAX(P$9:P16),VLOOKUP(Calc!B12,Calc!$C$4:$E$23,3,0),Calc!B12))</f>
        <v>9</v>
      </c>
      <c r="Q17" s="218" t="str">
        <f ca="1">IF(Calc!$K$24=0,Calc2!$C12,VLOOKUP(Calc!B12,Calc!$C$4:$N$23,4,0))</f>
        <v>FC Augsburg</v>
      </c>
      <c r="R17" s="164">
        <f ca="1">IF(Calc!$K$24=0,"",VLOOKUP(Calc!B12,Calc!$C$4:$N$23,9,0))</f>
        <v>34</v>
      </c>
      <c r="S17" s="158">
        <f ca="1">IF(Calc!$K$24=0,"",IF($R17=0,"",VLOOKUP(Calc!B12,Calc!$C$4:$N$23,10,0)))</f>
        <v>12</v>
      </c>
      <c r="T17" s="158">
        <f ca="1">IF(Calc!$K$24=0,"",IF($R17=0,"",VLOOKUP(Calc!B12,Calc!$C$4:$N$23,11,0)))</f>
        <v>7</v>
      </c>
      <c r="U17" s="159">
        <f ca="1">IF(Calc!$K$24=0,"",IF($R17=0,"",VLOOKUP(Calc!B12,Calc!$C$4:$N$23,12,0)))</f>
        <v>15</v>
      </c>
      <c r="V17" s="160">
        <f ca="1">IF(Calc!$K$24=0,"",IF($R17=0,"",VLOOKUP(Calc!B12,Calc!$C$4:$N$23,5,0)))</f>
        <v>45</v>
      </c>
      <c r="W17" s="161" t="str">
        <f>Language!$E$65</f>
        <v xml:space="preserve"> : </v>
      </c>
      <c r="X17" s="162">
        <f ca="1">IF(Calc!$K$24=0,"",IF($R17=0,"",VLOOKUP(Calc!B12,Calc!$C$4:$N$23,6,0)))</f>
        <v>61</v>
      </c>
      <c r="Y17" s="294">
        <f ca="1">IF(Calc!$K$24=0,"",IF($R17=0,"",VLOOKUP(Calc!B12,Calc!$C$4:$N$23,7,0)))</f>
        <v>-16</v>
      </c>
      <c r="Z17" s="163">
        <f ca="1">IF(Calc!$K$24=0,"",IF($R17=0,"",VLOOKUP(Calc!B12,Calc!$C$4:$N$23,8,0)))</f>
        <v>43</v>
      </c>
      <c r="AA17" s="388" t="str">
        <f ca="1">IF(VLOOKUP(Calc!B12,Calc!$C$4:$O$23,13,0)=0,"",VLOOKUP(Calc!B12,Calc!$C$4:$O$23,13,0))</f>
        <v/>
      </c>
      <c r="AB17" s="423">
        <f ca="1">IFERROR(VLOOKUP(Q17,OFFSET(Calc_match_days!$W$4,($O$6-1)*27,,20,3),2,0),0)</f>
        <v>9</v>
      </c>
      <c r="AC17" s="375" t="str">
        <f ca="1">IF(IFERROR(VLOOKUP($Q17,Plan!$D$7:$E$26,2,0),0)=0,IF(LEN(Q17)&gt;Factors!$D$9,LEFT(Q17,Factors!$D$9)&amp;".",Q17),VLOOKUP($Q17,Plan!$D$7:$E$26,2,0))</f>
        <v>Augsburg</v>
      </c>
      <c r="AD17" s="419">
        <f ca="1">IFERROR(VLOOKUP(Q17,OFFSET(Calc_match_days!$W$4,($O$6-1)*27,,20,3),3,0),0)</f>
        <v>0</v>
      </c>
      <c r="AE17" s="419"/>
      <c r="AF17" s="217">
        <f t="shared" ca="1" si="0"/>
        <v>9</v>
      </c>
      <c r="AG17" s="218" t="str">
        <f t="shared" ca="1" si="1"/>
        <v>FC Augsburg</v>
      </c>
      <c r="AH17" s="164" t="str">
        <f ca="1">IFERROR(VLOOKUP($Q17&amp;AH$8,Calc2!$J$4:$L$763,3,0),"")</f>
        <v>2 : 3</v>
      </c>
      <c r="AI17" s="158" t="str">
        <f ca="1">IFERROR(VLOOKUP($Q17&amp;AI$8,Calc2!$J$4:$L$763,3,0),"")</f>
        <v>0 : 1</v>
      </c>
      <c r="AJ17" s="158" t="str">
        <f ca="1">IFERROR(VLOOKUP($Q17&amp;AJ$8,Calc2!$J$4:$L$763,3,0),"")</f>
        <v>0 : 6</v>
      </c>
      <c r="AK17" s="158" t="str">
        <f ca="1">IFERROR(VLOOKUP($Q17&amp;AK$8,Calc2!$J$4:$L$763,3,0),"")</f>
        <v>2 : 3</v>
      </c>
      <c r="AL17" s="158" t="str">
        <f ca="1">IFERROR(VLOOKUP($Q17&amp;AL$8,Calc2!$J$4:$L$763,3,0),"")</f>
        <v>0 : 3</v>
      </c>
      <c r="AM17" s="158" t="str">
        <f ca="1">IFERROR(VLOOKUP($Q17&amp;AM$8,Calc2!$J$4:$L$763,3,0),"")</f>
        <v>2 : 0</v>
      </c>
      <c r="AN17" s="158" t="str">
        <f ca="1">IFERROR(VLOOKUP($Q17&amp;AN$8,Calc2!$J$4:$L$763,3,0),"")</f>
        <v>3 : 1</v>
      </c>
      <c r="AO17" s="158" t="str">
        <f ca="1">IFERROR(VLOOKUP($Q17&amp;AO$8,Calc2!$J$4:$L$763,3,0),"")</f>
        <v>0 : 1</v>
      </c>
      <c r="AP17" s="165"/>
      <c r="AQ17" s="158" t="str">
        <f ca="1">IFERROR(VLOOKUP($Q17&amp;AQ$8,Calc2!$J$4:$L$763,3,0),"")</f>
        <v>1 : 4</v>
      </c>
      <c r="AR17" s="158" t="str">
        <f ca="1">IFERROR(VLOOKUP($Q17&amp;AR$8,Calc2!$J$4:$L$763,3,0),"")</f>
        <v>1 : 1</v>
      </c>
      <c r="AS17" s="158" t="str">
        <f ca="1">IFERROR(VLOOKUP($Q17&amp;AS$8,Calc2!$J$4:$L$763,3,0),"")</f>
        <v>0 : 4</v>
      </c>
      <c r="AT17" s="158" t="str">
        <f ca="1">IFERROR(VLOOKUP($Q17&amp;AT$8,Calc2!$J$4:$L$763,3,0),"")</f>
        <v>1 : 0</v>
      </c>
      <c r="AU17" s="158" t="str">
        <f ca="1">IFERROR(VLOOKUP($Q17&amp;AU$8,Calc2!$J$4:$L$763,3,0),"")</f>
        <v>1 : 1</v>
      </c>
      <c r="AV17" s="158" t="str">
        <f ca="1">IFERROR(VLOOKUP($Q17&amp;AV$8,Calc2!$J$4:$L$763,3,0),"")</f>
        <v>0 : 0</v>
      </c>
      <c r="AW17" s="158" t="str">
        <f ca="1">IFERROR(VLOOKUP($Q17&amp;AW$8,Calc2!$J$4:$L$763,3,0),"")</f>
        <v>3 : 1</v>
      </c>
      <c r="AX17" s="158" t="str">
        <f ca="1">IFERROR(VLOOKUP($Q17&amp;AX$8,Calc2!$J$4:$L$763,3,0),"")</f>
        <v>1 : 2</v>
      </c>
      <c r="AY17" s="158" t="str">
        <f ca="1">IFERROR(VLOOKUP($Q17&amp;AY$8,Calc2!$J$4:$L$763,3,0),"")</f>
        <v>1 : 2</v>
      </c>
      <c r="AZ17" s="158" t="str">
        <f ca="1">IFERROR(VLOOKUP($Q17&amp;AZ$8,Calc2!$J$4:$L$763,3,0),"")</f>
        <v/>
      </c>
      <c r="BA17" s="166" t="str">
        <f ca="1">IFERROR(VLOOKUP($Q17&amp;BA$8,Calc2!$J$4:$L$763,3,0),"")</f>
        <v/>
      </c>
      <c r="BB17" s="213"/>
      <c r="BC17" s="426">
        <v>9</v>
      </c>
      <c r="BD17" s="426">
        <f t="array" aca="1" ref="BD17" ca="1">SUM((OFFSET($I$9,(BC17-1)*Calc!$F$26,0,Calc!$F$26)&lt;&gt;"")*(OFFSET($K$9,(BC17-1)*Calc!$F$26,0,Calc!$F$26)&lt;&gt;""))</f>
        <v>9</v>
      </c>
      <c r="BE17" s="426"/>
      <c r="BF17" s="426"/>
      <c r="BG17" s="426">
        <f t="shared" ca="1" si="3"/>
        <v>9</v>
      </c>
    </row>
    <row r="18" spans="2:59" ht="15.95" customHeight="1" x14ac:dyDescent="0.2">
      <c r="B18" s="278">
        <f>IF(Calc!$F$26=0,"",IF(OR($C18&gt;Calc!$B$24,MOD($C18-1,Calc!$F$26)&gt;0),"",QUOTIENT($C18-1,Calc!$F$26)+1))</f>
        <v>2</v>
      </c>
      <c r="C18" s="274">
        <v>10</v>
      </c>
      <c r="D18" s="154">
        <f>IF(Plan!$T16="","",Plan!$T16)</f>
        <v>45898</v>
      </c>
      <c r="E18" s="155">
        <f>IF(Plan!$U16="","",Plan!$U16)</f>
        <v>0.85416666666666663</v>
      </c>
      <c r="F18" s="175" t="str">
        <f>Plan!$Q16</f>
        <v>Hamburger SV</v>
      </c>
      <c r="G18" s="176" t="s">
        <v>4</v>
      </c>
      <c r="H18" s="175" t="str">
        <f>Plan!$S16</f>
        <v>FC St. Pauli</v>
      </c>
      <c r="I18" s="177">
        <v>0</v>
      </c>
      <c r="J18" s="178" t="str">
        <f>Language!$E$65</f>
        <v xml:space="preserve"> : </v>
      </c>
      <c r="K18" s="179">
        <v>2</v>
      </c>
      <c r="L18" s="383"/>
      <c r="M18" s="384"/>
      <c r="N18" s="412"/>
      <c r="O18" s="415" t="str">
        <f t="shared" ca="1" si="2"/>
        <v>¬</v>
      </c>
      <c r="P18" s="221">
        <f ca="1">IF(Calc!$K$24=0,"",IF(VLOOKUP(Calc!B13,Calc!$C$4:$E$23,3,0)=MAX(P$9:P17),VLOOKUP(Calc!B13,Calc!$C$4:$E$23,3,0),Calc!B13))</f>
        <v>10</v>
      </c>
      <c r="Q18" s="218" t="str">
        <f ca="1">IF(Calc!$K$24=0,Calc2!$C13,VLOOKUP(Calc!B13,Calc!$C$4:$N$23,4,0))</f>
        <v>1. FSV Mainz 05</v>
      </c>
      <c r="R18" s="164">
        <f ca="1">IF(Calc!$K$24=0,"",VLOOKUP(Calc!B13,Calc!$C$4:$N$23,9,0))</f>
        <v>34</v>
      </c>
      <c r="S18" s="158">
        <f ca="1">IF(Calc!$K$24=0,"",IF($R18=0,"",VLOOKUP(Calc!B13,Calc!$C$4:$N$23,10,0)))</f>
        <v>10</v>
      </c>
      <c r="T18" s="158">
        <f ca="1">IF(Calc!$K$24=0,"",IF($R18=0,"",VLOOKUP(Calc!B13,Calc!$C$4:$N$23,11,0)))</f>
        <v>10</v>
      </c>
      <c r="U18" s="159">
        <f ca="1">IF(Calc!$K$24=0,"",IF($R18=0,"",VLOOKUP(Calc!B13,Calc!$C$4:$N$23,12,0)))</f>
        <v>14</v>
      </c>
      <c r="V18" s="160">
        <f ca="1">IF(Calc!$K$24=0,"",IF($R18=0,"",VLOOKUP(Calc!B13,Calc!$C$4:$N$23,5,0)))</f>
        <v>43</v>
      </c>
      <c r="W18" s="161" t="str">
        <f>Language!$E$65</f>
        <v xml:space="preserve"> : </v>
      </c>
      <c r="X18" s="162">
        <f ca="1">IF(Calc!$K$24=0,"",IF($R18=0,"",VLOOKUP(Calc!B13,Calc!$C$4:$N$23,6,0)))</f>
        <v>51</v>
      </c>
      <c r="Y18" s="294">
        <f ca="1">IF(Calc!$K$24=0,"",IF($R18=0,"",VLOOKUP(Calc!B13,Calc!$C$4:$N$23,7,0)))</f>
        <v>-8</v>
      </c>
      <c r="Z18" s="163">
        <f ca="1">IF(Calc!$K$24=0,"",IF($R18=0,"",VLOOKUP(Calc!B13,Calc!$C$4:$N$23,8,0)))</f>
        <v>40</v>
      </c>
      <c r="AA18" s="388" t="str">
        <f ca="1">IF(VLOOKUP(Calc!B13,Calc!$C$4:$O$23,13,0)=0,"",VLOOKUP(Calc!B13,Calc!$C$4:$O$23,13,0))</f>
        <v/>
      </c>
      <c r="AB18" s="423">
        <f ca="1">IFERROR(VLOOKUP(Q18,OFFSET(Calc_match_days!$W$4,($O$6-1)*27,,20,3),2,0),0)</f>
        <v>10</v>
      </c>
      <c r="AC18" s="375" t="str">
        <f ca="1">IF(IFERROR(VLOOKUP($Q18,Plan!$D$7:$E$26,2,0),0)=0,IF(LEN(Q18)&gt;Factors!$D$9,LEFT(Q18,Factors!$D$9)&amp;".",Q18),VLOOKUP($Q18,Plan!$D$7:$E$26,2,0))</f>
        <v>Mainz</v>
      </c>
      <c r="AD18" s="419">
        <f ca="1">IFERROR(VLOOKUP(Q18,OFFSET(Calc_match_days!$W$4,($O$6-1)*27,,20,3),3,0),0)</f>
        <v>0</v>
      </c>
      <c r="AE18" s="419"/>
      <c r="AF18" s="217">
        <f t="shared" ca="1" si="0"/>
        <v>10</v>
      </c>
      <c r="AG18" s="218" t="str">
        <f t="shared" ca="1" si="1"/>
        <v>1. FSV Mainz 05</v>
      </c>
      <c r="AH18" s="164" t="str">
        <f ca="1">IFERROR(VLOOKUP($Q18&amp;AH$8,Calc2!$J$4:$L$763,3,0),"")</f>
        <v>2 : 2</v>
      </c>
      <c r="AI18" s="158" t="str">
        <f ca="1">IFERROR(VLOOKUP($Q18&amp;AI$8,Calc2!$J$4:$L$763,3,0),"")</f>
        <v>0 : 2</v>
      </c>
      <c r="AJ18" s="158" t="str">
        <f ca="1">IFERROR(VLOOKUP($Q18&amp;AJ$8,Calc2!$J$4:$L$763,3,0),"")</f>
        <v>0 : 1</v>
      </c>
      <c r="AK18" s="158" t="str">
        <f ca="1">IFERROR(VLOOKUP($Q18&amp;AK$8,Calc2!$J$4:$L$763,3,0),"")</f>
        <v>1 : 2</v>
      </c>
      <c r="AL18" s="158" t="str">
        <f ca="1">IFERROR(VLOOKUP($Q18&amp;AL$8,Calc2!$J$4:$L$763,3,0),"")</f>
        <v>1 : 1</v>
      </c>
      <c r="AM18" s="158" t="str">
        <f ca="1">IFERROR(VLOOKUP($Q18&amp;AM$8,Calc2!$J$4:$L$763,3,0),"")</f>
        <v>3 : 4</v>
      </c>
      <c r="AN18" s="158" t="str">
        <f ca="1">IFERROR(VLOOKUP($Q18&amp;AN$8,Calc2!$J$4:$L$763,3,0),"")</f>
        <v>0 : 4</v>
      </c>
      <c r="AO18" s="158" t="str">
        <f ca="1">IFERROR(VLOOKUP($Q18&amp;AO$8,Calc2!$J$4:$L$763,3,0),"")</f>
        <v>0 : 1</v>
      </c>
      <c r="AP18" s="158" t="str">
        <f ca="1">IFERROR(VLOOKUP($Q18&amp;AP$8,Calc2!$J$4:$L$763,3,0),"")</f>
        <v>4 : 1</v>
      </c>
      <c r="AQ18" s="165"/>
      <c r="AR18" s="158" t="str">
        <f ca="1">IFERROR(VLOOKUP($Q18&amp;AR$8,Calc2!$J$4:$L$763,3,0),"")</f>
        <v>2 : 2</v>
      </c>
      <c r="AS18" s="158" t="str">
        <f ca="1">IFERROR(VLOOKUP($Q18&amp;AS$8,Calc2!$J$4:$L$763,3,0),"")</f>
        <v>0 : 1</v>
      </c>
      <c r="AT18" s="158" t="str">
        <f ca="1">IFERROR(VLOOKUP($Q18&amp;AT$8,Calc2!$J$4:$L$763,3,0),"")</f>
        <v>0 : 4</v>
      </c>
      <c r="AU18" s="158" t="str">
        <f ca="1">IFERROR(VLOOKUP($Q18&amp;AU$8,Calc2!$J$4:$L$763,3,0),"")</f>
        <v>0 : 1</v>
      </c>
      <c r="AV18" s="158" t="str">
        <f ca="1">IFERROR(VLOOKUP($Q18&amp;AV$8,Calc2!$J$4:$L$763,3,0),"")</f>
        <v>1 : 1</v>
      </c>
      <c r="AW18" s="158" t="str">
        <f ca="1">IFERROR(VLOOKUP($Q18&amp;AW$8,Calc2!$J$4:$L$763,3,0),"")</f>
        <v>1 : 1</v>
      </c>
      <c r="AX18" s="158" t="str">
        <f ca="1">IFERROR(VLOOKUP($Q18&amp;AX$8,Calc2!$J$4:$L$763,3,0),"")</f>
        <v>2 : 1</v>
      </c>
      <c r="AY18" s="158" t="str">
        <f ca="1">IFERROR(VLOOKUP($Q18&amp;AY$8,Calc2!$J$4:$L$763,3,0),"")</f>
        <v>0 : 0</v>
      </c>
      <c r="AZ18" s="158" t="str">
        <f ca="1">IFERROR(VLOOKUP($Q18&amp;AZ$8,Calc2!$J$4:$L$763,3,0),"")</f>
        <v/>
      </c>
      <c r="BA18" s="166" t="str">
        <f ca="1">IFERROR(VLOOKUP($Q18&amp;BA$8,Calc2!$J$4:$L$763,3,0),"")</f>
        <v/>
      </c>
      <c r="BB18" s="213"/>
      <c r="BC18" s="426">
        <v>10</v>
      </c>
      <c r="BD18" s="426">
        <f t="array" aca="1" ref="BD18" ca="1">SUM((OFFSET($I$9,(BC18-1)*Calc!$F$26,0,Calc!$F$26)&lt;&gt;"")*(OFFSET($K$9,(BC18-1)*Calc!$F$26,0,Calc!$F$26)&lt;&gt;""))</f>
        <v>9</v>
      </c>
      <c r="BE18" s="426"/>
      <c r="BF18" s="426"/>
      <c r="BG18" s="426">
        <f t="shared" ca="1" si="3"/>
        <v>10</v>
      </c>
    </row>
    <row r="19" spans="2:59" ht="15.95" customHeight="1" x14ac:dyDescent="0.2">
      <c r="B19" s="278" t="str">
        <f>IF(Calc!$F$26=0,"",IF(OR($C19&gt;Calc!$B$24,MOD($C19-1,Calc!$F$26)&gt;0),"",QUOTIENT($C19-1,Calc!$F$26)+1))</f>
        <v/>
      </c>
      <c r="C19" s="274">
        <v>11</v>
      </c>
      <c r="D19" s="154">
        <f>IF(Plan!$T17="","",Plan!$T17)</f>
        <v>45899</v>
      </c>
      <c r="E19" s="155">
        <f>IF(Plan!$U17="","",Plan!$U17)</f>
        <v>0.64583333333333337</v>
      </c>
      <c r="F19" s="175" t="str">
        <f>Plan!$Q17</f>
        <v>VfB Stuttgart</v>
      </c>
      <c r="G19" s="176" t="s">
        <v>4</v>
      </c>
      <c r="H19" s="175" t="str">
        <f>Plan!$S17</f>
        <v>Borussia Mönchengladbach</v>
      </c>
      <c r="I19" s="177">
        <v>1</v>
      </c>
      <c r="J19" s="178" t="str">
        <f>Language!$E$65</f>
        <v xml:space="preserve"> : </v>
      </c>
      <c r="K19" s="179">
        <v>0</v>
      </c>
      <c r="L19" s="383"/>
      <c r="M19" s="384"/>
      <c r="N19" s="412"/>
      <c r="O19" s="415" t="str">
        <f t="shared" ca="1" si="2"/>
        <v>£</v>
      </c>
      <c r="P19" s="221">
        <f ca="1">IF(Calc!$K$24=0,"",IF(VLOOKUP(Calc!B14,Calc!$C$4:$E$23,3,0)=MAX(P$9:P18),VLOOKUP(Calc!B14,Calc!$C$4:$E$23,3,0),Calc!B14))</f>
        <v>11</v>
      </c>
      <c r="Q19" s="218" t="str">
        <f ca="1">IF(Calc!$K$24=0,Calc2!$C14,VLOOKUP(Calc!B14,Calc!$C$4:$N$23,4,0))</f>
        <v>1. FC Union Berlin</v>
      </c>
      <c r="R19" s="164">
        <f ca="1">IF(Calc!$K$24=0,"",VLOOKUP(Calc!B14,Calc!$C$4:$N$23,9,0))</f>
        <v>34</v>
      </c>
      <c r="S19" s="158">
        <f ca="1">IF(Calc!$K$24=0,"",IF($R19=0,"",VLOOKUP(Calc!B14,Calc!$C$4:$N$23,10,0)))</f>
        <v>10</v>
      </c>
      <c r="T19" s="158">
        <f ca="1">IF(Calc!$K$24=0,"",IF($R19=0,"",VLOOKUP(Calc!B14,Calc!$C$4:$N$23,11,0)))</f>
        <v>9</v>
      </c>
      <c r="U19" s="159">
        <f ca="1">IF(Calc!$K$24=0,"",IF($R19=0,"",VLOOKUP(Calc!B14,Calc!$C$4:$N$23,12,0)))</f>
        <v>15</v>
      </c>
      <c r="V19" s="160">
        <f ca="1">IF(Calc!$K$24=0,"",IF($R19=0,"",VLOOKUP(Calc!B14,Calc!$C$4:$N$23,5,0)))</f>
        <v>42</v>
      </c>
      <c r="W19" s="161" t="str">
        <f>Language!$E$65</f>
        <v xml:space="preserve"> : </v>
      </c>
      <c r="X19" s="162">
        <f ca="1">IF(Calc!$K$24=0,"",IF($R19=0,"",VLOOKUP(Calc!B14,Calc!$C$4:$N$23,6,0)))</f>
        <v>57</v>
      </c>
      <c r="Y19" s="294">
        <f ca="1">IF(Calc!$K$24=0,"",IF($R19=0,"",VLOOKUP(Calc!B14,Calc!$C$4:$N$23,7,0)))</f>
        <v>-15</v>
      </c>
      <c r="Z19" s="163">
        <f ca="1">IF(Calc!$K$24=0,"",IF($R19=0,"",VLOOKUP(Calc!B14,Calc!$C$4:$N$23,8,0)))</f>
        <v>39</v>
      </c>
      <c r="AA19" s="388" t="str">
        <f ca="1">IF(VLOOKUP(Calc!B14,Calc!$C$4:$O$23,13,0)=0,"",VLOOKUP(Calc!B14,Calc!$C$4:$O$23,13,0))</f>
        <v/>
      </c>
      <c r="AB19" s="423">
        <f ca="1">IFERROR(VLOOKUP(Q19,OFFSET(Calc_match_days!$W$4,($O$6-1)*27,,20,3),2,0),0)</f>
        <v>12</v>
      </c>
      <c r="AC19" s="375" t="str">
        <f ca="1">IF(IFERROR(VLOOKUP($Q19,Plan!$D$7:$E$26,2,0),0)=0,IF(LEN(Q19)&gt;Factors!$D$9,LEFT(Q19,Factors!$D$9)&amp;".",Q19),VLOOKUP($Q19,Plan!$D$7:$E$26,2,0))</f>
        <v>Union Ber</v>
      </c>
      <c r="AD19" s="419">
        <f ca="1">IFERROR(VLOOKUP(Q19,OFFSET(Calc_match_days!$W$4,($O$6-1)*27,,20,3),3,0),0)</f>
        <v>1</v>
      </c>
      <c r="AE19" s="419"/>
      <c r="AF19" s="217">
        <f t="shared" ca="1" si="0"/>
        <v>11</v>
      </c>
      <c r="AG19" s="218" t="str">
        <f t="shared" ca="1" si="1"/>
        <v>1. FC Union Berlin</v>
      </c>
      <c r="AH19" s="164" t="str">
        <f ca="1">IFERROR(VLOOKUP($Q19&amp;AH$8,Calc2!$J$4:$L$763,3,0),"")</f>
        <v>2 : 2</v>
      </c>
      <c r="AI19" s="158" t="str">
        <f ca="1">IFERROR(VLOOKUP($Q19&amp;AI$8,Calc2!$J$4:$L$763,3,0),"")</f>
        <v>0 : 3</v>
      </c>
      <c r="AJ19" s="158" t="str">
        <f ca="1">IFERROR(VLOOKUP($Q19&amp;AJ$8,Calc2!$J$4:$L$763,3,0),"")</f>
        <v>3 : 1</v>
      </c>
      <c r="AK19" s="158" t="str">
        <f ca="1">IFERROR(VLOOKUP($Q19&amp;AK$8,Calc2!$J$4:$L$763,3,0),"")</f>
        <v>2 : 1</v>
      </c>
      <c r="AL19" s="158" t="str">
        <f ca="1">IFERROR(VLOOKUP($Q19&amp;AL$8,Calc2!$J$4:$L$763,3,0),"")</f>
        <v>2 : 4</v>
      </c>
      <c r="AM19" s="158" t="str">
        <f ca="1">IFERROR(VLOOKUP($Q19&amp;AM$8,Calc2!$J$4:$L$763,3,0),"")</f>
        <v>0 : 2</v>
      </c>
      <c r="AN19" s="158" t="str">
        <f ca="1">IFERROR(VLOOKUP($Q19&amp;AN$8,Calc2!$J$4:$L$763,3,0),"")</f>
        <v>0 : 0</v>
      </c>
      <c r="AO19" s="158" t="str">
        <f ca="1">IFERROR(VLOOKUP($Q19&amp;AO$8,Calc2!$J$4:$L$763,3,0),"")</f>
        <v>4 : 3</v>
      </c>
      <c r="AP19" s="158" t="str">
        <f ca="1">IFERROR(VLOOKUP($Q19&amp;AP$8,Calc2!$J$4:$L$763,3,0),"")</f>
        <v>1 : 1</v>
      </c>
      <c r="AQ19" s="158" t="str">
        <f ca="1">IFERROR(VLOOKUP($Q19&amp;AQ$8,Calc2!$J$4:$L$763,3,0),"")</f>
        <v>2 : 2</v>
      </c>
      <c r="AR19" s="165"/>
      <c r="AS19" s="158" t="str">
        <f ca="1">IFERROR(VLOOKUP($Q19&amp;AS$8,Calc2!$J$4:$L$763,3,0),"")</f>
        <v>3 : 1</v>
      </c>
      <c r="AT19" s="158" t="str">
        <f ca="1">IFERROR(VLOOKUP($Q19&amp;AT$8,Calc2!$J$4:$L$763,3,0),"")</f>
        <v>0 : 0</v>
      </c>
      <c r="AU19" s="158" t="str">
        <f ca="1">IFERROR(VLOOKUP($Q19&amp;AU$8,Calc2!$J$4:$L$763,3,0),"")</f>
        <v>1 : 0</v>
      </c>
      <c r="AV19" s="158" t="str">
        <f ca="1">IFERROR(VLOOKUP($Q19&amp;AV$8,Calc2!$J$4:$L$763,3,0),"")</f>
        <v>0 : 1</v>
      </c>
      <c r="AW19" s="158" t="str">
        <f ca="1">IFERROR(VLOOKUP($Q19&amp;AW$8,Calc2!$J$4:$L$763,3,0),"")</f>
        <v>1 : 3</v>
      </c>
      <c r="AX19" s="158" t="str">
        <f ca="1">IFERROR(VLOOKUP($Q19&amp;AX$8,Calc2!$J$4:$L$763,3,0),"")</f>
        <v>1 : 2</v>
      </c>
      <c r="AY19" s="158" t="str">
        <f ca="1">IFERROR(VLOOKUP($Q19&amp;AY$8,Calc2!$J$4:$L$763,3,0),"")</f>
        <v>1 : 0</v>
      </c>
      <c r="AZ19" s="158" t="str">
        <f ca="1">IFERROR(VLOOKUP($Q19&amp;AZ$8,Calc2!$J$4:$L$763,3,0),"")</f>
        <v/>
      </c>
      <c r="BA19" s="166" t="str">
        <f ca="1">IFERROR(VLOOKUP($Q19&amp;BA$8,Calc2!$J$4:$L$763,3,0),"")</f>
        <v/>
      </c>
      <c r="BB19" s="213"/>
      <c r="BC19" s="426">
        <v>11</v>
      </c>
      <c r="BD19" s="426">
        <f t="array" aca="1" ref="BD19" ca="1">SUM((OFFSET($I$9,(BC19-1)*Calc!$F$26,0,Calc!$F$26)&lt;&gt;"")*(OFFSET($K$9,(BC19-1)*Calc!$F$26,0,Calc!$F$26)&lt;&gt;""))</f>
        <v>9</v>
      </c>
      <c r="BE19" s="426"/>
      <c r="BF19" s="426"/>
      <c r="BG19" s="426">
        <f t="shared" ca="1" si="3"/>
        <v>11</v>
      </c>
    </row>
    <row r="20" spans="2:59" ht="15.95" customHeight="1" x14ac:dyDescent="0.2">
      <c r="B20" s="278" t="str">
        <f>IF(Calc!$F$26=0,"",IF(OR($C20&gt;Calc!$B$24,MOD($C20-1,Calc!$F$26)&gt;0),"",QUOTIENT($C20-1,Calc!$F$26)+1))</f>
        <v/>
      </c>
      <c r="C20" s="274">
        <v>12</v>
      </c>
      <c r="D20" s="154">
        <f>IF(Plan!$T18="","",Plan!$T18)</f>
        <v>45899</v>
      </c>
      <c r="E20" s="155">
        <f>IF(Plan!$U18="","",Plan!$U18)</f>
        <v>0.64583333333333337</v>
      </c>
      <c r="F20" s="175" t="str">
        <f>Plan!$Q18</f>
        <v>TSG Hoffenheim</v>
      </c>
      <c r="G20" s="176" t="s">
        <v>4</v>
      </c>
      <c r="H20" s="175" t="str">
        <f>Plan!$S18</f>
        <v>Eintracht Frankfurt</v>
      </c>
      <c r="I20" s="177">
        <v>1</v>
      </c>
      <c r="J20" s="178" t="str">
        <f>Language!$E$65</f>
        <v xml:space="preserve"> : </v>
      </c>
      <c r="K20" s="179">
        <v>3</v>
      </c>
      <c r="L20" s="383"/>
      <c r="M20" s="384"/>
      <c r="N20" s="412"/>
      <c r="O20" s="415" t="str">
        <f t="shared" ca="1" si="2"/>
        <v>£</v>
      </c>
      <c r="P20" s="221">
        <f ca="1">IF(Calc!$K$24=0,"",IF(VLOOKUP(Calc!B15,Calc!$C$4:$E$23,3,0)=MAX(P$9:P19),VLOOKUP(Calc!B15,Calc!$C$4:$E$23,3,0),Calc!B15))</f>
        <v>12</v>
      </c>
      <c r="Q20" s="218" t="str">
        <f ca="1">IF(Calc!$K$24=0,Calc2!$C15,VLOOKUP(Calc!B15,Calc!$C$4:$N$23,4,0))</f>
        <v>Borussia Mönchengladbach</v>
      </c>
      <c r="R20" s="164">
        <f ca="1">IF(Calc!$K$24=0,"",VLOOKUP(Calc!B15,Calc!$C$4:$N$23,9,0))</f>
        <v>34</v>
      </c>
      <c r="S20" s="158">
        <f ca="1">IF(Calc!$K$24=0,"",IF($R20=0,"",VLOOKUP(Calc!B15,Calc!$C$4:$N$23,10,0)))</f>
        <v>9</v>
      </c>
      <c r="T20" s="158">
        <f ca="1">IF(Calc!$K$24=0,"",IF($R20=0,"",VLOOKUP(Calc!B15,Calc!$C$4:$N$23,11,0)))</f>
        <v>11</v>
      </c>
      <c r="U20" s="159">
        <f ca="1">IF(Calc!$K$24=0,"",IF($R20=0,"",VLOOKUP(Calc!B15,Calc!$C$4:$N$23,12,0)))</f>
        <v>14</v>
      </c>
      <c r="V20" s="160">
        <f ca="1">IF(Calc!$K$24=0,"",IF($R20=0,"",VLOOKUP(Calc!B15,Calc!$C$4:$N$23,5,0)))</f>
        <v>42</v>
      </c>
      <c r="W20" s="161" t="str">
        <f>Language!$E$65</f>
        <v xml:space="preserve"> : </v>
      </c>
      <c r="X20" s="162">
        <f ca="1">IF(Calc!$K$24=0,"",IF($R20=0,"",VLOOKUP(Calc!B15,Calc!$C$4:$N$23,6,0)))</f>
        <v>53</v>
      </c>
      <c r="Y20" s="294">
        <f ca="1">IF(Calc!$K$24=0,"",IF($R20=0,"",VLOOKUP(Calc!B15,Calc!$C$4:$N$23,7,0)))</f>
        <v>-11</v>
      </c>
      <c r="Z20" s="163">
        <f ca="1">IF(Calc!$K$24=0,"",IF($R20=0,"",VLOOKUP(Calc!B15,Calc!$C$4:$N$23,8,0)))</f>
        <v>38</v>
      </c>
      <c r="AA20" s="388" t="str">
        <f ca="1">IF(VLOOKUP(Calc!B15,Calc!$C$4:$O$23,13,0)=0,"",VLOOKUP(Calc!B15,Calc!$C$4:$O$23,13,0))</f>
        <v/>
      </c>
      <c r="AB20" s="423">
        <f ca="1">IFERROR(VLOOKUP(Q20,OFFSET(Calc_match_days!$W$4,($O$6-1)*27,,20,3),2,0),0)</f>
        <v>13</v>
      </c>
      <c r="AC20" s="375" t="str">
        <f ca="1">IF(IFERROR(VLOOKUP($Q20,Plan!$D$7:$E$26,2,0),0)=0,IF(LEN(Q20)&gt;Factors!$D$9,LEFT(Q20,Factors!$D$9)&amp;".",Q20),VLOOKUP($Q20,Plan!$D$7:$E$26,2,0))</f>
        <v>Gladbach</v>
      </c>
      <c r="AD20" s="419">
        <f ca="1">IFERROR(VLOOKUP(Q20,OFFSET(Calc_match_days!$W$4,($O$6-1)*27,,20,3),3,0),0)</f>
        <v>1</v>
      </c>
      <c r="AE20" s="419"/>
      <c r="AF20" s="217">
        <f t="shared" ca="1" si="0"/>
        <v>12</v>
      </c>
      <c r="AG20" s="218" t="str">
        <f t="shared" ca="1" si="1"/>
        <v>Borussia Mönchengladbach</v>
      </c>
      <c r="AH20" s="164" t="str">
        <f ca="1">IFERROR(VLOOKUP($Q20&amp;AH$8,Calc2!$J$4:$L$763,3,0),"")</f>
        <v>0 : 3</v>
      </c>
      <c r="AI20" s="158" t="str">
        <f ca="1">IFERROR(VLOOKUP($Q20&amp;AI$8,Calc2!$J$4:$L$763,3,0),"")</f>
        <v>0 : 2</v>
      </c>
      <c r="AJ20" s="158" t="str">
        <f ca="1">IFERROR(VLOOKUP($Q20&amp;AJ$8,Calc2!$J$4:$L$763,3,0),"")</f>
        <v>0 : 0</v>
      </c>
      <c r="AK20" s="158" t="str">
        <f ca="1">IFERROR(VLOOKUP($Q20&amp;AK$8,Calc2!$J$4:$L$763,3,0),"")</f>
        <v>0 : 1</v>
      </c>
      <c r="AL20" s="158" t="str">
        <f ca="1">IFERROR(VLOOKUP($Q20&amp;AL$8,Calc2!$J$4:$L$763,3,0),"")</f>
        <v>1 : 5</v>
      </c>
      <c r="AM20" s="158" t="str">
        <f ca="1">IFERROR(VLOOKUP($Q20&amp;AM$8,Calc2!$J$4:$L$763,3,0),"")</f>
        <v>1 : 1</v>
      </c>
      <c r="AN20" s="158" t="str">
        <f ca="1">IFERROR(VLOOKUP($Q20&amp;AN$8,Calc2!$J$4:$L$763,3,0),"")</f>
        <v>0 : 0</v>
      </c>
      <c r="AO20" s="158" t="str">
        <f ca="1">IFERROR(VLOOKUP($Q20&amp;AO$8,Calc2!$J$4:$L$763,3,0),"")</f>
        <v>4 : 6</v>
      </c>
      <c r="AP20" s="158" t="str">
        <f ca="1">IFERROR(VLOOKUP($Q20&amp;AP$8,Calc2!$J$4:$L$763,3,0),"")</f>
        <v>4 : 0</v>
      </c>
      <c r="AQ20" s="158" t="str">
        <f ca="1">IFERROR(VLOOKUP($Q20&amp;AQ$8,Calc2!$J$4:$L$763,3,0),"")</f>
        <v>1 : 0</v>
      </c>
      <c r="AR20" s="158" t="str">
        <f ca="1">IFERROR(VLOOKUP($Q20&amp;AR$8,Calc2!$J$4:$L$763,3,0),"")</f>
        <v>1 : 3</v>
      </c>
      <c r="AS20" s="165"/>
      <c r="AT20" s="158" t="str">
        <f ca="1">IFERROR(VLOOKUP($Q20&amp;AT$8,Calc2!$J$4:$L$763,3,0),"")</f>
        <v>0 : 0</v>
      </c>
      <c r="AU20" s="158" t="str">
        <f ca="1">IFERROR(VLOOKUP($Q20&amp;AU$8,Calc2!$J$4:$L$763,3,0),"")</f>
        <v>3 : 1</v>
      </c>
      <c r="AV20" s="158" t="str">
        <f ca="1">IFERROR(VLOOKUP($Q20&amp;AV$8,Calc2!$J$4:$L$763,3,0),"")</f>
        <v>0 : 4</v>
      </c>
      <c r="AW20" s="158" t="str">
        <f ca="1">IFERROR(VLOOKUP($Q20&amp;AW$8,Calc2!$J$4:$L$763,3,0),"")</f>
        <v>1 : 3</v>
      </c>
      <c r="AX20" s="158" t="str">
        <f ca="1">IFERROR(VLOOKUP($Q20&amp;AX$8,Calc2!$J$4:$L$763,3,0),"")</f>
        <v>3 : 0</v>
      </c>
      <c r="AY20" s="158" t="str">
        <f ca="1">IFERROR(VLOOKUP($Q20&amp;AY$8,Calc2!$J$4:$L$763,3,0),"")</f>
        <v>4 : 0</v>
      </c>
      <c r="AZ20" s="158" t="str">
        <f ca="1">IFERROR(VLOOKUP($Q20&amp;AZ$8,Calc2!$J$4:$L$763,3,0),"")</f>
        <v/>
      </c>
      <c r="BA20" s="166" t="str">
        <f ca="1">IFERROR(VLOOKUP($Q20&amp;BA$8,Calc2!$J$4:$L$763,3,0),"")</f>
        <v/>
      </c>
      <c r="BB20" s="213"/>
      <c r="BC20" s="426">
        <v>12</v>
      </c>
      <c r="BD20" s="426">
        <f t="array" aca="1" ref="BD20" ca="1">SUM((OFFSET($I$9,(BC20-1)*Calc!$F$26,0,Calc!$F$26)&lt;&gt;"")*(OFFSET($K$9,(BC20-1)*Calc!$F$26,0,Calc!$F$26)&lt;&gt;""))</f>
        <v>9</v>
      </c>
      <c r="BE20" s="426"/>
      <c r="BF20" s="426"/>
      <c r="BG20" s="426">
        <f t="shared" ca="1" si="3"/>
        <v>12</v>
      </c>
    </row>
    <row r="21" spans="2:59" ht="15.95" customHeight="1" x14ac:dyDescent="0.2">
      <c r="B21" s="278" t="str">
        <f>IF(Calc!$F$26=0,"",IF(OR($C21&gt;Calc!$B$24,MOD($C21-1,Calc!$F$26)&gt;0),"",QUOTIENT($C21-1,Calc!$F$26)+1))</f>
        <v/>
      </c>
      <c r="C21" s="274">
        <v>13</v>
      </c>
      <c r="D21" s="154">
        <f>IF(Plan!$T19="","",Plan!$T19)</f>
        <v>45899</v>
      </c>
      <c r="E21" s="155">
        <f>IF(Plan!$U19="","",Plan!$U19)</f>
        <v>0.64583333333333337</v>
      </c>
      <c r="F21" s="175" t="str">
        <f>Plan!$Q19</f>
        <v>RB Leipzig</v>
      </c>
      <c r="G21" s="176" t="s">
        <v>4</v>
      </c>
      <c r="H21" s="175" t="str">
        <f>Plan!$S19</f>
        <v>1. FC Heidenheim 1846</v>
      </c>
      <c r="I21" s="177">
        <v>2</v>
      </c>
      <c r="J21" s="178" t="str">
        <f>Language!$E$65</f>
        <v xml:space="preserve"> : </v>
      </c>
      <c r="K21" s="179">
        <v>0</v>
      </c>
      <c r="L21" s="383"/>
      <c r="M21" s="384"/>
      <c r="N21" s="412"/>
      <c r="O21" s="415" t="str">
        <f t="shared" ca="1" si="2"/>
        <v>¤</v>
      </c>
      <c r="P21" s="221">
        <f ca="1">IF(Calc!$K$24=0,"",IF(VLOOKUP(Calc!B16,Calc!$C$4:$E$23,3,0)=MAX(P$9:P20),VLOOKUP(Calc!B16,Calc!$C$4:$E$23,3,0),Calc!B16))</f>
        <v>13</v>
      </c>
      <c r="Q21" s="218" t="str">
        <f ca="1">IF(Calc!$K$24=0,Calc2!$C16,VLOOKUP(Calc!B16,Calc!$C$4:$N$23,4,0))</f>
        <v>Hamburger SV</v>
      </c>
      <c r="R21" s="164">
        <f ca="1">IF(Calc!$K$24=0,"",VLOOKUP(Calc!B16,Calc!$C$4:$N$23,9,0))</f>
        <v>34</v>
      </c>
      <c r="S21" s="158">
        <f ca="1">IF(Calc!$K$24=0,"",IF($R21=0,"",VLOOKUP(Calc!B16,Calc!$C$4:$N$23,10,0)))</f>
        <v>9</v>
      </c>
      <c r="T21" s="158">
        <f ca="1">IF(Calc!$K$24=0,"",IF($R21=0,"",VLOOKUP(Calc!B16,Calc!$C$4:$N$23,11,0)))</f>
        <v>11</v>
      </c>
      <c r="U21" s="159">
        <f ca="1">IF(Calc!$K$24=0,"",IF($R21=0,"",VLOOKUP(Calc!B16,Calc!$C$4:$N$23,12,0)))</f>
        <v>14</v>
      </c>
      <c r="V21" s="160">
        <f ca="1">IF(Calc!$K$24=0,"",IF($R21=0,"",VLOOKUP(Calc!B16,Calc!$C$4:$N$23,5,0)))</f>
        <v>40</v>
      </c>
      <c r="W21" s="161" t="str">
        <f>Language!$E$65</f>
        <v xml:space="preserve"> : </v>
      </c>
      <c r="X21" s="162">
        <f ca="1">IF(Calc!$K$24=0,"",IF($R21=0,"",VLOOKUP(Calc!B16,Calc!$C$4:$N$23,6,0)))</f>
        <v>54</v>
      </c>
      <c r="Y21" s="294">
        <f ca="1">IF(Calc!$K$24=0,"",IF($R21=0,"",VLOOKUP(Calc!B16,Calc!$C$4:$N$23,7,0)))</f>
        <v>-14</v>
      </c>
      <c r="Z21" s="163">
        <f ca="1">IF(Calc!$K$24=0,"",IF($R21=0,"",VLOOKUP(Calc!B16,Calc!$C$4:$N$23,8,0)))</f>
        <v>38</v>
      </c>
      <c r="AA21" s="388" t="str">
        <f ca="1">IF(VLOOKUP(Calc!B16,Calc!$C$4:$O$23,13,0)=0,"",VLOOKUP(Calc!B16,Calc!$C$4:$O$23,13,0))</f>
        <v/>
      </c>
      <c r="AB21" s="423">
        <f ca="1">IFERROR(VLOOKUP(Q21,OFFSET(Calc_match_days!$W$4,($O$6-1)*27,,20,3),2,0),0)</f>
        <v>11</v>
      </c>
      <c r="AC21" s="375" t="str">
        <f ca="1">IF(IFERROR(VLOOKUP($Q21,Plan!$D$7:$E$26,2,0),0)=0,IF(LEN(Q21)&gt;Factors!$D$9,LEFT(Q21,Factors!$D$9)&amp;".",Q21),VLOOKUP($Q21,Plan!$D$7:$E$26,2,0))</f>
        <v>HSV</v>
      </c>
      <c r="AD21" s="419">
        <f ca="1">IFERROR(VLOOKUP(Q21,OFFSET(Calc_match_days!$W$4,($O$6-1)*27,,20,3),3,0),0)</f>
        <v>-1</v>
      </c>
      <c r="AE21" s="419"/>
      <c r="AF21" s="217">
        <f t="shared" ca="1" si="0"/>
        <v>13</v>
      </c>
      <c r="AG21" s="218" t="str">
        <f t="shared" ca="1" si="1"/>
        <v>Hamburger SV</v>
      </c>
      <c r="AH21" s="164" t="str">
        <f ca="1">IFERROR(VLOOKUP($Q21&amp;AH$8,Calc2!$J$4:$L$763,3,0),"")</f>
        <v>0 : 5</v>
      </c>
      <c r="AI21" s="158" t="str">
        <f ca="1">IFERROR(VLOOKUP($Q21&amp;AI$8,Calc2!$J$4:$L$763,3,0),"")</f>
        <v>1 : 1</v>
      </c>
      <c r="AJ21" s="158" t="str">
        <f ca="1">IFERROR(VLOOKUP($Q21&amp;AJ$8,Calc2!$J$4:$L$763,3,0),"")</f>
        <v>1 : 2</v>
      </c>
      <c r="AK21" s="158" t="str">
        <f ca="1">IFERROR(VLOOKUP($Q21&amp;AK$8,Calc2!$J$4:$L$763,3,0),"")</f>
        <v>2 : 1</v>
      </c>
      <c r="AL21" s="158" t="str">
        <f ca="1">IFERROR(VLOOKUP($Q21&amp;AL$8,Calc2!$J$4:$L$763,3,0),"")</f>
        <v>1 : 4</v>
      </c>
      <c r="AM21" s="158" t="str">
        <f ca="1">IFERROR(VLOOKUP($Q21&amp;AM$8,Calc2!$J$4:$L$763,3,0),"")</f>
        <v>0 : 1</v>
      </c>
      <c r="AN21" s="158" t="str">
        <f ca="1">IFERROR(VLOOKUP($Q21&amp;AN$8,Calc2!$J$4:$L$763,3,0),"")</f>
        <v>1 : 2</v>
      </c>
      <c r="AO21" s="158" t="str">
        <f ca="1">IFERROR(VLOOKUP($Q21&amp;AO$8,Calc2!$J$4:$L$763,3,0),"")</f>
        <v>1 : 1</v>
      </c>
      <c r="AP21" s="158" t="str">
        <f ca="1">IFERROR(VLOOKUP($Q21&amp;AP$8,Calc2!$J$4:$L$763,3,0),"")</f>
        <v>0 : 1</v>
      </c>
      <c r="AQ21" s="158" t="str">
        <f ca="1">IFERROR(VLOOKUP($Q21&amp;AQ$8,Calc2!$J$4:$L$763,3,0),"")</f>
        <v>4 : 0</v>
      </c>
      <c r="AR21" s="158" t="str">
        <f ca="1">IFERROR(VLOOKUP($Q21&amp;AR$8,Calc2!$J$4:$L$763,3,0),"")</f>
        <v>0 : 0</v>
      </c>
      <c r="AS21" s="158" t="str">
        <f ca="1">IFERROR(VLOOKUP($Q21&amp;AS$8,Calc2!$J$4:$L$763,3,0),"")</f>
        <v>0 : 0</v>
      </c>
      <c r="AT21" s="165"/>
      <c r="AU21" s="158" t="str">
        <f ca="1">IFERROR(VLOOKUP($Q21&amp;AU$8,Calc2!$J$4:$L$763,3,0),"")</f>
        <v>1 : 4</v>
      </c>
      <c r="AV21" s="158" t="str">
        <f ca="1">IFERROR(VLOOKUP($Q21&amp;AV$8,Calc2!$J$4:$L$763,3,0),"")</f>
        <v>3 : 2</v>
      </c>
      <c r="AW21" s="158" t="str">
        <f ca="1">IFERROR(VLOOKUP($Q21&amp;AW$8,Calc2!$J$4:$L$763,3,0),"")</f>
        <v>0 : 1</v>
      </c>
      <c r="AX21" s="158" t="str">
        <f ca="1">IFERROR(VLOOKUP($Q21&amp;AX$8,Calc2!$J$4:$L$763,3,0),"")</f>
        <v>2 : 1</v>
      </c>
      <c r="AY21" s="158" t="str">
        <f ca="1">IFERROR(VLOOKUP($Q21&amp;AY$8,Calc2!$J$4:$L$763,3,0),"")</f>
        <v>0 : 2</v>
      </c>
      <c r="AZ21" s="158" t="str">
        <f ca="1">IFERROR(VLOOKUP($Q21&amp;AZ$8,Calc2!$J$4:$L$763,3,0),"")</f>
        <v/>
      </c>
      <c r="BA21" s="166" t="str">
        <f ca="1">IFERROR(VLOOKUP($Q21&amp;BA$8,Calc2!$J$4:$L$763,3,0),"")</f>
        <v/>
      </c>
      <c r="BB21" s="213"/>
      <c r="BC21" s="426">
        <v>13</v>
      </c>
      <c r="BD21" s="426">
        <f t="array" aca="1" ref="BD21" ca="1">SUM((OFFSET($I$9,(BC21-1)*Calc!$F$26,0,Calc!$F$26)&lt;&gt;"")*(OFFSET($K$9,(BC21-1)*Calc!$F$26,0,Calc!$F$26)&lt;&gt;""))</f>
        <v>9</v>
      </c>
      <c r="BE21" s="426"/>
      <c r="BF21" s="426"/>
      <c r="BG21" s="426">
        <f t="shared" ca="1" si="3"/>
        <v>13</v>
      </c>
    </row>
    <row r="22" spans="2:59" ht="15.95" customHeight="1" x14ac:dyDescent="0.2">
      <c r="B22" s="278" t="str">
        <f>IF(Calc!$F$26=0,"",IF(OR($C22&gt;Calc!$B$24,MOD($C22-1,Calc!$F$26)&gt;0),"",QUOTIENT($C22-1,Calc!$F$26)+1))</f>
        <v/>
      </c>
      <c r="C22" s="274">
        <v>14</v>
      </c>
      <c r="D22" s="154">
        <f>IF(Plan!$T20="","",Plan!$T20)</f>
        <v>45899</v>
      </c>
      <c r="E22" s="155">
        <f>IF(Plan!$U20="","",Plan!$U20)</f>
        <v>0.64583333333333337</v>
      </c>
      <c r="F22" s="175" t="str">
        <f>Plan!$Q20</f>
        <v>SV Werder Bremen</v>
      </c>
      <c r="G22" s="176" t="s">
        <v>4</v>
      </c>
      <c r="H22" s="175" t="str">
        <f>Plan!$S20</f>
        <v>Bayer 04 Leverkusen</v>
      </c>
      <c r="I22" s="177">
        <v>3</v>
      </c>
      <c r="J22" s="178" t="str">
        <f>Language!$E$65</f>
        <v xml:space="preserve"> : </v>
      </c>
      <c r="K22" s="179">
        <v>3</v>
      </c>
      <c r="L22" s="383"/>
      <c r="M22" s="384"/>
      <c r="N22" s="412"/>
      <c r="O22" s="415" t="str">
        <f t="shared" ca="1" si="2"/>
        <v>¬</v>
      </c>
      <c r="P22" s="221">
        <f ca="1">IF(Calc!$K$24=0,"",IF(VLOOKUP(Calc!B17,Calc!$C$4:$E$23,3,0)=MAX(P$9:P21),VLOOKUP(Calc!B17,Calc!$C$4:$E$23,3,0),Calc!B17))</f>
        <v>14</v>
      </c>
      <c r="Q22" s="218" t="str">
        <f ca="1">IF(Calc!$K$24=0,Calc2!$C17,VLOOKUP(Calc!B17,Calc!$C$4:$N$23,4,0))</f>
        <v>1. FC Köln</v>
      </c>
      <c r="R22" s="164">
        <f ca="1">IF(Calc!$K$24=0,"",VLOOKUP(Calc!B17,Calc!$C$4:$N$23,9,0))</f>
        <v>34</v>
      </c>
      <c r="S22" s="158">
        <f ca="1">IF(Calc!$K$24=0,"",IF($R22=0,"",VLOOKUP(Calc!B17,Calc!$C$4:$N$23,10,0)))</f>
        <v>7</v>
      </c>
      <c r="T22" s="158">
        <f ca="1">IF(Calc!$K$24=0,"",IF($R22=0,"",VLOOKUP(Calc!B17,Calc!$C$4:$N$23,11,0)))</f>
        <v>11</v>
      </c>
      <c r="U22" s="159">
        <f ca="1">IF(Calc!$K$24=0,"",IF($R22=0,"",VLOOKUP(Calc!B17,Calc!$C$4:$N$23,12,0)))</f>
        <v>16</v>
      </c>
      <c r="V22" s="160">
        <f ca="1">IF(Calc!$K$24=0,"",IF($R22=0,"",VLOOKUP(Calc!B17,Calc!$C$4:$N$23,5,0)))</f>
        <v>49</v>
      </c>
      <c r="W22" s="161" t="str">
        <f>Language!$E$65</f>
        <v xml:space="preserve"> : </v>
      </c>
      <c r="X22" s="162">
        <f ca="1">IF(Calc!$K$24=0,"",IF($R22=0,"",VLOOKUP(Calc!B17,Calc!$C$4:$N$23,6,0)))</f>
        <v>63</v>
      </c>
      <c r="Y22" s="294">
        <f ca="1">IF(Calc!$K$24=0,"",IF($R22=0,"",VLOOKUP(Calc!B17,Calc!$C$4:$N$23,7,0)))</f>
        <v>-14</v>
      </c>
      <c r="Z22" s="163">
        <f ca="1">IF(Calc!$K$24=0,"",IF($R22=0,"",VLOOKUP(Calc!B17,Calc!$C$4:$N$23,8,0)))</f>
        <v>32</v>
      </c>
      <c r="AA22" s="388" t="str">
        <f ca="1">IF(VLOOKUP(Calc!B17,Calc!$C$4:$O$23,13,0)=0,"",VLOOKUP(Calc!B17,Calc!$C$4:$O$23,13,0))</f>
        <v/>
      </c>
      <c r="AB22" s="423">
        <f ca="1">IFERROR(VLOOKUP(Q22,OFFSET(Calc_match_days!$W$4,($O$6-1)*27,,20,3),2,0),0)</f>
        <v>14</v>
      </c>
      <c r="AC22" s="375" t="str">
        <f ca="1">IF(IFERROR(VLOOKUP($Q22,Plan!$D$7:$E$26,2,0),0)=0,IF(LEN(Q22)&gt;Factors!$D$9,LEFT(Q22,Factors!$D$9)&amp;".",Q22),VLOOKUP($Q22,Plan!$D$7:$E$26,2,0))</f>
        <v>Köln</v>
      </c>
      <c r="AD22" s="419">
        <f ca="1">IFERROR(VLOOKUP(Q22,OFFSET(Calc_match_days!$W$4,($O$6-1)*27,,20,3),3,0),0)</f>
        <v>0</v>
      </c>
      <c r="AE22" s="419"/>
      <c r="AF22" s="217">
        <f t="shared" ca="1" si="0"/>
        <v>14</v>
      </c>
      <c r="AG22" s="218" t="str">
        <f t="shared" ca="1" si="1"/>
        <v>1. FC Köln</v>
      </c>
      <c r="AH22" s="164" t="str">
        <f ca="1">IFERROR(VLOOKUP($Q22&amp;AH$8,Calc2!$J$4:$L$763,3,0),"")</f>
        <v>1 : 3</v>
      </c>
      <c r="AI22" s="158" t="str">
        <f ca="1">IFERROR(VLOOKUP($Q22&amp;AI$8,Calc2!$J$4:$L$763,3,0),"")</f>
        <v>0 : 1</v>
      </c>
      <c r="AJ22" s="158" t="str">
        <f ca="1">IFERROR(VLOOKUP($Q22&amp;AJ$8,Calc2!$J$4:$L$763,3,0),"")</f>
        <v>1 : 3</v>
      </c>
      <c r="AK22" s="158" t="str">
        <f ca="1">IFERROR(VLOOKUP($Q22&amp;AK$8,Calc2!$J$4:$L$763,3,0),"")</f>
        <v>1 : 2</v>
      </c>
      <c r="AL22" s="158" t="str">
        <f ca="1">IFERROR(VLOOKUP($Q22&amp;AL$8,Calc2!$J$4:$L$763,3,0),"")</f>
        <v>1 : 0</v>
      </c>
      <c r="AM22" s="158" t="str">
        <f ca="1">IFERROR(VLOOKUP($Q22&amp;AM$8,Calc2!$J$4:$L$763,3,0),"")</f>
        <v>0 : 2</v>
      </c>
      <c r="AN22" s="158" t="str">
        <f ca="1">IFERROR(VLOOKUP($Q22&amp;AN$8,Calc2!$J$4:$L$763,3,0),"")</f>
        <v>4 : 1</v>
      </c>
      <c r="AO22" s="158" t="str">
        <f ca="1">IFERROR(VLOOKUP($Q22&amp;AO$8,Calc2!$J$4:$L$763,3,0),"")</f>
        <v>3 : 4</v>
      </c>
      <c r="AP22" s="158" t="str">
        <f ca="1">IFERROR(VLOOKUP($Q22&amp;AP$8,Calc2!$J$4:$L$763,3,0),"")</f>
        <v>1 : 1</v>
      </c>
      <c r="AQ22" s="158" t="str">
        <f ca="1">IFERROR(VLOOKUP($Q22&amp;AQ$8,Calc2!$J$4:$L$763,3,0),"")</f>
        <v>1 : 0</v>
      </c>
      <c r="AR22" s="158" t="str">
        <f ca="1">IFERROR(VLOOKUP($Q22&amp;AR$8,Calc2!$J$4:$L$763,3,0),"")</f>
        <v>0 : 1</v>
      </c>
      <c r="AS22" s="158" t="str">
        <f ca="1">IFERROR(VLOOKUP($Q22&amp;AS$8,Calc2!$J$4:$L$763,3,0),"")</f>
        <v>1 : 3</v>
      </c>
      <c r="AT22" s="158" t="str">
        <f ca="1">IFERROR(VLOOKUP($Q22&amp;AT$8,Calc2!$J$4:$L$763,3,0),"")</f>
        <v>4 : 1</v>
      </c>
      <c r="AU22" s="165"/>
      <c r="AV22" s="158" t="str">
        <f ca="1">IFERROR(VLOOKUP($Q22&amp;AV$8,Calc2!$J$4:$L$763,3,0),"")</f>
        <v>1 : 1</v>
      </c>
      <c r="AW22" s="158" t="str">
        <f ca="1">IFERROR(VLOOKUP($Q22&amp;AW$8,Calc2!$J$4:$L$763,3,0),"")</f>
        <v>3 : 3</v>
      </c>
      <c r="AX22" s="158" t="str">
        <f ca="1">IFERROR(VLOOKUP($Q22&amp;AX$8,Calc2!$J$4:$L$763,3,0),"")</f>
        <v>2 : 2</v>
      </c>
      <c r="AY22" s="158" t="str">
        <f ca="1">IFERROR(VLOOKUP($Q22&amp;AY$8,Calc2!$J$4:$L$763,3,0),"")</f>
        <v>1 : 1</v>
      </c>
      <c r="AZ22" s="158" t="str">
        <f ca="1">IFERROR(VLOOKUP($Q22&amp;AZ$8,Calc2!$J$4:$L$763,3,0),"")</f>
        <v/>
      </c>
      <c r="BA22" s="166" t="str">
        <f ca="1">IFERROR(VLOOKUP($Q22&amp;BA$8,Calc2!$J$4:$L$763,3,0),"")</f>
        <v/>
      </c>
      <c r="BB22" s="213"/>
      <c r="BC22" s="426">
        <v>14</v>
      </c>
      <c r="BD22" s="426">
        <f t="array" aca="1" ref="BD22" ca="1">SUM((OFFSET($I$9,(BC22-1)*Calc!$F$26,0,Calc!$F$26)&lt;&gt;"")*(OFFSET($K$9,(BC22-1)*Calc!$F$26,0,Calc!$F$26)&lt;&gt;""))</f>
        <v>9</v>
      </c>
      <c r="BE22" s="426"/>
      <c r="BF22" s="426"/>
      <c r="BG22" s="426">
        <f t="shared" ca="1" si="3"/>
        <v>14</v>
      </c>
    </row>
    <row r="23" spans="2:59" ht="15.95" customHeight="1" x14ac:dyDescent="0.2">
      <c r="B23" s="278" t="str">
        <f>IF(Calc!$F$26=0,"",IF(OR($C23&gt;Calc!$B$24,MOD($C23-1,Calc!$F$26)&gt;0),"",QUOTIENT($C23-1,Calc!$F$26)+1))</f>
        <v/>
      </c>
      <c r="C23" s="274">
        <v>15</v>
      </c>
      <c r="D23" s="154">
        <f>IF(Plan!$T21="","",Plan!$T21)</f>
        <v>45899</v>
      </c>
      <c r="E23" s="155">
        <f>IF(Plan!$U21="","",Plan!$U21)</f>
        <v>0.77083333333333337</v>
      </c>
      <c r="F23" s="175" t="str">
        <f>Plan!$Q21</f>
        <v>FC Augsburg</v>
      </c>
      <c r="G23" s="176" t="s">
        <v>4</v>
      </c>
      <c r="H23" s="175" t="str">
        <f>Plan!$S21</f>
        <v>FC Bayern München</v>
      </c>
      <c r="I23" s="177">
        <v>2</v>
      </c>
      <c r="J23" s="178" t="str">
        <f>Language!$E$65</f>
        <v xml:space="preserve"> : </v>
      </c>
      <c r="K23" s="179">
        <v>3</v>
      </c>
      <c r="L23" s="383"/>
      <c r="M23" s="384"/>
      <c r="N23" s="412"/>
      <c r="O23" s="415" t="str">
        <f t="shared" ca="1" si="2"/>
        <v>¬</v>
      </c>
      <c r="P23" s="221">
        <f ca="1">IF(Calc!$K$24=0,"",IF(VLOOKUP(Calc!B18,Calc!$C$4:$E$23,3,0)=MAX(P$9:P22),VLOOKUP(Calc!B18,Calc!$C$4:$E$23,3,0),Calc!B18))</f>
        <v>15</v>
      </c>
      <c r="Q23" s="218" t="str">
        <f ca="1">IF(Calc!$K$24=0,Calc2!$C18,VLOOKUP(Calc!B18,Calc!$C$4:$N$23,4,0))</f>
        <v>SV Werder Bremen</v>
      </c>
      <c r="R23" s="164">
        <f ca="1">IF(Calc!$K$24=0,"",VLOOKUP(Calc!B18,Calc!$C$4:$N$23,9,0))</f>
        <v>34</v>
      </c>
      <c r="S23" s="158">
        <f ca="1">IF(Calc!$K$24=0,"",IF($R23=0,"",VLOOKUP(Calc!B18,Calc!$C$4:$N$23,10,0)))</f>
        <v>8</v>
      </c>
      <c r="T23" s="158">
        <f ca="1">IF(Calc!$K$24=0,"",IF($R23=0,"",VLOOKUP(Calc!B18,Calc!$C$4:$N$23,11,0)))</f>
        <v>8</v>
      </c>
      <c r="U23" s="159">
        <f ca="1">IF(Calc!$K$24=0,"",IF($R23=0,"",VLOOKUP(Calc!B18,Calc!$C$4:$N$23,12,0)))</f>
        <v>18</v>
      </c>
      <c r="V23" s="160">
        <f ca="1">IF(Calc!$K$24=0,"",IF($R23=0,"",VLOOKUP(Calc!B18,Calc!$C$4:$N$23,5,0)))</f>
        <v>37</v>
      </c>
      <c r="W23" s="161" t="str">
        <f>Language!$E$65</f>
        <v xml:space="preserve"> : </v>
      </c>
      <c r="X23" s="162">
        <f ca="1">IF(Calc!$K$24=0,"",IF($R23=0,"",VLOOKUP(Calc!B18,Calc!$C$4:$N$23,6,0)))</f>
        <v>60</v>
      </c>
      <c r="Y23" s="294">
        <f ca="1">IF(Calc!$K$24=0,"",IF($R23=0,"",VLOOKUP(Calc!B18,Calc!$C$4:$N$23,7,0)))</f>
        <v>-23</v>
      </c>
      <c r="Z23" s="163">
        <f ca="1">IF(Calc!$K$24=0,"",IF($R23=0,"",VLOOKUP(Calc!B18,Calc!$C$4:$N$23,8,0)))</f>
        <v>32</v>
      </c>
      <c r="AA23" s="388" t="str">
        <f ca="1">IF(VLOOKUP(Calc!B18,Calc!$C$4:$O$23,13,0)=0,"",VLOOKUP(Calc!B18,Calc!$C$4:$O$23,13,0))</f>
        <v/>
      </c>
      <c r="AB23" s="423">
        <f ca="1">IFERROR(VLOOKUP(Q23,OFFSET(Calc_match_days!$W$4,($O$6-1)*27,,20,3),2,0),0)</f>
        <v>15</v>
      </c>
      <c r="AC23" s="375" t="str">
        <f ca="1">IF(IFERROR(VLOOKUP($Q23,Plan!$D$7:$E$26,2,0),0)=0,IF(LEN(Q23)&gt;Factors!$D$9,LEFT(Q23,Factors!$D$9)&amp;".",Q23),VLOOKUP($Q23,Plan!$D$7:$E$26,2,0))</f>
        <v>Bremen</v>
      </c>
      <c r="AD23" s="419">
        <f ca="1">IFERROR(VLOOKUP(Q23,OFFSET(Calc_match_days!$W$4,($O$6-1)*27,,20,3),3,0),0)</f>
        <v>0</v>
      </c>
      <c r="AE23" s="419"/>
      <c r="AF23" s="217">
        <f t="shared" ca="1" si="0"/>
        <v>15</v>
      </c>
      <c r="AG23" s="218" t="str">
        <f t="shared" ca="1" si="1"/>
        <v>SV Werder Bremen</v>
      </c>
      <c r="AH23" s="164" t="str">
        <f ca="1">IFERROR(VLOOKUP($Q23&amp;AH$8,Calc2!$J$4:$L$763,3,0),"")</f>
        <v>0 : 4</v>
      </c>
      <c r="AI23" s="158" t="str">
        <f ca="1">IFERROR(VLOOKUP($Q23&amp;AI$8,Calc2!$J$4:$L$763,3,0),"")</f>
        <v>0 : 3</v>
      </c>
      <c r="AJ23" s="158" t="str">
        <f ca="1">IFERROR(VLOOKUP($Q23&amp;AJ$8,Calc2!$J$4:$L$763,3,0),"")</f>
        <v>0 : 2</v>
      </c>
      <c r="AK23" s="158" t="str">
        <f ca="1">IFERROR(VLOOKUP($Q23&amp;AK$8,Calc2!$J$4:$L$763,3,0),"")</f>
        <v>0 : 4</v>
      </c>
      <c r="AL23" s="158" t="str">
        <f ca="1">IFERROR(VLOOKUP($Q23&amp;AL$8,Calc2!$J$4:$L$763,3,0),"")</f>
        <v>0 : 2</v>
      </c>
      <c r="AM23" s="158" t="str">
        <f ca="1">IFERROR(VLOOKUP($Q23&amp;AM$8,Calc2!$J$4:$L$763,3,0),"")</f>
        <v>3 : 3</v>
      </c>
      <c r="AN23" s="158" t="str">
        <f ca="1">IFERROR(VLOOKUP($Q23&amp;AN$8,Calc2!$J$4:$L$763,3,0),"")</f>
        <v>0 : 3</v>
      </c>
      <c r="AO23" s="158" t="str">
        <f ca="1">IFERROR(VLOOKUP($Q23&amp;AO$8,Calc2!$J$4:$L$763,3,0),"")</f>
        <v>1 : 4</v>
      </c>
      <c r="AP23" s="158" t="str">
        <f ca="1">IFERROR(VLOOKUP($Q23&amp;AP$8,Calc2!$J$4:$L$763,3,0),"")</f>
        <v>0 : 0</v>
      </c>
      <c r="AQ23" s="158" t="str">
        <f ca="1">IFERROR(VLOOKUP($Q23&amp;AQ$8,Calc2!$J$4:$L$763,3,0),"")</f>
        <v>1 : 1</v>
      </c>
      <c r="AR23" s="158" t="str">
        <f ca="1">IFERROR(VLOOKUP($Q23&amp;AR$8,Calc2!$J$4:$L$763,3,0),"")</f>
        <v>1 : 0</v>
      </c>
      <c r="AS23" s="158" t="str">
        <f ca="1">IFERROR(VLOOKUP($Q23&amp;AS$8,Calc2!$J$4:$L$763,3,0),"")</f>
        <v>4 : 0</v>
      </c>
      <c r="AT23" s="158" t="str">
        <f ca="1">IFERROR(VLOOKUP($Q23&amp;AT$8,Calc2!$J$4:$L$763,3,0),"")</f>
        <v>2 : 3</v>
      </c>
      <c r="AU23" s="158" t="str">
        <f ca="1">IFERROR(VLOOKUP($Q23&amp;AU$8,Calc2!$J$4:$L$763,3,0),"")</f>
        <v>1 : 1</v>
      </c>
      <c r="AV23" s="165"/>
      <c r="AW23" s="158" t="str">
        <f ca="1">IFERROR(VLOOKUP($Q23&amp;AW$8,Calc2!$J$4:$L$763,3,0),"")</f>
        <v>2 : 1</v>
      </c>
      <c r="AX23" s="158" t="str">
        <f ca="1">IFERROR(VLOOKUP($Q23&amp;AX$8,Calc2!$J$4:$L$763,3,0),"")</f>
        <v>2 : 2</v>
      </c>
      <c r="AY23" s="158" t="str">
        <f ca="1">IFERROR(VLOOKUP($Q23&amp;AY$8,Calc2!$J$4:$L$763,3,0),"")</f>
        <v>1 : 0</v>
      </c>
      <c r="AZ23" s="158" t="str">
        <f ca="1">IFERROR(VLOOKUP($Q23&amp;AZ$8,Calc2!$J$4:$L$763,3,0),"")</f>
        <v/>
      </c>
      <c r="BA23" s="166" t="str">
        <f ca="1">IFERROR(VLOOKUP($Q23&amp;BA$8,Calc2!$J$4:$L$763,3,0),"")</f>
        <v/>
      </c>
      <c r="BB23" s="213"/>
      <c r="BC23" s="426">
        <v>15</v>
      </c>
      <c r="BD23" s="426">
        <f t="array" aca="1" ref="BD23" ca="1">SUM((OFFSET($I$9,(BC23-1)*Calc!$F$26,0,Calc!$F$26)&lt;&gt;"")*(OFFSET($K$9,(BC23-1)*Calc!$F$26,0,Calc!$F$26)&lt;&gt;""))</f>
        <v>9</v>
      </c>
      <c r="BE23" s="426"/>
      <c r="BF23" s="426"/>
      <c r="BG23" s="426">
        <f t="shared" ca="1" si="3"/>
        <v>15</v>
      </c>
    </row>
    <row r="24" spans="2:59" ht="15.95" customHeight="1" x14ac:dyDescent="0.2">
      <c r="B24" s="278" t="str">
        <f>IF(Calc!$F$26=0,"",IF(OR($C24&gt;Calc!$B$24,MOD($C24-1,Calc!$F$26)&gt;0),"",QUOTIENT($C24-1,Calc!$F$26)+1))</f>
        <v/>
      </c>
      <c r="C24" s="274">
        <v>16</v>
      </c>
      <c r="D24" s="154">
        <f>IF(Plan!$T22="","",Plan!$T22)</f>
        <v>45900</v>
      </c>
      <c r="E24" s="155">
        <f>IF(Plan!$U22="","",Plan!$U22)</f>
        <v>0.64583333333333337</v>
      </c>
      <c r="F24" s="175" t="str">
        <f>Plan!$Q22</f>
        <v>VfL Wolfsburg</v>
      </c>
      <c r="G24" s="176" t="s">
        <v>4</v>
      </c>
      <c r="H24" s="175" t="str">
        <f>Plan!$S22</f>
        <v>1. FSV Mainz 05</v>
      </c>
      <c r="I24" s="177">
        <v>1</v>
      </c>
      <c r="J24" s="178" t="str">
        <f>Language!$E$65</f>
        <v xml:space="preserve"> : </v>
      </c>
      <c r="K24" s="179">
        <v>1</v>
      </c>
      <c r="L24" s="383"/>
      <c r="M24" s="384"/>
      <c r="N24" s="412" t="s">
        <v>494</v>
      </c>
      <c r="O24" s="415" t="str">
        <f t="shared" ca="1" si="2"/>
        <v>¬</v>
      </c>
      <c r="P24" s="310">
        <f ca="1">IF(Calc!$K$24=0,"",IF(VLOOKUP(Calc!B19,Calc!$C$4:$E$23,3,0)=MAX(P$9:P23),VLOOKUP(Calc!B19,Calc!$C$4:$E$23,3,0),Calc!B19))</f>
        <v>16</v>
      </c>
      <c r="Q24" s="311" t="str">
        <f ca="1">IF(Calc!$K$24=0,Calc2!$C19,VLOOKUP(Calc!B19,Calc!$C$4:$N$23,4,0))</f>
        <v>VfL Wolfsburg</v>
      </c>
      <c r="R24" s="312">
        <f ca="1">IF(Calc!$K$24=0,"",VLOOKUP(Calc!B19,Calc!$C$4:$N$23,9,0))</f>
        <v>34</v>
      </c>
      <c r="S24" s="313">
        <f ca="1">IF(Calc!$K$24=0,"",IF($R24=0,"",VLOOKUP(Calc!B19,Calc!$C$4:$N$23,10,0)))</f>
        <v>7</v>
      </c>
      <c r="T24" s="313">
        <f ca="1">IF(Calc!$K$24=0,"",IF($R24=0,"",VLOOKUP(Calc!B19,Calc!$C$4:$N$23,11,0)))</f>
        <v>8</v>
      </c>
      <c r="U24" s="314">
        <f ca="1">IF(Calc!$K$24=0,"",IF($R24=0,"",VLOOKUP(Calc!B19,Calc!$C$4:$N$23,12,0)))</f>
        <v>19</v>
      </c>
      <c r="V24" s="315">
        <f ca="1">IF(Calc!$K$24=0,"",IF($R24=0,"",VLOOKUP(Calc!B19,Calc!$C$4:$N$23,5,0)))</f>
        <v>45</v>
      </c>
      <c r="W24" s="316" t="str">
        <f>Language!$E$65</f>
        <v xml:space="preserve"> : </v>
      </c>
      <c r="X24" s="317">
        <f ca="1">IF(Calc!$K$24=0,"",IF($R24=0,"",VLOOKUP(Calc!B19,Calc!$C$4:$N$23,6,0)))</f>
        <v>69</v>
      </c>
      <c r="Y24" s="318">
        <f ca="1">IF(Calc!$K$24=0,"",IF($R24=0,"",VLOOKUP(Calc!B19,Calc!$C$4:$N$23,7,0)))</f>
        <v>-24</v>
      </c>
      <c r="Z24" s="319">
        <f ca="1">IF(Calc!$K$24=0,"",IF($R24=0,"",VLOOKUP(Calc!B19,Calc!$C$4:$N$23,8,0)))</f>
        <v>29</v>
      </c>
      <c r="AA24" s="388" t="str">
        <f ca="1">IF(VLOOKUP(Calc!B19,Calc!$C$4:$O$23,13,0)=0,"",VLOOKUP(Calc!B19,Calc!$C$4:$O$23,13,0))</f>
        <v/>
      </c>
      <c r="AB24" s="423">
        <f ca="1">IFERROR(VLOOKUP(Q24,OFFSET(Calc_match_days!$W$4,($O$6-1)*27,,20,3),2,0),0)</f>
        <v>16</v>
      </c>
      <c r="AC24" s="375" t="str">
        <f ca="1">IF(IFERROR(VLOOKUP($Q24,Plan!$D$7:$E$26,2,0),0)=0,IF(LEN(Q24)&gt;Factors!$D$9,LEFT(Q24,Factors!$D$9)&amp;".",Q24),VLOOKUP($Q24,Plan!$D$7:$E$26,2,0))</f>
        <v>Wolfsburg</v>
      </c>
      <c r="AD24" s="419">
        <f ca="1">IFERROR(VLOOKUP(Q24,OFFSET(Calc_match_days!$W$4,($O$6-1)*27,,20,3),3,0),0)</f>
        <v>0</v>
      </c>
      <c r="AE24" s="419"/>
      <c r="AF24" s="217">
        <f t="shared" ca="1" si="0"/>
        <v>16</v>
      </c>
      <c r="AG24" s="218" t="str">
        <f t="shared" ca="1" si="1"/>
        <v>VfL Wolfsburg</v>
      </c>
      <c r="AH24" s="164" t="str">
        <f ca="1">IFERROR(VLOOKUP($Q24&amp;AH$8,Calc2!$J$4:$L$763,3,0),"")</f>
        <v>1 : 8</v>
      </c>
      <c r="AI24" s="158" t="str">
        <f ca="1">IFERROR(VLOOKUP($Q24&amp;AI$8,Calc2!$J$4:$L$763,3,0),"")</f>
        <v>0 : 1</v>
      </c>
      <c r="AJ24" s="158" t="str">
        <f ca="1">IFERROR(VLOOKUP($Q24&amp;AJ$8,Calc2!$J$4:$L$763,3,0),"")</f>
        <v>0 : 1</v>
      </c>
      <c r="AK24" s="158" t="str">
        <f ca="1">IFERROR(VLOOKUP($Q24&amp;AK$8,Calc2!$J$4:$L$763,3,0),"")</f>
        <v>0 : 3</v>
      </c>
      <c r="AL24" s="158" t="str">
        <f ca="1">IFERROR(VLOOKUP($Q24&amp;AL$8,Calc2!$J$4:$L$763,3,0),"")</f>
        <v>2 : 3</v>
      </c>
      <c r="AM24" s="158" t="str">
        <f ca="1">IFERROR(VLOOKUP($Q24&amp;AM$8,Calc2!$J$4:$L$763,3,0),"")</f>
        <v>1 : 3</v>
      </c>
      <c r="AN24" s="158" t="str">
        <f ca="1">IFERROR(VLOOKUP($Q24&amp;AN$8,Calc2!$J$4:$L$763,3,0),"")</f>
        <v>3 : 4</v>
      </c>
      <c r="AO24" s="158" t="str">
        <f ca="1">IFERROR(VLOOKUP($Q24&amp;AO$8,Calc2!$J$4:$L$763,3,0),"")</f>
        <v>1 : 1</v>
      </c>
      <c r="AP24" s="158" t="str">
        <f ca="1">IFERROR(VLOOKUP($Q24&amp;AP$8,Calc2!$J$4:$L$763,3,0),"")</f>
        <v>1 : 3</v>
      </c>
      <c r="AQ24" s="158" t="str">
        <f ca="1">IFERROR(VLOOKUP($Q24&amp;AQ$8,Calc2!$J$4:$L$763,3,0),"")</f>
        <v>1 : 1</v>
      </c>
      <c r="AR24" s="158" t="str">
        <f ca="1">IFERROR(VLOOKUP($Q24&amp;AR$8,Calc2!$J$4:$L$763,3,0),"")</f>
        <v>3 : 1</v>
      </c>
      <c r="AS24" s="158" t="str">
        <f ca="1">IFERROR(VLOOKUP($Q24&amp;AS$8,Calc2!$J$4:$L$763,3,0),"")</f>
        <v>3 : 1</v>
      </c>
      <c r="AT24" s="158" t="str">
        <f ca="1">IFERROR(VLOOKUP($Q24&amp;AT$8,Calc2!$J$4:$L$763,3,0),"")</f>
        <v>1 : 0</v>
      </c>
      <c r="AU24" s="158" t="str">
        <f ca="1">IFERROR(VLOOKUP($Q24&amp;AU$8,Calc2!$J$4:$L$763,3,0),"")</f>
        <v>3 : 3</v>
      </c>
      <c r="AV24" s="158" t="str">
        <f ca="1">IFERROR(VLOOKUP($Q24&amp;AV$8,Calc2!$J$4:$L$763,3,0),"")</f>
        <v>1 : 2</v>
      </c>
      <c r="AW24" s="165"/>
      <c r="AX24" s="158" t="str">
        <f ca="1">IFERROR(VLOOKUP($Q24&amp;AX$8,Calc2!$J$4:$L$763,3,0),"")</f>
        <v>3 : 1</v>
      </c>
      <c r="AY24" s="158" t="str">
        <f ca="1">IFERROR(VLOOKUP($Q24&amp;AY$8,Calc2!$J$4:$L$763,3,0),"")</f>
        <v>2 : 1</v>
      </c>
      <c r="AZ24" s="158" t="str">
        <f ca="1">IFERROR(VLOOKUP($Q24&amp;AZ$8,Calc2!$J$4:$L$763,3,0),"")</f>
        <v/>
      </c>
      <c r="BA24" s="166" t="str">
        <f ca="1">IFERROR(VLOOKUP($Q24&amp;BA$8,Calc2!$J$4:$L$763,3,0),"")</f>
        <v/>
      </c>
      <c r="BB24" s="213"/>
      <c r="BC24" s="426">
        <v>16</v>
      </c>
      <c r="BD24" s="426">
        <f t="array" aca="1" ref="BD24" ca="1">SUM((OFFSET($I$9,(BC24-1)*Calc!$F$26,0,Calc!$F$26)&lt;&gt;"")*(OFFSET($K$9,(BC24-1)*Calc!$F$26,0,Calc!$F$26)&lt;&gt;""))</f>
        <v>9</v>
      </c>
      <c r="BE24" s="426"/>
      <c r="BF24" s="426"/>
      <c r="BG24" s="426">
        <f t="shared" ca="1" si="3"/>
        <v>16</v>
      </c>
    </row>
    <row r="25" spans="2:59" ht="15.95" customHeight="1" x14ac:dyDescent="0.2">
      <c r="B25" s="278" t="str">
        <f>IF(Calc!$F$26=0,"",IF(OR($C25&gt;Calc!$B$24,MOD($C25-1,Calc!$F$26)&gt;0),"",QUOTIENT($C25-1,Calc!$F$26)+1))</f>
        <v/>
      </c>
      <c r="C25" s="274">
        <v>17</v>
      </c>
      <c r="D25" s="154">
        <f>IF(Plan!$T23="","",Plan!$T23)</f>
        <v>45900</v>
      </c>
      <c r="E25" s="155">
        <f>IF(Plan!$U23="","",Plan!$U23)</f>
        <v>0.72916666666666663</v>
      </c>
      <c r="F25" s="175" t="str">
        <f>Plan!$Q23</f>
        <v>Borussia Dortmund</v>
      </c>
      <c r="G25" s="176" t="s">
        <v>4</v>
      </c>
      <c r="H25" s="175" t="str">
        <f>Plan!$S23</f>
        <v>1. FC Union Berlin</v>
      </c>
      <c r="I25" s="177">
        <v>3</v>
      </c>
      <c r="J25" s="178" t="str">
        <f>Language!$E$65</f>
        <v xml:space="preserve"> : </v>
      </c>
      <c r="K25" s="179">
        <v>0</v>
      </c>
      <c r="L25" s="383"/>
      <c r="M25" s="384"/>
      <c r="N25" s="412" t="s">
        <v>495</v>
      </c>
      <c r="O25" s="415" t="str">
        <f t="shared" ca="1" si="2"/>
        <v>¬</v>
      </c>
      <c r="P25" s="300">
        <f ca="1">IF(Calc!$K$24=0,"",IF(VLOOKUP(Calc!B20,Calc!$C$4:$E$23,3,0)=MAX(P$9:P24),VLOOKUP(Calc!B20,Calc!$C$4:$E$23,3,0),Calc!B20))</f>
        <v>17</v>
      </c>
      <c r="Q25" s="301" t="str">
        <f ca="1">IF(Calc!$K$24=0,Calc2!$C20,VLOOKUP(Calc!B20,Calc!$C$4:$N$23,4,0))</f>
        <v>1. FC Heidenheim 1846</v>
      </c>
      <c r="R25" s="302">
        <f ca="1">IF(Calc!$K$24=0,"",VLOOKUP(Calc!B20,Calc!$C$4:$N$23,9,0))</f>
        <v>34</v>
      </c>
      <c r="S25" s="303">
        <f ca="1">IF(Calc!$K$24=0,"",IF($R25=0,"",VLOOKUP(Calc!B20,Calc!$C$4:$N$23,10,0)))</f>
        <v>6</v>
      </c>
      <c r="T25" s="303">
        <f ca="1">IF(Calc!$K$24=0,"",IF($R25=0,"",VLOOKUP(Calc!B20,Calc!$C$4:$N$23,11,0)))</f>
        <v>8</v>
      </c>
      <c r="U25" s="304">
        <f ca="1">IF(Calc!$K$24=0,"",IF($R25=0,"",VLOOKUP(Calc!B20,Calc!$C$4:$N$23,12,0)))</f>
        <v>20</v>
      </c>
      <c r="V25" s="305">
        <f ca="1">IF(Calc!$K$24=0,"",IF($R25=0,"",VLOOKUP(Calc!B20,Calc!$C$4:$N$23,5,0)))</f>
        <v>41</v>
      </c>
      <c r="W25" s="306" t="str">
        <f>Language!$E$65</f>
        <v xml:space="preserve"> : </v>
      </c>
      <c r="X25" s="307">
        <f ca="1">IF(Calc!$K$24=0,"",IF($R25=0,"",VLOOKUP(Calc!B20,Calc!$C$4:$N$23,6,0)))</f>
        <v>72</v>
      </c>
      <c r="Y25" s="308">
        <f ca="1">IF(Calc!$K$24=0,"",IF($R25=0,"",VLOOKUP(Calc!B20,Calc!$C$4:$N$23,7,0)))</f>
        <v>-31</v>
      </c>
      <c r="Z25" s="309">
        <f ca="1">IF(Calc!$K$24=0,"",IF($R25=0,"",VLOOKUP(Calc!B20,Calc!$C$4:$N$23,8,0)))</f>
        <v>26</v>
      </c>
      <c r="AA25" s="388" t="str">
        <f ca="1">IF(VLOOKUP(Calc!B20,Calc!$C$4:$O$23,13,0)=0,"",VLOOKUP(Calc!B20,Calc!$C$4:$O$23,13,0))</f>
        <v/>
      </c>
      <c r="AB25" s="423">
        <f ca="1">IFERROR(VLOOKUP(Q25,OFFSET(Calc_match_days!$W$4,($O$6-1)*27,,20,3),2,0),0)</f>
        <v>17</v>
      </c>
      <c r="AC25" s="375" t="str">
        <f ca="1">IF(IFERROR(VLOOKUP($Q25,Plan!$D$7:$E$26,2,0),0)=0,IF(LEN(Q25)&gt;Factors!$D$9,LEFT(Q25,Factors!$D$9)&amp;".",Q25),VLOOKUP($Q25,Plan!$D$7:$E$26,2,0))</f>
        <v>Heidenhei</v>
      </c>
      <c r="AD25" s="419">
        <f ca="1">IFERROR(VLOOKUP(Q25,OFFSET(Calc_match_days!$W$4,($O$6-1)*27,,20,3),3,0),0)</f>
        <v>0</v>
      </c>
      <c r="AE25" s="419"/>
      <c r="AF25" s="217">
        <f t="shared" ca="1" si="0"/>
        <v>17</v>
      </c>
      <c r="AG25" s="218" t="str">
        <f t="shared" ca="1" si="1"/>
        <v>1. FC Heidenheim 1846</v>
      </c>
      <c r="AH25" s="164" t="str">
        <f ca="1">IFERROR(VLOOKUP($Q25&amp;AH$8,Calc2!$J$4:$L$763,3,0),"")</f>
        <v>0 : 4</v>
      </c>
      <c r="AI25" s="158" t="str">
        <f ca="1">IFERROR(VLOOKUP($Q25&amp;AI$8,Calc2!$J$4:$L$763,3,0),"")</f>
        <v>0 : 2</v>
      </c>
      <c r="AJ25" s="158" t="str">
        <f ca="1">IFERROR(VLOOKUP($Q25&amp;AJ$8,Calc2!$J$4:$L$763,3,0),"")</f>
        <v>0 : 2</v>
      </c>
      <c r="AK25" s="158" t="str">
        <f ca="1">IFERROR(VLOOKUP($Q25&amp;AK$8,Calc2!$J$4:$L$763,3,0),"")</f>
        <v>0 : 1</v>
      </c>
      <c r="AL25" s="158" t="str">
        <f ca="1">IFERROR(VLOOKUP($Q25&amp;AL$8,Calc2!$J$4:$L$763,3,0),"")</f>
        <v>1 : 3</v>
      </c>
      <c r="AM25" s="158" t="str">
        <f ca="1">IFERROR(VLOOKUP($Q25&amp;AM$8,Calc2!$J$4:$L$763,3,0),"")</f>
        <v>0 : 6</v>
      </c>
      <c r="AN25" s="158" t="str">
        <f ca="1">IFERROR(VLOOKUP($Q25&amp;AN$8,Calc2!$J$4:$L$763,3,0),"")</f>
        <v>2 : 1</v>
      </c>
      <c r="AO25" s="158" t="str">
        <f ca="1">IFERROR(VLOOKUP($Q25&amp;AO$8,Calc2!$J$4:$L$763,3,0),"")</f>
        <v>1 : 1</v>
      </c>
      <c r="AP25" s="158" t="str">
        <f ca="1">IFERROR(VLOOKUP($Q25&amp;AP$8,Calc2!$J$4:$L$763,3,0),"")</f>
        <v>2 : 1</v>
      </c>
      <c r="AQ25" s="158" t="str">
        <f ca="1">IFERROR(VLOOKUP($Q25&amp;AQ$8,Calc2!$J$4:$L$763,3,0),"")</f>
        <v>1 : 2</v>
      </c>
      <c r="AR25" s="158" t="str">
        <f ca="1">IFERROR(VLOOKUP($Q25&amp;AR$8,Calc2!$J$4:$L$763,3,0),"")</f>
        <v>2 : 1</v>
      </c>
      <c r="AS25" s="158" t="str">
        <f ca="1">IFERROR(VLOOKUP($Q25&amp;AS$8,Calc2!$J$4:$L$763,3,0),"")</f>
        <v>0 : 3</v>
      </c>
      <c r="AT25" s="158" t="str">
        <f ca="1">IFERROR(VLOOKUP($Q25&amp;AT$8,Calc2!$J$4:$L$763,3,0),"")</f>
        <v>1 : 2</v>
      </c>
      <c r="AU25" s="158" t="str">
        <f ca="1">IFERROR(VLOOKUP($Q25&amp;AU$8,Calc2!$J$4:$L$763,3,0),"")</f>
        <v>2 : 2</v>
      </c>
      <c r="AV25" s="158" t="str">
        <f ca="1">IFERROR(VLOOKUP($Q25&amp;AV$8,Calc2!$J$4:$L$763,3,0),"")</f>
        <v>2 : 2</v>
      </c>
      <c r="AW25" s="158" t="str">
        <f ca="1">IFERROR(VLOOKUP($Q25&amp;AW$8,Calc2!$J$4:$L$763,3,0),"")</f>
        <v>1 : 3</v>
      </c>
      <c r="AX25" s="165"/>
      <c r="AY25" s="158" t="str">
        <f ca="1">IFERROR(VLOOKUP($Q25&amp;AY$8,Calc2!$J$4:$L$763,3,0),"")</f>
        <v>1 : 2</v>
      </c>
      <c r="AZ25" s="158" t="str">
        <f ca="1">IFERROR(VLOOKUP($Q25&amp;AZ$8,Calc2!$J$4:$L$763,3,0),"")</f>
        <v/>
      </c>
      <c r="BA25" s="166" t="str">
        <f ca="1">IFERROR(VLOOKUP($Q25&amp;BA$8,Calc2!$J$4:$L$763,3,0),"")</f>
        <v/>
      </c>
      <c r="BB25" s="213"/>
      <c r="BC25" s="426">
        <v>17</v>
      </c>
      <c r="BD25" s="426">
        <f t="array" aca="1" ref="BD25" ca="1">SUM((OFFSET($I$9,(BC25-1)*Calc!$F$26,0,Calc!$F$26)&lt;&gt;"")*(OFFSET($K$9,(BC25-1)*Calc!$F$26,0,Calc!$F$26)&lt;&gt;""))</f>
        <v>9</v>
      </c>
      <c r="BE25" s="426"/>
      <c r="BF25" s="426"/>
      <c r="BG25" s="426">
        <f t="shared" ca="1" si="3"/>
        <v>17</v>
      </c>
    </row>
    <row r="26" spans="2:59" ht="15.95" customHeight="1" x14ac:dyDescent="0.2">
      <c r="B26" s="278" t="str">
        <f>IF(Calc!$F$26=0,"",IF(OR($C26&gt;Calc!$B$24,MOD($C26-1,Calc!$F$26)&gt;0),"",QUOTIENT($C26-1,Calc!$F$26)+1))</f>
        <v/>
      </c>
      <c r="C26" s="274">
        <v>18</v>
      </c>
      <c r="D26" s="154">
        <f>IF(Plan!$T24="","",Plan!$T24)</f>
        <v>45900</v>
      </c>
      <c r="E26" s="155">
        <f>IF(Plan!$U24="","",Plan!$U24)</f>
        <v>0.8125</v>
      </c>
      <c r="F26" s="175" t="str">
        <f>Plan!$Q24</f>
        <v>1. FC Köln</v>
      </c>
      <c r="G26" s="176" t="s">
        <v>4</v>
      </c>
      <c r="H26" s="175" t="str">
        <f>Plan!$S24</f>
        <v>SC Freiburg</v>
      </c>
      <c r="I26" s="177">
        <v>4</v>
      </c>
      <c r="J26" s="178" t="str">
        <f>Language!$E$65</f>
        <v xml:space="preserve"> : </v>
      </c>
      <c r="K26" s="179">
        <v>1</v>
      </c>
      <c r="L26" s="383"/>
      <c r="M26" s="384"/>
      <c r="N26" s="412" t="s">
        <v>495</v>
      </c>
      <c r="O26" s="415" t="str">
        <f t="shared" ca="1" si="2"/>
        <v>¬</v>
      </c>
      <c r="P26" s="300">
        <f ca="1">IF(Calc!$K$24=0,"",IF(VLOOKUP(Calc!B21,Calc!$C$4:$E$23,3,0)=MAX(P$9:P25),VLOOKUP(Calc!B21,Calc!$C$4:$E$23,3,0),Calc!B21))</f>
        <v>18</v>
      </c>
      <c r="Q26" s="301" t="str">
        <f ca="1">IF(Calc!$K$24=0,Calc2!$C21,VLOOKUP(Calc!B21,Calc!$C$4:$N$23,4,0))</f>
        <v>FC St. Pauli</v>
      </c>
      <c r="R26" s="302">
        <f ca="1">IF(Calc!$K$24=0,"",VLOOKUP(Calc!B21,Calc!$C$4:$N$23,9,0))</f>
        <v>34</v>
      </c>
      <c r="S26" s="303">
        <f ca="1">IF(Calc!$K$24=0,"",IF($R26=0,"",VLOOKUP(Calc!B21,Calc!$C$4:$N$23,10,0)))</f>
        <v>6</v>
      </c>
      <c r="T26" s="303">
        <f ca="1">IF(Calc!$K$24=0,"",IF($R26=0,"",VLOOKUP(Calc!B21,Calc!$C$4:$N$23,11,0)))</f>
        <v>8</v>
      </c>
      <c r="U26" s="304">
        <f ca="1">IF(Calc!$K$24=0,"",IF($R26=0,"",VLOOKUP(Calc!B21,Calc!$C$4:$N$23,12,0)))</f>
        <v>20</v>
      </c>
      <c r="V26" s="305">
        <f ca="1">IF(Calc!$K$24=0,"",IF($R26=0,"",VLOOKUP(Calc!B21,Calc!$C$4:$N$23,5,0)))</f>
        <v>29</v>
      </c>
      <c r="W26" s="306" t="str">
        <f>Language!$E$65</f>
        <v xml:space="preserve"> : </v>
      </c>
      <c r="X26" s="307">
        <f ca="1">IF(Calc!$K$24=0,"",IF($R26=0,"",VLOOKUP(Calc!B21,Calc!$C$4:$N$23,6,0)))</f>
        <v>60</v>
      </c>
      <c r="Y26" s="308">
        <f ca="1">IF(Calc!$K$24=0,"",IF($R26=0,"",VLOOKUP(Calc!B21,Calc!$C$4:$N$23,7,0)))</f>
        <v>-31</v>
      </c>
      <c r="Z26" s="309">
        <f ca="1">IF(Calc!$K$24=0,"",IF($R26=0,"",VLOOKUP(Calc!B21,Calc!$C$4:$N$23,8,0)))</f>
        <v>26</v>
      </c>
      <c r="AA26" s="388" t="str">
        <f ca="1">IF(VLOOKUP(Calc!B21,Calc!$C$4:$O$23,13,0)=0,"",VLOOKUP(Calc!B21,Calc!$C$4:$O$23,13,0))</f>
        <v/>
      </c>
      <c r="AB26" s="423">
        <f ca="1">IFERROR(VLOOKUP(Q26,OFFSET(Calc_match_days!$W$4,($O$6-1)*27,,20,3),2,0),0)</f>
        <v>18</v>
      </c>
      <c r="AC26" s="375" t="str">
        <f ca="1">IF(IFERROR(VLOOKUP($Q26,Plan!$D$7:$E$26,2,0),0)=0,IF(LEN(Q26)&gt;Factors!$D$9,LEFT(Q26,Factors!$D$9)&amp;".",Q26),VLOOKUP($Q26,Plan!$D$7:$E$26,2,0))</f>
        <v>St. Pauli</v>
      </c>
      <c r="AD26" s="419">
        <f ca="1">IFERROR(VLOOKUP(Q26,OFFSET(Calc_match_days!$W$4,($O$6-1)*27,,20,3),3,0),0)</f>
        <v>0</v>
      </c>
      <c r="AE26" s="419"/>
      <c r="AF26" s="217">
        <f t="shared" ca="1" si="0"/>
        <v>18</v>
      </c>
      <c r="AG26" s="218" t="str">
        <f t="shared" ca="1" si="1"/>
        <v>FC St. Pauli</v>
      </c>
      <c r="AH26" s="164" t="str">
        <f ca="1">IFERROR(VLOOKUP($Q26&amp;AH$8,Calc2!$J$4:$L$763,3,0),"")</f>
        <v>1 : 3</v>
      </c>
      <c r="AI26" s="158" t="str">
        <f ca="1">IFERROR(VLOOKUP($Q26&amp;AI$8,Calc2!$J$4:$L$763,3,0),"")</f>
        <v>3 : 3</v>
      </c>
      <c r="AJ26" s="158" t="str">
        <f ca="1">IFERROR(VLOOKUP($Q26&amp;AJ$8,Calc2!$J$4:$L$763,3,0),"")</f>
        <v>1 : 1</v>
      </c>
      <c r="AK26" s="158" t="str">
        <f ca="1">IFERROR(VLOOKUP($Q26&amp;AK$8,Calc2!$J$4:$L$763,3,0),"")</f>
        <v>0 : 2</v>
      </c>
      <c r="AL26" s="158" t="str">
        <f ca="1">IFERROR(VLOOKUP($Q26&amp;AL$8,Calc2!$J$4:$L$763,3,0),"")</f>
        <v>0 : 3</v>
      </c>
      <c r="AM26" s="158" t="str">
        <f ca="1">IFERROR(VLOOKUP($Q26&amp;AM$8,Calc2!$J$4:$L$763,3,0),"")</f>
        <v>1 : 2</v>
      </c>
      <c r="AN26" s="158" t="str">
        <f ca="1">IFERROR(VLOOKUP($Q26&amp;AN$8,Calc2!$J$4:$L$763,3,0),"")</f>
        <v>1 : 2</v>
      </c>
      <c r="AO26" s="158" t="str">
        <f ca="1">IFERROR(VLOOKUP($Q26&amp;AO$8,Calc2!$J$4:$L$763,3,0),"")</f>
        <v>0 : 2</v>
      </c>
      <c r="AP26" s="158" t="str">
        <f ca="1">IFERROR(VLOOKUP($Q26&amp;AP$8,Calc2!$J$4:$L$763,3,0),"")</f>
        <v>2 : 1</v>
      </c>
      <c r="AQ26" s="158" t="str">
        <f ca="1">IFERROR(VLOOKUP($Q26&amp;AQ$8,Calc2!$J$4:$L$763,3,0),"")</f>
        <v>0 : 0</v>
      </c>
      <c r="AR26" s="158" t="str">
        <f ca="1">IFERROR(VLOOKUP($Q26&amp;AR$8,Calc2!$J$4:$L$763,3,0),"")</f>
        <v>0 : 1</v>
      </c>
      <c r="AS26" s="158" t="str">
        <f ca="1">IFERROR(VLOOKUP($Q26&amp;AS$8,Calc2!$J$4:$L$763,3,0),"")</f>
        <v>0 : 4</v>
      </c>
      <c r="AT26" s="158" t="str">
        <f ca="1">IFERROR(VLOOKUP($Q26&amp;AT$8,Calc2!$J$4:$L$763,3,0),"")</f>
        <v>2 : 0</v>
      </c>
      <c r="AU26" s="158" t="str">
        <f ca="1">IFERROR(VLOOKUP($Q26&amp;AU$8,Calc2!$J$4:$L$763,3,0),"")</f>
        <v>1 : 1</v>
      </c>
      <c r="AV26" s="158" t="str">
        <f ca="1">IFERROR(VLOOKUP($Q26&amp;AV$8,Calc2!$J$4:$L$763,3,0),"")</f>
        <v>0 : 1</v>
      </c>
      <c r="AW26" s="158" t="str">
        <f ca="1">IFERROR(VLOOKUP($Q26&amp;AW$8,Calc2!$J$4:$L$763,3,0),"")</f>
        <v>1 : 2</v>
      </c>
      <c r="AX26" s="158" t="str">
        <f ca="1">IFERROR(VLOOKUP($Q26&amp;AX$8,Calc2!$J$4:$L$763,3,0),"")</f>
        <v>2 : 1</v>
      </c>
      <c r="AY26" s="165"/>
      <c r="AZ26" s="158" t="str">
        <f ca="1">IFERROR(VLOOKUP($Q26&amp;AZ$8,Calc2!$J$4:$L$763,3,0),"")</f>
        <v/>
      </c>
      <c r="BA26" s="166" t="str">
        <f ca="1">IFERROR(VLOOKUP($Q26&amp;BA$8,Calc2!$J$4:$L$763,3,0),"")</f>
        <v/>
      </c>
      <c r="BB26" s="213"/>
      <c r="BC26" s="426">
        <v>18</v>
      </c>
      <c r="BD26" s="426">
        <f t="array" aca="1" ref="BD26" ca="1">SUM((OFFSET($I$9,(BC26-1)*Calc!$F$26,0,Calc!$F$26)&lt;&gt;"")*(OFFSET($K$9,(BC26-1)*Calc!$F$26,0,Calc!$F$26)&lt;&gt;""))</f>
        <v>9</v>
      </c>
      <c r="BE26" s="426"/>
      <c r="BF26" s="426"/>
      <c r="BG26" s="426">
        <f t="shared" ca="1" si="3"/>
        <v>18</v>
      </c>
    </row>
    <row r="27" spans="2:59" ht="15.95" customHeight="1" x14ac:dyDescent="0.2">
      <c r="B27" s="278">
        <f>IF(Calc!$F$26=0,"",IF(OR($C27&gt;Calc!$B$24,MOD($C27-1,Calc!$F$26)&gt;0),"",QUOTIENT($C27-1,Calc!$F$26)+1))</f>
        <v>3</v>
      </c>
      <c r="C27" s="274">
        <v>19</v>
      </c>
      <c r="D27" s="154">
        <f>IF(Plan!$T25="","",Plan!$T25)</f>
        <v>45912</v>
      </c>
      <c r="E27" s="155">
        <f>IF(Plan!$U25="","",Plan!$U25)</f>
        <v>0.85416666666666663</v>
      </c>
      <c r="F27" s="175" t="str">
        <f>Plan!$Q25</f>
        <v>Bayer 04 Leverkusen</v>
      </c>
      <c r="G27" s="176" t="s">
        <v>4</v>
      </c>
      <c r="H27" s="175" t="str">
        <f>Plan!$S25</f>
        <v>Eintracht Frankfurt</v>
      </c>
      <c r="I27" s="177">
        <v>3</v>
      </c>
      <c r="J27" s="178" t="str">
        <f>Language!$E$65</f>
        <v xml:space="preserve"> : </v>
      </c>
      <c r="K27" s="179">
        <v>1</v>
      </c>
      <c r="L27" s="383"/>
      <c r="M27" s="384"/>
      <c r="N27" s="412"/>
      <c r="O27" s="415" t="str">
        <f t="shared" ca="1" si="2"/>
        <v>¬</v>
      </c>
      <c r="P27" s="221">
        <f ca="1">IF(Calc!$K$24=0,"",IF(VLOOKUP(Calc!B22,Calc!$C$4:$E$23,3,0)=MAX(P$9:P26),VLOOKUP(Calc!B22,Calc!$C$4:$E$23,3,0),Calc!B22))</f>
        <v>19</v>
      </c>
      <c r="Q27" s="218" t="str">
        <f ca="1">IF(Calc!$K$24=0,Calc2!$C22,VLOOKUP(Calc!B22,Calc!$C$4:$N$23,4,0))</f>
        <v/>
      </c>
      <c r="R27" s="164">
        <f ca="1">IF(Calc!$K$24=0,"",VLOOKUP(Calc!B22,Calc!$C$4:$N$23,9,0))</f>
        <v>0</v>
      </c>
      <c r="S27" s="158" t="str">
        <f ca="1">IF(Calc!$K$24=0,"",IF($R27=0,"",VLOOKUP(Calc!B22,Calc!$C$4:$N$23,10,0)))</f>
        <v/>
      </c>
      <c r="T27" s="158" t="str">
        <f ca="1">IF(Calc!$K$24=0,"",IF($R27=0,"",VLOOKUP(Calc!B22,Calc!$C$4:$N$23,11,0)))</f>
        <v/>
      </c>
      <c r="U27" s="159" t="str">
        <f ca="1">IF(Calc!$K$24=0,"",IF($R27=0,"",VLOOKUP(Calc!B22,Calc!$C$4:$N$23,12,0)))</f>
        <v/>
      </c>
      <c r="V27" s="160" t="str">
        <f ca="1">IF(Calc!$K$24=0,"",IF($R27=0,"",VLOOKUP(Calc!B22,Calc!$C$4:$N$23,5,0)))</f>
        <v/>
      </c>
      <c r="W27" s="161" t="str">
        <f>Language!$E$65</f>
        <v xml:space="preserve"> : </v>
      </c>
      <c r="X27" s="162" t="str">
        <f ca="1">IF(Calc!$K$24=0,"",IF($R27=0,"",VLOOKUP(Calc!B22,Calc!$C$4:$N$23,6,0)))</f>
        <v/>
      </c>
      <c r="Y27" s="294" t="str">
        <f ca="1">IF(Calc!$K$24=0,"",IF($R27=0,"",VLOOKUP(Calc!B22,Calc!$C$4:$N$23,7,0)))</f>
        <v/>
      </c>
      <c r="Z27" s="163" t="str">
        <f ca="1">IF(Calc!$K$24=0,"",IF($R27=0,"",VLOOKUP(Calc!B22,Calc!$C$4:$N$23,8,0)))</f>
        <v/>
      </c>
      <c r="AA27" s="388" t="str">
        <f ca="1">IF(VLOOKUP(Calc!B22,Calc!$C$4:$O$23,13,0)=0,"",VLOOKUP(Calc!B22,Calc!$C$4:$O$23,13,0))</f>
        <v/>
      </c>
      <c r="AB27" s="423">
        <f ca="1">IFERROR(VLOOKUP(Q27,OFFSET(Calc_match_days!$W$4,($O$6-1)*27,,20,3),2,0),0)</f>
        <v>19</v>
      </c>
      <c r="AC27" s="375" t="str">
        <f ca="1">IF(IFERROR(VLOOKUP($Q27,Plan!$D$7:$E$26,2,0),0)=0,IF(LEN(Q27)&gt;Factors!$D$9,LEFT(Q27,Factors!$D$9)&amp;".",Q27),VLOOKUP($Q27,Plan!$D$7:$E$26,2,0))</f>
        <v/>
      </c>
      <c r="AD27" s="419">
        <f ca="1">IFERROR(VLOOKUP(Q27,OFFSET(Calc_match_days!$W$4,($O$6-1)*27,,20,3),3,0),0)</f>
        <v>0</v>
      </c>
      <c r="AE27" s="419"/>
      <c r="AF27" s="217">
        <f t="shared" ca="1" si="0"/>
        <v>19</v>
      </c>
      <c r="AG27" s="218" t="str">
        <f t="shared" ca="1" si="1"/>
        <v/>
      </c>
      <c r="AH27" s="164" t="str">
        <f ca="1">IFERROR(VLOOKUP($Q27&amp;AH$8,Calc2!$J$4:$L$763,3,0),"")</f>
        <v/>
      </c>
      <c r="AI27" s="158" t="str">
        <f ca="1">IFERROR(VLOOKUP($Q27&amp;AI$8,Calc2!$J$4:$L$763,3,0),"")</f>
        <v/>
      </c>
      <c r="AJ27" s="158" t="str">
        <f ca="1">IFERROR(VLOOKUP($Q27&amp;AJ$8,Calc2!$J$4:$L$763,3,0),"")</f>
        <v/>
      </c>
      <c r="AK27" s="158" t="str">
        <f ca="1">IFERROR(VLOOKUP($Q27&amp;AK$8,Calc2!$J$4:$L$763,3,0),"")</f>
        <v/>
      </c>
      <c r="AL27" s="158" t="str">
        <f ca="1">IFERROR(VLOOKUP($Q27&amp;AL$8,Calc2!$J$4:$L$763,3,0),"")</f>
        <v/>
      </c>
      <c r="AM27" s="158" t="str">
        <f ca="1">IFERROR(VLOOKUP($Q27&amp;AM$8,Calc2!$J$4:$L$763,3,0),"")</f>
        <v/>
      </c>
      <c r="AN27" s="158" t="str">
        <f ca="1">IFERROR(VLOOKUP($Q27&amp;AN$8,Calc2!$J$4:$L$763,3,0),"")</f>
        <v/>
      </c>
      <c r="AO27" s="158" t="str">
        <f ca="1">IFERROR(VLOOKUP($Q27&amp;AO$8,Calc2!$J$4:$L$763,3,0),"")</f>
        <v/>
      </c>
      <c r="AP27" s="158" t="str">
        <f ca="1">IFERROR(VLOOKUP($Q27&amp;AP$8,Calc2!$J$4:$L$763,3,0),"")</f>
        <v/>
      </c>
      <c r="AQ27" s="158" t="str">
        <f ca="1">IFERROR(VLOOKUP($Q27&amp;AQ$8,Calc2!$J$4:$L$763,3,0),"")</f>
        <v/>
      </c>
      <c r="AR27" s="158" t="str">
        <f ca="1">IFERROR(VLOOKUP($Q27&amp;AR$8,Calc2!$J$4:$L$763,3,0),"")</f>
        <v/>
      </c>
      <c r="AS27" s="158" t="str">
        <f ca="1">IFERROR(VLOOKUP($Q27&amp;AS$8,Calc2!$J$4:$L$763,3,0),"")</f>
        <v/>
      </c>
      <c r="AT27" s="158" t="str">
        <f ca="1">IFERROR(VLOOKUP($Q27&amp;AT$8,Calc2!$J$4:$L$763,3,0),"")</f>
        <v/>
      </c>
      <c r="AU27" s="158" t="str">
        <f ca="1">IFERROR(VLOOKUP($Q27&amp;AU$8,Calc2!$J$4:$L$763,3,0),"")</f>
        <v/>
      </c>
      <c r="AV27" s="158" t="str">
        <f ca="1">IFERROR(VLOOKUP($Q27&amp;AV$8,Calc2!$J$4:$L$763,3,0),"")</f>
        <v/>
      </c>
      <c r="AW27" s="158" t="str">
        <f ca="1">IFERROR(VLOOKUP($Q27&amp;AW$8,Calc2!$J$4:$L$763,3,0),"")</f>
        <v/>
      </c>
      <c r="AX27" s="158" t="str">
        <f ca="1">IFERROR(VLOOKUP($Q27&amp;AX$8,Calc2!$J$4:$L$763,3,0),"")</f>
        <v/>
      </c>
      <c r="AY27" s="158" t="str">
        <f ca="1">IFERROR(VLOOKUP($Q27&amp;AY$8,Calc2!$J$4:$L$763,3,0),"")</f>
        <v/>
      </c>
      <c r="AZ27" s="165"/>
      <c r="BA27" s="166" t="str">
        <f ca="1">IFERROR(VLOOKUP($Q27&amp;BA$8,Calc2!$J$4:$L$763,3,0),"")</f>
        <v/>
      </c>
      <c r="BB27" s="213"/>
      <c r="BC27" s="426">
        <v>19</v>
      </c>
      <c r="BD27" s="426">
        <f t="array" aca="1" ref="BD27" ca="1">SUM((OFFSET($I$9,(BC27-1)*Calc!$F$26,0,Calc!$F$26)&lt;&gt;"")*(OFFSET($K$9,(BC27-1)*Calc!$F$26,0,Calc!$F$26)&lt;&gt;""))</f>
        <v>9</v>
      </c>
      <c r="BE27" s="426"/>
      <c r="BF27" s="426"/>
      <c r="BG27" s="426">
        <f t="shared" ca="1" si="3"/>
        <v>19</v>
      </c>
    </row>
    <row r="28" spans="2:59" ht="15.95" customHeight="1" thickBot="1" x14ac:dyDescent="0.25">
      <c r="B28" s="278" t="str">
        <f>IF(Calc!$F$26=0,"",IF(OR($C28&gt;Calc!$B$24,MOD($C28-1,Calc!$F$26)&gt;0),"",QUOTIENT($C28-1,Calc!$F$26)+1))</f>
        <v/>
      </c>
      <c r="C28" s="274">
        <v>20</v>
      </c>
      <c r="D28" s="154">
        <f>IF(Plan!$T26="","",Plan!$T26)</f>
        <v>45913</v>
      </c>
      <c r="E28" s="155">
        <f>IF(Plan!$U26="","",Plan!$U26)</f>
        <v>0.64583333333333337</v>
      </c>
      <c r="F28" s="175" t="str">
        <f>Plan!$Q26</f>
        <v>1. FC Union Berlin</v>
      </c>
      <c r="G28" s="176" t="s">
        <v>4</v>
      </c>
      <c r="H28" s="175" t="str">
        <f>Plan!$S26</f>
        <v>TSG Hoffenheim</v>
      </c>
      <c r="I28" s="177">
        <v>2</v>
      </c>
      <c r="J28" s="178" t="str">
        <f>Language!$E$65</f>
        <v xml:space="preserve"> : </v>
      </c>
      <c r="K28" s="179">
        <v>4</v>
      </c>
      <c r="L28" s="383"/>
      <c r="M28" s="384"/>
      <c r="N28" s="412"/>
      <c r="O28" s="416" t="str">
        <f t="shared" ca="1" si="2"/>
        <v>¬</v>
      </c>
      <c r="P28" s="222">
        <f ca="1">IF(Calc!$K$24=0,"",IF(VLOOKUP(Calc!B23,Calc!$C$4:$E$23,3,0)=MAX(P$9:P27),VLOOKUP(Calc!B23,Calc!$C$4:$E$23,3,0),Calc!B23))</f>
        <v>19</v>
      </c>
      <c r="Q28" s="223" t="str">
        <f ca="1">IF(Calc!$K$24=0,Calc2!$C23,VLOOKUP(Calc!B23,Calc!$C$4:$N$23,4,0))</f>
        <v/>
      </c>
      <c r="R28" s="173">
        <f ca="1">IF(Calc!$K$24=0,"",VLOOKUP(Calc!B23,Calc!$C$4:$N$23,9,0))</f>
        <v>0</v>
      </c>
      <c r="S28" s="167" t="str">
        <f ca="1">IF(Calc!$K$24=0,"",IF($R28=0,"",VLOOKUP(Calc!B23,Calc!$C$4:$N$23,10,0)))</f>
        <v/>
      </c>
      <c r="T28" s="167" t="str">
        <f ca="1">IF(Calc!$K$24=0,"",IF($R28=0,"",VLOOKUP(Calc!B23,Calc!$C$4:$N$23,11,0)))</f>
        <v/>
      </c>
      <c r="U28" s="168" t="str">
        <f ca="1">IF(Calc!$K$24=0,"",IF($R28=0,"",VLOOKUP(Calc!B23,Calc!$C$4:$N$23,12,0)))</f>
        <v/>
      </c>
      <c r="V28" s="169" t="str">
        <f ca="1">IF(Calc!$K$24=0,"",IF($R28=0,"",VLOOKUP(Calc!B23,Calc!$C$4:$N$23,5,0)))</f>
        <v/>
      </c>
      <c r="W28" s="170" t="str">
        <f>Language!$E$65</f>
        <v xml:space="preserve"> : </v>
      </c>
      <c r="X28" s="171" t="str">
        <f ca="1">IF(Calc!$K$24=0,"",IF($R28=0,"",VLOOKUP(Calc!B23,Calc!$C$4:$N$23,6,0)))</f>
        <v/>
      </c>
      <c r="Y28" s="295" t="str">
        <f ca="1">IF(Calc!$K$24=0,"",IF($R28=0,"",VLOOKUP(Calc!B23,Calc!$C$4:$N$23,7,0)))</f>
        <v/>
      </c>
      <c r="Z28" s="172" t="str">
        <f ca="1">IF(Calc!$K$24=0,"",IF($R28=0,"",VLOOKUP(Calc!B23,Calc!$C$4:$N$23,8,0)))</f>
        <v/>
      </c>
      <c r="AA28" s="389" t="str">
        <f ca="1">IF(VLOOKUP(Calc!B23,Calc!$C$4:$O$23,13,0)=0,"",VLOOKUP(Calc!B23,Calc!$C$4:$O$23,13,0))</f>
        <v/>
      </c>
      <c r="AB28" s="424">
        <f ca="1">IFERROR(VLOOKUP(Q28,OFFSET(Calc_match_days!$W$4,($O$6-1)*27,,20,3),2,0),0)</f>
        <v>19</v>
      </c>
      <c r="AC28" s="375" t="str">
        <f ca="1">IF(IFERROR(VLOOKUP($Q28,Plan!$D$7:$E$26,2,0),0)=0,IF(LEN(Q28)&gt;Factors!$D$9,LEFT(Q28,Factors!$D$9)&amp;".",Q28),VLOOKUP($Q28,Plan!$D$7:$E$26,2,0))</f>
        <v/>
      </c>
      <c r="AD28" s="419">
        <f ca="1">IFERROR(VLOOKUP(Q28,OFFSET(Calc_match_days!$W$4,($O$6-1)*27,,20,3),3,0),0)</f>
        <v>0</v>
      </c>
      <c r="AE28" s="419"/>
      <c r="AF28" s="219">
        <f t="shared" ca="1" si="0"/>
        <v>19</v>
      </c>
      <c r="AG28" s="220" t="str">
        <f t="shared" ca="1" si="1"/>
        <v/>
      </c>
      <c r="AH28" s="173" t="str">
        <f ca="1">IFERROR(VLOOKUP($Q28&amp;AH$8,Calc2!$J$4:$L$763,3,0),"")</f>
        <v/>
      </c>
      <c r="AI28" s="167" t="str">
        <f ca="1">IFERROR(VLOOKUP($Q28&amp;AI$8,Calc2!$J$4:$L$763,3,0),"")</f>
        <v/>
      </c>
      <c r="AJ28" s="167" t="str">
        <f ca="1">IFERROR(VLOOKUP($Q28&amp;AJ$8,Calc2!$J$4:$L$763,3,0),"")</f>
        <v/>
      </c>
      <c r="AK28" s="167" t="str">
        <f ca="1">IFERROR(VLOOKUP($Q28&amp;AK$8,Calc2!$J$4:$L$763,3,0),"")</f>
        <v/>
      </c>
      <c r="AL28" s="167" t="str">
        <f ca="1">IFERROR(VLOOKUP($Q28&amp;AL$8,Calc2!$J$4:$L$763,3,0),"")</f>
        <v/>
      </c>
      <c r="AM28" s="167" t="str">
        <f ca="1">IFERROR(VLOOKUP($Q28&amp;AM$8,Calc2!$J$4:$L$763,3,0),"")</f>
        <v/>
      </c>
      <c r="AN28" s="167" t="str">
        <f ca="1">IFERROR(VLOOKUP($Q28&amp;AN$8,Calc2!$J$4:$L$763,3,0),"")</f>
        <v/>
      </c>
      <c r="AO28" s="167" t="str">
        <f ca="1">IFERROR(VLOOKUP($Q28&amp;AO$8,Calc2!$J$4:$L$763,3,0),"")</f>
        <v/>
      </c>
      <c r="AP28" s="167" t="str">
        <f ca="1">IFERROR(VLOOKUP($Q28&amp;AP$8,Calc2!$J$4:$L$763,3,0),"")</f>
        <v/>
      </c>
      <c r="AQ28" s="167" t="str">
        <f ca="1">IFERROR(VLOOKUP($Q28&amp;AQ$8,Calc2!$J$4:$L$763,3,0),"")</f>
        <v/>
      </c>
      <c r="AR28" s="167" t="str">
        <f ca="1">IFERROR(VLOOKUP($Q28&amp;AR$8,Calc2!$J$4:$L$763,3,0),"")</f>
        <v/>
      </c>
      <c r="AS28" s="167" t="str">
        <f ca="1">IFERROR(VLOOKUP($Q28&amp;AS$8,Calc2!$J$4:$L$763,3,0),"")</f>
        <v/>
      </c>
      <c r="AT28" s="167" t="str">
        <f ca="1">IFERROR(VLOOKUP($Q28&amp;AT$8,Calc2!$J$4:$L$763,3,0),"")</f>
        <v/>
      </c>
      <c r="AU28" s="167" t="str">
        <f ca="1">IFERROR(VLOOKUP($Q28&amp;AU$8,Calc2!$J$4:$L$763,3,0),"")</f>
        <v/>
      </c>
      <c r="AV28" s="167" t="str">
        <f ca="1">IFERROR(VLOOKUP($Q28&amp;AV$8,Calc2!$J$4:$L$763,3,0),"")</f>
        <v/>
      </c>
      <c r="AW28" s="167" t="str">
        <f ca="1">IFERROR(VLOOKUP($Q28&amp;AW$8,Calc2!$J$4:$L$763,3,0),"")</f>
        <v/>
      </c>
      <c r="AX28" s="167" t="str">
        <f ca="1">IFERROR(VLOOKUP($Q28&amp;AX$8,Calc2!$J$4:$L$763,3,0),"")</f>
        <v/>
      </c>
      <c r="AY28" s="167" t="str">
        <f ca="1">IFERROR(VLOOKUP($Q28&amp;AY$8,Calc2!$J$4:$L$763,3,0),"")</f>
        <v/>
      </c>
      <c r="AZ28" s="167" t="str">
        <f ca="1">IFERROR(VLOOKUP($Q28&amp;AZ$8,Calc2!$J$4:$L$763,3,0),"")</f>
        <v/>
      </c>
      <c r="BA28" s="174"/>
      <c r="BB28" s="213"/>
      <c r="BC28" s="426">
        <v>20</v>
      </c>
      <c r="BD28" s="426">
        <f t="array" aca="1" ref="BD28" ca="1">SUM((OFFSET($I$9,(BC28-1)*Calc!$F$26,0,Calc!$F$26)&lt;&gt;"")*(OFFSET($K$9,(BC28-1)*Calc!$F$26,0,Calc!$F$26)&lt;&gt;""))</f>
        <v>9</v>
      </c>
      <c r="BE28" s="426"/>
      <c r="BF28" s="426"/>
      <c r="BG28" s="426">
        <f t="shared" ca="1" si="3"/>
        <v>20</v>
      </c>
    </row>
    <row r="29" spans="2:59" ht="15.95" customHeight="1" x14ac:dyDescent="0.4">
      <c r="B29" s="278" t="str">
        <f>IF(Calc!$F$26=0,"",IF(OR($C29&gt;Calc!$B$24,MOD($C29-1,Calc!$F$26)&gt;0),"",QUOTIENT($C29-1,Calc!$F$26)+1))</f>
        <v/>
      </c>
      <c r="C29" s="274">
        <v>21</v>
      </c>
      <c r="D29" s="154">
        <f>IF(Plan!$T27="","",Plan!$T27)</f>
        <v>45913</v>
      </c>
      <c r="E29" s="155">
        <f>IF(Plan!$U27="","",Plan!$U27)</f>
        <v>0.64583333333333337</v>
      </c>
      <c r="F29" s="175" t="str">
        <f>Plan!$Q27</f>
        <v>1. FC Heidenheim 1846</v>
      </c>
      <c r="G29" s="176" t="s">
        <v>4</v>
      </c>
      <c r="H29" s="175" t="str">
        <f>Plan!$S27</f>
        <v>Borussia Dortmund</v>
      </c>
      <c r="I29" s="177">
        <v>0</v>
      </c>
      <c r="J29" s="178" t="str">
        <f>Language!$E$65</f>
        <v xml:space="preserve"> : </v>
      </c>
      <c r="K29" s="179">
        <v>2</v>
      </c>
      <c r="L29" s="383"/>
      <c r="M29" s="384"/>
      <c r="P29" s="137"/>
      <c r="Q29" s="137"/>
      <c r="R29" s="137"/>
      <c r="S29" s="137"/>
      <c r="T29" s="137"/>
      <c r="U29" s="137"/>
      <c r="V29" s="137"/>
      <c r="W29" s="137"/>
      <c r="X29" s="137"/>
      <c r="Y29" s="137"/>
      <c r="Z29" s="137"/>
      <c r="AA29" s="137"/>
      <c r="AB29" s="137"/>
      <c r="AC29" s="137"/>
      <c r="AD29" s="137"/>
      <c r="AE29" s="137"/>
      <c r="AF29" s="137"/>
      <c r="AG29" s="137"/>
      <c r="AH29" s="148"/>
      <c r="AI29" s="148"/>
      <c r="AJ29" s="148"/>
      <c r="AK29" s="148"/>
      <c r="AL29" s="148"/>
      <c r="AM29" s="148"/>
      <c r="AN29" s="148"/>
      <c r="AO29" s="148"/>
      <c r="AP29" s="148"/>
      <c r="AQ29" s="148"/>
      <c r="AR29" s="148"/>
      <c r="AS29" s="148"/>
      <c r="AT29" s="148"/>
      <c r="AU29" s="148"/>
      <c r="AV29" s="148"/>
      <c r="AW29" s="148"/>
      <c r="AX29" s="148"/>
      <c r="AY29" s="148"/>
      <c r="AZ29" s="148"/>
      <c r="BA29" s="148"/>
      <c r="BB29" s="137"/>
      <c r="BC29" s="426">
        <v>21</v>
      </c>
      <c r="BD29" s="426">
        <f t="array" aca="1" ref="BD29" ca="1">SUM((OFFSET($I$9,(BC29-1)*Calc!$F$26,0,Calc!$F$26)&lt;&gt;"")*(OFFSET($K$9,(BC29-1)*Calc!$F$26,0,Calc!$F$26)&lt;&gt;""))</f>
        <v>9</v>
      </c>
      <c r="BE29" s="426"/>
      <c r="BF29" s="426"/>
      <c r="BG29" s="426">
        <f t="shared" ca="1" si="3"/>
        <v>21</v>
      </c>
    </row>
    <row r="30" spans="2:59" ht="15.95" customHeight="1" x14ac:dyDescent="0.2">
      <c r="B30" s="278" t="str">
        <f>IF(Calc!$F$26=0,"",IF(OR($C30&gt;Calc!$B$24,MOD($C30-1,Calc!$F$26)&gt;0),"",QUOTIENT($C30-1,Calc!$F$26)+1))</f>
        <v/>
      </c>
      <c r="C30" s="274">
        <v>22</v>
      </c>
      <c r="D30" s="154">
        <f>IF(Plan!$T28="","",Plan!$T28)</f>
        <v>45913</v>
      </c>
      <c r="E30" s="155">
        <f>IF(Plan!$U28="","",Plan!$U28)</f>
        <v>0.64583333333333337</v>
      </c>
      <c r="F30" s="175" t="str">
        <f>Plan!$Q28</f>
        <v>VfL Wolfsburg</v>
      </c>
      <c r="G30" s="176" t="s">
        <v>4</v>
      </c>
      <c r="H30" s="175" t="str">
        <f>Plan!$S28</f>
        <v>1. FC Köln</v>
      </c>
      <c r="I30" s="177">
        <v>3</v>
      </c>
      <c r="J30" s="178" t="str">
        <f>Language!$E$65</f>
        <v xml:space="preserve"> : </v>
      </c>
      <c r="K30" s="179">
        <v>3</v>
      </c>
      <c r="L30" s="383"/>
      <c r="M30" s="384"/>
      <c r="P30" s="138"/>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c r="BA30" s="137"/>
      <c r="BB30" s="137"/>
      <c r="BC30" s="426">
        <v>22</v>
      </c>
      <c r="BD30" s="426">
        <f t="array" aca="1" ref="BD30" ca="1">SUM((OFFSET($I$9,(BC30-1)*Calc!$F$26,0,Calc!$F$26)&lt;&gt;"")*(OFFSET($K$9,(BC30-1)*Calc!$F$26,0,Calc!$F$26)&lt;&gt;""))</f>
        <v>9</v>
      </c>
      <c r="BE30" s="426"/>
      <c r="BF30" s="426"/>
      <c r="BG30" s="426">
        <f t="shared" ca="1" si="3"/>
        <v>22</v>
      </c>
    </row>
    <row r="31" spans="2:59" ht="15.95" customHeight="1" x14ac:dyDescent="0.2">
      <c r="B31" s="278" t="str">
        <f>IF(Calc!$F$26=0,"",IF(OR($C31&gt;Calc!$B$24,MOD($C31-1,Calc!$F$26)&gt;0),"",QUOTIENT($C31-1,Calc!$F$26)+1))</f>
        <v/>
      </c>
      <c r="C31" s="274">
        <v>23</v>
      </c>
      <c r="D31" s="154">
        <f>IF(Plan!$T29="","",Plan!$T29)</f>
        <v>45913</v>
      </c>
      <c r="E31" s="155">
        <f>IF(Plan!$U29="","",Plan!$U29)</f>
        <v>0.64583333333333337</v>
      </c>
      <c r="F31" s="175" t="str">
        <f>Plan!$Q29</f>
        <v>SC Freiburg</v>
      </c>
      <c r="G31" s="176" t="s">
        <v>4</v>
      </c>
      <c r="H31" s="175" t="str">
        <f>Plan!$S29</f>
        <v>VfB Stuttgart</v>
      </c>
      <c r="I31" s="177">
        <v>3</v>
      </c>
      <c r="J31" s="178" t="str">
        <f>Language!$E$65</f>
        <v xml:space="preserve"> : </v>
      </c>
      <c r="K31" s="179">
        <v>1</v>
      </c>
      <c r="L31" s="383"/>
      <c r="M31" s="384"/>
      <c r="P31" s="454" t="str">
        <f>Language!$E$40</f>
        <v>Einzelne Teams im Vergleich für einen bestimmten Zeitraum</v>
      </c>
      <c r="Q31" s="454"/>
      <c r="R31" s="454"/>
      <c r="S31" s="454"/>
      <c r="T31" s="454"/>
      <c r="U31" s="454"/>
      <c r="V31" s="454"/>
      <c r="W31" s="454"/>
      <c r="X31" s="454"/>
      <c r="Y31" s="454"/>
      <c r="Z31" s="454"/>
      <c r="AA31" s="371"/>
      <c r="AB31" s="409"/>
      <c r="AC31" s="139"/>
      <c r="AD31" s="139"/>
      <c r="AE31" s="139"/>
      <c r="AF31" s="214"/>
      <c r="AG31" s="214"/>
      <c r="AH31" s="456" t="str">
        <f>Language!$E$19</f>
        <v>Rückspiele</v>
      </c>
      <c r="AI31" s="456"/>
      <c r="AJ31" s="456"/>
      <c r="AK31" s="456"/>
      <c r="AL31" s="456"/>
      <c r="AM31" s="456"/>
      <c r="AN31" s="456"/>
      <c r="AO31" s="456"/>
      <c r="AP31" s="456"/>
      <c r="AQ31" s="456"/>
      <c r="AR31" s="456"/>
      <c r="AS31" s="456"/>
      <c r="AT31" s="456"/>
      <c r="AU31" s="456"/>
      <c r="AV31" s="456"/>
      <c r="AW31" s="456"/>
      <c r="AX31" s="456"/>
      <c r="AY31" s="456"/>
      <c r="AZ31" s="456"/>
      <c r="BA31" s="456"/>
      <c r="BB31" s="140"/>
      <c r="BC31" s="426">
        <v>23</v>
      </c>
      <c r="BD31" s="426">
        <f t="array" aca="1" ref="BD31" ca="1">SUM((OFFSET($I$9,(BC31-1)*Calc!$F$26,0,Calc!$F$26)&lt;&gt;"")*(OFFSET($K$9,(BC31-1)*Calc!$F$26,0,Calc!$F$26)&lt;&gt;""))</f>
        <v>9</v>
      </c>
      <c r="BE31" s="426"/>
      <c r="BF31" s="426"/>
      <c r="BG31" s="426">
        <f t="shared" ca="1" si="3"/>
        <v>23</v>
      </c>
    </row>
    <row r="32" spans="2:59" ht="15.95" customHeight="1" thickBot="1" x14ac:dyDescent="0.25">
      <c r="B32" s="278" t="str">
        <f>IF(Calc!$F$26=0,"",IF(OR($C32&gt;Calc!$B$24,MOD($C32-1,Calc!$F$26)&gt;0),"",QUOTIENT($C32-1,Calc!$F$26)+1))</f>
        <v/>
      </c>
      <c r="C32" s="274">
        <v>24</v>
      </c>
      <c r="D32" s="154">
        <f>IF(Plan!$T30="","",Plan!$T30)</f>
        <v>45913</v>
      </c>
      <c r="E32" s="155">
        <f>IF(Plan!$U30="","",Plan!$U30)</f>
        <v>0.64583333333333337</v>
      </c>
      <c r="F32" s="175" t="str">
        <f>Plan!$Q30</f>
        <v>1. FSV Mainz 05</v>
      </c>
      <c r="G32" s="176" t="s">
        <v>4</v>
      </c>
      <c r="H32" s="175" t="str">
        <f>Plan!$S30</f>
        <v>RB Leipzig</v>
      </c>
      <c r="I32" s="177">
        <v>0</v>
      </c>
      <c r="J32" s="178" t="str">
        <f>Language!$E$65</f>
        <v xml:space="preserve"> : </v>
      </c>
      <c r="K32" s="179">
        <v>1</v>
      </c>
      <c r="L32" s="383"/>
      <c r="M32" s="384"/>
      <c r="P32" s="455"/>
      <c r="Q32" s="455"/>
      <c r="R32" s="455"/>
      <c r="S32" s="455"/>
      <c r="T32" s="455"/>
      <c r="U32" s="455"/>
      <c r="V32" s="455"/>
      <c r="W32" s="455"/>
      <c r="X32" s="455"/>
      <c r="Y32" s="455"/>
      <c r="Z32" s="455"/>
      <c r="AA32" s="371"/>
      <c r="AB32" s="409"/>
      <c r="AC32" s="200"/>
      <c r="AD32" s="141"/>
      <c r="AE32" s="141"/>
      <c r="AF32" s="214"/>
      <c r="AH32" s="428"/>
      <c r="AI32" s="428"/>
      <c r="AJ32" s="428"/>
      <c r="AK32" s="428"/>
      <c r="AL32" s="428"/>
      <c r="AM32" s="428"/>
      <c r="AN32" s="428"/>
      <c r="AO32" s="428"/>
      <c r="AP32" s="428"/>
      <c r="AQ32" s="428"/>
      <c r="AR32" s="428"/>
      <c r="AS32" s="428"/>
      <c r="AT32" s="428"/>
      <c r="AU32" s="428"/>
      <c r="AV32" s="428"/>
      <c r="AW32" s="428"/>
      <c r="AX32" s="428"/>
      <c r="AY32" s="428"/>
      <c r="AZ32" s="428"/>
      <c r="BA32" s="428"/>
      <c r="BB32" s="140"/>
      <c r="BC32" s="426">
        <v>24</v>
      </c>
      <c r="BD32" s="426">
        <f t="array" aca="1" ref="BD32" ca="1">SUM((OFFSET($I$9,(BC32-1)*Calc!$F$26,0,Calc!$F$26)&lt;&gt;"")*(OFFSET($K$9,(BC32-1)*Calc!$F$26,0,Calc!$F$26)&lt;&gt;""))</f>
        <v>9</v>
      </c>
      <c r="BE32" s="426"/>
      <c r="BF32" s="426"/>
      <c r="BG32" s="426">
        <f t="shared" ca="1" si="3"/>
        <v>24</v>
      </c>
    </row>
    <row r="33" spans="2:59" ht="15.95" customHeight="1" x14ac:dyDescent="0.2">
      <c r="B33" s="278" t="str">
        <f>IF(Calc!$F$26=0,"",IF(OR($C33&gt;Calc!$B$24,MOD($C33-1,Calc!$F$26)&gt;0),"",QUOTIENT($C33-1,Calc!$F$26)+1))</f>
        <v/>
      </c>
      <c r="C33" s="274">
        <v>25</v>
      </c>
      <c r="D33" s="154">
        <f>IF(Plan!$T31="","",Plan!$T31)</f>
        <v>45913</v>
      </c>
      <c r="E33" s="155">
        <f>IF(Plan!$U31="","",Plan!$U31)</f>
        <v>0.77083333333333337</v>
      </c>
      <c r="F33" s="175" t="str">
        <f>Plan!$Q31</f>
        <v>FC Bayern München</v>
      </c>
      <c r="G33" s="176" t="s">
        <v>4</v>
      </c>
      <c r="H33" s="175" t="str">
        <f>Plan!$S31</f>
        <v>Hamburger SV</v>
      </c>
      <c r="I33" s="177">
        <v>5</v>
      </c>
      <c r="J33" s="178" t="str">
        <f>Language!$E$65</f>
        <v xml:space="preserve"> : </v>
      </c>
      <c r="K33" s="179">
        <v>0</v>
      </c>
      <c r="L33" s="383"/>
      <c r="M33" s="384"/>
      <c r="P33" s="451" t="str">
        <f>Language!$E$50</f>
        <v>Team</v>
      </c>
      <c r="Q33" s="451"/>
      <c r="R33" s="452" t="str">
        <f>Language!$E$16</f>
        <v>Spieltage</v>
      </c>
      <c r="S33" s="452"/>
      <c r="T33" s="355"/>
      <c r="U33" s="356"/>
      <c r="V33" s="356"/>
      <c r="W33" s="356"/>
      <c r="X33" s="356"/>
      <c r="Y33" s="356"/>
      <c r="Z33" s="357"/>
      <c r="AA33" s="139"/>
      <c r="AB33" s="139"/>
      <c r="AC33" s="214"/>
      <c r="AD33" s="214"/>
      <c r="AE33" s="214"/>
      <c r="AF33" s="212"/>
      <c r="AG33" s="130"/>
      <c r="AH33" s="204" t="str">
        <f t="shared" ref="AH33:BA33" ca="1" si="4">AH7</f>
        <v>Bayern</v>
      </c>
      <c r="AI33" s="205" t="str">
        <f t="shared" ca="1" si="4"/>
        <v>Dortmund</v>
      </c>
      <c r="AJ33" s="205" t="str">
        <f t="shared" ca="1" si="4"/>
        <v>Leipzig</v>
      </c>
      <c r="AK33" s="205" t="str">
        <f t="shared" ca="1" si="4"/>
        <v>Stuttgart</v>
      </c>
      <c r="AL33" s="205" t="str">
        <f t="shared" ca="1" si="4"/>
        <v>Hoffenhei</v>
      </c>
      <c r="AM33" s="205" t="str">
        <f t="shared" ca="1" si="4"/>
        <v>Leverkuse</v>
      </c>
      <c r="AN33" s="205" t="str">
        <f t="shared" ca="1" si="4"/>
        <v>Freiburg</v>
      </c>
      <c r="AO33" s="205" t="str">
        <f t="shared" ca="1" si="4"/>
        <v>Frankfurt</v>
      </c>
      <c r="AP33" s="205" t="str">
        <f t="shared" ca="1" si="4"/>
        <v>Augsburg</v>
      </c>
      <c r="AQ33" s="205" t="str">
        <f t="shared" ca="1" si="4"/>
        <v>Mainz</v>
      </c>
      <c r="AR33" s="205" t="str">
        <f t="shared" ca="1" si="4"/>
        <v>Union Ber</v>
      </c>
      <c r="AS33" s="205" t="str">
        <f t="shared" ca="1" si="4"/>
        <v>Gladbach</v>
      </c>
      <c r="AT33" s="205" t="str">
        <f t="shared" ca="1" si="4"/>
        <v>HSV</v>
      </c>
      <c r="AU33" s="205" t="str">
        <f t="shared" ca="1" si="4"/>
        <v>Köln</v>
      </c>
      <c r="AV33" s="205" t="str">
        <f t="shared" ca="1" si="4"/>
        <v>Bremen</v>
      </c>
      <c r="AW33" s="205" t="str">
        <f t="shared" ca="1" si="4"/>
        <v>Wolfsburg</v>
      </c>
      <c r="AX33" s="205" t="str">
        <f t="shared" ca="1" si="4"/>
        <v>Heidenhei</v>
      </c>
      <c r="AY33" s="205" t="str">
        <f t="shared" ca="1" si="4"/>
        <v>St. Pauli</v>
      </c>
      <c r="AZ33" s="205" t="str">
        <f t="shared" ca="1" si="4"/>
        <v/>
      </c>
      <c r="BA33" s="206" t="str">
        <f t="shared" ca="1" si="4"/>
        <v/>
      </c>
      <c r="BB33" s="143"/>
      <c r="BC33" s="426">
        <v>25</v>
      </c>
      <c r="BD33" s="426">
        <f t="array" aca="1" ref="BD33" ca="1">SUM((OFFSET($I$9,(BC33-1)*Calc!$F$26,0,Calc!$F$26)&lt;&gt;"")*(OFFSET($K$9,(BC33-1)*Calc!$F$26,0,Calc!$F$26)&lt;&gt;""))</f>
        <v>9</v>
      </c>
      <c r="BE33" s="426"/>
      <c r="BF33" s="426"/>
      <c r="BG33" s="426">
        <f t="shared" ca="1" si="3"/>
        <v>25</v>
      </c>
    </row>
    <row r="34" spans="2:59" ht="15.95" customHeight="1" thickBot="1" x14ac:dyDescent="0.25">
      <c r="B34" s="278" t="str">
        <f>IF(Calc!$F$26=0,"",IF(OR($C34&gt;Calc!$B$24,MOD($C34-1,Calc!$F$26)&gt;0),"",QUOTIENT($C34-1,Calc!$F$26)+1))</f>
        <v/>
      </c>
      <c r="C34" s="274">
        <v>26</v>
      </c>
      <c r="D34" s="154">
        <f>IF(Plan!$T32="","",Plan!$T32)</f>
        <v>45914</v>
      </c>
      <c r="E34" s="155">
        <f>IF(Plan!$U32="","",Plan!$U32)</f>
        <v>0.64583333333333337</v>
      </c>
      <c r="F34" s="175" t="str">
        <f>Plan!$Q32</f>
        <v>FC St. Pauli</v>
      </c>
      <c r="G34" s="176" t="s">
        <v>4</v>
      </c>
      <c r="H34" s="175" t="str">
        <f>Plan!$S32</f>
        <v>FC Augsburg</v>
      </c>
      <c r="I34" s="177">
        <v>2</v>
      </c>
      <c r="J34" s="178" t="str">
        <f>Language!$E$65</f>
        <v xml:space="preserve"> : </v>
      </c>
      <c r="K34" s="179">
        <v>1</v>
      </c>
      <c r="L34" s="383"/>
      <c r="M34" s="384"/>
      <c r="P34" s="358" t="str">
        <f>Language!$E$9</f>
        <v>Nr.</v>
      </c>
      <c r="Q34" s="358" t="str">
        <f>Language!$E$20</f>
        <v>Name</v>
      </c>
      <c r="R34" s="358" t="str">
        <f>Language!$E$41</f>
        <v>von</v>
      </c>
      <c r="S34" s="358" t="str">
        <f>Language!$E$44</f>
        <v>bis</v>
      </c>
      <c r="T34" s="359" t="str">
        <f>Language!$E$22</f>
        <v>G</v>
      </c>
      <c r="U34" s="359" t="str">
        <f>Language!$E$23</f>
        <v>U</v>
      </c>
      <c r="V34" s="359" t="str">
        <f>Language!$E$24</f>
        <v>V</v>
      </c>
      <c r="W34" s="359"/>
      <c r="X34" s="453" t="str">
        <f>Language!$E$25</f>
        <v>Tore</v>
      </c>
      <c r="Y34" s="453"/>
      <c r="Z34" s="366" t="str">
        <f>Language!$E$27</f>
        <v>Pkt</v>
      </c>
      <c r="AA34" s="373"/>
      <c r="AB34" s="373"/>
      <c r="AC34" s="214"/>
      <c r="AD34" s="214"/>
      <c r="AE34" s="214"/>
      <c r="AF34" s="142"/>
      <c r="AG34" s="130"/>
      <c r="AH34" s="207" t="str">
        <f t="shared" ref="AH34:BA34" ca="1" si="5">AH8</f>
        <v>FC Bayern München</v>
      </c>
      <c r="AI34" s="208" t="str">
        <f t="shared" ca="1" si="5"/>
        <v>Borussia Dortmund</v>
      </c>
      <c r="AJ34" s="208" t="str">
        <f t="shared" ca="1" si="5"/>
        <v>RB Leipzig</v>
      </c>
      <c r="AK34" s="208" t="str">
        <f t="shared" ca="1" si="5"/>
        <v>VfB Stuttgart</v>
      </c>
      <c r="AL34" s="208" t="str">
        <f t="shared" ca="1" si="5"/>
        <v>TSG Hoffenheim</v>
      </c>
      <c r="AM34" s="208" t="str">
        <f t="shared" ca="1" si="5"/>
        <v>Bayer 04 Leverkusen</v>
      </c>
      <c r="AN34" s="208" t="str">
        <f t="shared" ca="1" si="5"/>
        <v>SC Freiburg</v>
      </c>
      <c r="AO34" s="208" t="str">
        <f t="shared" ca="1" si="5"/>
        <v>Eintracht Frankfurt</v>
      </c>
      <c r="AP34" s="208" t="str">
        <f t="shared" ca="1" si="5"/>
        <v>FC Augsburg</v>
      </c>
      <c r="AQ34" s="208" t="str">
        <f t="shared" ca="1" si="5"/>
        <v>1. FSV Mainz 05</v>
      </c>
      <c r="AR34" s="208" t="str">
        <f t="shared" ca="1" si="5"/>
        <v>1. FC Union Berlin</v>
      </c>
      <c r="AS34" s="208" t="str">
        <f t="shared" ca="1" si="5"/>
        <v>Borussia Mönchengladbach</v>
      </c>
      <c r="AT34" s="208" t="str">
        <f t="shared" ca="1" si="5"/>
        <v>Hamburger SV</v>
      </c>
      <c r="AU34" s="208" t="str">
        <f t="shared" ca="1" si="5"/>
        <v>1. FC Köln</v>
      </c>
      <c r="AV34" s="208" t="str">
        <f t="shared" ca="1" si="5"/>
        <v>SV Werder Bremen</v>
      </c>
      <c r="AW34" s="208" t="str">
        <f t="shared" ca="1" si="5"/>
        <v>VfL Wolfsburg</v>
      </c>
      <c r="AX34" s="208" t="str">
        <f t="shared" ca="1" si="5"/>
        <v>1. FC Heidenheim 1846</v>
      </c>
      <c r="AY34" s="208" t="str">
        <f t="shared" ca="1" si="5"/>
        <v>FC St. Pauli</v>
      </c>
      <c r="AZ34" s="208" t="str">
        <f t="shared" ca="1" si="5"/>
        <v/>
      </c>
      <c r="BA34" s="209" t="str">
        <f t="shared" ca="1" si="5"/>
        <v/>
      </c>
      <c r="BB34" s="143"/>
      <c r="BC34" s="426">
        <v>26</v>
      </c>
      <c r="BD34" s="426">
        <f t="array" aca="1" ref="BD34" ca="1">SUM((OFFSET($I$9,(BC34-1)*Calc!$F$26,0,Calc!$F$26)&lt;&gt;"")*(OFFSET($K$9,(BC34-1)*Calc!$F$26,0,Calc!$F$26)&lt;&gt;""))</f>
        <v>9</v>
      </c>
      <c r="BE34" s="426"/>
      <c r="BF34" s="426"/>
      <c r="BG34" s="426">
        <f t="shared" ca="1" si="3"/>
        <v>26</v>
      </c>
    </row>
    <row r="35" spans="2:59" ht="15.95" customHeight="1" thickTop="1" x14ac:dyDescent="0.2">
      <c r="B35" s="278" t="str">
        <f>IF(Calc!$F$26=0,"",IF(OR($C35&gt;Calc!$B$24,MOD($C35-1,Calc!$F$26)&gt;0),"",QUOTIENT($C35-1,Calc!$F$26)+1))</f>
        <v/>
      </c>
      <c r="C35" s="274">
        <v>27</v>
      </c>
      <c r="D35" s="154">
        <f>IF(Plan!$T33="","",Plan!$T33)</f>
        <v>45914</v>
      </c>
      <c r="E35" s="155">
        <f>IF(Plan!$U33="","",Plan!$U33)</f>
        <v>0.72916666666666663</v>
      </c>
      <c r="F35" s="175" t="str">
        <f>Plan!$Q33</f>
        <v>Borussia Mönchengladbach</v>
      </c>
      <c r="G35" s="176" t="s">
        <v>4</v>
      </c>
      <c r="H35" s="175" t="str">
        <f>Plan!$S33</f>
        <v>SV Werder Bremen</v>
      </c>
      <c r="I35" s="177">
        <v>0</v>
      </c>
      <c r="J35" s="178" t="str">
        <f>Language!$E$65</f>
        <v xml:space="preserve"> : </v>
      </c>
      <c r="K35" s="179">
        <v>4</v>
      </c>
      <c r="L35" s="383"/>
      <c r="M35" s="384"/>
      <c r="P35" s="360">
        <v>40</v>
      </c>
      <c r="Q35" s="361" t="str">
        <f>IFERROR(VLOOKUP(P35,Plan!$C$7:$D$26,2,0),"")</f>
        <v>FC Bayern München</v>
      </c>
      <c r="R35" s="362">
        <v>12</v>
      </c>
      <c r="S35" s="362">
        <v>14</v>
      </c>
      <c r="T35" s="363">
        <f t="array" aca="1" ref="T35" ca="1">IF(OR($R$35="",$S$35=""),"",IF($Q35&lt;&gt;"",SUM((OFFSET($F$9,($R$35-1)*Calc!$F$26,0,($S$35-$R$35+1)*Calc!$F$26,1)=$Q35)*(OFFSET($I$9,($R$35-1)*Calc!$F$26,0,($S$35-$R$35+1)*Calc!$F$26,1)&gt;OFFSET($K$9,($R$35-1)*Calc!$F$26,0,($S$35-$R$35+1)*Calc!$F$26,1)))+SUM((OFFSET($H$9,($R$35-1)*Calc!$F$26,0,($S$35-$R$35+1)*Calc!$F$26,1)=$Q35)*(OFFSET($I$9,($R$35-1)*Calc!$F$26,0,($S$35-$R$35+1)*Calc!$F$26,1)&lt;OFFSET($K$9,($R$35-1)*Calc!$F$26,0,($S$35-$R$35+1)*Calc!$F$26,1))),""))</f>
        <v>2</v>
      </c>
      <c r="U35" s="363">
        <f t="array" aca="1" ref="U35" ca="1">IF(OR($R$35="",$S$35=""),"",IF($Q35&lt;&gt;"",SUM((OFFSET($F$9,($R$35-1)*Calc!$F$26,0,($S$35-$R$35+1)*Calc!$F$26,1)=$Q35)*(OFFSET($I$9,($R$35-1)*Calc!$F$26,0,($S$35-$R$35+1)*Calc!$F$26,1)=OFFSET($K$9,($R$35-1)*Calc!$F$26,0,($S$35-$R$35+1)*Calc!$F$26,1))*(OFFSET($I$9,($R$35-1)*Calc!$F$26,0,($S$35-$R$35+1)*Calc!$F$26,1)&lt;&gt;""))+SUM((OFFSET($H$9,($R$35-1)*Calc!$F$26,0,($S$35-$R$35+1)*Calc!$F$26,1)=$Q35)*(OFFSET($I$9,($R$35-1)*Calc!$F$26,0,($S$35-$R$35+1)*Calc!$F$26,1)=OFFSET($K$9,($R$35-1)*Calc!$F$26,0,($S$35-$R$35+1)*Calc!$F$26,1))*(OFFSET($I$9,($R$35-1)*Calc!$F$26,0,($S$35-$R$35+1)*Calc!$F$26,1)&lt;&gt;"")),""))</f>
        <v>1</v>
      </c>
      <c r="V35" s="363">
        <f t="array" aca="1" ref="V35" ca="1">IF(OR($R$35="",$S$35=""),"",IF($Q35&lt;&gt;"",SUM((OFFSET($F$9,($R$35-1)*Calc!$F$26,0,($S$35-$R$35+1)*Calc!$F$26,1)=$Q35)*(OFFSET($I$9,($R$35-1)*Calc!$F$26,0,($S$35-$R$35+1)*Calc!$F$26,1)&lt;OFFSET($K$9,($R$35-1)*Calc!$F$26,0,($S$35-$R$35+1)*Calc!$F$26,1)))+SUM((OFFSET($H$9,($R$35-1)*Calc!$F$26,0,($S$35-$R$35+1)*Calc!$F$26,1)=$Q35)*(OFFSET($I$9,($R$35-1)*Calc!$F$26,0,($S$35-$R$35+1)*Calc!$F$26,1)&gt;OFFSET($K$9,($R$35-1)*Calc!$F$26,0,($S$35-$R$35+1)*Calc!$F$26,1))),""))</f>
        <v>0</v>
      </c>
      <c r="W35" s="363"/>
      <c r="X35" s="363">
        <f t="array" aca="1" ref="X35" ca="1">IF(OR($R$35="",$S$35=""),"",IF($Q35&lt;&gt;"",SUM((OFFSET($F$9,($R$35-1)*Calc!$F$26,0,($S$35-$R$35+1)*Calc!$F$26,1)=$Q35)*OFFSET($I$9,($R$35-1)*Calc!$F$26,0,($S$35-$R$35+1)*Calc!$F$26,1))+SUM((OFFSET($H$9,($R$35-1)*Calc!$F$26,0,($S$35-$R$35+1)*Calc!$F$26,1)=$Q35)*OFFSET($K$9,($R$35-1)*Calc!$F$26,0,($S$35-$R$35+1)*Calc!$F$26,1)),""))</f>
        <v>10</v>
      </c>
      <c r="Y35" s="363">
        <f t="array" aca="1" ref="Y35" ca="1">IF(OR($R$35="",$S$35=""),"",IF($Q35&lt;&gt;"",SUM((OFFSET($F$9,($R$35-1)*Calc!$F$26,0,($S$35-$R$35+1)*Calc!$F$26,1)=$Q35)*OFFSET($K$9,($R$35-1)*Calc!$F$26,0,($S$35-$R$35+1)*Calc!$F$26,1))+SUM((OFFSET($H$9,($R$35-1)*Calc!$F$26,0,($S$35-$R$35+1)*Calc!$F$26,1)=$Q35)*OFFSET($I$9,($R$35-1)*Calc!$F$26,0,($S$35-$R$35+1)*Calc!$F$26,1)),""))</f>
        <v>3</v>
      </c>
      <c r="Z35" s="367">
        <f ca="1">IF($T35="","",$T35*Settings!$C$3+$U35)</f>
        <v>7</v>
      </c>
      <c r="AA35" s="374"/>
      <c r="AB35" s="374"/>
      <c r="AC35" s="212"/>
      <c r="AD35" s="212"/>
      <c r="AE35" s="212"/>
      <c r="AF35" s="215">
        <f t="shared" ref="AF35:AF54" ca="1" si="6">P9</f>
        <v>1</v>
      </c>
      <c r="AG35" s="216" t="str">
        <f t="shared" ref="AG35:AG54" ca="1" si="7">Q9</f>
        <v>FC Bayern München</v>
      </c>
      <c r="AH35" s="201"/>
      <c r="AI35" s="202" t="str">
        <f ca="1">IFERROR(VLOOKUP($Q9&amp;AI$8,Calc2!$M$4:$N$763,2,0),"")</f>
        <v>3 : 2</v>
      </c>
      <c r="AJ35" s="202" t="str">
        <f ca="1">IFERROR(VLOOKUP($Q9&amp;AJ$8,Calc2!$M$4:$N$763,2,0),"")</f>
        <v>5 : 1</v>
      </c>
      <c r="AK35" s="202" t="str">
        <f ca="1">IFERROR(VLOOKUP($Q9&amp;AK$8,Calc2!$M$4:$N$763,2,0),"")</f>
        <v>4 : 2</v>
      </c>
      <c r="AL35" s="202" t="str">
        <f ca="1">IFERROR(VLOOKUP($Q9&amp;AL$8,Calc2!$M$4:$N$763,2,0),"")</f>
        <v>5 : 1</v>
      </c>
      <c r="AM35" s="202" t="str">
        <f ca="1">IFERROR(VLOOKUP($Q9&amp;AM$8,Calc2!$M$4:$N$763,2,0),"")</f>
        <v>1 : 1</v>
      </c>
      <c r="AN35" s="202" t="str">
        <f ca="1">IFERROR(VLOOKUP($Q9&amp;AN$8,Calc2!$M$4:$N$763,2,0),"")</f>
        <v>3 : 2</v>
      </c>
      <c r="AO35" s="202" t="str">
        <f ca="1">IFERROR(VLOOKUP($Q9&amp;AO$8,Calc2!$M$4:$N$763,2,0),"")</f>
        <v>3 : 2</v>
      </c>
      <c r="AP35" s="202" t="str">
        <f ca="1">IFERROR(VLOOKUP($Q9&amp;AP$8,Calc2!$M$4:$N$763,2,0),"")</f>
        <v>1 : 2</v>
      </c>
      <c r="AQ35" s="202" t="str">
        <f ca="1">IFERROR(VLOOKUP($Q9&amp;AQ$8,Calc2!$M$4:$N$763,2,0),"")</f>
        <v>4 : 3</v>
      </c>
      <c r="AR35" s="202" t="str">
        <f ca="1">IFERROR(VLOOKUP($Q9&amp;AR$8,Calc2!$M$4:$N$763,2,0),"")</f>
        <v>4 : 0</v>
      </c>
      <c r="AS35" s="202" t="str">
        <f ca="1">IFERROR(VLOOKUP($Q9&amp;AS$8,Calc2!$M$4:$N$763,2,0),"")</f>
        <v>4 : 1</v>
      </c>
      <c r="AT35" s="202" t="str">
        <f ca="1">IFERROR(VLOOKUP($Q9&amp;AT$8,Calc2!$M$4:$N$763,2,0),"")</f>
        <v>2 : 2</v>
      </c>
      <c r="AU35" s="202" t="str">
        <f ca="1">IFERROR(VLOOKUP($Q9&amp;AU$8,Calc2!$M$4:$N$763,2,0),"")</f>
        <v>5 : 1</v>
      </c>
      <c r="AV35" s="202" t="str">
        <f ca="1">IFERROR(VLOOKUP($Q9&amp;AV$8,Calc2!$M$4:$N$763,2,0),"")</f>
        <v>3 : 0</v>
      </c>
      <c r="AW35" s="202" t="str">
        <f ca="1">IFERROR(VLOOKUP($Q9&amp;AW$8,Calc2!$M$4:$N$763,2,0),"")</f>
        <v>1 : 0</v>
      </c>
      <c r="AX35" s="202" t="str">
        <f ca="1">IFERROR(VLOOKUP($Q9&amp;AX$8,Calc2!$M$4:$N$763,2,0),"")</f>
        <v>3 : 3</v>
      </c>
      <c r="AY35" s="202" t="str">
        <f ca="1">IFERROR(VLOOKUP($Q9&amp;AY$8,Calc2!$M$4:$N$763,2,0),"")</f>
        <v>5 : 0</v>
      </c>
      <c r="AZ35" s="202" t="str">
        <f ca="1">IFERROR(VLOOKUP($Q9&amp;AZ$8,Calc2!$M$4:$N$763,2,0),"")</f>
        <v/>
      </c>
      <c r="BA35" s="203" t="str">
        <f ca="1">IFERROR(VLOOKUP($Q9&amp;BA$8,Calc2!$M$4:$N$763,2,0),"")</f>
        <v/>
      </c>
      <c r="BB35" s="143"/>
      <c r="BC35" s="426">
        <v>27</v>
      </c>
      <c r="BD35" s="426">
        <f t="array" aca="1" ref="BD35" ca="1">SUM((OFFSET($I$9,(BC35-1)*Calc!$F$26,0,Calc!$F$26)&lt;&gt;"")*(OFFSET($K$9,(BC35-1)*Calc!$F$26,0,Calc!$F$26)&lt;&gt;""))</f>
        <v>9</v>
      </c>
      <c r="BE35" s="426"/>
      <c r="BF35" s="426"/>
      <c r="BG35" s="426">
        <f t="shared" ca="1" si="3"/>
        <v>27</v>
      </c>
    </row>
    <row r="36" spans="2:59" ht="15.95" customHeight="1" x14ac:dyDescent="0.2">
      <c r="B36" s="278">
        <f>IF(Calc!$F$26=0,"",IF(OR($C36&gt;Calc!$B$24,MOD($C36-1,Calc!$F$26)&gt;0),"",QUOTIENT($C36-1,Calc!$F$26)+1))</f>
        <v>4</v>
      </c>
      <c r="C36" s="274">
        <v>28</v>
      </c>
      <c r="D36" s="154">
        <f>IF(Plan!$T34="","",Plan!$T34)</f>
        <v>45919</v>
      </c>
      <c r="E36" s="155">
        <f>IF(Plan!$U34="","",Plan!$U34)</f>
        <v>0.85416666666666663</v>
      </c>
      <c r="F36" s="175" t="str">
        <f>Plan!$Q34</f>
        <v>VfB Stuttgart</v>
      </c>
      <c r="G36" s="176" t="s">
        <v>4</v>
      </c>
      <c r="H36" s="175" t="str">
        <f>Plan!$S34</f>
        <v>FC St. Pauli</v>
      </c>
      <c r="I36" s="177">
        <v>2</v>
      </c>
      <c r="J36" s="178" t="str">
        <f>Language!$E$65</f>
        <v xml:space="preserve"> : </v>
      </c>
      <c r="K36" s="179">
        <v>0</v>
      </c>
      <c r="L36" s="383"/>
      <c r="M36" s="384"/>
      <c r="P36" s="360">
        <v>1635</v>
      </c>
      <c r="Q36" s="361" t="str">
        <f>IFERROR(VLOOKUP(P36,Plan!$C$7:$D$26,2,0),"")</f>
        <v>RB Leipzig</v>
      </c>
      <c r="R36" s="364"/>
      <c r="S36" s="365"/>
      <c r="T36" s="363">
        <f t="array" aca="1" ref="T36" ca="1">IF(OR($R$35="",$S$35=""),"",IF($Q36&lt;&gt;"",SUM((OFFSET($F$9,($R$35-1)*Calc!$F$26,0,($S$35-$R$35+1)*Calc!$F$26,1)=$Q36)*(OFFSET($I$9,($R$35-1)*Calc!$F$26,0,($S$35-$R$35+1)*Calc!$F$26,1)&gt;OFFSET($K$9,($R$35-1)*Calc!$F$26,0,($S$35-$R$35+1)*Calc!$F$26,1)))+SUM((OFFSET($H$9,($R$35-1)*Calc!$F$26,0,($S$35-$R$35+1)*Calc!$F$26,1)=$Q36)*(OFFSET($I$9,($R$35-1)*Calc!$F$26,0,($S$35-$R$35+1)*Calc!$F$26,1)&lt;OFFSET($K$9,($R$35-1)*Calc!$F$26,0,($S$35-$R$35+1)*Calc!$F$26,1))),""))</f>
        <v>1</v>
      </c>
      <c r="U36" s="363">
        <f t="array" aca="1" ref="U36" ca="1">IF(OR($R$35="",$S$35=""),"",IF($Q36&lt;&gt;"",SUM((OFFSET($F$9,($R$35-1)*Calc!$F$26,0,($S$35-$R$35+1)*Calc!$F$26,1)=$Q36)*(OFFSET($I$9,($R$35-1)*Calc!$F$26,0,($S$35-$R$35+1)*Calc!$F$26,1)=OFFSET($K$9,($R$35-1)*Calc!$F$26,0,($S$35-$R$35+1)*Calc!$F$26,1))*(OFFSET($I$9,($R$35-1)*Calc!$F$26,0,($S$35-$R$35+1)*Calc!$F$26,1)&lt;&gt;""))+SUM((OFFSET($H$9,($R$35-1)*Calc!$F$26,0,($S$35-$R$35+1)*Calc!$F$26,1)=$Q36)*(OFFSET($I$9,($R$35-1)*Calc!$F$26,0,($S$35-$R$35+1)*Calc!$F$26,1)=OFFSET($K$9,($R$35-1)*Calc!$F$26,0,($S$35-$R$35+1)*Calc!$F$26,1))*(OFFSET($I$9,($R$35-1)*Calc!$F$26,0,($S$35-$R$35+1)*Calc!$F$26,1)&lt;&gt;"")),""))</f>
        <v>1</v>
      </c>
      <c r="V36" s="363">
        <f t="array" aca="1" ref="V36" ca="1">IF(OR($R$35="",$S$35=""),"",IF($Q36&lt;&gt;"",SUM((OFFSET($F$9,($R$35-1)*Calc!$F$26,0,($S$35-$R$35+1)*Calc!$F$26,1)=$Q36)*(OFFSET($I$9,($R$35-1)*Calc!$F$26,0,($S$35-$R$35+1)*Calc!$F$26,1)&lt;OFFSET($K$9,($R$35-1)*Calc!$F$26,0,($S$35-$R$35+1)*Calc!$F$26,1)))+SUM((OFFSET($H$9,($R$35-1)*Calc!$F$26,0,($S$35-$R$35+1)*Calc!$F$26,1)=$Q36)*(OFFSET($I$9,($R$35-1)*Calc!$F$26,0,($S$35-$R$35+1)*Calc!$F$26,1)&gt;OFFSET($K$9,($R$35-1)*Calc!$F$26,0,($S$35-$R$35+1)*Calc!$F$26,1))),""))</f>
        <v>1</v>
      </c>
      <c r="W36" s="363"/>
      <c r="X36" s="363">
        <f t="array" aca="1" ref="X36" ca="1">IF(OR($R$35="",$S$35=""),"",IF($Q36&lt;&gt;"",SUM((OFFSET($F$9,($R$35-1)*Calc!$F$26,0,($S$35-$R$35+1)*Calc!$F$26,1)=$Q36)*OFFSET($I$9,($R$35-1)*Calc!$F$26,0,($S$35-$R$35+1)*Calc!$F$26,1))+SUM((OFFSET($H$9,($R$35-1)*Calc!$F$26,0,($S$35-$R$35+1)*Calc!$F$26,1)=$Q36)*OFFSET($K$9,($R$35-1)*Calc!$F$26,0,($S$35-$R$35+1)*Calc!$F$26,1)),""))</f>
        <v>7</v>
      </c>
      <c r="Y36" s="363">
        <f t="array" aca="1" ref="Y36" ca="1">IF(OR($R$35="",$S$35=""),"",IF($Q36&lt;&gt;"",SUM((OFFSET($F$9,($R$35-1)*Calc!$F$26,0,($S$35-$R$35+1)*Calc!$F$26,1)=$Q36)*OFFSET($K$9,($R$35-1)*Calc!$F$26,0,($S$35-$R$35+1)*Calc!$F$26,1))+SUM((OFFSET($H$9,($R$35-1)*Calc!$F$26,0,($S$35-$R$35+1)*Calc!$F$26,1)=$Q36)*OFFSET($I$9,($R$35-1)*Calc!$F$26,0,($S$35-$R$35+1)*Calc!$F$26,1)),""))</f>
        <v>3</v>
      </c>
      <c r="Z36" s="367">
        <f ca="1">IF($T36="","",$T36*Settings!$C$3+$U36)</f>
        <v>4</v>
      </c>
      <c r="AA36" s="374"/>
      <c r="AB36" s="374"/>
      <c r="AC36" s="264"/>
      <c r="AD36" s="142"/>
      <c r="AE36" s="142"/>
      <c r="AF36" s="217">
        <f t="shared" ca="1" si="6"/>
        <v>2</v>
      </c>
      <c r="AG36" s="218" t="str">
        <f t="shared" ca="1" si="7"/>
        <v>Borussia Dortmund</v>
      </c>
      <c r="AH36" s="164" t="str">
        <f ca="1">IFERROR(VLOOKUP($Q10&amp;AH$8,Calc2!$M$4:$N$763,2,0),"")</f>
        <v>2 : 3</v>
      </c>
      <c r="AI36" s="165"/>
      <c r="AJ36" s="158" t="str">
        <f ca="1">IFERROR(VLOOKUP($Q10&amp;AJ$8,Calc2!$M$4:$N$763,2,0),"")</f>
        <v>2 : 2</v>
      </c>
      <c r="AK36" s="158" t="str">
        <f ca="1">IFERROR(VLOOKUP($Q10&amp;AK$8,Calc2!$M$4:$N$763,2,0),"")</f>
        <v>2 : 0</v>
      </c>
      <c r="AL36" s="158" t="str">
        <f ca="1">IFERROR(VLOOKUP($Q10&amp;AL$8,Calc2!$M$4:$N$763,2,0),"")</f>
        <v>1 : 2</v>
      </c>
      <c r="AM36" s="158" t="str">
        <f ca="1">IFERROR(VLOOKUP($Q10&amp;AM$8,Calc2!$M$4:$N$763,2,0),"")</f>
        <v>0 : 1</v>
      </c>
      <c r="AN36" s="158" t="str">
        <f ca="1">IFERROR(VLOOKUP($Q10&amp;AN$8,Calc2!$M$4:$N$763,2,0),"")</f>
        <v>4 : 0</v>
      </c>
      <c r="AO36" s="158" t="str">
        <f ca="1">IFERROR(VLOOKUP($Q10&amp;AO$8,Calc2!$M$4:$N$763,2,0),"")</f>
        <v>3 : 2</v>
      </c>
      <c r="AP36" s="158" t="str">
        <f ca="1">IFERROR(VLOOKUP($Q10&amp;AP$8,Calc2!$M$4:$N$763,2,0),"")</f>
        <v>2 : 0</v>
      </c>
      <c r="AQ36" s="158" t="str">
        <f ca="1">IFERROR(VLOOKUP($Q10&amp;AQ$8,Calc2!$M$4:$N$763,2,0),"")</f>
        <v>4 : 0</v>
      </c>
      <c r="AR36" s="158" t="str">
        <f ca="1">IFERROR(VLOOKUP($Q10&amp;AR$8,Calc2!$M$4:$N$763,2,0),"")</f>
        <v>3 : 0</v>
      </c>
      <c r="AS36" s="158" t="str">
        <f ca="1">IFERROR(VLOOKUP($Q10&amp;AS$8,Calc2!$M$4:$N$763,2,0),"")</f>
        <v>0 : 1</v>
      </c>
      <c r="AT36" s="158" t="str">
        <f ca="1">IFERROR(VLOOKUP($Q10&amp;AT$8,Calc2!$M$4:$N$763,2,0),"")</f>
        <v>3 : 2</v>
      </c>
      <c r="AU36" s="158" t="str">
        <f ca="1">IFERROR(VLOOKUP($Q10&amp;AU$8,Calc2!$M$4:$N$763,2,0),"")</f>
        <v>2 : 1</v>
      </c>
      <c r="AV36" s="158" t="str">
        <f ca="1">IFERROR(VLOOKUP($Q10&amp;AV$8,Calc2!$M$4:$N$763,2,0),"")</f>
        <v>2 : 0</v>
      </c>
      <c r="AW36" s="158" t="str">
        <f ca="1">IFERROR(VLOOKUP($Q10&amp;AW$8,Calc2!$M$4:$N$763,2,0),"")</f>
        <v>2 : 1</v>
      </c>
      <c r="AX36" s="158" t="str">
        <f ca="1">IFERROR(VLOOKUP($Q10&amp;AX$8,Calc2!$M$4:$N$763,2,0),"")</f>
        <v>3 : 2</v>
      </c>
      <c r="AY36" s="158" t="str">
        <f ca="1">IFERROR(VLOOKUP($Q10&amp;AY$8,Calc2!$M$4:$N$763,2,0),"")</f>
        <v>3 : 2</v>
      </c>
      <c r="AZ36" s="158" t="str">
        <f ca="1">IFERROR(VLOOKUP($Q10&amp;AZ$8,Calc2!$M$4:$N$763,2,0),"")</f>
        <v/>
      </c>
      <c r="BA36" s="166" t="str">
        <f ca="1">IFERROR(VLOOKUP($Q10&amp;BA$8,Calc2!$M$4:$N$763,2,0),"")</f>
        <v/>
      </c>
      <c r="BB36" s="143"/>
      <c r="BC36" s="426">
        <v>28</v>
      </c>
      <c r="BD36" s="426">
        <f t="array" aca="1" ref="BD36" ca="1">SUM((OFFSET($I$9,(BC36-1)*Calc!$F$26,0,Calc!$F$26)&lt;&gt;"")*(OFFSET($K$9,(BC36-1)*Calc!$F$26,0,Calc!$F$26)&lt;&gt;""))</f>
        <v>9</v>
      </c>
      <c r="BE36" s="426"/>
      <c r="BF36" s="426"/>
      <c r="BG36" s="426">
        <f t="shared" ca="1" si="3"/>
        <v>28</v>
      </c>
    </row>
    <row r="37" spans="2:59" ht="15.95" customHeight="1" x14ac:dyDescent="0.2">
      <c r="B37" s="278" t="str">
        <f>IF(Calc!$F$26=0,"",IF(OR($C37&gt;Calc!$B$24,MOD($C37-1,Calc!$F$26)&gt;0),"",QUOTIENT($C37-1,Calc!$F$26)+1))</f>
        <v/>
      </c>
      <c r="C37" s="274">
        <v>29</v>
      </c>
      <c r="D37" s="154">
        <f>IF(Plan!$T35="","",Plan!$T35)</f>
        <v>45920</v>
      </c>
      <c r="E37" s="155">
        <f>IF(Plan!$U35="","",Plan!$U35)</f>
        <v>0.64583333333333337</v>
      </c>
      <c r="F37" s="175" t="str">
        <f>Plan!$Q35</f>
        <v>TSG Hoffenheim</v>
      </c>
      <c r="G37" s="176" t="s">
        <v>4</v>
      </c>
      <c r="H37" s="175" t="str">
        <f>Plan!$S35</f>
        <v>FC Bayern München</v>
      </c>
      <c r="I37" s="177">
        <v>1</v>
      </c>
      <c r="J37" s="178" t="str">
        <f>Language!$E$65</f>
        <v xml:space="preserve"> : </v>
      </c>
      <c r="K37" s="179">
        <v>4</v>
      </c>
      <c r="L37" s="383"/>
      <c r="M37" s="384"/>
      <c r="P37" s="360">
        <v>7</v>
      </c>
      <c r="Q37" s="361" t="str">
        <f>IFERROR(VLOOKUP(P37,Plan!$C$7:$D$26,2,0),"")</f>
        <v>Borussia Dortmund</v>
      </c>
      <c r="R37" s="364"/>
      <c r="S37" s="365"/>
      <c r="T37" s="363">
        <f t="array" aca="1" ref="T37" ca="1">IF(OR($R$35="",$S$35=""),"",IF($Q37&lt;&gt;"",SUM((OFFSET($F$9,($R$35-1)*Calc!$F$26,0,($S$35-$R$35+1)*Calc!$F$26,1)=$Q37)*(OFFSET($I$9,($R$35-1)*Calc!$F$26,0,($S$35-$R$35+1)*Calc!$F$26,1)&gt;OFFSET($K$9,($R$35-1)*Calc!$F$26,0,($S$35-$R$35+1)*Calc!$F$26,1)))+SUM((OFFSET($H$9,($R$35-1)*Calc!$F$26,0,($S$35-$R$35+1)*Calc!$F$26,1)=$Q37)*(OFFSET($I$9,($R$35-1)*Calc!$F$26,0,($S$35-$R$35+1)*Calc!$F$26,1)&lt;OFFSET($K$9,($R$35-1)*Calc!$F$26,0,($S$35-$R$35+1)*Calc!$F$26,1))),""))</f>
        <v>2</v>
      </c>
      <c r="U37" s="363">
        <f t="array" aca="1" ref="U37" ca="1">IF(OR($R$35="",$S$35=""),"",IF($Q37&lt;&gt;"",SUM((OFFSET($F$9,($R$35-1)*Calc!$F$26,0,($S$35-$R$35+1)*Calc!$F$26,1)=$Q37)*(OFFSET($I$9,($R$35-1)*Calc!$F$26,0,($S$35-$R$35+1)*Calc!$F$26,1)=OFFSET($K$9,($R$35-1)*Calc!$F$26,0,($S$35-$R$35+1)*Calc!$F$26,1))*(OFFSET($I$9,($R$35-1)*Calc!$F$26,0,($S$35-$R$35+1)*Calc!$F$26,1)&lt;&gt;""))+SUM((OFFSET($H$9,($R$35-1)*Calc!$F$26,0,($S$35-$R$35+1)*Calc!$F$26,1)=$Q37)*(OFFSET($I$9,($R$35-1)*Calc!$F$26,0,($S$35-$R$35+1)*Calc!$F$26,1)=OFFSET($K$9,($R$35-1)*Calc!$F$26,0,($S$35-$R$35+1)*Calc!$F$26,1))*(OFFSET($I$9,($R$35-1)*Calc!$F$26,0,($S$35-$R$35+1)*Calc!$F$26,1)&lt;&gt;"")),""))</f>
        <v>1</v>
      </c>
      <c r="V37" s="363">
        <f t="array" aca="1" ref="V37" ca="1">IF(OR($R$35="",$S$35=""),"",IF($Q37&lt;&gt;"",SUM((OFFSET($F$9,($R$35-1)*Calc!$F$26,0,($S$35-$R$35+1)*Calc!$F$26,1)=$Q37)*(OFFSET($I$9,($R$35-1)*Calc!$F$26,0,($S$35-$R$35+1)*Calc!$F$26,1)&lt;OFFSET($K$9,($R$35-1)*Calc!$F$26,0,($S$35-$R$35+1)*Calc!$F$26,1)))+SUM((OFFSET($H$9,($R$35-1)*Calc!$F$26,0,($S$35-$R$35+1)*Calc!$F$26,1)=$Q37)*(OFFSET($I$9,($R$35-1)*Calc!$F$26,0,($S$35-$R$35+1)*Calc!$F$26,1)&gt;OFFSET($K$9,($R$35-1)*Calc!$F$26,0,($S$35-$R$35+1)*Calc!$F$26,1))),""))</f>
        <v>0</v>
      </c>
      <c r="W37" s="363"/>
      <c r="X37" s="363">
        <f t="array" aca="1" ref="X37" ca="1">IF(OR($R$35="",$S$35=""),"",IF($Q37&lt;&gt;"",SUM((OFFSET($F$9,($R$35-1)*Calc!$F$26,0,($S$35-$R$35+1)*Calc!$F$26,1)=$Q37)*OFFSET($I$9,($R$35-1)*Calc!$F$26,0,($S$35-$R$35+1)*Calc!$F$26,1))+SUM((OFFSET($H$9,($R$35-1)*Calc!$F$26,0,($S$35-$R$35+1)*Calc!$F$26,1)=$Q37)*OFFSET($K$9,($R$35-1)*Calc!$F$26,0,($S$35-$R$35+1)*Calc!$F$26,1)),""))</f>
        <v>5</v>
      </c>
      <c r="Y37" s="363">
        <f t="array" aca="1" ref="Y37" ca="1">IF(OR($R$35="",$S$35=""),"",IF($Q37&lt;&gt;"",SUM((OFFSET($F$9,($R$35-1)*Calc!$F$26,0,($S$35-$R$35+1)*Calc!$F$26,1)=$Q37)*OFFSET($K$9,($R$35-1)*Calc!$F$26,0,($S$35-$R$35+1)*Calc!$F$26,1))+SUM((OFFSET($H$9,($R$35-1)*Calc!$F$26,0,($S$35-$R$35+1)*Calc!$F$26,1)=$Q37)*OFFSET($I$9,($R$35-1)*Calc!$F$26,0,($S$35-$R$35+1)*Calc!$F$26,1)),""))</f>
        <v>2</v>
      </c>
      <c r="Z37" s="367">
        <f ca="1">IF($T37="","",$T37*Settings!$C$3+$U37)</f>
        <v>7</v>
      </c>
      <c r="AA37" s="374"/>
      <c r="AB37" s="374"/>
      <c r="AC37" s="200"/>
      <c r="AD37" s="200"/>
      <c r="AE37" s="200"/>
      <c r="AF37" s="217">
        <f t="shared" ca="1" si="6"/>
        <v>3</v>
      </c>
      <c r="AG37" s="218" t="str">
        <f t="shared" ca="1" si="7"/>
        <v>RB Leipzig</v>
      </c>
      <c r="AH37" s="164" t="str">
        <f ca="1">IFERROR(VLOOKUP($Q11&amp;AH$8,Calc2!$M$4:$N$763,2,0),"")</f>
        <v>1 : 5</v>
      </c>
      <c r="AI37" s="158" t="str">
        <f ca="1">IFERROR(VLOOKUP($Q11&amp;AI$8,Calc2!$M$4:$N$763,2,0),"")</f>
        <v>2 : 2</v>
      </c>
      <c r="AJ37" s="165"/>
      <c r="AK37" s="158" t="str">
        <f ca="1">IFERROR(VLOOKUP($Q11&amp;AK$8,Calc2!$M$4:$N$763,2,0),"")</f>
        <v>0 : 1</v>
      </c>
      <c r="AL37" s="158" t="str">
        <f ca="1">IFERROR(VLOOKUP($Q11&amp;AL$8,Calc2!$M$4:$N$763,2,0),"")</f>
        <v>5 : 0</v>
      </c>
      <c r="AM37" s="158" t="str">
        <f ca="1">IFERROR(VLOOKUP($Q11&amp;AM$8,Calc2!$M$4:$N$763,2,0),"")</f>
        <v>1 : 4</v>
      </c>
      <c r="AN37" s="158" t="str">
        <f ca="1">IFERROR(VLOOKUP($Q11&amp;AN$8,Calc2!$M$4:$N$763,2,0),"")</f>
        <v>1 : 4</v>
      </c>
      <c r="AO37" s="158" t="str">
        <f ca="1">IFERROR(VLOOKUP($Q11&amp;AO$8,Calc2!$M$4:$N$763,2,0),"")</f>
        <v>3 : 1</v>
      </c>
      <c r="AP37" s="158" t="str">
        <f ca="1">IFERROR(VLOOKUP($Q11&amp;AP$8,Calc2!$M$4:$N$763,2,0),"")</f>
        <v>2 : 1</v>
      </c>
      <c r="AQ37" s="158" t="str">
        <f ca="1">IFERROR(VLOOKUP($Q11&amp;AQ$8,Calc2!$M$4:$N$763,2,0),"")</f>
        <v>1 : 2</v>
      </c>
      <c r="AR37" s="158" t="str">
        <f ca="1">IFERROR(VLOOKUP($Q11&amp;AR$8,Calc2!$M$4:$N$763,2,0),"")</f>
        <v>3 : 1</v>
      </c>
      <c r="AS37" s="158" t="str">
        <f ca="1">IFERROR(VLOOKUP($Q11&amp;AS$8,Calc2!$M$4:$N$763,2,0),"")</f>
        <v>1 : 0</v>
      </c>
      <c r="AT37" s="158" t="str">
        <f ca="1">IFERROR(VLOOKUP($Q11&amp;AT$8,Calc2!$M$4:$N$763,2,0),"")</f>
        <v>2 : 1</v>
      </c>
      <c r="AU37" s="158" t="str">
        <f ca="1">IFERROR(VLOOKUP($Q11&amp;AU$8,Calc2!$M$4:$N$763,2,0),"")</f>
        <v>2 : 1</v>
      </c>
      <c r="AV37" s="158" t="str">
        <f ca="1">IFERROR(VLOOKUP($Q11&amp;AV$8,Calc2!$M$4:$N$763,2,0),"")</f>
        <v>2 : 1</v>
      </c>
      <c r="AW37" s="158" t="str">
        <f ca="1">IFERROR(VLOOKUP($Q11&amp;AW$8,Calc2!$M$4:$N$763,2,0),"")</f>
        <v>2 : 2</v>
      </c>
      <c r="AX37" s="158" t="str">
        <f ca="1">IFERROR(VLOOKUP($Q11&amp;AX$8,Calc2!$M$4:$N$763,2,0),"")</f>
        <v>3 : 0</v>
      </c>
      <c r="AY37" s="158" t="str">
        <f ca="1">IFERROR(VLOOKUP($Q11&amp;AY$8,Calc2!$M$4:$N$763,2,0),"")</f>
        <v>2 : 1</v>
      </c>
      <c r="AZ37" s="158" t="str">
        <f ca="1">IFERROR(VLOOKUP($Q11&amp;AZ$8,Calc2!$M$4:$N$763,2,0),"")</f>
        <v/>
      </c>
      <c r="BA37" s="166" t="str">
        <f ca="1">IFERROR(VLOOKUP($Q11&amp;BA$8,Calc2!$M$4:$N$763,2,0),"")</f>
        <v/>
      </c>
      <c r="BB37" s="143"/>
      <c r="BC37" s="426">
        <v>29</v>
      </c>
      <c r="BD37" s="426">
        <f t="array" aca="1" ref="BD37" ca="1">SUM((OFFSET($I$9,(BC37-1)*Calc!$F$26,0,Calc!$F$26)&lt;&gt;"")*(OFFSET($K$9,(BC37-1)*Calc!$F$26,0,Calc!$F$26)&lt;&gt;""))</f>
        <v>9</v>
      </c>
      <c r="BE37" s="426"/>
      <c r="BF37" s="426"/>
      <c r="BG37" s="426">
        <f t="shared" ca="1" si="3"/>
        <v>29</v>
      </c>
    </row>
    <row r="38" spans="2:59" ht="15.95" customHeight="1" x14ac:dyDescent="0.2">
      <c r="B38" s="278" t="str">
        <f>IF(Calc!$F$26=0,"",IF(OR($C38&gt;Calc!$B$24,MOD($C38-1,Calc!$F$26)&gt;0),"",QUOTIENT($C38-1,Calc!$F$26)+1))</f>
        <v/>
      </c>
      <c r="C38" s="274">
        <v>30</v>
      </c>
      <c r="D38" s="154">
        <f>IF(Plan!$T36="","",Plan!$T36)</f>
        <v>45920</v>
      </c>
      <c r="E38" s="155">
        <f>IF(Plan!$U36="","",Plan!$U36)</f>
        <v>0.64583333333333337</v>
      </c>
      <c r="F38" s="175" t="str">
        <f>Plan!$Q36</f>
        <v>Hamburger SV</v>
      </c>
      <c r="G38" s="176" t="s">
        <v>4</v>
      </c>
      <c r="H38" s="175" t="str">
        <f>Plan!$S36</f>
        <v>1. FC Heidenheim 1846</v>
      </c>
      <c r="I38" s="177">
        <v>2</v>
      </c>
      <c r="J38" s="178" t="str">
        <f>Language!$E$65</f>
        <v xml:space="preserve"> : </v>
      </c>
      <c r="K38" s="179">
        <v>1</v>
      </c>
      <c r="L38" s="383"/>
      <c r="M38" s="384"/>
      <c r="P38" s="139"/>
      <c r="Q38" s="213"/>
      <c r="R38" s="200"/>
      <c r="S38" s="200"/>
      <c r="T38" s="200"/>
      <c r="U38" s="200"/>
      <c r="V38" s="200"/>
      <c r="W38" s="200"/>
      <c r="X38" s="200"/>
      <c r="Y38" s="200"/>
      <c r="Z38" s="200"/>
      <c r="AA38" s="200"/>
      <c r="AB38" s="200"/>
      <c r="AC38" s="200"/>
      <c r="AD38" s="200"/>
      <c r="AE38" s="200"/>
      <c r="AF38" s="217">
        <f t="shared" ca="1" si="6"/>
        <v>4</v>
      </c>
      <c r="AG38" s="218" t="str">
        <f t="shared" ca="1" si="7"/>
        <v>VfB Stuttgart</v>
      </c>
      <c r="AH38" s="164" t="str">
        <f ca="1">IFERROR(VLOOKUP($Q12&amp;AH$8,Calc2!$M$4:$N$763,2,0),"")</f>
        <v>2 : 4</v>
      </c>
      <c r="AI38" s="158" t="str">
        <f ca="1">IFERROR(VLOOKUP($Q12&amp;AI$8,Calc2!$M$4:$N$763,2,0),"")</f>
        <v>0 : 2</v>
      </c>
      <c r="AJ38" s="158" t="str">
        <f ca="1">IFERROR(VLOOKUP($Q12&amp;AJ$8,Calc2!$M$4:$N$763,2,0),"")</f>
        <v>1 : 0</v>
      </c>
      <c r="AK38" s="165"/>
      <c r="AL38" s="158" t="str">
        <f ca="1">IFERROR(VLOOKUP($Q12&amp;AL$8,Calc2!$M$4:$N$763,2,0),"")</f>
        <v>3 : 3</v>
      </c>
      <c r="AM38" s="158" t="str">
        <f ca="1">IFERROR(VLOOKUP($Q12&amp;AM$8,Calc2!$M$4:$N$763,2,0),"")</f>
        <v>3 : 1</v>
      </c>
      <c r="AN38" s="158" t="str">
        <f ca="1">IFERROR(VLOOKUP($Q12&amp;AN$8,Calc2!$M$4:$N$763,2,0),"")</f>
        <v>1 : 0</v>
      </c>
      <c r="AO38" s="158" t="str">
        <f ca="1">IFERROR(VLOOKUP($Q12&amp;AO$8,Calc2!$M$4:$N$763,2,0),"")</f>
        <v>2 : 2</v>
      </c>
      <c r="AP38" s="158" t="str">
        <f ca="1">IFERROR(VLOOKUP($Q12&amp;AP$8,Calc2!$M$4:$N$763,2,0),"")</f>
        <v>5 : 2</v>
      </c>
      <c r="AQ38" s="158" t="str">
        <f ca="1">IFERROR(VLOOKUP($Q12&amp;AQ$8,Calc2!$M$4:$N$763,2,0),"")</f>
        <v>2 : 2</v>
      </c>
      <c r="AR38" s="158" t="str">
        <f ca="1">IFERROR(VLOOKUP($Q12&amp;AR$8,Calc2!$M$4:$N$763,2,0),"")</f>
        <v>1 : 1</v>
      </c>
      <c r="AS38" s="158" t="str">
        <f ca="1">IFERROR(VLOOKUP($Q12&amp;AS$8,Calc2!$M$4:$N$763,2,0),"")</f>
        <v>3 : 0</v>
      </c>
      <c r="AT38" s="158" t="str">
        <f ca="1">IFERROR(VLOOKUP($Q12&amp;AT$8,Calc2!$M$4:$N$763,2,0),"")</f>
        <v>4 : 0</v>
      </c>
      <c r="AU38" s="158" t="str">
        <f ca="1">IFERROR(VLOOKUP($Q12&amp;AU$8,Calc2!$M$4:$N$763,2,0),"")</f>
        <v>3 : 1</v>
      </c>
      <c r="AV38" s="158" t="str">
        <f ca="1">IFERROR(VLOOKUP($Q12&amp;AV$8,Calc2!$M$4:$N$763,2,0),"")</f>
        <v>1 : 1</v>
      </c>
      <c r="AW38" s="158" t="str">
        <f ca="1">IFERROR(VLOOKUP($Q12&amp;AW$8,Calc2!$M$4:$N$763,2,0),"")</f>
        <v>4 : 0</v>
      </c>
      <c r="AX38" s="158" t="str">
        <f ca="1">IFERROR(VLOOKUP($Q12&amp;AX$8,Calc2!$M$4:$N$763,2,0),"")</f>
        <v>3 : 3</v>
      </c>
      <c r="AY38" s="158" t="str">
        <f ca="1">IFERROR(VLOOKUP($Q12&amp;AY$8,Calc2!$M$4:$N$763,2,0),"")</f>
        <v>1 : 2</v>
      </c>
      <c r="AZ38" s="158" t="str">
        <f ca="1">IFERROR(VLOOKUP($Q12&amp;AZ$8,Calc2!$M$4:$N$763,2,0),"")</f>
        <v/>
      </c>
      <c r="BA38" s="166" t="str">
        <f ca="1">IFERROR(VLOOKUP($Q12&amp;BA$8,Calc2!$M$4:$N$763,2,0),"")</f>
        <v/>
      </c>
      <c r="BB38" s="143"/>
      <c r="BC38" s="426">
        <v>30</v>
      </c>
      <c r="BD38" s="426">
        <f t="array" aca="1" ref="BD38" ca="1">SUM((OFFSET($I$9,(BC38-1)*Calc!$F$26,0,Calc!$F$26)&lt;&gt;"")*(OFFSET($K$9,(BC38-1)*Calc!$F$26,0,Calc!$F$26)&lt;&gt;""))</f>
        <v>9</v>
      </c>
      <c r="BE38" s="426"/>
      <c r="BF38" s="426"/>
      <c r="BG38" s="426">
        <f t="shared" ca="1" si="3"/>
        <v>30</v>
      </c>
    </row>
    <row r="39" spans="2:59" ht="15.95" customHeight="1" x14ac:dyDescent="0.2">
      <c r="B39" s="278" t="str">
        <f>IF(Calc!$F$26=0,"",IF(OR($C39&gt;Calc!$B$24,MOD($C39-1,Calc!$F$26)&gt;0),"",QUOTIENT($C39-1,Calc!$F$26)+1))</f>
        <v/>
      </c>
      <c r="C39" s="274">
        <v>31</v>
      </c>
      <c r="D39" s="154">
        <f>IF(Plan!$T37="","",Plan!$T37)</f>
        <v>45920</v>
      </c>
      <c r="E39" s="155">
        <f>IF(Plan!$U37="","",Plan!$U37)</f>
        <v>0.64583333333333337</v>
      </c>
      <c r="F39" s="175" t="str">
        <f>Plan!$Q37</f>
        <v>SV Werder Bremen</v>
      </c>
      <c r="G39" s="176" t="s">
        <v>4</v>
      </c>
      <c r="H39" s="175" t="str">
        <f>Plan!$S37</f>
        <v>SC Freiburg</v>
      </c>
      <c r="I39" s="177">
        <v>0</v>
      </c>
      <c r="J39" s="178" t="str">
        <f>Language!$E$65</f>
        <v xml:space="preserve"> : </v>
      </c>
      <c r="K39" s="179">
        <v>3</v>
      </c>
      <c r="L39" s="383"/>
      <c r="M39" s="384"/>
      <c r="P39" s="139"/>
      <c r="Q39" s="213"/>
      <c r="R39" s="200"/>
      <c r="S39" s="200"/>
      <c r="T39" s="200"/>
      <c r="U39" s="200"/>
      <c r="V39" s="200"/>
      <c r="W39" s="200"/>
      <c r="X39" s="200"/>
      <c r="Y39" s="200"/>
      <c r="Z39" s="200"/>
      <c r="AA39" s="200"/>
      <c r="AB39" s="200"/>
      <c r="AC39" s="200"/>
      <c r="AD39" s="200"/>
      <c r="AE39" s="200"/>
      <c r="AF39" s="217">
        <f t="shared" ca="1" si="6"/>
        <v>5</v>
      </c>
      <c r="AG39" s="218" t="str">
        <f t="shared" ca="1" si="7"/>
        <v>TSG Hoffenheim</v>
      </c>
      <c r="AH39" s="164" t="str">
        <f ca="1">IFERROR(VLOOKUP($Q13&amp;AH$8,Calc2!$M$4:$N$763,2,0),"")</f>
        <v>1 : 5</v>
      </c>
      <c r="AI39" s="158" t="str">
        <f ca="1">IFERROR(VLOOKUP($Q13&amp;AI$8,Calc2!$M$4:$N$763,2,0),"")</f>
        <v>2 : 1</v>
      </c>
      <c r="AJ39" s="158" t="str">
        <f ca="1">IFERROR(VLOOKUP($Q13&amp;AJ$8,Calc2!$M$4:$N$763,2,0),"")</f>
        <v>0 : 5</v>
      </c>
      <c r="AK39" s="158" t="str">
        <f ca="1">IFERROR(VLOOKUP($Q13&amp;AK$8,Calc2!$M$4:$N$763,2,0),"")</f>
        <v>3 : 3</v>
      </c>
      <c r="AL39" s="165"/>
      <c r="AM39" s="158" t="str">
        <f ca="1">IFERROR(VLOOKUP($Q13&amp;AM$8,Calc2!$M$4:$N$763,2,0),"")</f>
        <v>1 : 0</v>
      </c>
      <c r="AN39" s="158" t="str">
        <f ca="1">IFERROR(VLOOKUP($Q13&amp;AN$8,Calc2!$M$4:$N$763,2,0),"")</f>
        <v>3 : 0</v>
      </c>
      <c r="AO39" s="158" t="str">
        <f ca="1">IFERROR(VLOOKUP($Q13&amp;AO$8,Calc2!$M$4:$N$763,2,0),"")</f>
        <v>3 : 1</v>
      </c>
      <c r="AP39" s="158" t="str">
        <f ca="1">IFERROR(VLOOKUP($Q13&amp;AP$8,Calc2!$M$4:$N$763,2,0),"")</f>
        <v>2 : 2</v>
      </c>
      <c r="AQ39" s="158" t="str">
        <f ca="1">IFERROR(VLOOKUP($Q13&amp;AQ$8,Calc2!$M$4:$N$763,2,0),"")</f>
        <v>1 : 2</v>
      </c>
      <c r="AR39" s="158" t="str">
        <f ca="1">IFERROR(VLOOKUP($Q13&amp;AR$8,Calc2!$M$4:$N$763,2,0),"")</f>
        <v>3 : 1</v>
      </c>
      <c r="AS39" s="158" t="str">
        <f ca="1">IFERROR(VLOOKUP($Q13&amp;AS$8,Calc2!$M$4:$N$763,2,0),"")</f>
        <v>0 : 4</v>
      </c>
      <c r="AT39" s="158" t="str">
        <f ca="1">IFERROR(VLOOKUP($Q13&amp;AT$8,Calc2!$M$4:$N$763,2,0),"")</f>
        <v>2 : 1</v>
      </c>
      <c r="AU39" s="158" t="str">
        <f ca="1">IFERROR(VLOOKUP($Q13&amp;AU$8,Calc2!$M$4:$N$763,2,0),"")</f>
        <v>2 : 2</v>
      </c>
      <c r="AV39" s="158" t="str">
        <f ca="1">IFERROR(VLOOKUP($Q13&amp;AV$8,Calc2!$M$4:$N$763,2,0),"")</f>
        <v>1 : 0</v>
      </c>
      <c r="AW39" s="158" t="str">
        <f ca="1">IFERROR(VLOOKUP($Q13&amp;AW$8,Calc2!$M$4:$N$763,2,0),"")</f>
        <v>1 : 1</v>
      </c>
      <c r="AX39" s="158" t="str">
        <f ca="1">IFERROR(VLOOKUP($Q13&amp;AX$8,Calc2!$M$4:$N$763,2,0),"")</f>
        <v>4 : 2</v>
      </c>
      <c r="AY39" s="158" t="str">
        <f ca="1">IFERROR(VLOOKUP($Q13&amp;AY$8,Calc2!$M$4:$N$763,2,0),"")</f>
        <v>0 : 1</v>
      </c>
      <c r="AZ39" s="158" t="str">
        <f ca="1">IFERROR(VLOOKUP($Q13&amp;AZ$8,Calc2!$M$4:$N$763,2,0),"")</f>
        <v/>
      </c>
      <c r="BA39" s="166" t="str">
        <f ca="1">IFERROR(VLOOKUP($Q13&amp;BA$8,Calc2!$M$4:$N$763,2,0),"")</f>
        <v/>
      </c>
      <c r="BB39" s="143"/>
      <c r="BC39" s="426">
        <v>31</v>
      </c>
      <c r="BD39" s="426">
        <f t="array" aca="1" ref="BD39" ca="1">SUM((OFFSET($I$9,(BC39-1)*Calc!$F$26,0,Calc!$F$26)&lt;&gt;"")*(OFFSET($K$9,(BC39-1)*Calc!$F$26,0,Calc!$F$26)&lt;&gt;""))</f>
        <v>9</v>
      </c>
      <c r="BE39" s="426"/>
      <c r="BF39" s="426"/>
      <c r="BG39" s="426">
        <f t="shared" ca="1" si="3"/>
        <v>31</v>
      </c>
    </row>
    <row r="40" spans="2:59" ht="15.95" customHeight="1" x14ac:dyDescent="0.2">
      <c r="B40" s="278" t="str">
        <f>IF(Calc!$F$26=0,"",IF(OR($C40&gt;Calc!$B$24,MOD($C40-1,Calc!$F$26)&gt;0),"",QUOTIENT($C40-1,Calc!$F$26)+1))</f>
        <v/>
      </c>
      <c r="C40" s="274">
        <v>32</v>
      </c>
      <c r="D40" s="154">
        <f>IF(Plan!$T38="","",Plan!$T38)</f>
        <v>45920</v>
      </c>
      <c r="E40" s="155">
        <f>IF(Plan!$U38="","",Plan!$U38)</f>
        <v>0.64583333333333337</v>
      </c>
      <c r="F40" s="175" t="str">
        <f>Plan!$Q38</f>
        <v>FC Augsburg</v>
      </c>
      <c r="G40" s="176" t="s">
        <v>4</v>
      </c>
      <c r="H40" s="175" t="str">
        <f>Plan!$S38</f>
        <v>1. FSV Mainz 05</v>
      </c>
      <c r="I40" s="177">
        <v>1</v>
      </c>
      <c r="J40" s="178" t="str">
        <f>Language!$E$65</f>
        <v xml:space="preserve"> : </v>
      </c>
      <c r="K40" s="179">
        <v>4</v>
      </c>
      <c r="L40" s="383"/>
      <c r="M40" s="384"/>
      <c r="P40" s="139"/>
      <c r="Q40" s="213"/>
      <c r="R40" s="200"/>
      <c r="S40" s="200"/>
      <c r="T40" s="200"/>
      <c r="U40" s="200"/>
      <c r="V40" s="200"/>
      <c r="W40" s="200"/>
      <c r="X40" s="200"/>
      <c r="Y40" s="200"/>
      <c r="Z40" s="200"/>
      <c r="AA40" s="200"/>
      <c r="AB40" s="200"/>
      <c r="AC40" s="200"/>
      <c r="AD40" s="200"/>
      <c r="AE40" s="200"/>
      <c r="AF40" s="217">
        <f t="shared" ca="1" si="6"/>
        <v>6</v>
      </c>
      <c r="AG40" s="218" t="str">
        <f t="shared" ca="1" si="7"/>
        <v>Bayer 04 Leverkusen</v>
      </c>
      <c r="AH40" s="164" t="str">
        <f ca="1">IFERROR(VLOOKUP($Q14&amp;AH$8,Calc2!$M$4:$N$763,2,0),"")</f>
        <v>1 : 1</v>
      </c>
      <c r="AI40" s="158" t="str">
        <f ca="1">IFERROR(VLOOKUP($Q14&amp;AI$8,Calc2!$M$4:$N$763,2,0),"")</f>
        <v>1 : 0</v>
      </c>
      <c r="AJ40" s="158" t="str">
        <f ca="1">IFERROR(VLOOKUP($Q14&amp;AJ$8,Calc2!$M$4:$N$763,2,0),"")</f>
        <v>4 : 1</v>
      </c>
      <c r="AK40" s="158" t="str">
        <f ca="1">IFERROR(VLOOKUP($Q14&amp;AK$8,Calc2!$M$4:$N$763,2,0),"")</f>
        <v>1 : 3</v>
      </c>
      <c r="AL40" s="158" t="str">
        <f ca="1">IFERROR(VLOOKUP($Q14&amp;AL$8,Calc2!$M$4:$N$763,2,0),"")</f>
        <v>0 : 1</v>
      </c>
      <c r="AM40" s="165"/>
      <c r="AN40" s="158" t="str">
        <f ca="1">IFERROR(VLOOKUP($Q14&amp;AN$8,Calc2!$M$4:$N$763,2,0),"")</f>
        <v>3 : 3</v>
      </c>
      <c r="AO40" s="158" t="str">
        <f ca="1">IFERROR(VLOOKUP($Q14&amp;AO$8,Calc2!$M$4:$N$763,2,0),"")</f>
        <v>3 : 1</v>
      </c>
      <c r="AP40" s="158" t="str">
        <f ca="1">IFERROR(VLOOKUP($Q14&amp;AP$8,Calc2!$M$4:$N$763,2,0),"")</f>
        <v>1 : 2</v>
      </c>
      <c r="AQ40" s="158" t="str">
        <f ca="1">IFERROR(VLOOKUP($Q14&amp;AQ$8,Calc2!$M$4:$N$763,2,0),"")</f>
        <v>1 : 1</v>
      </c>
      <c r="AR40" s="158" t="str">
        <f ca="1">IFERROR(VLOOKUP($Q14&amp;AR$8,Calc2!$M$4:$N$763,2,0),"")</f>
        <v>0 : 1</v>
      </c>
      <c r="AS40" s="158" t="str">
        <f ca="1">IFERROR(VLOOKUP($Q14&amp;AS$8,Calc2!$M$4:$N$763,2,0),"")</f>
        <v>1 : 1</v>
      </c>
      <c r="AT40" s="158" t="str">
        <f ca="1">IFERROR(VLOOKUP($Q14&amp;AT$8,Calc2!$M$4:$N$763,2,0),"")</f>
        <v>1 : 1</v>
      </c>
      <c r="AU40" s="158" t="str">
        <f ca="1">IFERROR(VLOOKUP($Q14&amp;AU$8,Calc2!$M$4:$N$763,2,0),"")</f>
        <v>2 : 1</v>
      </c>
      <c r="AV40" s="158" t="str">
        <f ca="1">IFERROR(VLOOKUP($Q14&amp;AV$8,Calc2!$M$4:$N$763,2,0),"")</f>
        <v>1 : 0</v>
      </c>
      <c r="AW40" s="158" t="str">
        <f ca="1">IFERROR(VLOOKUP($Q14&amp;AW$8,Calc2!$M$4:$N$763,2,0),"")</f>
        <v>6 : 3</v>
      </c>
      <c r="AX40" s="158" t="str">
        <f ca="1">IFERROR(VLOOKUP($Q14&amp;AX$8,Calc2!$M$4:$N$763,2,0),"")</f>
        <v>3 : 3</v>
      </c>
      <c r="AY40" s="158" t="str">
        <f ca="1">IFERROR(VLOOKUP($Q14&amp;AY$8,Calc2!$M$4:$N$763,2,0),"")</f>
        <v>4 : 0</v>
      </c>
      <c r="AZ40" s="158" t="str">
        <f ca="1">IFERROR(VLOOKUP($Q14&amp;AZ$8,Calc2!$M$4:$N$763,2,0),"")</f>
        <v/>
      </c>
      <c r="BA40" s="166" t="str">
        <f ca="1">IFERROR(VLOOKUP($Q14&amp;BA$8,Calc2!$M$4:$N$763,2,0),"")</f>
        <v/>
      </c>
      <c r="BB40" s="143"/>
      <c r="BC40" s="426">
        <v>32</v>
      </c>
      <c r="BD40" s="426">
        <f t="array" aca="1" ref="BD40" ca="1">SUM((OFFSET($I$9,(BC40-1)*Calc!$F$26,0,Calc!$F$26)&lt;&gt;"")*(OFFSET($K$9,(BC40-1)*Calc!$F$26,0,Calc!$F$26)&lt;&gt;""))</f>
        <v>9</v>
      </c>
      <c r="BE40" s="426"/>
      <c r="BF40" s="426"/>
      <c r="BG40" s="426">
        <f t="shared" ca="1" si="3"/>
        <v>32</v>
      </c>
    </row>
    <row r="41" spans="2:59" ht="15.95" customHeight="1" x14ac:dyDescent="0.2">
      <c r="B41" s="278" t="str">
        <f>IF(Calc!$F$26=0,"",IF(OR($C41&gt;Calc!$B$24,MOD($C41-1,Calc!$F$26)&gt;0),"",QUOTIENT($C41-1,Calc!$F$26)+1))</f>
        <v/>
      </c>
      <c r="C41" s="274">
        <v>33</v>
      </c>
      <c r="D41" s="154">
        <f>IF(Plan!$T39="","",Plan!$T39)</f>
        <v>45920</v>
      </c>
      <c r="E41" s="155">
        <f>IF(Plan!$U39="","",Plan!$U39)</f>
        <v>0.77083333333333337</v>
      </c>
      <c r="F41" s="175" t="str">
        <f>Plan!$Q39</f>
        <v>RB Leipzig</v>
      </c>
      <c r="G41" s="176" t="s">
        <v>4</v>
      </c>
      <c r="H41" s="175" t="str">
        <f>Plan!$S39</f>
        <v>1. FC Köln</v>
      </c>
      <c r="I41" s="177">
        <v>3</v>
      </c>
      <c r="J41" s="178" t="str">
        <f>Language!$E$65</f>
        <v xml:space="preserve"> : </v>
      </c>
      <c r="K41" s="179">
        <v>1</v>
      </c>
      <c r="L41" s="383"/>
      <c r="M41" s="384"/>
      <c r="P41" s="139"/>
      <c r="Q41" s="213"/>
      <c r="R41" s="200"/>
      <c r="S41" s="200"/>
      <c r="T41" s="200"/>
      <c r="U41" s="200"/>
      <c r="V41" s="200"/>
      <c r="W41" s="200"/>
      <c r="X41" s="200"/>
      <c r="Y41" s="200"/>
      <c r="Z41" s="200"/>
      <c r="AA41" s="200"/>
      <c r="AB41" s="200"/>
      <c r="AC41" s="200"/>
      <c r="AD41" s="200"/>
      <c r="AE41" s="200"/>
      <c r="AF41" s="217">
        <f t="shared" ca="1" si="6"/>
        <v>7</v>
      </c>
      <c r="AG41" s="218" t="str">
        <f t="shared" ca="1" si="7"/>
        <v>SC Freiburg</v>
      </c>
      <c r="AH41" s="164" t="str">
        <f ca="1">IFERROR(VLOOKUP($Q15&amp;AH$8,Calc2!$M$4:$N$763,2,0),"")</f>
        <v>2 : 3</v>
      </c>
      <c r="AI41" s="158" t="str">
        <f ca="1">IFERROR(VLOOKUP($Q15&amp;AI$8,Calc2!$M$4:$N$763,2,0),"")</f>
        <v>0 : 4</v>
      </c>
      <c r="AJ41" s="158" t="str">
        <f ca="1">IFERROR(VLOOKUP($Q15&amp;AJ$8,Calc2!$M$4:$N$763,2,0),"")</f>
        <v>4 : 1</v>
      </c>
      <c r="AK41" s="158" t="str">
        <f ca="1">IFERROR(VLOOKUP($Q15&amp;AK$8,Calc2!$M$4:$N$763,2,0),"")</f>
        <v>0 : 1</v>
      </c>
      <c r="AL41" s="158" t="str">
        <f ca="1">IFERROR(VLOOKUP($Q15&amp;AL$8,Calc2!$M$4:$N$763,2,0),"")</f>
        <v>0 : 3</v>
      </c>
      <c r="AM41" s="158" t="str">
        <f ca="1">IFERROR(VLOOKUP($Q15&amp;AM$8,Calc2!$M$4:$N$763,2,0),"")</f>
        <v>3 : 3</v>
      </c>
      <c r="AN41" s="165"/>
      <c r="AO41" s="158" t="str">
        <f ca="1">IFERROR(VLOOKUP($Q15&amp;AO$8,Calc2!$M$4:$N$763,2,0),"")</f>
        <v>0 : 2</v>
      </c>
      <c r="AP41" s="158" t="str">
        <f ca="1">IFERROR(VLOOKUP($Q15&amp;AP$8,Calc2!$M$4:$N$763,2,0),"")</f>
        <v>2 : 2</v>
      </c>
      <c r="AQ41" s="158" t="str">
        <f ca="1">IFERROR(VLOOKUP($Q15&amp;AQ$8,Calc2!$M$4:$N$763,2,0),"")</f>
        <v>1 : 0</v>
      </c>
      <c r="AR41" s="158" t="str">
        <f ca="1">IFERROR(VLOOKUP($Q15&amp;AR$8,Calc2!$M$4:$N$763,2,0),"")</f>
        <v>0 : 1</v>
      </c>
      <c r="AS41" s="158" t="str">
        <f ca="1">IFERROR(VLOOKUP($Q15&amp;AS$8,Calc2!$M$4:$N$763,2,0),"")</f>
        <v>2 : 1</v>
      </c>
      <c r="AT41" s="158" t="str">
        <f ca="1">IFERROR(VLOOKUP($Q15&amp;AT$8,Calc2!$M$4:$N$763,2,0),"")</f>
        <v>2 : 3</v>
      </c>
      <c r="AU41" s="158" t="str">
        <f ca="1">IFERROR(VLOOKUP($Q15&amp;AU$8,Calc2!$M$4:$N$763,2,0),"")</f>
        <v>2 : 1</v>
      </c>
      <c r="AV41" s="158" t="str">
        <f ca="1">IFERROR(VLOOKUP($Q15&amp;AV$8,Calc2!$M$4:$N$763,2,0),"")</f>
        <v>1 : 0</v>
      </c>
      <c r="AW41" s="158" t="str">
        <f ca="1">IFERROR(VLOOKUP($Q15&amp;AW$8,Calc2!$M$4:$N$763,2,0),"")</f>
        <v>1 : 1</v>
      </c>
      <c r="AX41" s="158" t="str">
        <f ca="1">IFERROR(VLOOKUP($Q15&amp;AX$8,Calc2!$M$4:$N$763,2,0),"")</f>
        <v>2 : 1</v>
      </c>
      <c r="AY41" s="158" t="str">
        <f ca="1">IFERROR(VLOOKUP($Q15&amp;AY$8,Calc2!$M$4:$N$763,2,0),"")</f>
        <v>2 : 1</v>
      </c>
      <c r="AZ41" s="158" t="str">
        <f ca="1">IFERROR(VLOOKUP($Q15&amp;AZ$8,Calc2!$M$4:$N$763,2,0),"")</f>
        <v/>
      </c>
      <c r="BA41" s="166" t="str">
        <f ca="1">IFERROR(VLOOKUP($Q15&amp;BA$8,Calc2!$M$4:$N$763,2,0),"")</f>
        <v/>
      </c>
      <c r="BB41" s="143"/>
      <c r="BC41" s="426">
        <v>33</v>
      </c>
      <c r="BD41" s="426">
        <f t="array" aca="1" ref="BD41" ca="1">SUM((OFFSET($I$9,(BC41-1)*Calc!$F$26,0,Calc!$F$26)&lt;&gt;"")*(OFFSET($K$9,(BC41-1)*Calc!$F$26,0,Calc!$F$26)&lt;&gt;""))</f>
        <v>9</v>
      </c>
      <c r="BE41" s="426"/>
      <c r="BF41" s="426"/>
      <c r="BG41" s="426">
        <f t="shared" ca="1" si="3"/>
        <v>33</v>
      </c>
    </row>
    <row r="42" spans="2:59" ht="15.95" customHeight="1" x14ac:dyDescent="0.2">
      <c r="B42" s="278" t="str">
        <f>IF(Calc!$F$26=0,"",IF(OR($C42&gt;Calc!$B$24,MOD($C42-1,Calc!$F$26)&gt;0),"",QUOTIENT($C42-1,Calc!$F$26)+1))</f>
        <v/>
      </c>
      <c r="C42" s="274">
        <v>34</v>
      </c>
      <c r="D42" s="154">
        <f>IF(Plan!$T40="","",Plan!$T40)</f>
        <v>45921</v>
      </c>
      <c r="E42" s="155">
        <f>IF(Plan!$U40="","",Plan!$U40)</f>
        <v>0.64583333333333337</v>
      </c>
      <c r="F42" s="175" t="str">
        <f>Plan!$Q40</f>
        <v>Eintracht Frankfurt</v>
      </c>
      <c r="G42" s="176" t="s">
        <v>4</v>
      </c>
      <c r="H42" s="175" t="str">
        <f>Plan!$S40</f>
        <v>1. FC Union Berlin</v>
      </c>
      <c r="I42" s="177">
        <v>3</v>
      </c>
      <c r="J42" s="178" t="str">
        <f>Language!$E$65</f>
        <v xml:space="preserve"> : </v>
      </c>
      <c r="K42" s="179">
        <v>4</v>
      </c>
      <c r="L42" s="383"/>
      <c r="M42" s="384"/>
      <c r="P42" s="137"/>
      <c r="Q42" s="213"/>
      <c r="R42" s="200"/>
      <c r="S42" s="200"/>
      <c r="T42" s="200"/>
      <c r="U42" s="200"/>
      <c r="V42" s="200"/>
      <c r="W42" s="200"/>
      <c r="X42" s="200"/>
      <c r="Y42" s="200"/>
      <c r="Z42" s="200"/>
      <c r="AA42" s="200"/>
      <c r="AB42" s="200"/>
      <c r="AC42" s="200"/>
      <c r="AD42" s="200"/>
      <c r="AE42" s="200"/>
      <c r="AF42" s="217">
        <f t="shared" ca="1" si="6"/>
        <v>8</v>
      </c>
      <c r="AG42" s="218" t="str">
        <f t="shared" ca="1" si="7"/>
        <v>Eintracht Frankfurt</v>
      </c>
      <c r="AH42" s="164" t="str">
        <f ca="1">IFERROR(VLOOKUP($Q16&amp;AH$8,Calc2!$M$4:$N$763,2,0),"")</f>
        <v>2 : 3</v>
      </c>
      <c r="AI42" s="158" t="str">
        <f ca="1">IFERROR(VLOOKUP($Q16&amp;AI$8,Calc2!$M$4:$N$763,2,0),"")</f>
        <v>2 : 3</v>
      </c>
      <c r="AJ42" s="158" t="str">
        <f ca="1">IFERROR(VLOOKUP($Q16&amp;AJ$8,Calc2!$M$4:$N$763,2,0),"")</f>
        <v>1 : 3</v>
      </c>
      <c r="AK42" s="158" t="str">
        <f ca="1">IFERROR(VLOOKUP($Q16&amp;AK$8,Calc2!$M$4:$N$763,2,0),"")</f>
        <v>2 : 2</v>
      </c>
      <c r="AL42" s="158" t="str">
        <f ca="1">IFERROR(VLOOKUP($Q16&amp;AL$8,Calc2!$M$4:$N$763,2,0),"")</f>
        <v>1 : 3</v>
      </c>
      <c r="AM42" s="158" t="str">
        <f ca="1">IFERROR(VLOOKUP($Q16&amp;AM$8,Calc2!$M$4:$N$763,2,0),"")</f>
        <v>1 : 3</v>
      </c>
      <c r="AN42" s="158" t="str">
        <f ca="1">IFERROR(VLOOKUP($Q16&amp;AN$8,Calc2!$M$4:$N$763,2,0),"")</f>
        <v>2 : 0</v>
      </c>
      <c r="AO42" s="165"/>
      <c r="AP42" s="158" t="str">
        <f ca="1">IFERROR(VLOOKUP($Q16&amp;AP$8,Calc2!$M$4:$N$763,2,0),"")</f>
        <v>1 : 1</v>
      </c>
      <c r="AQ42" s="158" t="str">
        <f ca="1">IFERROR(VLOOKUP($Q16&amp;AQ$8,Calc2!$M$4:$N$763,2,0),"")</f>
        <v>1 : 2</v>
      </c>
      <c r="AR42" s="158" t="str">
        <f ca="1">IFERROR(VLOOKUP($Q16&amp;AR$8,Calc2!$M$4:$N$763,2,0),"")</f>
        <v>1 : 1</v>
      </c>
      <c r="AS42" s="158" t="str">
        <f ca="1">IFERROR(VLOOKUP($Q16&amp;AS$8,Calc2!$M$4:$N$763,2,0),"")</f>
        <v>3 : 0</v>
      </c>
      <c r="AT42" s="158" t="str">
        <f ca="1">IFERROR(VLOOKUP($Q16&amp;AT$8,Calc2!$M$4:$N$763,2,0),"")</f>
        <v>1 : 2</v>
      </c>
      <c r="AU42" s="158" t="str">
        <f ca="1">IFERROR(VLOOKUP($Q16&amp;AU$8,Calc2!$M$4:$N$763,2,0),"")</f>
        <v>2 : 2</v>
      </c>
      <c r="AV42" s="158" t="str">
        <f ca="1">IFERROR(VLOOKUP($Q16&amp;AV$8,Calc2!$M$4:$N$763,2,0),"")</f>
        <v>3 : 3</v>
      </c>
      <c r="AW42" s="158" t="str">
        <f ca="1">IFERROR(VLOOKUP($Q16&amp;AW$8,Calc2!$M$4:$N$763,2,0),"")</f>
        <v>2 : 1</v>
      </c>
      <c r="AX42" s="158" t="str">
        <f ca="1">IFERROR(VLOOKUP($Q16&amp;AX$8,Calc2!$M$4:$N$763,2,0),"")</f>
        <v>1 : 0</v>
      </c>
      <c r="AY42" s="158" t="str">
        <f ca="1">IFERROR(VLOOKUP($Q16&amp;AY$8,Calc2!$M$4:$N$763,2,0),"")</f>
        <v>0 : 0</v>
      </c>
      <c r="AZ42" s="158" t="str">
        <f ca="1">IFERROR(VLOOKUP($Q16&amp;AZ$8,Calc2!$M$4:$N$763,2,0),"")</f>
        <v/>
      </c>
      <c r="BA42" s="166" t="str">
        <f ca="1">IFERROR(VLOOKUP($Q16&amp;BA$8,Calc2!$M$4:$N$763,2,0),"")</f>
        <v/>
      </c>
      <c r="BB42" s="137"/>
      <c r="BC42" s="426">
        <v>34</v>
      </c>
      <c r="BD42" s="426">
        <f t="array" aca="1" ref="BD42" ca="1">SUM((OFFSET($I$9,(BC42-1)*Calc!$F$26,0,Calc!$F$26)&lt;&gt;"")*(OFFSET($K$9,(BC42-1)*Calc!$F$26,0,Calc!$F$26)&lt;&gt;""))</f>
        <v>9</v>
      </c>
      <c r="BE42" s="426"/>
      <c r="BF42" s="426"/>
      <c r="BG42" s="426">
        <f t="shared" ca="1" si="3"/>
        <v>34</v>
      </c>
    </row>
    <row r="43" spans="2:59" ht="15.95" customHeight="1" x14ac:dyDescent="0.2">
      <c r="B43" s="278" t="str">
        <f>IF(Calc!$F$26=0,"",IF(OR($C43&gt;Calc!$B$24,MOD($C43-1,Calc!$F$26)&gt;0),"",QUOTIENT($C43-1,Calc!$F$26)+1))</f>
        <v/>
      </c>
      <c r="C43" s="274">
        <v>35</v>
      </c>
      <c r="D43" s="154">
        <f>IF(Plan!$T41="","",Plan!$T41)</f>
        <v>45921</v>
      </c>
      <c r="E43" s="155">
        <f>IF(Plan!$U41="","",Plan!$U41)</f>
        <v>0.72916666666666663</v>
      </c>
      <c r="F43" s="175" t="str">
        <f>Plan!$Q41</f>
        <v>Bayer 04 Leverkusen</v>
      </c>
      <c r="G43" s="176" t="s">
        <v>4</v>
      </c>
      <c r="H43" s="175" t="str">
        <f>Plan!$S41</f>
        <v>Borussia Mönchengladbach</v>
      </c>
      <c r="I43" s="177">
        <v>1</v>
      </c>
      <c r="J43" s="178" t="str">
        <f>Language!$E$65</f>
        <v xml:space="preserve"> : </v>
      </c>
      <c r="K43" s="179">
        <v>1</v>
      </c>
      <c r="L43" s="383"/>
      <c r="M43" s="384"/>
      <c r="P43" s="137"/>
      <c r="Q43" s="213"/>
      <c r="R43" s="200"/>
      <c r="S43" s="200"/>
      <c r="T43" s="200"/>
      <c r="U43" s="200"/>
      <c r="V43" s="200"/>
      <c r="W43" s="200"/>
      <c r="X43" s="200"/>
      <c r="Y43" s="200"/>
      <c r="Z43" s="200"/>
      <c r="AA43" s="200"/>
      <c r="AB43" s="200"/>
      <c r="AC43" s="200"/>
      <c r="AD43" s="200"/>
      <c r="AE43" s="200"/>
      <c r="AF43" s="217">
        <f t="shared" ca="1" si="6"/>
        <v>9</v>
      </c>
      <c r="AG43" s="218" t="str">
        <f t="shared" ca="1" si="7"/>
        <v>FC Augsburg</v>
      </c>
      <c r="AH43" s="164" t="str">
        <f ca="1">IFERROR(VLOOKUP($Q17&amp;AH$8,Calc2!$M$4:$N$763,2,0),"")</f>
        <v>2 : 1</v>
      </c>
      <c r="AI43" s="158" t="str">
        <f ca="1">IFERROR(VLOOKUP($Q17&amp;AI$8,Calc2!$M$4:$N$763,2,0),"")</f>
        <v>0 : 2</v>
      </c>
      <c r="AJ43" s="158" t="str">
        <f ca="1">IFERROR(VLOOKUP($Q17&amp;AJ$8,Calc2!$M$4:$N$763,2,0),"")</f>
        <v>1 : 2</v>
      </c>
      <c r="AK43" s="158" t="str">
        <f ca="1">IFERROR(VLOOKUP($Q17&amp;AK$8,Calc2!$M$4:$N$763,2,0),"")</f>
        <v>2 : 5</v>
      </c>
      <c r="AL43" s="158" t="str">
        <f ca="1">IFERROR(VLOOKUP($Q17&amp;AL$8,Calc2!$M$4:$N$763,2,0),"")</f>
        <v>2 : 2</v>
      </c>
      <c r="AM43" s="158" t="str">
        <f ca="1">IFERROR(VLOOKUP($Q17&amp;AM$8,Calc2!$M$4:$N$763,2,0),"")</f>
        <v>2 : 1</v>
      </c>
      <c r="AN43" s="158" t="str">
        <f ca="1">IFERROR(VLOOKUP($Q17&amp;AN$8,Calc2!$M$4:$N$763,2,0),"")</f>
        <v>2 : 2</v>
      </c>
      <c r="AO43" s="158" t="str">
        <f ca="1">IFERROR(VLOOKUP($Q17&amp;AO$8,Calc2!$M$4:$N$763,2,0),"")</f>
        <v>1 : 1</v>
      </c>
      <c r="AP43" s="165"/>
      <c r="AQ43" s="158" t="str">
        <f ca="1">IFERROR(VLOOKUP($Q17&amp;AQ$8,Calc2!$M$4:$N$763,2,0),"")</f>
        <v>0 : 2</v>
      </c>
      <c r="AR43" s="158" t="str">
        <f ca="1">IFERROR(VLOOKUP($Q17&amp;AR$8,Calc2!$M$4:$N$763,2,0),"")</f>
        <v>0 : 4</v>
      </c>
      <c r="AS43" s="158" t="str">
        <f ca="1">IFERROR(VLOOKUP($Q17&amp;AS$8,Calc2!$M$4:$N$763,2,0),"")</f>
        <v>3 : 1</v>
      </c>
      <c r="AT43" s="158" t="str">
        <f ca="1">IFERROR(VLOOKUP($Q17&amp;AT$8,Calc2!$M$4:$N$763,2,0),"")</f>
        <v>1 : 1</v>
      </c>
      <c r="AU43" s="158" t="str">
        <f ca="1">IFERROR(VLOOKUP($Q17&amp;AU$8,Calc2!$M$4:$N$763,2,0),"")</f>
        <v>2 : 0</v>
      </c>
      <c r="AV43" s="158" t="str">
        <f ca="1">IFERROR(VLOOKUP($Q17&amp;AV$8,Calc2!$M$4:$N$763,2,0),"")</f>
        <v>3 : 1</v>
      </c>
      <c r="AW43" s="158" t="str">
        <f ca="1">IFERROR(VLOOKUP($Q17&amp;AW$8,Calc2!$M$4:$N$763,2,0),"")</f>
        <v>3 : 2</v>
      </c>
      <c r="AX43" s="158" t="str">
        <f ca="1">IFERROR(VLOOKUP($Q17&amp;AX$8,Calc2!$M$4:$N$763,2,0),"")</f>
        <v>1 : 0</v>
      </c>
      <c r="AY43" s="158" t="str">
        <f ca="1">IFERROR(VLOOKUP($Q17&amp;AY$8,Calc2!$M$4:$N$763,2,0),"")</f>
        <v>2 : 1</v>
      </c>
      <c r="AZ43" s="158" t="str">
        <f ca="1">IFERROR(VLOOKUP($Q17&amp;AZ$8,Calc2!$M$4:$N$763,2,0),"")</f>
        <v/>
      </c>
      <c r="BA43" s="166" t="str">
        <f ca="1">IFERROR(VLOOKUP($Q17&amp;BA$8,Calc2!$M$4:$N$763,2,0),"")</f>
        <v/>
      </c>
      <c r="BB43" s="137"/>
      <c r="BC43" s="426">
        <v>35</v>
      </c>
      <c r="BD43" s="426">
        <f t="array" aca="1" ref="BD43" ca="1">SUM((OFFSET($I$9,(BC43-1)*Calc!$F$26,0,Calc!$F$26)&lt;&gt;"")*(OFFSET($K$9,(BC43-1)*Calc!$F$26,0,Calc!$F$26)&lt;&gt;""))</f>
        <v>0</v>
      </c>
      <c r="BE43" s="426"/>
      <c r="BF43" s="426"/>
      <c r="BG43" s="426">
        <f t="shared" ca="1" si="3"/>
        <v>0</v>
      </c>
    </row>
    <row r="44" spans="2:59" ht="15.95" customHeight="1" x14ac:dyDescent="0.2">
      <c r="B44" s="278" t="str">
        <f>IF(Calc!$F$26=0,"",IF(OR($C44&gt;Calc!$B$24,MOD($C44-1,Calc!$F$26)&gt;0),"",QUOTIENT($C44-1,Calc!$F$26)+1))</f>
        <v/>
      </c>
      <c r="C44" s="274">
        <v>36</v>
      </c>
      <c r="D44" s="154">
        <f>IF(Plan!$T42="","",Plan!$T42)</f>
        <v>45921</v>
      </c>
      <c r="E44" s="155">
        <f>IF(Plan!$U42="","",Plan!$U42)</f>
        <v>0.8125</v>
      </c>
      <c r="F44" s="175" t="str">
        <f>Plan!$Q42</f>
        <v>Borussia Dortmund</v>
      </c>
      <c r="G44" s="176" t="s">
        <v>4</v>
      </c>
      <c r="H44" s="175" t="str">
        <f>Plan!$S42</f>
        <v>VfL Wolfsburg</v>
      </c>
      <c r="I44" s="177">
        <v>1</v>
      </c>
      <c r="J44" s="178" t="str">
        <f>Language!$E$65</f>
        <v xml:space="preserve"> : </v>
      </c>
      <c r="K44" s="179">
        <v>0</v>
      </c>
      <c r="L44" s="383"/>
      <c r="M44" s="384"/>
      <c r="P44" s="137"/>
      <c r="Q44" s="213"/>
      <c r="R44" s="200"/>
      <c r="S44" s="200"/>
      <c r="T44" s="200"/>
      <c r="U44" s="200"/>
      <c r="V44" s="200"/>
      <c r="W44" s="200"/>
      <c r="X44" s="200"/>
      <c r="Y44" s="200"/>
      <c r="Z44" s="200"/>
      <c r="AA44" s="200"/>
      <c r="AB44" s="200"/>
      <c r="AC44" s="200"/>
      <c r="AD44" s="200"/>
      <c r="AE44" s="200"/>
      <c r="AF44" s="217">
        <f t="shared" ca="1" si="6"/>
        <v>10</v>
      </c>
      <c r="AG44" s="218" t="str">
        <f t="shared" ca="1" si="7"/>
        <v>1. FSV Mainz 05</v>
      </c>
      <c r="AH44" s="164" t="str">
        <f ca="1">IFERROR(VLOOKUP($Q18&amp;AH$8,Calc2!$M$4:$N$763,2,0),"")</f>
        <v>3 : 4</v>
      </c>
      <c r="AI44" s="158" t="str">
        <f ca="1">IFERROR(VLOOKUP($Q18&amp;AI$8,Calc2!$M$4:$N$763,2,0),"")</f>
        <v>0 : 4</v>
      </c>
      <c r="AJ44" s="158" t="str">
        <f ca="1">IFERROR(VLOOKUP($Q18&amp;AJ$8,Calc2!$M$4:$N$763,2,0),"")</f>
        <v>2 : 1</v>
      </c>
      <c r="AK44" s="158" t="str">
        <f ca="1">IFERROR(VLOOKUP($Q18&amp;AK$8,Calc2!$M$4:$N$763,2,0),"")</f>
        <v>2 : 2</v>
      </c>
      <c r="AL44" s="158" t="str">
        <f ca="1">IFERROR(VLOOKUP($Q18&amp;AL$8,Calc2!$M$4:$N$763,2,0),"")</f>
        <v>2 : 1</v>
      </c>
      <c r="AM44" s="158" t="str">
        <f ca="1">IFERROR(VLOOKUP($Q18&amp;AM$8,Calc2!$M$4:$N$763,2,0),"")</f>
        <v>1 : 1</v>
      </c>
      <c r="AN44" s="158" t="str">
        <f ca="1">IFERROR(VLOOKUP($Q18&amp;AN$8,Calc2!$M$4:$N$763,2,0),"")</f>
        <v>0 : 1</v>
      </c>
      <c r="AO44" s="158" t="str">
        <f ca="1">IFERROR(VLOOKUP($Q18&amp;AO$8,Calc2!$M$4:$N$763,2,0),"")</f>
        <v>2 : 1</v>
      </c>
      <c r="AP44" s="158" t="str">
        <f ca="1">IFERROR(VLOOKUP($Q18&amp;AP$8,Calc2!$M$4:$N$763,2,0),"")</f>
        <v>2 : 0</v>
      </c>
      <c r="AQ44" s="165"/>
      <c r="AR44" s="158" t="str">
        <f ca="1">IFERROR(VLOOKUP($Q18&amp;AR$8,Calc2!$M$4:$N$763,2,0),"")</f>
        <v>0 : 1</v>
      </c>
      <c r="AS44" s="158" t="str">
        <f ca="1">IFERROR(VLOOKUP($Q18&amp;AS$8,Calc2!$M$4:$N$763,2,0),"")</f>
        <v>1 : 1</v>
      </c>
      <c r="AT44" s="158" t="str">
        <f ca="1">IFERROR(VLOOKUP($Q18&amp;AT$8,Calc2!$M$4:$N$763,2,0),"")</f>
        <v>1 : 1</v>
      </c>
      <c r="AU44" s="158" t="str">
        <f ca="1">IFERROR(VLOOKUP($Q18&amp;AU$8,Calc2!$M$4:$N$763,2,0),"")</f>
        <v>1 : 2</v>
      </c>
      <c r="AV44" s="158" t="str">
        <f ca="1">IFERROR(VLOOKUP($Q18&amp;AV$8,Calc2!$M$4:$N$763,2,0),"")</f>
        <v>2 : 0</v>
      </c>
      <c r="AW44" s="158" t="str">
        <f ca="1">IFERROR(VLOOKUP($Q18&amp;AW$8,Calc2!$M$4:$N$763,2,0),"")</f>
        <v>3 : 1</v>
      </c>
      <c r="AX44" s="158" t="str">
        <f ca="1">IFERROR(VLOOKUP($Q18&amp;AX$8,Calc2!$M$4:$N$763,2,0),"")</f>
        <v>2 : 0</v>
      </c>
      <c r="AY44" s="158" t="str">
        <f ca="1">IFERROR(VLOOKUP($Q18&amp;AY$8,Calc2!$M$4:$N$763,2,0),"")</f>
        <v>2 : 1</v>
      </c>
      <c r="AZ44" s="158" t="str">
        <f ca="1">IFERROR(VLOOKUP($Q18&amp;AZ$8,Calc2!$M$4:$N$763,2,0),"")</f>
        <v/>
      </c>
      <c r="BA44" s="166" t="str">
        <f ca="1">IFERROR(VLOOKUP($Q18&amp;BA$8,Calc2!$M$4:$N$763,2,0),"")</f>
        <v/>
      </c>
      <c r="BB44" s="137"/>
      <c r="BC44" s="426">
        <v>36</v>
      </c>
      <c r="BD44" s="426">
        <f t="array" aca="1" ref="BD44" ca="1">SUM((OFFSET($I$9,(BC44-1)*Calc!$F$26,0,Calc!$F$26)&lt;&gt;"")*(OFFSET($K$9,(BC44-1)*Calc!$F$26,0,Calc!$F$26)&lt;&gt;""))</f>
        <v>0</v>
      </c>
      <c r="BE44" s="426"/>
      <c r="BF44" s="426"/>
      <c r="BG44" s="426">
        <f t="shared" ca="1" si="3"/>
        <v>0</v>
      </c>
    </row>
    <row r="45" spans="2:59" ht="15.95" customHeight="1" x14ac:dyDescent="0.2">
      <c r="B45" s="278">
        <f>IF(Calc!$F$26=0,"",IF(OR($C45&gt;Calc!$B$24,MOD($C45-1,Calc!$F$26)&gt;0),"",QUOTIENT($C45-1,Calc!$F$26)+1))</f>
        <v>5</v>
      </c>
      <c r="C45" s="274">
        <v>37</v>
      </c>
      <c r="D45" s="154">
        <f>IF(Plan!$T43="","",Plan!$T43)</f>
        <v>45926</v>
      </c>
      <c r="E45" s="155">
        <f>IF(Plan!$U43="","",Plan!$U43)</f>
        <v>0.85416666666666663</v>
      </c>
      <c r="F45" s="175" t="str">
        <f>Plan!$Q43</f>
        <v>FC Bayern München</v>
      </c>
      <c r="G45" s="176" t="s">
        <v>4</v>
      </c>
      <c r="H45" s="175" t="str">
        <f>Plan!$S43</f>
        <v>SV Werder Bremen</v>
      </c>
      <c r="I45" s="177">
        <v>4</v>
      </c>
      <c r="J45" s="178" t="str">
        <f>Language!$E$65</f>
        <v xml:space="preserve"> : </v>
      </c>
      <c r="K45" s="179">
        <v>0</v>
      </c>
      <c r="L45" s="383"/>
      <c r="M45" s="384"/>
      <c r="P45" s="137"/>
      <c r="Q45" s="213"/>
      <c r="R45" s="200"/>
      <c r="S45" s="200"/>
      <c r="T45" s="200"/>
      <c r="U45" s="200"/>
      <c r="V45" s="200"/>
      <c r="W45" s="200"/>
      <c r="X45" s="200"/>
      <c r="Y45" s="200"/>
      <c r="Z45" s="200"/>
      <c r="AA45" s="200"/>
      <c r="AB45" s="200"/>
      <c r="AC45" s="200"/>
      <c r="AD45" s="200"/>
      <c r="AE45" s="200"/>
      <c r="AF45" s="217">
        <f t="shared" ca="1" si="6"/>
        <v>11</v>
      </c>
      <c r="AG45" s="218" t="str">
        <f t="shared" ca="1" si="7"/>
        <v>1. FC Union Berlin</v>
      </c>
      <c r="AH45" s="164" t="str">
        <f ca="1">IFERROR(VLOOKUP($Q19&amp;AH$8,Calc2!$M$4:$N$763,2,0),"")</f>
        <v>0 : 4</v>
      </c>
      <c r="AI45" s="158" t="str">
        <f ca="1">IFERROR(VLOOKUP($Q19&amp;AI$8,Calc2!$M$4:$N$763,2,0),"")</f>
        <v>0 : 3</v>
      </c>
      <c r="AJ45" s="158" t="str">
        <f ca="1">IFERROR(VLOOKUP($Q19&amp;AJ$8,Calc2!$M$4:$N$763,2,0),"")</f>
        <v>1 : 3</v>
      </c>
      <c r="AK45" s="158" t="str">
        <f ca="1">IFERROR(VLOOKUP($Q19&amp;AK$8,Calc2!$M$4:$N$763,2,0),"")</f>
        <v>1 : 1</v>
      </c>
      <c r="AL45" s="158" t="str">
        <f ca="1">IFERROR(VLOOKUP($Q19&amp;AL$8,Calc2!$M$4:$N$763,2,0),"")</f>
        <v>1 : 3</v>
      </c>
      <c r="AM45" s="158" t="str">
        <f ca="1">IFERROR(VLOOKUP($Q19&amp;AM$8,Calc2!$M$4:$N$763,2,0),"")</f>
        <v>1 : 0</v>
      </c>
      <c r="AN45" s="158" t="str">
        <f ca="1">IFERROR(VLOOKUP($Q19&amp;AN$8,Calc2!$M$4:$N$763,2,0),"")</f>
        <v>1 : 0</v>
      </c>
      <c r="AO45" s="158" t="str">
        <f ca="1">IFERROR(VLOOKUP($Q19&amp;AO$8,Calc2!$M$4:$N$763,2,0),"")</f>
        <v>1 : 1</v>
      </c>
      <c r="AP45" s="158" t="str">
        <f ca="1">IFERROR(VLOOKUP($Q19&amp;AP$8,Calc2!$M$4:$N$763,2,0),"")</f>
        <v>4 : 0</v>
      </c>
      <c r="AQ45" s="158" t="str">
        <f ca="1">IFERROR(VLOOKUP($Q19&amp;AQ$8,Calc2!$M$4:$N$763,2,0),"")</f>
        <v>1 : 0</v>
      </c>
      <c r="AR45" s="165"/>
      <c r="AS45" s="158" t="str">
        <f ca="1">IFERROR(VLOOKUP($Q19&amp;AS$8,Calc2!$M$4:$N$763,2,0),"")</f>
        <v>0 : 1</v>
      </c>
      <c r="AT45" s="158" t="str">
        <f ca="1">IFERROR(VLOOKUP($Q19&amp;AT$8,Calc2!$M$4:$N$763,2,0),"")</f>
        <v>2 : 3</v>
      </c>
      <c r="AU45" s="158" t="str">
        <f ca="1">IFERROR(VLOOKUP($Q19&amp;AU$8,Calc2!$M$4:$N$763,2,0),"")</f>
        <v>2 : 2</v>
      </c>
      <c r="AV45" s="158" t="str">
        <f ca="1">IFERROR(VLOOKUP($Q19&amp;AV$8,Calc2!$M$4:$N$763,2,0),"")</f>
        <v>1 : 4</v>
      </c>
      <c r="AW45" s="158" t="str">
        <f ca="1">IFERROR(VLOOKUP($Q19&amp;AW$8,Calc2!$M$4:$N$763,2,0),"")</f>
        <v>1 : 2</v>
      </c>
      <c r="AX45" s="158" t="str">
        <f ca="1">IFERROR(VLOOKUP($Q19&amp;AX$8,Calc2!$M$4:$N$763,2,0),"")</f>
        <v>1 : 3</v>
      </c>
      <c r="AY45" s="158" t="str">
        <f ca="1">IFERROR(VLOOKUP($Q19&amp;AY$8,Calc2!$M$4:$N$763,2,0),"")</f>
        <v>1 : 1</v>
      </c>
      <c r="AZ45" s="158" t="str">
        <f ca="1">IFERROR(VLOOKUP($Q19&amp;AZ$8,Calc2!$M$4:$N$763,2,0),"")</f>
        <v/>
      </c>
      <c r="BA45" s="166" t="str">
        <f ca="1">IFERROR(VLOOKUP($Q19&amp;BA$8,Calc2!$M$4:$N$763,2,0),"")</f>
        <v/>
      </c>
      <c r="BB45" s="137"/>
      <c r="BC45" s="426">
        <v>37</v>
      </c>
      <c r="BD45" s="426">
        <f t="array" aca="1" ref="BD45" ca="1">SUM((OFFSET($I$9,(BC45-1)*Calc!$F$26,0,Calc!$F$26)&lt;&gt;"")*(OFFSET($K$9,(BC45-1)*Calc!$F$26,0,Calc!$F$26)&lt;&gt;""))</f>
        <v>0</v>
      </c>
      <c r="BE45" s="426"/>
      <c r="BF45" s="426"/>
      <c r="BG45" s="426">
        <f t="shared" ca="1" si="3"/>
        <v>0</v>
      </c>
    </row>
    <row r="46" spans="2:59" ht="15.95" customHeight="1" x14ac:dyDescent="0.2">
      <c r="B46" s="278" t="str">
        <f>IF(Calc!$F$26=0,"",IF(OR($C46&gt;Calc!$B$24,MOD($C46-1,Calc!$F$26)&gt;0),"",QUOTIENT($C46-1,Calc!$F$26)+1))</f>
        <v/>
      </c>
      <c r="C46" s="274">
        <v>38</v>
      </c>
      <c r="D46" s="154">
        <f>IF(Plan!$T44="","",Plan!$T44)</f>
        <v>45927</v>
      </c>
      <c r="E46" s="155">
        <f>IF(Plan!$U44="","",Plan!$U44)</f>
        <v>0.64583333333333337</v>
      </c>
      <c r="F46" s="175" t="str">
        <f>Plan!$Q44</f>
        <v>FC St. Pauli</v>
      </c>
      <c r="G46" s="176" t="s">
        <v>4</v>
      </c>
      <c r="H46" s="175" t="str">
        <f>Plan!$S44</f>
        <v>Bayer 04 Leverkusen</v>
      </c>
      <c r="I46" s="177">
        <v>1</v>
      </c>
      <c r="J46" s="178" t="str">
        <f>Language!$E$65</f>
        <v xml:space="preserve"> : </v>
      </c>
      <c r="K46" s="179">
        <v>2</v>
      </c>
      <c r="L46" s="383"/>
      <c r="M46" s="384"/>
      <c r="P46" s="137"/>
      <c r="Q46" s="213"/>
      <c r="R46" s="200"/>
      <c r="S46" s="200"/>
      <c r="T46" s="200"/>
      <c r="U46" s="200"/>
      <c r="V46" s="200"/>
      <c r="W46" s="200"/>
      <c r="X46" s="200"/>
      <c r="Y46" s="200"/>
      <c r="Z46" s="200"/>
      <c r="AA46" s="200"/>
      <c r="AB46" s="200"/>
      <c r="AC46" s="200"/>
      <c r="AD46" s="200"/>
      <c r="AE46" s="200"/>
      <c r="AF46" s="217">
        <f t="shared" ca="1" si="6"/>
        <v>12</v>
      </c>
      <c r="AG46" s="218" t="str">
        <f t="shared" ca="1" si="7"/>
        <v>Borussia Mönchengladbach</v>
      </c>
      <c r="AH46" s="164" t="str">
        <f ca="1">IFERROR(VLOOKUP($Q20&amp;AH$8,Calc2!$M$4:$N$763,2,0),"")</f>
        <v>1 : 4</v>
      </c>
      <c r="AI46" s="158" t="str">
        <f ca="1">IFERROR(VLOOKUP($Q20&amp;AI$8,Calc2!$M$4:$N$763,2,0),"")</f>
        <v>1 : 0</v>
      </c>
      <c r="AJ46" s="158" t="str">
        <f ca="1">IFERROR(VLOOKUP($Q20&amp;AJ$8,Calc2!$M$4:$N$763,2,0),"")</f>
        <v>0 : 1</v>
      </c>
      <c r="AK46" s="158" t="str">
        <f ca="1">IFERROR(VLOOKUP($Q20&amp;AK$8,Calc2!$M$4:$N$763,2,0),"")</f>
        <v>0 : 3</v>
      </c>
      <c r="AL46" s="158" t="str">
        <f ca="1">IFERROR(VLOOKUP($Q20&amp;AL$8,Calc2!$M$4:$N$763,2,0),"")</f>
        <v>4 : 0</v>
      </c>
      <c r="AM46" s="158" t="str">
        <f ca="1">IFERROR(VLOOKUP($Q20&amp;AM$8,Calc2!$M$4:$N$763,2,0),"")</f>
        <v>1 : 1</v>
      </c>
      <c r="AN46" s="158" t="str">
        <f ca="1">IFERROR(VLOOKUP($Q20&amp;AN$8,Calc2!$M$4:$N$763,2,0),"")</f>
        <v>1 : 2</v>
      </c>
      <c r="AO46" s="158" t="str">
        <f ca="1">IFERROR(VLOOKUP($Q20&amp;AO$8,Calc2!$M$4:$N$763,2,0),"")</f>
        <v>0 : 3</v>
      </c>
      <c r="AP46" s="158" t="str">
        <f ca="1">IFERROR(VLOOKUP($Q20&amp;AP$8,Calc2!$M$4:$N$763,2,0),"")</f>
        <v>1 : 3</v>
      </c>
      <c r="AQ46" s="158" t="str">
        <f ca="1">IFERROR(VLOOKUP($Q20&amp;AQ$8,Calc2!$M$4:$N$763,2,0),"")</f>
        <v>1 : 1</v>
      </c>
      <c r="AR46" s="158" t="str">
        <f ca="1">IFERROR(VLOOKUP($Q20&amp;AR$8,Calc2!$M$4:$N$763,2,0),"")</f>
        <v>1 : 0</v>
      </c>
      <c r="AS46" s="165"/>
      <c r="AT46" s="158" t="str">
        <f ca="1">IFERROR(VLOOKUP($Q20&amp;AT$8,Calc2!$M$4:$N$763,2,0),"")</f>
        <v>0 : 0</v>
      </c>
      <c r="AU46" s="158" t="str">
        <f ca="1">IFERROR(VLOOKUP($Q20&amp;AU$8,Calc2!$M$4:$N$763,2,0),"")</f>
        <v>3 : 3</v>
      </c>
      <c r="AV46" s="158" t="str">
        <f ca="1">IFERROR(VLOOKUP($Q20&amp;AV$8,Calc2!$M$4:$N$763,2,0),"")</f>
        <v>1 : 1</v>
      </c>
      <c r="AW46" s="158" t="str">
        <f ca="1">IFERROR(VLOOKUP($Q20&amp;AW$8,Calc2!$M$4:$N$763,2,0),"")</f>
        <v>0 : 0</v>
      </c>
      <c r="AX46" s="158" t="str">
        <f ca="1">IFERROR(VLOOKUP($Q20&amp;AX$8,Calc2!$M$4:$N$763,2,0),"")</f>
        <v>2 : 2</v>
      </c>
      <c r="AY46" s="158" t="str">
        <f ca="1">IFERROR(VLOOKUP($Q20&amp;AY$8,Calc2!$M$4:$N$763,2,0),"")</f>
        <v>2 : 0</v>
      </c>
      <c r="AZ46" s="158" t="str">
        <f ca="1">IFERROR(VLOOKUP($Q20&amp;AZ$8,Calc2!$M$4:$N$763,2,0),"")</f>
        <v/>
      </c>
      <c r="BA46" s="166" t="str">
        <f ca="1">IFERROR(VLOOKUP($Q20&amp;BA$8,Calc2!$M$4:$N$763,2,0),"")</f>
        <v/>
      </c>
      <c r="BB46" s="137"/>
      <c r="BC46" s="426">
        <v>38</v>
      </c>
      <c r="BD46" s="426">
        <f t="array" aca="1" ref="BD46" ca="1">SUM((OFFSET($I$9,(BC46-1)*Calc!$F$26,0,Calc!$F$26)&lt;&gt;"")*(OFFSET($K$9,(BC46-1)*Calc!$F$26,0,Calc!$F$26)&lt;&gt;""))</f>
        <v>0</v>
      </c>
      <c r="BE46" s="426"/>
      <c r="BF46" s="426"/>
      <c r="BG46" s="426">
        <f t="shared" ca="1" si="3"/>
        <v>0</v>
      </c>
    </row>
    <row r="47" spans="2:59" ht="15.95" customHeight="1" x14ac:dyDescent="0.2">
      <c r="B47" s="278" t="str">
        <f>IF(Calc!$F$26=0,"",IF(OR($C47&gt;Calc!$B$24,MOD($C47-1,Calc!$F$26)&gt;0),"",QUOTIENT($C47-1,Calc!$F$26)+1))</f>
        <v/>
      </c>
      <c r="C47" s="274">
        <v>39</v>
      </c>
      <c r="D47" s="154">
        <f>IF(Plan!$T45="","",Plan!$T45)</f>
        <v>45927</v>
      </c>
      <c r="E47" s="155">
        <f>IF(Plan!$U45="","",Plan!$U45)</f>
        <v>0.64583333333333337</v>
      </c>
      <c r="F47" s="175" t="str">
        <f>Plan!$Q45</f>
        <v>1. FC Heidenheim 1846</v>
      </c>
      <c r="G47" s="176" t="s">
        <v>4</v>
      </c>
      <c r="H47" s="175" t="str">
        <f>Plan!$S45</f>
        <v>FC Augsburg</v>
      </c>
      <c r="I47" s="177">
        <v>2</v>
      </c>
      <c r="J47" s="178" t="str">
        <f>Language!$E$65</f>
        <v xml:space="preserve"> : </v>
      </c>
      <c r="K47" s="179">
        <v>1</v>
      </c>
      <c r="L47" s="383"/>
      <c r="M47" s="384"/>
      <c r="P47" s="137"/>
      <c r="Q47" s="213"/>
      <c r="R47" s="200"/>
      <c r="S47" s="200"/>
      <c r="T47" s="200"/>
      <c r="U47" s="200"/>
      <c r="V47" s="200"/>
      <c r="W47" s="200"/>
      <c r="X47" s="200"/>
      <c r="Y47" s="200"/>
      <c r="Z47" s="200"/>
      <c r="AA47" s="200"/>
      <c r="AB47" s="200"/>
      <c r="AC47" s="200"/>
      <c r="AD47" s="200"/>
      <c r="AE47" s="200"/>
      <c r="AF47" s="217">
        <f t="shared" ca="1" si="6"/>
        <v>13</v>
      </c>
      <c r="AG47" s="218" t="str">
        <f t="shared" ca="1" si="7"/>
        <v>Hamburger SV</v>
      </c>
      <c r="AH47" s="164" t="str">
        <f ca="1">IFERROR(VLOOKUP($Q21&amp;AH$8,Calc2!$M$4:$N$763,2,0),"")</f>
        <v>2 : 2</v>
      </c>
      <c r="AI47" s="158" t="str">
        <f ca="1">IFERROR(VLOOKUP($Q21&amp;AI$8,Calc2!$M$4:$N$763,2,0),"")</f>
        <v>2 : 3</v>
      </c>
      <c r="AJ47" s="158" t="str">
        <f ca="1">IFERROR(VLOOKUP($Q21&amp;AJ$8,Calc2!$M$4:$N$763,2,0),"")</f>
        <v>1 : 2</v>
      </c>
      <c r="AK47" s="158" t="str">
        <f ca="1">IFERROR(VLOOKUP($Q21&amp;AK$8,Calc2!$M$4:$N$763,2,0),"")</f>
        <v>0 : 4</v>
      </c>
      <c r="AL47" s="158" t="str">
        <f ca="1">IFERROR(VLOOKUP($Q21&amp;AL$8,Calc2!$M$4:$N$763,2,0),"")</f>
        <v>1 : 2</v>
      </c>
      <c r="AM47" s="158" t="str">
        <f ca="1">IFERROR(VLOOKUP($Q21&amp;AM$8,Calc2!$M$4:$N$763,2,0),"")</f>
        <v>1 : 1</v>
      </c>
      <c r="AN47" s="158" t="str">
        <f ca="1">IFERROR(VLOOKUP($Q21&amp;AN$8,Calc2!$M$4:$N$763,2,0),"")</f>
        <v>3 : 2</v>
      </c>
      <c r="AO47" s="158" t="str">
        <f ca="1">IFERROR(VLOOKUP($Q21&amp;AO$8,Calc2!$M$4:$N$763,2,0),"")</f>
        <v>2 : 1</v>
      </c>
      <c r="AP47" s="158" t="str">
        <f ca="1">IFERROR(VLOOKUP($Q21&amp;AP$8,Calc2!$M$4:$N$763,2,0),"")</f>
        <v>1 : 1</v>
      </c>
      <c r="AQ47" s="158" t="str">
        <f ca="1">IFERROR(VLOOKUP($Q21&amp;AQ$8,Calc2!$M$4:$N$763,2,0),"")</f>
        <v>1 : 1</v>
      </c>
      <c r="AR47" s="158" t="str">
        <f ca="1">IFERROR(VLOOKUP($Q21&amp;AR$8,Calc2!$M$4:$N$763,2,0),"")</f>
        <v>3 : 2</v>
      </c>
      <c r="AS47" s="158" t="str">
        <f ca="1">IFERROR(VLOOKUP($Q21&amp;AS$8,Calc2!$M$4:$N$763,2,0),"")</f>
        <v>0 : 0</v>
      </c>
      <c r="AT47" s="165"/>
      <c r="AU47" s="158" t="str">
        <f ca="1">IFERROR(VLOOKUP($Q21&amp;AU$8,Calc2!$M$4:$N$763,2,0),"")</f>
        <v>1 : 1</v>
      </c>
      <c r="AV47" s="158" t="str">
        <f ca="1">IFERROR(VLOOKUP($Q21&amp;AV$8,Calc2!$M$4:$N$763,2,0),"")</f>
        <v>1 : 3</v>
      </c>
      <c r="AW47" s="158" t="str">
        <f ca="1">IFERROR(VLOOKUP($Q21&amp;AW$8,Calc2!$M$4:$N$763,2,0),"")</f>
        <v>2 : 1</v>
      </c>
      <c r="AX47" s="158" t="str">
        <f ca="1">IFERROR(VLOOKUP($Q21&amp;AX$8,Calc2!$M$4:$N$763,2,0),"")</f>
        <v>2 : 0</v>
      </c>
      <c r="AY47" s="158" t="str">
        <f ca="1">IFERROR(VLOOKUP($Q21&amp;AY$8,Calc2!$M$4:$N$763,2,0),"")</f>
        <v>0 : 0</v>
      </c>
      <c r="AZ47" s="158" t="str">
        <f ca="1">IFERROR(VLOOKUP($Q21&amp;AZ$8,Calc2!$M$4:$N$763,2,0),"")</f>
        <v/>
      </c>
      <c r="BA47" s="166" t="str">
        <f ca="1">IFERROR(VLOOKUP($Q21&amp;BA$8,Calc2!$M$4:$N$763,2,0),"")</f>
        <v/>
      </c>
      <c r="BB47" s="137"/>
    </row>
    <row r="48" spans="2:59" ht="15.95" customHeight="1" x14ac:dyDescent="0.2">
      <c r="B48" s="278" t="str">
        <f>IF(Calc!$F$26=0,"",IF(OR($C48&gt;Calc!$B$24,MOD($C48-1,Calc!$F$26)&gt;0),"",QUOTIENT($C48-1,Calc!$F$26)+1))</f>
        <v/>
      </c>
      <c r="C48" s="274">
        <v>40</v>
      </c>
      <c r="D48" s="154">
        <f>IF(Plan!$T46="","",Plan!$T46)</f>
        <v>45927</v>
      </c>
      <c r="E48" s="155">
        <f>IF(Plan!$U46="","",Plan!$U46)</f>
        <v>0.64583333333333337</v>
      </c>
      <c r="F48" s="175" t="str">
        <f>Plan!$Q46</f>
        <v>1. FSV Mainz 05</v>
      </c>
      <c r="G48" s="176" t="s">
        <v>4</v>
      </c>
      <c r="H48" s="175" t="str">
        <f>Plan!$S46</f>
        <v>Borussia Dortmund</v>
      </c>
      <c r="I48" s="177">
        <v>0</v>
      </c>
      <c r="J48" s="178" t="str">
        <f>Language!$E$65</f>
        <v xml:space="preserve"> : </v>
      </c>
      <c r="K48" s="179">
        <v>2</v>
      </c>
      <c r="L48" s="383"/>
      <c r="M48" s="384"/>
      <c r="P48" s="137"/>
      <c r="Q48" s="213"/>
      <c r="R48" s="200"/>
      <c r="S48" s="200"/>
      <c r="T48" s="200"/>
      <c r="U48" s="200"/>
      <c r="V48" s="200"/>
      <c r="W48" s="200"/>
      <c r="X48" s="200"/>
      <c r="Y48" s="200"/>
      <c r="Z48" s="200"/>
      <c r="AA48" s="200"/>
      <c r="AB48" s="200"/>
      <c r="AC48" s="200"/>
      <c r="AD48" s="200"/>
      <c r="AE48" s="200"/>
      <c r="AF48" s="217">
        <f t="shared" ca="1" si="6"/>
        <v>14</v>
      </c>
      <c r="AG48" s="218" t="str">
        <f t="shared" ca="1" si="7"/>
        <v>1. FC Köln</v>
      </c>
      <c r="AH48" s="164" t="str">
        <f ca="1">IFERROR(VLOOKUP($Q22&amp;AH$8,Calc2!$M$4:$N$763,2,0),"")</f>
        <v>1 : 5</v>
      </c>
      <c r="AI48" s="158" t="str">
        <f ca="1">IFERROR(VLOOKUP($Q22&amp;AI$8,Calc2!$M$4:$N$763,2,0),"")</f>
        <v>1 : 2</v>
      </c>
      <c r="AJ48" s="158" t="str">
        <f ca="1">IFERROR(VLOOKUP($Q22&amp;AJ$8,Calc2!$M$4:$N$763,2,0),"")</f>
        <v>1 : 2</v>
      </c>
      <c r="AK48" s="158" t="str">
        <f ca="1">IFERROR(VLOOKUP($Q22&amp;AK$8,Calc2!$M$4:$N$763,2,0),"")</f>
        <v>1 : 3</v>
      </c>
      <c r="AL48" s="158" t="str">
        <f ca="1">IFERROR(VLOOKUP($Q22&amp;AL$8,Calc2!$M$4:$N$763,2,0),"")</f>
        <v>2 : 2</v>
      </c>
      <c r="AM48" s="158" t="str">
        <f ca="1">IFERROR(VLOOKUP($Q22&amp;AM$8,Calc2!$M$4:$N$763,2,0),"")</f>
        <v>1 : 2</v>
      </c>
      <c r="AN48" s="158" t="str">
        <f ca="1">IFERROR(VLOOKUP($Q22&amp;AN$8,Calc2!$M$4:$N$763,2,0),"")</f>
        <v>1 : 2</v>
      </c>
      <c r="AO48" s="158" t="str">
        <f ca="1">IFERROR(VLOOKUP($Q22&amp;AO$8,Calc2!$M$4:$N$763,2,0),"")</f>
        <v>2 : 2</v>
      </c>
      <c r="AP48" s="158" t="str">
        <f ca="1">IFERROR(VLOOKUP($Q22&amp;AP$8,Calc2!$M$4:$N$763,2,0),"")</f>
        <v>0 : 2</v>
      </c>
      <c r="AQ48" s="158" t="str">
        <f ca="1">IFERROR(VLOOKUP($Q22&amp;AQ$8,Calc2!$M$4:$N$763,2,0),"")</f>
        <v>2 : 1</v>
      </c>
      <c r="AR48" s="158" t="str">
        <f ca="1">IFERROR(VLOOKUP($Q22&amp;AR$8,Calc2!$M$4:$N$763,2,0),"")</f>
        <v>2 : 2</v>
      </c>
      <c r="AS48" s="158" t="str">
        <f ca="1">IFERROR(VLOOKUP($Q22&amp;AS$8,Calc2!$M$4:$N$763,2,0),"")</f>
        <v>3 : 3</v>
      </c>
      <c r="AT48" s="158" t="str">
        <f ca="1">IFERROR(VLOOKUP($Q22&amp;AT$8,Calc2!$M$4:$N$763,2,0),"")</f>
        <v>1 : 1</v>
      </c>
      <c r="AU48" s="165"/>
      <c r="AV48" s="158" t="str">
        <f ca="1">IFERROR(VLOOKUP($Q22&amp;AV$8,Calc2!$M$4:$N$763,2,0),"")</f>
        <v>3 : 1</v>
      </c>
      <c r="AW48" s="158" t="str">
        <f ca="1">IFERROR(VLOOKUP($Q22&amp;AW$8,Calc2!$M$4:$N$763,2,0),"")</f>
        <v>1 : 0</v>
      </c>
      <c r="AX48" s="158" t="str">
        <f ca="1">IFERROR(VLOOKUP($Q22&amp;AX$8,Calc2!$M$4:$N$763,2,0),"")</f>
        <v>1 : 3</v>
      </c>
      <c r="AY48" s="158" t="str">
        <f ca="1">IFERROR(VLOOKUP($Q22&amp;AY$8,Calc2!$M$4:$N$763,2,0),"")</f>
        <v>1 : 1</v>
      </c>
      <c r="AZ48" s="158" t="str">
        <f ca="1">IFERROR(VLOOKUP($Q22&amp;AZ$8,Calc2!$M$4:$N$763,2,0),"")</f>
        <v/>
      </c>
      <c r="BA48" s="166" t="str">
        <f ca="1">IFERROR(VLOOKUP($Q22&amp;BA$8,Calc2!$M$4:$N$763,2,0),"")</f>
        <v/>
      </c>
      <c r="BB48" s="137"/>
    </row>
    <row r="49" spans="2:54" ht="15.95" customHeight="1" x14ac:dyDescent="0.2">
      <c r="B49" s="278" t="str">
        <f>IF(Calc!$F$26=0,"",IF(OR($C49&gt;Calc!$B$24,MOD($C49-1,Calc!$F$26)&gt;0),"",QUOTIENT($C49-1,Calc!$F$26)+1))</f>
        <v/>
      </c>
      <c r="C49" s="274">
        <v>41</v>
      </c>
      <c r="D49" s="154">
        <f>IF(Plan!$T47="","",Plan!$T47)</f>
        <v>45927</v>
      </c>
      <c r="E49" s="155">
        <f>IF(Plan!$U47="","",Plan!$U47)</f>
        <v>0.64583333333333337</v>
      </c>
      <c r="F49" s="175" t="str">
        <f>Plan!$Q47</f>
        <v>VfL Wolfsburg</v>
      </c>
      <c r="G49" s="176" t="s">
        <v>4</v>
      </c>
      <c r="H49" s="175" t="str">
        <f>Plan!$S47</f>
        <v>RB Leipzig</v>
      </c>
      <c r="I49" s="177">
        <v>0</v>
      </c>
      <c r="J49" s="178" t="str">
        <f>Language!$E$65</f>
        <v xml:space="preserve"> : </v>
      </c>
      <c r="K49" s="179">
        <v>1</v>
      </c>
      <c r="L49" s="383"/>
      <c r="M49" s="384"/>
      <c r="P49" s="137"/>
      <c r="Q49" s="213"/>
      <c r="R49" s="200"/>
      <c r="S49" s="200"/>
      <c r="T49" s="200"/>
      <c r="U49" s="200"/>
      <c r="V49" s="200"/>
      <c r="W49" s="200"/>
      <c r="X49" s="200"/>
      <c r="Y49" s="200"/>
      <c r="Z49" s="200"/>
      <c r="AA49" s="200"/>
      <c r="AB49" s="200"/>
      <c r="AC49" s="200"/>
      <c r="AD49" s="200"/>
      <c r="AE49" s="200"/>
      <c r="AF49" s="217">
        <f t="shared" ca="1" si="6"/>
        <v>15</v>
      </c>
      <c r="AG49" s="218" t="str">
        <f t="shared" ca="1" si="7"/>
        <v>SV Werder Bremen</v>
      </c>
      <c r="AH49" s="164" t="str">
        <f ca="1">IFERROR(VLOOKUP($Q23&amp;AH$8,Calc2!$M$4:$N$763,2,0),"")</f>
        <v>0 : 3</v>
      </c>
      <c r="AI49" s="158" t="str">
        <f ca="1">IFERROR(VLOOKUP($Q23&amp;AI$8,Calc2!$M$4:$N$763,2,0),"")</f>
        <v>0 : 2</v>
      </c>
      <c r="AJ49" s="158" t="str">
        <f ca="1">IFERROR(VLOOKUP($Q23&amp;AJ$8,Calc2!$M$4:$N$763,2,0),"")</f>
        <v>1 : 2</v>
      </c>
      <c r="AK49" s="158" t="str">
        <f ca="1">IFERROR(VLOOKUP($Q23&amp;AK$8,Calc2!$M$4:$N$763,2,0),"")</f>
        <v>1 : 1</v>
      </c>
      <c r="AL49" s="158" t="str">
        <f ca="1">IFERROR(VLOOKUP($Q23&amp;AL$8,Calc2!$M$4:$N$763,2,0),"")</f>
        <v>0 : 1</v>
      </c>
      <c r="AM49" s="158" t="str">
        <f ca="1">IFERROR(VLOOKUP($Q23&amp;AM$8,Calc2!$M$4:$N$763,2,0),"")</f>
        <v>0 : 1</v>
      </c>
      <c r="AN49" s="158" t="str">
        <f ca="1">IFERROR(VLOOKUP($Q23&amp;AN$8,Calc2!$M$4:$N$763,2,0),"")</f>
        <v>0 : 1</v>
      </c>
      <c r="AO49" s="158" t="str">
        <f ca="1">IFERROR(VLOOKUP($Q23&amp;AO$8,Calc2!$M$4:$N$763,2,0),"")</f>
        <v>3 : 3</v>
      </c>
      <c r="AP49" s="158" t="str">
        <f ca="1">IFERROR(VLOOKUP($Q23&amp;AP$8,Calc2!$M$4:$N$763,2,0),"")</f>
        <v>1 : 3</v>
      </c>
      <c r="AQ49" s="158" t="str">
        <f ca="1">IFERROR(VLOOKUP($Q23&amp;AQ$8,Calc2!$M$4:$N$763,2,0),"")</f>
        <v>0 : 2</v>
      </c>
      <c r="AR49" s="158" t="str">
        <f ca="1">IFERROR(VLOOKUP($Q23&amp;AR$8,Calc2!$M$4:$N$763,2,0),"")</f>
        <v>4 : 1</v>
      </c>
      <c r="AS49" s="158" t="str">
        <f ca="1">IFERROR(VLOOKUP($Q23&amp;AS$8,Calc2!$M$4:$N$763,2,0),"")</f>
        <v>1 : 1</v>
      </c>
      <c r="AT49" s="158" t="str">
        <f ca="1">IFERROR(VLOOKUP($Q23&amp;AT$8,Calc2!$M$4:$N$763,2,0),"")</f>
        <v>3 : 1</v>
      </c>
      <c r="AU49" s="158" t="str">
        <f ca="1">IFERROR(VLOOKUP($Q23&amp;AU$8,Calc2!$M$4:$N$763,2,0),"")</f>
        <v>1 : 3</v>
      </c>
      <c r="AV49" s="165"/>
      <c r="AW49" s="158" t="str">
        <f ca="1">IFERROR(VLOOKUP($Q23&amp;AW$8,Calc2!$M$4:$N$763,2,0),"")</f>
        <v>1 : 0</v>
      </c>
      <c r="AX49" s="158" t="str">
        <f ca="1">IFERROR(VLOOKUP($Q23&amp;AX$8,Calc2!$M$4:$N$763,2,0),"")</f>
        <v>2 : 0</v>
      </c>
      <c r="AY49" s="158" t="str">
        <f ca="1">IFERROR(VLOOKUP($Q23&amp;AY$8,Calc2!$M$4:$N$763,2,0),"")</f>
        <v>1 : 2</v>
      </c>
      <c r="AZ49" s="158" t="str">
        <f ca="1">IFERROR(VLOOKUP($Q23&amp;AZ$8,Calc2!$M$4:$N$763,2,0),"")</f>
        <v/>
      </c>
      <c r="BA49" s="166" t="str">
        <f ca="1">IFERROR(VLOOKUP($Q23&amp;BA$8,Calc2!$M$4:$N$763,2,0),"")</f>
        <v/>
      </c>
      <c r="BB49" s="137"/>
    </row>
    <row r="50" spans="2:54" ht="15.95" customHeight="1" x14ac:dyDescent="0.2">
      <c r="B50" s="278" t="str">
        <f>IF(Calc!$F$26=0,"",IF(OR($C50&gt;Calc!$B$24,MOD($C50-1,Calc!$F$26)&gt;0),"",QUOTIENT($C50-1,Calc!$F$26)+1))</f>
        <v/>
      </c>
      <c r="C50" s="274">
        <v>42</v>
      </c>
      <c r="D50" s="154">
        <f>IF(Plan!$T48="","",Plan!$T48)</f>
        <v>45927</v>
      </c>
      <c r="E50" s="155">
        <f>IF(Plan!$U48="","",Plan!$U48)</f>
        <v>0.77083333333333337</v>
      </c>
      <c r="F50" s="175" t="str">
        <f>Plan!$Q48</f>
        <v>Borussia Mönchengladbach</v>
      </c>
      <c r="G50" s="176" t="s">
        <v>4</v>
      </c>
      <c r="H50" s="175" t="str">
        <f>Plan!$S48</f>
        <v>Eintracht Frankfurt</v>
      </c>
      <c r="I50" s="177">
        <v>4</v>
      </c>
      <c r="J50" s="178" t="str">
        <f>Language!$E$65</f>
        <v xml:space="preserve"> : </v>
      </c>
      <c r="K50" s="179">
        <v>6</v>
      </c>
      <c r="L50" s="383"/>
      <c r="M50" s="384"/>
      <c r="P50" s="137"/>
      <c r="Q50" s="213"/>
      <c r="R50" s="200"/>
      <c r="S50" s="200"/>
      <c r="T50" s="200"/>
      <c r="U50" s="200"/>
      <c r="V50" s="200"/>
      <c r="W50" s="200"/>
      <c r="X50" s="200"/>
      <c r="Y50" s="200"/>
      <c r="Z50" s="200"/>
      <c r="AA50" s="200"/>
      <c r="AB50" s="200"/>
      <c r="AC50" s="200"/>
      <c r="AD50" s="200"/>
      <c r="AE50" s="200"/>
      <c r="AF50" s="217">
        <f t="shared" ca="1" si="6"/>
        <v>16</v>
      </c>
      <c r="AG50" s="218" t="str">
        <f t="shared" ca="1" si="7"/>
        <v>VfL Wolfsburg</v>
      </c>
      <c r="AH50" s="164" t="str">
        <f ca="1">IFERROR(VLOOKUP($Q24&amp;AH$8,Calc2!$M$4:$N$763,2,0),"")</f>
        <v>0 : 1</v>
      </c>
      <c r="AI50" s="158" t="str">
        <f ca="1">IFERROR(VLOOKUP($Q24&amp;AI$8,Calc2!$M$4:$N$763,2,0),"")</f>
        <v>1 : 2</v>
      </c>
      <c r="AJ50" s="158" t="str">
        <f ca="1">IFERROR(VLOOKUP($Q24&amp;AJ$8,Calc2!$M$4:$N$763,2,0),"")</f>
        <v>2 : 2</v>
      </c>
      <c r="AK50" s="158" t="str">
        <f ca="1">IFERROR(VLOOKUP($Q24&amp;AK$8,Calc2!$M$4:$N$763,2,0),"")</f>
        <v>0 : 4</v>
      </c>
      <c r="AL50" s="158" t="str">
        <f ca="1">IFERROR(VLOOKUP($Q24&amp;AL$8,Calc2!$M$4:$N$763,2,0),"")</f>
        <v>1 : 1</v>
      </c>
      <c r="AM50" s="158" t="str">
        <f ca="1">IFERROR(VLOOKUP($Q24&amp;AM$8,Calc2!$M$4:$N$763,2,0),"")</f>
        <v>3 : 6</v>
      </c>
      <c r="AN50" s="158" t="str">
        <f ca="1">IFERROR(VLOOKUP($Q24&amp;AN$8,Calc2!$M$4:$N$763,2,0),"")</f>
        <v>1 : 1</v>
      </c>
      <c r="AO50" s="158" t="str">
        <f ca="1">IFERROR(VLOOKUP($Q24&amp;AO$8,Calc2!$M$4:$N$763,2,0),"")</f>
        <v>1 : 2</v>
      </c>
      <c r="AP50" s="158" t="str">
        <f ca="1">IFERROR(VLOOKUP($Q24&amp;AP$8,Calc2!$M$4:$N$763,2,0),"")</f>
        <v>2 : 3</v>
      </c>
      <c r="AQ50" s="158" t="str">
        <f ca="1">IFERROR(VLOOKUP($Q24&amp;AQ$8,Calc2!$M$4:$N$763,2,0),"")</f>
        <v>1 : 3</v>
      </c>
      <c r="AR50" s="158" t="str">
        <f ca="1">IFERROR(VLOOKUP($Q24&amp;AR$8,Calc2!$M$4:$N$763,2,0),"")</f>
        <v>2 : 1</v>
      </c>
      <c r="AS50" s="158" t="str">
        <f ca="1">IFERROR(VLOOKUP($Q24&amp;AS$8,Calc2!$M$4:$N$763,2,0),"")</f>
        <v>0 : 0</v>
      </c>
      <c r="AT50" s="158" t="str">
        <f ca="1">IFERROR(VLOOKUP($Q24&amp;AT$8,Calc2!$M$4:$N$763,2,0),"")</f>
        <v>1 : 2</v>
      </c>
      <c r="AU50" s="158" t="str">
        <f ca="1">IFERROR(VLOOKUP($Q24&amp;AU$8,Calc2!$M$4:$N$763,2,0),"")</f>
        <v>0 : 1</v>
      </c>
      <c r="AV50" s="158" t="str">
        <f ca="1">IFERROR(VLOOKUP($Q24&amp;AV$8,Calc2!$M$4:$N$763,2,0),"")</f>
        <v>0 : 1</v>
      </c>
      <c r="AW50" s="165"/>
      <c r="AX50" s="158" t="str">
        <f ca="1">IFERROR(VLOOKUP($Q24&amp;AX$8,Calc2!$M$4:$N$763,2,0),"")</f>
        <v>1 : 1</v>
      </c>
      <c r="AY50" s="158" t="str">
        <f ca="1">IFERROR(VLOOKUP($Q24&amp;AY$8,Calc2!$M$4:$N$763,2,0),"")</f>
        <v>3 : 1</v>
      </c>
      <c r="AZ50" s="158" t="str">
        <f ca="1">IFERROR(VLOOKUP($Q24&amp;AZ$8,Calc2!$M$4:$N$763,2,0),"")</f>
        <v/>
      </c>
      <c r="BA50" s="166" t="str">
        <f ca="1">IFERROR(VLOOKUP($Q24&amp;BA$8,Calc2!$M$4:$N$763,2,0),"")</f>
        <v/>
      </c>
      <c r="BB50" s="137"/>
    </row>
    <row r="51" spans="2:54" ht="15.95" customHeight="1" x14ac:dyDescent="0.2">
      <c r="B51" s="278" t="str">
        <f>IF(Calc!$F$26=0,"",IF(OR($C51&gt;Calc!$B$24,MOD($C51-1,Calc!$F$26)&gt;0),"",QUOTIENT($C51-1,Calc!$F$26)+1))</f>
        <v/>
      </c>
      <c r="C51" s="274">
        <v>43</v>
      </c>
      <c r="D51" s="154">
        <f>IF(Plan!$T49="","",Plan!$T49)</f>
        <v>45928</v>
      </c>
      <c r="E51" s="155">
        <f>IF(Plan!$U49="","",Plan!$U49)</f>
        <v>0.64583333333333337</v>
      </c>
      <c r="F51" s="175" t="str">
        <f>Plan!$Q49</f>
        <v>SC Freiburg</v>
      </c>
      <c r="G51" s="176" t="s">
        <v>4</v>
      </c>
      <c r="H51" s="175" t="str">
        <f>Plan!$S49</f>
        <v>TSG Hoffenheim</v>
      </c>
      <c r="I51" s="177">
        <v>1</v>
      </c>
      <c r="J51" s="178" t="str">
        <f>Language!$E$65</f>
        <v xml:space="preserve"> : </v>
      </c>
      <c r="K51" s="179">
        <v>1</v>
      </c>
      <c r="L51" s="383"/>
      <c r="M51" s="384"/>
      <c r="P51" s="137"/>
      <c r="Q51" s="213"/>
      <c r="R51" s="200"/>
      <c r="S51" s="200"/>
      <c r="T51" s="200"/>
      <c r="U51" s="200"/>
      <c r="V51" s="200"/>
      <c r="W51" s="200"/>
      <c r="X51" s="200"/>
      <c r="Y51" s="200"/>
      <c r="Z51" s="200"/>
      <c r="AA51" s="200"/>
      <c r="AB51" s="200"/>
      <c r="AC51" s="200"/>
      <c r="AD51" s="200"/>
      <c r="AE51" s="200"/>
      <c r="AF51" s="217">
        <f t="shared" ca="1" si="6"/>
        <v>17</v>
      </c>
      <c r="AG51" s="218" t="str">
        <f t="shared" ca="1" si="7"/>
        <v>1. FC Heidenheim 1846</v>
      </c>
      <c r="AH51" s="164" t="str">
        <f ca="1">IFERROR(VLOOKUP($Q25&amp;AH$8,Calc2!$M$4:$N$763,2,0),"")</f>
        <v>3 : 3</v>
      </c>
      <c r="AI51" s="158" t="str">
        <f ca="1">IFERROR(VLOOKUP($Q25&amp;AI$8,Calc2!$M$4:$N$763,2,0),"")</f>
        <v>2 : 3</v>
      </c>
      <c r="AJ51" s="158" t="str">
        <f ca="1">IFERROR(VLOOKUP($Q25&amp;AJ$8,Calc2!$M$4:$N$763,2,0),"")</f>
        <v>0 : 3</v>
      </c>
      <c r="AK51" s="158" t="str">
        <f ca="1">IFERROR(VLOOKUP($Q25&amp;AK$8,Calc2!$M$4:$N$763,2,0),"")</f>
        <v>3 : 3</v>
      </c>
      <c r="AL51" s="158" t="str">
        <f ca="1">IFERROR(VLOOKUP($Q25&amp;AL$8,Calc2!$M$4:$N$763,2,0),"")</f>
        <v>2 : 4</v>
      </c>
      <c r="AM51" s="158" t="str">
        <f ca="1">IFERROR(VLOOKUP($Q25&amp;AM$8,Calc2!$M$4:$N$763,2,0),"")</f>
        <v>3 : 3</v>
      </c>
      <c r="AN51" s="158" t="str">
        <f ca="1">IFERROR(VLOOKUP($Q25&amp;AN$8,Calc2!$M$4:$N$763,2,0),"")</f>
        <v>1 : 2</v>
      </c>
      <c r="AO51" s="158" t="str">
        <f ca="1">IFERROR(VLOOKUP($Q25&amp;AO$8,Calc2!$M$4:$N$763,2,0),"")</f>
        <v>0 : 1</v>
      </c>
      <c r="AP51" s="158" t="str">
        <f ca="1">IFERROR(VLOOKUP($Q25&amp;AP$8,Calc2!$M$4:$N$763,2,0),"")</f>
        <v>0 : 1</v>
      </c>
      <c r="AQ51" s="158" t="str">
        <f ca="1">IFERROR(VLOOKUP($Q25&amp;AQ$8,Calc2!$M$4:$N$763,2,0),"")</f>
        <v>0 : 2</v>
      </c>
      <c r="AR51" s="158" t="str">
        <f ca="1">IFERROR(VLOOKUP($Q25&amp;AR$8,Calc2!$M$4:$N$763,2,0),"")</f>
        <v>3 : 1</v>
      </c>
      <c r="AS51" s="158" t="str">
        <f ca="1">IFERROR(VLOOKUP($Q25&amp;AS$8,Calc2!$M$4:$N$763,2,0),"")</f>
        <v>2 : 2</v>
      </c>
      <c r="AT51" s="158" t="str">
        <f ca="1">IFERROR(VLOOKUP($Q25&amp;AT$8,Calc2!$M$4:$N$763,2,0),"")</f>
        <v>0 : 2</v>
      </c>
      <c r="AU51" s="158" t="str">
        <f ca="1">IFERROR(VLOOKUP($Q25&amp;AU$8,Calc2!$M$4:$N$763,2,0),"")</f>
        <v>3 : 1</v>
      </c>
      <c r="AV51" s="158" t="str">
        <f ca="1">IFERROR(VLOOKUP($Q25&amp;AV$8,Calc2!$M$4:$N$763,2,0),"")</f>
        <v>0 : 2</v>
      </c>
      <c r="AW51" s="158" t="str">
        <f ca="1">IFERROR(VLOOKUP($Q25&amp;AW$8,Calc2!$M$4:$N$763,2,0),"")</f>
        <v>1 : 1</v>
      </c>
      <c r="AX51" s="165"/>
      <c r="AY51" s="158" t="str">
        <f ca="1">IFERROR(VLOOKUP($Q25&amp;AY$8,Calc2!$M$4:$N$763,2,0),"")</f>
        <v>2 : 0</v>
      </c>
      <c r="AZ51" s="158" t="str">
        <f ca="1">IFERROR(VLOOKUP($Q25&amp;AZ$8,Calc2!$M$4:$N$763,2,0),"")</f>
        <v/>
      </c>
      <c r="BA51" s="166" t="str">
        <f ca="1">IFERROR(VLOOKUP($Q25&amp;BA$8,Calc2!$M$4:$N$763,2,0),"")</f>
        <v/>
      </c>
      <c r="BB51" s="137"/>
    </row>
    <row r="52" spans="2:54" ht="15.95" customHeight="1" x14ac:dyDescent="0.2">
      <c r="B52" s="278" t="str">
        <f>IF(Calc!$F$26=0,"",IF(OR($C52&gt;Calc!$B$24,MOD($C52-1,Calc!$F$26)&gt;0),"",QUOTIENT($C52-1,Calc!$F$26)+1))</f>
        <v/>
      </c>
      <c r="C52" s="274">
        <v>44</v>
      </c>
      <c r="D52" s="154">
        <f>IF(Plan!$T50="","",Plan!$T50)</f>
        <v>45928</v>
      </c>
      <c r="E52" s="155">
        <f>IF(Plan!$U50="","",Plan!$U50)</f>
        <v>0.72916666666666663</v>
      </c>
      <c r="F52" s="175" t="str">
        <f>Plan!$Q50</f>
        <v>1. FC Köln</v>
      </c>
      <c r="G52" s="176" t="s">
        <v>4</v>
      </c>
      <c r="H52" s="175" t="str">
        <f>Plan!$S50</f>
        <v>VfB Stuttgart</v>
      </c>
      <c r="I52" s="177">
        <v>1</v>
      </c>
      <c r="J52" s="178" t="str">
        <f>Language!$E$65</f>
        <v xml:space="preserve"> : </v>
      </c>
      <c r="K52" s="179">
        <v>2</v>
      </c>
      <c r="L52" s="383"/>
      <c r="M52" s="384"/>
      <c r="P52" s="137"/>
      <c r="Q52" s="213"/>
      <c r="R52" s="200"/>
      <c r="S52" s="200"/>
      <c r="T52" s="200"/>
      <c r="U52" s="200"/>
      <c r="V52" s="200"/>
      <c r="W52" s="200"/>
      <c r="X52" s="200"/>
      <c r="Y52" s="200"/>
      <c r="Z52" s="200"/>
      <c r="AA52" s="200"/>
      <c r="AB52" s="200"/>
      <c r="AC52" s="200"/>
      <c r="AD52" s="200"/>
      <c r="AE52" s="200"/>
      <c r="AF52" s="217">
        <f t="shared" ca="1" si="6"/>
        <v>18</v>
      </c>
      <c r="AG52" s="218" t="str">
        <f t="shared" ca="1" si="7"/>
        <v>FC St. Pauli</v>
      </c>
      <c r="AH52" s="164" t="str">
        <f ca="1">IFERROR(VLOOKUP($Q26&amp;AH$8,Calc2!$M$4:$N$763,2,0),"")</f>
        <v>0 : 5</v>
      </c>
      <c r="AI52" s="158" t="str">
        <f ca="1">IFERROR(VLOOKUP($Q26&amp;AI$8,Calc2!$M$4:$N$763,2,0),"")</f>
        <v>2 : 3</v>
      </c>
      <c r="AJ52" s="158" t="str">
        <f ca="1">IFERROR(VLOOKUP($Q26&amp;AJ$8,Calc2!$M$4:$N$763,2,0),"")</f>
        <v>1 : 2</v>
      </c>
      <c r="AK52" s="158" t="str">
        <f ca="1">IFERROR(VLOOKUP($Q26&amp;AK$8,Calc2!$M$4:$N$763,2,0),"")</f>
        <v>2 : 1</v>
      </c>
      <c r="AL52" s="158" t="str">
        <f ca="1">IFERROR(VLOOKUP($Q26&amp;AL$8,Calc2!$M$4:$N$763,2,0),"")</f>
        <v>1 : 0</v>
      </c>
      <c r="AM52" s="158" t="str">
        <f ca="1">IFERROR(VLOOKUP($Q26&amp;AM$8,Calc2!$M$4:$N$763,2,0),"")</f>
        <v>0 : 4</v>
      </c>
      <c r="AN52" s="158" t="str">
        <f ca="1">IFERROR(VLOOKUP($Q26&amp;AN$8,Calc2!$M$4:$N$763,2,0),"")</f>
        <v>1 : 2</v>
      </c>
      <c r="AO52" s="158" t="str">
        <f ca="1">IFERROR(VLOOKUP($Q26&amp;AO$8,Calc2!$M$4:$N$763,2,0),"")</f>
        <v>0 : 0</v>
      </c>
      <c r="AP52" s="158" t="str">
        <f ca="1">IFERROR(VLOOKUP($Q26&amp;AP$8,Calc2!$M$4:$N$763,2,0),"")</f>
        <v>1 : 2</v>
      </c>
      <c r="AQ52" s="158" t="str">
        <f ca="1">IFERROR(VLOOKUP($Q26&amp;AQ$8,Calc2!$M$4:$N$763,2,0),"")</f>
        <v>1 : 2</v>
      </c>
      <c r="AR52" s="158" t="str">
        <f ca="1">IFERROR(VLOOKUP($Q26&amp;AR$8,Calc2!$M$4:$N$763,2,0),"")</f>
        <v>1 : 1</v>
      </c>
      <c r="AS52" s="158" t="str">
        <f ca="1">IFERROR(VLOOKUP($Q26&amp;AS$8,Calc2!$M$4:$N$763,2,0),"")</f>
        <v>0 : 2</v>
      </c>
      <c r="AT52" s="158" t="str">
        <f ca="1">IFERROR(VLOOKUP($Q26&amp;AT$8,Calc2!$M$4:$N$763,2,0),"")</f>
        <v>0 : 0</v>
      </c>
      <c r="AU52" s="158" t="str">
        <f ca="1">IFERROR(VLOOKUP($Q26&amp;AU$8,Calc2!$M$4:$N$763,2,0),"")</f>
        <v>1 : 1</v>
      </c>
      <c r="AV52" s="158" t="str">
        <f ca="1">IFERROR(VLOOKUP($Q26&amp;AV$8,Calc2!$M$4:$N$763,2,0),"")</f>
        <v>2 : 1</v>
      </c>
      <c r="AW52" s="158" t="str">
        <f ca="1">IFERROR(VLOOKUP($Q26&amp;AW$8,Calc2!$M$4:$N$763,2,0),"")</f>
        <v>1 : 3</v>
      </c>
      <c r="AX52" s="158" t="str">
        <f ca="1">IFERROR(VLOOKUP($Q26&amp;AX$8,Calc2!$M$4:$N$763,2,0),"")</f>
        <v>0 : 2</v>
      </c>
      <c r="AY52" s="165"/>
      <c r="AZ52" s="158" t="str">
        <f ca="1">IFERROR(VLOOKUP($Q26&amp;AZ$8,Calc2!$M$4:$N$763,2,0),"")</f>
        <v/>
      </c>
      <c r="BA52" s="166" t="str">
        <f ca="1">IFERROR(VLOOKUP($Q26&amp;BA$8,Calc2!$M$4:$N$763,2,0),"")</f>
        <v/>
      </c>
      <c r="BB52" s="137"/>
    </row>
    <row r="53" spans="2:54" ht="15.95" customHeight="1" x14ac:dyDescent="0.2">
      <c r="B53" s="278" t="str">
        <f>IF(Calc!$F$26=0,"",IF(OR($C53&gt;Calc!$B$24,MOD($C53-1,Calc!$F$26)&gt;0),"",QUOTIENT($C53-1,Calc!$F$26)+1))</f>
        <v/>
      </c>
      <c r="C53" s="274">
        <v>45</v>
      </c>
      <c r="D53" s="154">
        <f>IF(Plan!$T51="","",Plan!$T51)</f>
        <v>45928</v>
      </c>
      <c r="E53" s="155">
        <f>IF(Plan!$U51="","",Plan!$U51)</f>
        <v>0.8125</v>
      </c>
      <c r="F53" s="175" t="str">
        <f>Plan!$Q51</f>
        <v>1. FC Union Berlin</v>
      </c>
      <c r="G53" s="176" t="s">
        <v>4</v>
      </c>
      <c r="H53" s="175" t="str">
        <f>Plan!$S51</f>
        <v>Hamburger SV</v>
      </c>
      <c r="I53" s="177">
        <v>0</v>
      </c>
      <c r="J53" s="178" t="str">
        <f>Language!$E$65</f>
        <v xml:space="preserve"> : </v>
      </c>
      <c r="K53" s="179">
        <v>0</v>
      </c>
      <c r="L53" s="383"/>
      <c r="M53" s="384"/>
      <c r="P53" s="137"/>
      <c r="Q53" s="213"/>
      <c r="R53" s="200"/>
      <c r="S53" s="200"/>
      <c r="T53" s="200"/>
      <c r="U53" s="200"/>
      <c r="V53" s="200"/>
      <c r="W53" s="200"/>
      <c r="X53" s="200"/>
      <c r="Y53" s="200"/>
      <c r="Z53" s="200"/>
      <c r="AA53" s="200"/>
      <c r="AB53" s="200"/>
      <c r="AC53" s="200"/>
      <c r="AD53" s="200"/>
      <c r="AE53" s="200"/>
      <c r="AF53" s="217">
        <f t="shared" ca="1" si="6"/>
        <v>19</v>
      </c>
      <c r="AG53" s="218" t="str">
        <f t="shared" ca="1" si="7"/>
        <v/>
      </c>
      <c r="AH53" s="164" t="str">
        <f ca="1">IFERROR(VLOOKUP($Q27&amp;AH$8,Calc2!$M$4:$N$763,2,0),"")</f>
        <v/>
      </c>
      <c r="AI53" s="158" t="str">
        <f ca="1">IFERROR(VLOOKUP($Q27&amp;AI$8,Calc2!$M$4:$N$763,2,0),"")</f>
        <v/>
      </c>
      <c r="AJ53" s="158" t="str">
        <f ca="1">IFERROR(VLOOKUP($Q27&amp;AJ$8,Calc2!$M$4:$N$763,2,0),"")</f>
        <v/>
      </c>
      <c r="AK53" s="158" t="str">
        <f ca="1">IFERROR(VLOOKUP($Q27&amp;AK$8,Calc2!$M$4:$N$763,2,0),"")</f>
        <v/>
      </c>
      <c r="AL53" s="158" t="str">
        <f ca="1">IFERROR(VLOOKUP($Q27&amp;AL$8,Calc2!$M$4:$N$763,2,0),"")</f>
        <v/>
      </c>
      <c r="AM53" s="158" t="str">
        <f ca="1">IFERROR(VLOOKUP($Q27&amp;AM$8,Calc2!$M$4:$N$763,2,0),"")</f>
        <v/>
      </c>
      <c r="AN53" s="158" t="str">
        <f ca="1">IFERROR(VLOOKUP($Q27&amp;AN$8,Calc2!$M$4:$N$763,2,0),"")</f>
        <v/>
      </c>
      <c r="AO53" s="158" t="str">
        <f ca="1">IFERROR(VLOOKUP($Q27&amp;AO$8,Calc2!$M$4:$N$763,2,0),"")</f>
        <v/>
      </c>
      <c r="AP53" s="158" t="str">
        <f ca="1">IFERROR(VLOOKUP($Q27&amp;AP$8,Calc2!$M$4:$N$763,2,0),"")</f>
        <v/>
      </c>
      <c r="AQ53" s="158" t="str">
        <f ca="1">IFERROR(VLOOKUP($Q27&amp;AQ$8,Calc2!$M$4:$N$763,2,0),"")</f>
        <v/>
      </c>
      <c r="AR53" s="158" t="str">
        <f ca="1">IFERROR(VLOOKUP($Q27&amp;AR$8,Calc2!$M$4:$N$763,2,0),"")</f>
        <v/>
      </c>
      <c r="AS53" s="158" t="str">
        <f ca="1">IFERROR(VLOOKUP($Q27&amp;AS$8,Calc2!$M$4:$N$763,2,0),"")</f>
        <v/>
      </c>
      <c r="AT53" s="158" t="str">
        <f ca="1">IFERROR(VLOOKUP($Q27&amp;AT$8,Calc2!$M$4:$N$763,2,0),"")</f>
        <v/>
      </c>
      <c r="AU53" s="158" t="str">
        <f ca="1">IFERROR(VLOOKUP($Q27&amp;AU$8,Calc2!$M$4:$N$763,2,0),"")</f>
        <v/>
      </c>
      <c r="AV53" s="158" t="str">
        <f ca="1">IFERROR(VLOOKUP($Q27&amp;AV$8,Calc2!$M$4:$N$763,2,0),"")</f>
        <v/>
      </c>
      <c r="AW53" s="158" t="str">
        <f ca="1">IFERROR(VLOOKUP($Q27&amp;AW$8,Calc2!$M$4:$N$763,2,0),"")</f>
        <v/>
      </c>
      <c r="AX53" s="158" t="str">
        <f ca="1">IFERROR(VLOOKUP($Q27&amp;AX$8,Calc2!$M$4:$N$763,2,0),"")</f>
        <v/>
      </c>
      <c r="AY53" s="158" t="str">
        <f ca="1">IFERROR(VLOOKUP($Q27&amp;AY$8,Calc2!$M$4:$N$763,2,0),"")</f>
        <v/>
      </c>
      <c r="AZ53" s="165"/>
      <c r="BA53" s="166" t="str">
        <f ca="1">IFERROR(VLOOKUP($Q27&amp;BA$8,Calc2!$M$4:$N$763,2,0),"")</f>
        <v/>
      </c>
      <c r="BB53" s="137"/>
    </row>
    <row r="54" spans="2:54" ht="15.95" customHeight="1" thickBot="1" x14ac:dyDescent="0.25">
      <c r="B54" s="278">
        <f>IF(Calc!$F$26=0,"",IF(OR($C54&gt;Calc!$B$24,MOD($C54-1,Calc!$F$26)&gt;0),"",QUOTIENT($C54-1,Calc!$F$26)+1))</f>
        <v>6</v>
      </c>
      <c r="C54" s="274">
        <v>46</v>
      </c>
      <c r="D54" s="154">
        <f>IF(Plan!$T52="","",Plan!$T52)</f>
        <v>45933</v>
      </c>
      <c r="E54" s="155">
        <f>IF(Plan!$U52="","",Plan!$U52)</f>
        <v>0.85416666666666663</v>
      </c>
      <c r="F54" s="175" t="str">
        <f>Plan!$Q52</f>
        <v>TSG Hoffenheim</v>
      </c>
      <c r="G54" s="176" t="s">
        <v>4</v>
      </c>
      <c r="H54" s="175" t="str">
        <f>Plan!$S52</f>
        <v>1. FC Köln</v>
      </c>
      <c r="I54" s="177">
        <v>0</v>
      </c>
      <c r="J54" s="178" t="str">
        <f>Language!$E$65</f>
        <v xml:space="preserve"> : </v>
      </c>
      <c r="K54" s="179">
        <v>1</v>
      </c>
      <c r="L54" s="383"/>
      <c r="M54" s="384"/>
      <c r="P54" s="138"/>
      <c r="Q54" s="213"/>
      <c r="R54" s="200"/>
      <c r="S54" s="200"/>
      <c r="T54" s="200"/>
      <c r="U54" s="200"/>
      <c r="V54" s="200"/>
      <c r="W54" s="200"/>
      <c r="X54" s="200"/>
      <c r="Y54" s="200"/>
      <c r="Z54" s="200"/>
      <c r="AA54" s="200"/>
      <c r="AB54" s="200"/>
      <c r="AC54" s="200"/>
      <c r="AD54" s="200"/>
      <c r="AE54" s="200"/>
      <c r="AF54" s="219">
        <f t="shared" ca="1" si="6"/>
        <v>19</v>
      </c>
      <c r="AG54" s="220" t="str">
        <f t="shared" ca="1" si="7"/>
        <v/>
      </c>
      <c r="AH54" s="173" t="str">
        <f ca="1">IFERROR(VLOOKUP($Q28&amp;AH$8,Calc2!$M$4:$N$763,2,0),"")</f>
        <v/>
      </c>
      <c r="AI54" s="167" t="str">
        <f ca="1">IFERROR(VLOOKUP($Q28&amp;AI$8,Calc2!$M$4:$N$763,2,0),"")</f>
        <v/>
      </c>
      <c r="AJ54" s="167" t="str">
        <f ca="1">IFERROR(VLOOKUP($Q28&amp;AJ$8,Calc2!$M$4:$N$763,2,0),"")</f>
        <v/>
      </c>
      <c r="AK54" s="167" t="str">
        <f ca="1">IFERROR(VLOOKUP($Q28&amp;AK$8,Calc2!$M$4:$N$763,2,0),"")</f>
        <v/>
      </c>
      <c r="AL54" s="167" t="str">
        <f ca="1">IFERROR(VLOOKUP($Q28&amp;AL$8,Calc2!$M$4:$N$763,2,0),"")</f>
        <v/>
      </c>
      <c r="AM54" s="167" t="str">
        <f ca="1">IFERROR(VLOOKUP($Q28&amp;AM$8,Calc2!$M$4:$N$763,2,0),"")</f>
        <v/>
      </c>
      <c r="AN54" s="167" t="str">
        <f ca="1">IFERROR(VLOOKUP($Q28&amp;AN$8,Calc2!$M$4:$N$763,2,0),"")</f>
        <v/>
      </c>
      <c r="AO54" s="167" t="str">
        <f ca="1">IFERROR(VLOOKUP($Q28&amp;AO$8,Calc2!$M$4:$N$763,2,0),"")</f>
        <v/>
      </c>
      <c r="AP54" s="167" t="str">
        <f ca="1">IFERROR(VLOOKUP($Q28&amp;AP$8,Calc2!$M$4:$N$763,2,0),"")</f>
        <v/>
      </c>
      <c r="AQ54" s="167" t="str">
        <f ca="1">IFERROR(VLOOKUP($Q28&amp;AQ$8,Calc2!$M$4:$N$763,2,0),"")</f>
        <v/>
      </c>
      <c r="AR54" s="167" t="str">
        <f ca="1">IFERROR(VLOOKUP($Q28&amp;AR$8,Calc2!$M$4:$N$763,2,0),"")</f>
        <v/>
      </c>
      <c r="AS54" s="167" t="str">
        <f ca="1">IFERROR(VLOOKUP($Q28&amp;AS$8,Calc2!$M$4:$N$763,2,0),"")</f>
        <v/>
      </c>
      <c r="AT54" s="167" t="str">
        <f ca="1">IFERROR(VLOOKUP($Q28&amp;AT$8,Calc2!$M$4:$N$763,2,0),"")</f>
        <v/>
      </c>
      <c r="AU54" s="167" t="str">
        <f ca="1">IFERROR(VLOOKUP($Q28&amp;AU$8,Calc2!$M$4:$N$763,2,0),"")</f>
        <v/>
      </c>
      <c r="AV54" s="167" t="str">
        <f ca="1">IFERROR(VLOOKUP($Q28&amp;AV$8,Calc2!$M$4:$N$763,2,0),"")</f>
        <v/>
      </c>
      <c r="AW54" s="167" t="str">
        <f ca="1">IFERROR(VLOOKUP($Q28&amp;AW$8,Calc2!$M$4:$N$763,2,0),"")</f>
        <v/>
      </c>
      <c r="AX54" s="167" t="str">
        <f ca="1">IFERROR(VLOOKUP($Q28&amp;AX$8,Calc2!$M$4:$N$763,2,0),"")</f>
        <v/>
      </c>
      <c r="AY54" s="167" t="str">
        <f ca="1">IFERROR(VLOOKUP($Q28&amp;AY$8,Calc2!$M$4:$N$763,2,0),"")</f>
        <v/>
      </c>
      <c r="AZ54" s="167" t="str">
        <f ca="1">IFERROR(VLOOKUP($Q28&amp;AZ$8,Calc2!$M$4:$N$763,2,0),"")</f>
        <v/>
      </c>
      <c r="BA54" s="174"/>
      <c r="BB54" s="137"/>
    </row>
    <row r="55" spans="2:54" ht="15.95" customHeight="1" x14ac:dyDescent="0.2">
      <c r="B55" s="278" t="str">
        <f>IF(Calc!$F$26=0,"",IF(OR($C55&gt;Calc!$B$24,MOD($C55-1,Calc!$F$26)&gt;0),"",QUOTIENT($C55-1,Calc!$F$26)+1))</f>
        <v/>
      </c>
      <c r="C55" s="274">
        <v>47</v>
      </c>
      <c r="D55" s="154">
        <f>IF(Plan!$T53="","",Plan!$T53)</f>
        <v>45934</v>
      </c>
      <c r="E55" s="155">
        <f>IF(Plan!$U53="","",Plan!$U53)</f>
        <v>0.64583333333333337</v>
      </c>
      <c r="F55" s="175" t="str">
        <f>Plan!$Q53</f>
        <v>SV Werder Bremen</v>
      </c>
      <c r="G55" s="176" t="s">
        <v>4</v>
      </c>
      <c r="H55" s="175" t="str">
        <f>Plan!$S53</f>
        <v>FC St. Pauli</v>
      </c>
      <c r="I55" s="177">
        <v>1</v>
      </c>
      <c r="J55" s="178" t="str">
        <f>Language!$E$65</f>
        <v xml:space="preserve"> : </v>
      </c>
      <c r="K55" s="179">
        <v>0</v>
      </c>
      <c r="L55" s="383"/>
      <c r="M55" s="384"/>
      <c r="P55" s="139"/>
      <c r="Q55" s="213"/>
      <c r="R55" s="200"/>
      <c r="S55" s="200"/>
      <c r="T55" s="200"/>
      <c r="U55" s="200"/>
      <c r="V55" s="200"/>
      <c r="W55" s="200"/>
      <c r="X55" s="200"/>
      <c r="Y55" s="200"/>
      <c r="Z55" s="200"/>
      <c r="AA55" s="200"/>
      <c r="AB55" s="200"/>
      <c r="AC55" s="200"/>
      <c r="AD55" s="200"/>
      <c r="AE55" s="200"/>
      <c r="BB55" s="140"/>
    </row>
    <row r="56" spans="2:54" ht="15.95" customHeight="1" x14ac:dyDescent="0.2">
      <c r="B56" s="278" t="str">
        <f>IF(Calc!$F$26=0,"",IF(OR($C56&gt;Calc!$B$24,MOD($C56-1,Calc!$F$26)&gt;0),"",QUOTIENT($C56-1,Calc!$F$26)+1))</f>
        <v/>
      </c>
      <c r="C56" s="274">
        <v>48</v>
      </c>
      <c r="D56" s="154">
        <f>IF(Plan!$T54="","",Plan!$T54)</f>
        <v>45934</v>
      </c>
      <c r="E56" s="155">
        <f>IF(Plan!$U54="","",Plan!$U54)</f>
        <v>0.64583333333333337</v>
      </c>
      <c r="F56" s="175" t="str">
        <f>Plan!$Q54</f>
        <v>FC Augsburg</v>
      </c>
      <c r="G56" s="176" t="s">
        <v>4</v>
      </c>
      <c r="H56" s="175" t="str">
        <f>Plan!$S54</f>
        <v>VfL Wolfsburg</v>
      </c>
      <c r="I56" s="177">
        <v>3</v>
      </c>
      <c r="J56" s="178" t="str">
        <f>Language!$E$65</f>
        <v xml:space="preserve"> : </v>
      </c>
      <c r="K56" s="179">
        <v>1</v>
      </c>
      <c r="L56" s="383"/>
      <c r="M56" s="384"/>
      <c r="P56" s="149"/>
      <c r="Q56" s="213"/>
      <c r="R56" s="200"/>
      <c r="S56" s="200"/>
      <c r="T56" s="200"/>
      <c r="U56" s="200"/>
      <c r="V56" s="200"/>
      <c r="W56" s="200"/>
      <c r="X56" s="200"/>
      <c r="Y56" s="200"/>
      <c r="Z56" s="200"/>
      <c r="AA56" s="200"/>
      <c r="AB56" s="200"/>
      <c r="AC56" s="200"/>
      <c r="AD56" s="200"/>
      <c r="AE56" s="200"/>
      <c r="BB56" s="140"/>
    </row>
    <row r="57" spans="2:54" ht="15.95" customHeight="1" x14ac:dyDescent="0.2">
      <c r="B57" s="278" t="str">
        <f>IF(Calc!$F$26=0,"",IF(OR($C57&gt;Calc!$B$24,MOD($C57-1,Calc!$F$26)&gt;0),"",QUOTIENT($C57-1,Calc!$F$26)+1))</f>
        <v/>
      </c>
      <c r="C57" s="274">
        <v>49</v>
      </c>
      <c r="D57" s="154">
        <f>IF(Plan!$T55="","",Plan!$T55)</f>
        <v>45934</v>
      </c>
      <c r="E57" s="155">
        <f>IF(Plan!$U55="","",Plan!$U55)</f>
        <v>0.64583333333333337</v>
      </c>
      <c r="F57" s="175" t="str">
        <f>Plan!$Q55</f>
        <v>Bayer 04 Leverkusen</v>
      </c>
      <c r="G57" s="176" t="s">
        <v>4</v>
      </c>
      <c r="H57" s="175" t="str">
        <f>Plan!$S55</f>
        <v>1. FC Union Berlin</v>
      </c>
      <c r="I57" s="177">
        <v>2</v>
      </c>
      <c r="J57" s="178" t="str">
        <f>Language!$E$65</f>
        <v xml:space="preserve"> : </v>
      </c>
      <c r="K57" s="179">
        <v>0</v>
      </c>
      <c r="L57" s="383"/>
      <c r="M57" s="384"/>
      <c r="P57" s="139"/>
      <c r="Q57" s="143"/>
      <c r="R57" s="144"/>
      <c r="S57" s="144"/>
      <c r="T57" s="144"/>
      <c r="U57" s="144"/>
      <c r="V57" s="145"/>
      <c r="W57" s="144"/>
      <c r="X57" s="143"/>
      <c r="Y57" s="144"/>
      <c r="Z57" s="146"/>
      <c r="AA57" s="371"/>
      <c r="AB57" s="409"/>
      <c r="AC57" s="144"/>
      <c r="AD57" s="146"/>
      <c r="AE57" s="409"/>
      <c r="AF57" s="146"/>
      <c r="AG57" s="144"/>
      <c r="AH57" s="144"/>
      <c r="AI57" s="144"/>
      <c r="AJ57" s="144"/>
      <c r="AK57" s="144"/>
      <c r="AL57" s="144"/>
      <c r="AM57" s="144"/>
      <c r="AN57" s="144"/>
      <c r="AO57" s="144"/>
      <c r="AP57" s="144"/>
      <c r="AQ57" s="144"/>
      <c r="AR57" s="144"/>
      <c r="AS57" s="144"/>
      <c r="AT57" s="144"/>
      <c r="AU57" s="144"/>
      <c r="AV57" s="144"/>
      <c r="AW57" s="144"/>
      <c r="AX57" s="144"/>
      <c r="AY57" s="144"/>
      <c r="AZ57" s="144"/>
      <c r="BA57" s="144"/>
      <c r="BB57" s="143"/>
    </row>
    <row r="58" spans="2:54" ht="15.95" customHeight="1" x14ac:dyDescent="0.2">
      <c r="B58" s="278" t="str">
        <f>IF(Calc!$F$26=0,"",IF(OR($C58&gt;Calc!$B$24,MOD($C58-1,Calc!$F$26)&gt;0),"",QUOTIENT($C58-1,Calc!$F$26)+1))</f>
        <v/>
      </c>
      <c r="C58" s="274">
        <v>50</v>
      </c>
      <c r="D58" s="154">
        <f>IF(Plan!$T56="","",Plan!$T56)</f>
        <v>45934</v>
      </c>
      <c r="E58" s="155">
        <f>IF(Plan!$U56="","",Plan!$U56)</f>
        <v>0.64583333333333337</v>
      </c>
      <c r="F58" s="175" t="str">
        <f>Plan!$Q56</f>
        <v>Borussia Dortmund</v>
      </c>
      <c r="G58" s="176" t="s">
        <v>4</v>
      </c>
      <c r="H58" s="175" t="str">
        <f>Plan!$S56</f>
        <v>RB Leipzig</v>
      </c>
      <c r="I58" s="177">
        <v>1</v>
      </c>
      <c r="J58" s="178" t="str">
        <f>Language!$E$65</f>
        <v xml:space="preserve"> : </v>
      </c>
      <c r="K58" s="179">
        <v>1</v>
      </c>
      <c r="L58" s="383"/>
      <c r="M58" s="384"/>
      <c r="P58" s="139"/>
      <c r="Q58" s="143"/>
      <c r="R58" s="144"/>
      <c r="S58" s="144"/>
      <c r="T58" s="144"/>
      <c r="U58" s="144"/>
      <c r="V58" s="145"/>
      <c r="W58" s="144"/>
      <c r="X58" s="143"/>
      <c r="Y58" s="144"/>
      <c r="Z58" s="146"/>
      <c r="AA58" s="371"/>
      <c r="AB58" s="409"/>
      <c r="AC58" s="144"/>
      <c r="AD58" s="146"/>
      <c r="AE58" s="409"/>
      <c r="AF58" s="146"/>
      <c r="AG58" s="144"/>
      <c r="AH58" s="144"/>
      <c r="AI58" s="144"/>
      <c r="AJ58" s="144"/>
      <c r="AK58" s="144"/>
      <c r="AL58" s="144"/>
      <c r="AM58" s="144"/>
      <c r="AN58" s="144"/>
      <c r="AO58" s="144"/>
      <c r="AP58" s="144"/>
      <c r="AQ58" s="144"/>
      <c r="AR58" s="144"/>
      <c r="AS58" s="144"/>
      <c r="AT58" s="144"/>
      <c r="AU58" s="144"/>
      <c r="AV58" s="144"/>
      <c r="AW58" s="144"/>
      <c r="AX58" s="144"/>
      <c r="AY58" s="144"/>
      <c r="AZ58" s="144"/>
      <c r="BA58" s="144"/>
      <c r="BB58" s="143"/>
    </row>
    <row r="59" spans="2:54" ht="15.95" customHeight="1" x14ac:dyDescent="0.2">
      <c r="B59" s="278" t="str">
        <f>IF(Calc!$F$26=0,"",IF(OR($C59&gt;Calc!$B$24,MOD($C59-1,Calc!$F$26)&gt;0),"",QUOTIENT($C59-1,Calc!$F$26)+1))</f>
        <v/>
      </c>
      <c r="C59" s="274">
        <v>51</v>
      </c>
      <c r="D59" s="154">
        <f>IF(Plan!$T57="","",Plan!$T57)</f>
        <v>45934</v>
      </c>
      <c r="E59" s="155">
        <f>IF(Plan!$U57="","",Plan!$U57)</f>
        <v>0.77083333333333337</v>
      </c>
      <c r="F59" s="175" t="str">
        <f>Plan!$Q57</f>
        <v>Eintracht Frankfurt</v>
      </c>
      <c r="G59" s="176" t="s">
        <v>4</v>
      </c>
      <c r="H59" s="175" t="str">
        <f>Plan!$S57</f>
        <v>FC Bayern München</v>
      </c>
      <c r="I59" s="177">
        <v>0</v>
      </c>
      <c r="J59" s="178" t="str">
        <f>Language!$E$65</f>
        <v xml:space="preserve"> : </v>
      </c>
      <c r="K59" s="179">
        <v>3</v>
      </c>
      <c r="L59" s="383"/>
      <c r="M59" s="384"/>
      <c r="P59" s="139"/>
      <c r="Q59" s="143"/>
      <c r="R59" s="144"/>
      <c r="S59" s="144"/>
      <c r="T59" s="144"/>
      <c r="U59" s="144"/>
      <c r="V59" s="145"/>
      <c r="W59" s="144"/>
      <c r="X59" s="143"/>
      <c r="Y59" s="144"/>
      <c r="Z59" s="146"/>
      <c r="AA59" s="371"/>
      <c r="AB59" s="409"/>
      <c r="AC59" s="144"/>
      <c r="AD59" s="146"/>
      <c r="AE59" s="409"/>
      <c r="AF59" s="146"/>
      <c r="AG59" s="144"/>
      <c r="AH59" s="144"/>
      <c r="AI59" s="144"/>
      <c r="AJ59" s="144"/>
      <c r="AK59" s="144"/>
      <c r="AL59" s="144"/>
      <c r="AM59" s="144"/>
      <c r="AN59" s="144"/>
      <c r="AO59" s="144"/>
      <c r="AP59" s="144"/>
      <c r="AQ59" s="144"/>
      <c r="AR59" s="144"/>
      <c r="AS59" s="144"/>
      <c r="AT59" s="144"/>
      <c r="AU59" s="144"/>
      <c r="AV59" s="144"/>
      <c r="AW59" s="144"/>
      <c r="AX59" s="144"/>
      <c r="AY59" s="144"/>
      <c r="AZ59" s="144"/>
      <c r="BA59" s="144"/>
      <c r="BB59" s="143"/>
    </row>
    <row r="60" spans="2:54" ht="15.95" customHeight="1" x14ac:dyDescent="0.2">
      <c r="B60" s="278" t="str">
        <f>IF(Calc!$F$26=0,"",IF(OR($C60&gt;Calc!$B$24,MOD($C60-1,Calc!$F$26)&gt;0),"",QUOTIENT($C60-1,Calc!$F$26)+1))</f>
        <v/>
      </c>
      <c r="C60" s="274">
        <v>52</v>
      </c>
      <c r="D60" s="154">
        <f>IF(Plan!$T58="","",Plan!$T58)</f>
        <v>45935</v>
      </c>
      <c r="E60" s="155">
        <f>IF(Plan!$U58="","",Plan!$U58)</f>
        <v>0.64583333333333337</v>
      </c>
      <c r="F60" s="175" t="str">
        <f>Plan!$Q58</f>
        <v>VfB Stuttgart</v>
      </c>
      <c r="G60" s="176" t="s">
        <v>4</v>
      </c>
      <c r="H60" s="175" t="str">
        <f>Plan!$S58</f>
        <v>1. FC Heidenheim 1846</v>
      </c>
      <c r="I60" s="177">
        <v>1</v>
      </c>
      <c r="J60" s="178" t="str">
        <f>Language!$E$65</f>
        <v xml:space="preserve"> : </v>
      </c>
      <c r="K60" s="179">
        <v>0</v>
      </c>
      <c r="L60" s="383"/>
      <c r="M60" s="384"/>
      <c r="P60" s="139"/>
      <c r="Q60" s="143"/>
      <c r="R60" s="144"/>
      <c r="S60" s="144"/>
      <c r="T60" s="144"/>
      <c r="U60" s="144"/>
      <c r="V60" s="145"/>
      <c r="W60" s="144"/>
      <c r="X60" s="143"/>
      <c r="Y60" s="144"/>
      <c r="Z60" s="146"/>
      <c r="AA60" s="371"/>
      <c r="AB60" s="409"/>
      <c r="AC60" s="144"/>
      <c r="AD60" s="146"/>
      <c r="AE60" s="409"/>
      <c r="AF60" s="146"/>
      <c r="AG60" s="144"/>
      <c r="AH60" s="144"/>
      <c r="AI60" s="144"/>
      <c r="AJ60" s="144"/>
      <c r="AK60" s="144"/>
      <c r="AL60" s="144"/>
      <c r="AM60" s="144"/>
      <c r="AN60" s="144"/>
      <c r="AO60" s="144"/>
      <c r="AP60" s="144"/>
      <c r="AQ60" s="144"/>
      <c r="AR60" s="144"/>
      <c r="AS60" s="144"/>
      <c r="AT60" s="144"/>
      <c r="AU60" s="144"/>
      <c r="AV60" s="144"/>
      <c r="AW60" s="144"/>
      <c r="AX60" s="144"/>
      <c r="AY60" s="144"/>
      <c r="AZ60" s="144"/>
      <c r="BA60" s="144"/>
      <c r="BB60" s="143"/>
    </row>
    <row r="61" spans="2:54" ht="15.95" customHeight="1" x14ac:dyDescent="0.2">
      <c r="B61" s="278" t="str">
        <f>IF(Calc!$F$26=0,"",IF(OR($C61&gt;Calc!$B$24,MOD($C61-1,Calc!$F$26)&gt;0),"",QUOTIENT($C61-1,Calc!$F$26)+1))</f>
        <v/>
      </c>
      <c r="C61" s="274">
        <v>53</v>
      </c>
      <c r="D61" s="154">
        <f>IF(Plan!$T59="","",Plan!$T59)</f>
        <v>45935</v>
      </c>
      <c r="E61" s="155">
        <f>IF(Plan!$U59="","",Plan!$U59)</f>
        <v>0.72916666666666663</v>
      </c>
      <c r="F61" s="175" t="str">
        <f>Plan!$Q59</f>
        <v>Hamburger SV</v>
      </c>
      <c r="G61" s="176" t="s">
        <v>4</v>
      </c>
      <c r="H61" s="175" t="str">
        <f>Plan!$S59</f>
        <v>1. FSV Mainz 05</v>
      </c>
      <c r="I61" s="177">
        <v>4</v>
      </c>
      <c r="J61" s="178" t="str">
        <f>Language!$E$65</f>
        <v xml:space="preserve"> : </v>
      </c>
      <c r="K61" s="179">
        <v>0</v>
      </c>
      <c r="L61" s="383"/>
      <c r="M61" s="384"/>
      <c r="P61" s="139"/>
      <c r="Q61" s="143"/>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144"/>
      <c r="AR61" s="144"/>
      <c r="AS61" s="144"/>
      <c r="AT61" s="144"/>
      <c r="AU61" s="144"/>
      <c r="AV61" s="144"/>
      <c r="AW61" s="144"/>
      <c r="AX61" s="144"/>
      <c r="AY61" s="144"/>
      <c r="AZ61" s="144"/>
      <c r="BA61" s="144"/>
      <c r="BB61" s="143"/>
    </row>
    <row r="62" spans="2:54" ht="15.95" customHeight="1" x14ac:dyDescent="0.2">
      <c r="B62" s="278" t="str">
        <f>IF(Calc!$F$26=0,"",IF(OR($C62&gt;Calc!$B$24,MOD($C62-1,Calc!$F$26)&gt;0),"",QUOTIENT($C62-1,Calc!$F$26)+1))</f>
        <v/>
      </c>
      <c r="C62" s="274">
        <v>54</v>
      </c>
      <c r="D62" s="154">
        <f>IF(Plan!$T60="","",Plan!$T60)</f>
        <v>45935</v>
      </c>
      <c r="E62" s="155">
        <f>IF(Plan!$U60="","",Plan!$U60)</f>
        <v>0.8125</v>
      </c>
      <c r="F62" s="175" t="str">
        <f>Plan!$Q60</f>
        <v>Borussia Mönchengladbach</v>
      </c>
      <c r="G62" s="176" t="s">
        <v>4</v>
      </c>
      <c r="H62" s="175" t="str">
        <f>Plan!$S60</f>
        <v>SC Freiburg</v>
      </c>
      <c r="I62" s="177">
        <v>0</v>
      </c>
      <c r="J62" s="178" t="str">
        <f>Language!$E$65</f>
        <v xml:space="preserve"> : </v>
      </c>
      <c r="K62" s="179">
        <v>0</v>
      </c>
      <c r="L62" s="383"/>
      <c r="M62" s="384"/>
      <c r="P62" s="139"/>
      <c r="Q62" s="137"/>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144"/>
      <c r="AR62" s="144"/>
      <c r="AS62" s="144"/>
      <c r="AT62" s="144"/>
      <c r="AU62" s="144"/>
      <c r="AV62" s="144"/>
      <c r="AW62" s="144"/>
      <c r="AX62" s="144"/>
      <c r="AY62" s="144"/>
      <c r="AZ62" s="144"/>
      <c r="BA62" s="144"/>
      <c r="BB62" s="143"/>
    </row>
    <row r="63" spans="2:54" ht="15.95" customHeight="1" x14ac:dyDescent="0.2">
      <c r="B63" s="278">
        <f>IF(Calc!$F$26=0,"",IF(OR($C63&gt;Calc!$B$24,MOD($C63-1,Calc!$F$26)&gt;0),"",QUOTIENT($C63-1,Calc!$F$26)+1))</f>
        <v>7</v>
      </c>
      <c r="C63" s="274">
        <v>55</v>
      </c>
      <c r="D63" s="154">
        <f>IF(Plan!$T61="","",Plan!$T61)</f>
        <v>45947</v>
      </c>
      <c r="E63" s="155">
        <f>IF(Plan!$U61="","",Plan!$U61)</f>
        <v>0.85416666666666663</v>
      </c>
      <c r="F63" s="175" t="str">
        <f>Plan!$Q61</f>
        <v>1. FC Union Berlin</v>
      </c>
      <c r="G63" s="176" t="s">
        <v>4</v>
      </c>
      <c r="H63" s="175" t="str">
        <f>Plan!$S61</f>
        <v>Borussia Mönchengladbach</v>
      </c>
      <c r="I63" s="177">
        <v>3</v>
      </c>
      <c r="J63" s="178" t="str">
        <f>Language!$E$65</f>
        <v xml:space="preserve"> : </v>
      </c>
      <c r="K63" s="179">
        <v>1</v>
      </c>
      <c r="L63" s="383"/>
      <c r="M63" s="384"/>
      <c r="P63" s="139"/>
      <c r="Q63" s="140"/>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144"/>
      <c r="AR63" s="144"/>
      <c r="AS63" s="144"/>
      <c r="AT63" s="144"/>
      <c r="AU63" s="144"/>
      <c r="AV63" s="144"/>
      <c r="AW63" s="144"/>
      <c r="AX63" s="144"/>
      <c r="AY63" s="144"/>
      <c r="AZ63" s="144"/>
      <c r="BA63" s="144"/>
      <c r="BB63" s="143"/>
    </row>
    <row r="64" spans="2:54" ht="15.95" customHeight="1" x14ac:dyDescent="0.2">
      <c r="B64" s="278" t="str">
        <f>IF(Calc!$F$26=0,"",IF(OR($C64&gt;Calc!$B$24,MOD($C64-1,Calc!$F$26)&gt;0),"",QUOTIENT($C64-1,Calc!$F$26)+1))</f>
        <v/>
      </c>
      <c r="C64" s="274">
        <v>56</v>
      </c>
      <c r="D64" s="154">
        <f>IF(Plan!$T62="","",Plan!$T62)</f>
        <v>45948</v>
      </c>
      <c r="E64" s="155">
        <f>IF(Plan!$U62="","",Plan!$U62)</f>
        <v>0.64583333333333337</v>
      </c>
      <c r="F64" s="175" t="str">
        <f>Plan!$Q62</f>
        <v>1. FC Heidenheim 1846</v>
      </c>
      <c r="G64" s="176" t="s">
        <v>4</v>
      </c>
      <c r="H64" s="175" t="str">
        <f>Plan!$S62</f>
        <v>SV Werder Bremen</v>
      </c>
      <c r="I64" s="177">
        <v>2</v>
      </c>
      <c r="J64" s="178" t="str">
        <f>Language!$E$65</f>
        <v xml:space="preserve"> : </v>
      </c>
      <c r="K64" s="179">
        <v>2</v>
      </c>
      <c r="L64" s="383"/>
      <c r="M64" s="384"/>
      <c r="P64" s="139"/>
      <c r="Q64" s="140"/>
      <c r="R64" s="142"/>
      <c r="S64" s="142"/>
      <c r="T64" s="142"/>
      <c r="U64" s="142"/>
      <c r="V64" s="142"/>
      <c r="W64" s="142"/>
      <c r="X64" s="142"/>
      <c r="Y64" s="142"/>
      <c r="Z64" s="142"/>
      <c r="AA64" s="142"/>
      <c r="AB64" s="142"/>
      <c r="AC64" s="264"/>
      <c r="AD64" s="142"/>
      <c r="AE64" s="142"/>
      <c r="AF64" s="142"/>
      <c r="AG64" s="142"/>
      <c r="AH64" s="142"/>
      <c r="AI64" s="142"/>
      <c r="AJ64" s="142"/>
      <c r="AK64" s="142"/>
      <c r="AL64" s="142"/>
      <c r="AM64" s="142"/>
      <c r="AN64" s="142"/>
      <c r="AO64" s="142"/>
      <c r="AP64" s="142"/>
      <c r="AQ64" s="144"/>
      <c r="AR64" s="144"/>
      <c r="AS64" s="144"/>
      <c r="AT64" s="144"/>
      <c r="AU64" s="144"/>
      <c r="AV64" s="144"/>
      <c r="AW64" s="144"/>
      <c r="AX64" s="144"/>
      <c r="AY64" s="144"/>
      <c r="AZ64" s="144"/>
      <c r="BA64" s="144"/>
      <c r="BB64" s="143"/>
    </row>
    <row r="65" spans="2:54" ht="15.95" customHeight="1" x14ac:dyDescent="0.2">
      <c r="B65" s="278" t="str">
        <f>IF(Calc!$F$26=0,"",IF(OR($C65&gt;Calc!$B$24,MOD($C65-1,Calc!$F$26)&gt;0),"",QUOTIENT($C65-1,Calc!$F$26)+1))</f>
        <v/>
      </c>
      <c r="C65" s="274">
        <v>57</v>
      </c>
      <c r="D65" s="154">
        <f>IF(Plan!$T63="","",Plan!$T63)</f>
        <v>45948</v>
      </c>
      <c r="E65" s="155">
        <f>IF(Plan!$U63="","",Plan!$U63)</f>
        <v>0.64583333333333337</v>
      </c>
      <c r="F65" s="175" t="str">
        <f>Plan!$Q63</f>
        <v>1. FC Köln</v>
      </c>
      <c r="G65" s="176" t="s">
        <v>4</v>
      </c>
      <c r="H65" s="175" t="str">
        <f>Plan!$S63</f>
        <v>FC Augsburg</v>
      </c>
      <c r="I65" s="177">
        <v>1</v>
      </c>
      <c r="J65" s="178" t="str">
        <f>Language!$E$65</f>
        <v xml:space="preserve"> : </v>
      </c>
      <c r="K65" s="179">
        <v>1</v>
      </c>
      <c r="L65" s="383"/>
      <c r="M65" s="384"/>
      <c r="P65" s="139"/>
      <c r="Q65" s="213"/>
      <c r="R65" s="200"/>
      <c r="S65" s="200"/>
      <c r="T65" s="200"/>
      <c r="U65" s="200"/>
      <c r="V65" s="200"/>
      <c r="W65" s="200"/>
      <c r="X65" s="200"/>
      <c r="Y65" s="200"/>
      <c r="Z65" s="200"/>
      <c r="AA65" s="200"/>
      <c r="AB65" s="200"/>
      <c r="AC65" s="200"/>
      <c r="AD65" s="200"/>
      <c r="AE65" s="200"/>
      <c r="AF65" s="200"/>
      <c r="AG65" s="200"/>
      <c r="AH65" s="200"/>
      <c r="AI65" s="200"/>
      <c r="AJ65" s="200"/>
      <c r="AK65" s="200"/>
      <c r="AL65" s="200"/>
      <c r="AM65" s="200"/>
      <c r="AN65" s="200"/>
      <c r="AO65" s="200"/>
      <c r="AP65" s="200"/>
      <c r="AQ65" s="144"/>
      <c r="AR65" s="144"/>
      <c r="AS65" s="144"/>
      <c r="AT65" s="144"/>
      <c r="AU65" s="144"/>
      <c r="AV65" s="144"/>
      <c r="AW65" s="144"/>
      <c r="AX65" s="144"/>
      <c r="AY65" s="144"/>
      <c r="AZ65" s="144"/>
      <c r="BA65" s="144"/>
      <c r="BB65" s="143"/>
    </row>
    <row r="66" spans="2:54" ht="15.95" customHeight="1" x14ac:dyDescent="0.4">
      <c r="B66" s="278" t="str">
        <f>IF(Calc!$F$26=0,"",IF(OR($C66&gt;Calc!$B$24,MOD($C66-1,Calc!$F$26)&gt;0),"",QUOTIENT($C66-1,Calc!$F$26)+1))</f>
        <v/>
      </c>
      <c r="C66" s="274">
        <v>58</v>
      </c>
      <c r="D66" s="154">
        <f>IF(Plan!$T64="","",Plan!$T64)</f>
        <v>45948</v>
      </c>
      <c r="E66" s="155">
        <f>IF(Plan!$U64="","",Plan!$U64)</f>
        <v>0.64583333333333337</v>
      </c>
      <c r="F66" s="175" t="str">
        <f>Plan!$Q64</f>
        <v>VfL Wolfsburg</v>
      </c>
      <c r="G66" s="176" t="s">
        <v>4</v>
      </c>
      <c r="H66" s="175" t="str">
        <f>Plan!$S64</f>
        <v>VfB Stuttgart</v>
      </c>
      <c r="I66" s="177">
        <v>0</v>
      </c>
      <c r="J66" s="178" t="str">
        <f>Language!$E$65</f>
        <v xml:space="preserve"> : </v>
      </c>
      <c r="K66" s="179">
        <v>3</v>
      </c>
      <c r="L66" s="383"/>
      <c r="M66" s="384"/>
      <c r="P66" s="137"/>
      <c r="Q66" s="213"/>
      <c r="R66" s="200"/>
      <c r="S66" s="200"/>
      <c r="T66" s="200"/>
      <c r="U66" s="200"/>
      <c r="V66" s="200"/>
      <c r="W66" s="200"/>
      <c r="X66" s="200"/>
      <c r="Y66" s="200"/>
      <c r="Z66" s="200"/>
      <c r="AA66" s="200"/>
      <c r="AB66" s="200"/>
      <c r="AC66" s="200"/>
      <c r="AD66" s="200"/>
      <c r="AE66" s="200"/>
      <c r="AF66" s="200"/>
      <c r="AG66" s="200"/>
      <c r="AH66" s="200"/>
      <c r="AI66" s="200"/>
      <c r="AJ66" s="200"/>
      <c r="AK66" s="200"/>
      <c r="AL66" s="200"/>
      <c r="AM66" s="200"/>
      <c r="AN66" s="200"/>
      <c r="AO66" s="200"/>
      <c r="AP66" s="200"/>
      <c r="AQ66" s="147"/>
      <c r="AR66" s="147"/>
      <c r="AS66" s="147"/>
      <c r="AT66" s="147"/>
      <c r="AU66" s="147"/>
      <c r="AV66" s="147"/>
      <c r="AW66" s="147"/>
      <c r="AX66" s="147"/>
      <c r="AY66" s="147"/>
      <c r="AZ66" s="147"/>
      <c r="BA66" s="147"/>
      <c r="BB66" s="137"/>
    </row>
    <row r="67" spans="2:54" ht="15.95" customHeight="1" x14ac:dyDescent="0.2">
      <c r="B67" s="278" t="str">
        <f>IF(Calc!$F$26=0,"",IF(OR($C67&gt;Calc!$B$24,MOD($C67-1,Calc!$F$26)&gt;0),"",QUOTIENT($C67-1,Calc!$F$26)+1))</f>
        <v/>
      </c>
      <c r="C67" s="274">
        <v>59</v>
      </c>
      <c r="D67" s="154">
        <f>IF(Plan!$T65="","",Plan!$T65)</f>
        <v>45948</v>
      </c>
      <c r="E67" s="155">
        <f>IF(Plan!$U65="","",Plan!$U65)</f>
        <v>0.64583333333333337</v>
      </c>
      <c r="F67" s="175" t="str">
        <f>Plan!$Q65</f>
        <v>1. FSV Mainz 05</v>
      </c>
      <c r="G67" s="176" t="s">
        <v>4</v>
      </c>
      <c r="H67" s="175" t="str">
        <f>Plan!$S65</f>
        <v>Bayer 04 Leverkusen</v>
      </c>
      <c r="I67" s="177">
        <v>3</v>
      </c>
      <c r="J67" s="178" t="str">
        <f>Language!$E$65</f>
        <v xml:space="preserve"> : </v>
      </c>
      <c r="K67" s="179">
        <v>4</v>
      </c>
      <c r="L67" s="383"/>
      <c r="M67" s="384"/>
      <c r="P67" s="137"/>
      <c r="Q67" s="213"/>
      <c r="R67" s="200"/>
      <c r="S67" s="200"/>
      <c r="T67" s="200"/>
      <c r="U67" s="200"/>
      <c r="V67" s="200"/>
      <c r="W67" s="200"/>
      <c r="X67" s="200"/>
      <c r="Y67" s="200"/>
      <c r="Z67" s="200"/>
      <c r="AA67" s="200"/>
      <c r="AB67" s="200"/>
      <c r="AC67" s="200"/>
      <c r="AD67" s="200"/>
      <c r="AE67" s="200"/>
      <c r="AF67" s="200"/>
      <c r="AG67" s="200"/>
      <c r="AH67" s="200"/>
      <c r="AI67" s="200"/>
      <c r="AJ67" s="200"/>
      <c r="AK67" s="200"/>
      <c r="AL67" s="200"/>
      <c r="AM67" s="200"/>
      <c r="AN67" s="200"/>
      <c r="AO67" s="200"/>
      <c r="AP67" s="200"/>
      <c r="AQ67" s="137"/>
      <c r="AR67" s="137"/>
      <c r="AS67" s="137"/>
      <c r="AT67" s="137"/>
      <c r="AU67" s="137"/>
      <c r="AV67" s="137"/>
      <c r="AW67" s="137"/>
      <c r="AX67" s="137"/>
      <c r="AY67" s="137"/>
      <c r="AZ67" s="137"/>
      <c r="BA67" s="137"/>
      <c r="BB67" s="137"/>
    </row>
    <row r="68" spans="2:54" ht="15.95" customHeight="1" x14ac:dyDescent="0.2">
      <c r="B68" s="278" t="str">
        <f>IF(Calc!$F$26=0,"",IF(OR($C68&gt;Calc!$B$24,MOD($C68-1,Calc!$F$26)&gt;0),"",QUOTIENT($C68-1,Calc!$F$26)+1))</f>
        <v/>
      </c>
      <c r="C68" s="274">
        <v>60</v>
      </c>
      <c r="D68" s="154">
        <f>IF(Plan!$T66="","",Plan!$T66)</f>
        <v>45948</v>
      </c>
      <c r="E68" s="155">
        <f>IF(Plan!$U66="","",Plan!$U66)</f>
        <v>0.64583333333333337</v>
      </c>
      <c r="F68" s="175" t="str">
        <f>Plan!$Q66</f>
        <v>RB Leipzig</v>
      </c>
      <c r="G68" s="176" t="s">
        <v>4</v>
      </c>
      <c r="H68" s="175" t="str">
        <f>Plan!$S66</f>
        <v>Hamburger SV</v>
      </c>
      <c r="I68" s="177">
        <v>2</v>
      </c>
      <c r="J68" s="178" t="str">
        <f>Language!$E$65</f>
        <v xml:space="preserve"> : </v>
      </c>
      <c r="K68" s="179">
        <v>1</v>
      </c>
      <c r="L68" s="383"/>
      <c r="M68" s="384"/>
      <c r="P68" s="137"/>
      <c r="Q68" s="213"/>
      <c r="R68" s="200"/>
      <c r="S68" s="200"/>
      <c r="T68" s="200"/>
      <c r="U68" s="200"/>
      <c r="V68" s="200"/>
      <c r="W68" s="200"/>
      <c r="X68" s="200"/>
      <c r="Y68" s="200"/>
      <c r="Z68" s="200"/>
      <c r="AA68" s="200"/>
      <c r="AB68" s="200"/>
      <c r="AC68" s="200"/>
      <c r="AD68" s="200"/>
      <c r="AE68" s="200"/>
      <c r="AF68" s="200"/>
      <c r="AG68" s="200"/>
      <c r="AH68" s="200"/>
      <c r="AI68" s="200"/>
      <c r="AJ68" s="200"/>
      <c r="AK68" s="200"/>
      <c r="AL68" s="200"/>
      <c r="AM68" s="200"/>
      <c r="AN68" s="200"/>
      <c r="AO68" s="200"/>
      <c r="AP68" s="200"/>
      <c r="AQ68" s="137"/>
      <c r="AR68" s="137"/>
      <c r="AS68" s="137"/>
      <c r="AT68" s="137"/>
      <c r="AU68" s="137"/>
      <c r="AV68" s="137"/>
      <c r="AW68" s="137"/>
      <c r="AX68" s="137"/>
      <c r="AY68" s="137"/>
      <c r="AZ68" s="137"/>
      <c r="BA68" s="137"/>
      <c r="BB68" s="137"/>
    </row>
    <row r="69" spans="2:54" ht="15.95" customHeight="1" x14ac:dyDescent="0.2">
      <c r="B69" s="278" t="str">
        <f>IF(Calc!$F$26=0,"",IF(OR($C69&gt;Calc!$B$24,MOD($C69-1,Calc!$F$26)&gt;0),"",QUOTIENT($C69-1,Calc!$F$26)+1))</f>
        <v/>
      </c>
      <c r="C69" s="274">
        <v>61</v>
      </c>
      <c r="D69" s="154">
        <f>IF(Plan!$T67="","",Plan!$T67)</f>
        <v>45948</v>
      </c>
      <c r="E69" s="155">
        <f>IF(Plan!$U67="","",Plan!$U67)</f>
        <v>0.77083333333333337</v>
      </c>
      <c r="F69" s="175" t="str">
        <f>Plan!$Q67</f>
        <v>FC Bayern München</v>
      </c>
      <c r="G69" s="176" t="s">
        <v>4</v>
      </c>
      <c r="H69" s="175" t="str">
        <f>Plan!$S67</f>
        <v>Borussia Dortmund</v>
      </c>
      <c r="I69" s="177">
        <v>2</v>
      </c>
      <c r="J69" s="178" t="str">
        <f>Language!$E$65</f>
        <v xml:space="preserve"> : </v>
      </c>
      <c r="K69" s="179">
        <v>1</v>
      </c>
      <c r="L69" s="383"/>
      <c r="M69" s="384"/>
      <c r="P69" s="137"/>
      <c r="Q69" s="213"/>
      <c r="R69" s="200"/>
      <c r="S69" s="200"/>
      <c r="T69" s="200"/>
      <c r="U69" s="200"/>
      <c r="V69" s="200"/>
      <c r="W69" s="200"/>
      <c r="X69" s="200"/>
      <c r="Y69" s="200"/>
      <c r="Z69" s="200"/>
      <c r="AA69" s="200"/>
      <c r="AB69" s="200"/>
      <c r="AC69" s="200"/>
      <c r="AD69" s="200"/>
      <c r="AE69" s="200"/>
      <c r="AF69" s="200"/>
      <c r="AG69" s="200"/>
      <c r="AH69" s="200"/>
      <c r="AI69" s="200"/>
      <c r="AJ69" s="200"/>
      <c r="AK69" s="200"/>
      <c r="AL69" s="200"/>
      <c r="AM69" s="200"/>
      <c r="AN69" s="200"/>
      <c r="AO69" s="200"/>
      <c r="AP69" s="200"/>
      <c r="AQ69" s="137"/>
      <c r="AR69" s="137"/>
      <c r="AS69" s="137"/>
      <c r="AT69" s="137"/>
      <c r="AU69" s="137"/>
      <c r="AV69" s="137"/>
      <c r="AW69" s="137"/>
      <c r="AX69" s="137"/>
      <c r="AY69" s="137"/>
      <c r="AZ69" s="137"/>
      <c r="BA69" s="137"/>
      <c r="BB69" s="137"/>
    </row>
    <row r="70" spans="2:54" ht="15.95" customHeight="1" x14ac:dyDescent="0.2">
      <c r="B70" s="278" t="str">
        <f>IF(Calc!$F$26=0,"",IF(OR($C70&gt;Calc!$B$24,MOD($C70-1,Calc!$F$26)&gt;0),"",QUOTIENT($C70-1,Calc!$F$26)+1))</f>
        <v/>
      </c>
      <c r="C70" s="274">
        <v>62</v>
      </c>
      <c r="D70" s="154">
        <f>IF(Plan!$T68="","",Plan!$T68)</f>
        <v>45949</v>
      </c>
      <c r="E70" s="155">
        <f>IF(Plan!$U68="","",Plan!$U68)</f>
        <v>0.64583333333333337</v>
      </c>
      <c r="F70" s="175" t="str">
        <f>Plan!$Q68</f>
        <v>SC Freiburg</v>
      </c>
      <c r="G70" s="176" t="s">
        <v>4</v>
      </c>
      <c r="H70" s="175" t="str">
        <f>Plan!$S68</f>
        <v>Eintracht Frankfurt</v>
      </c>
      <c r="I70" s="177">
        <v>2</v>
      </c>
      <c r="J70" s="178" t="str">
        <f>Language!$E$65</f>
        <v xml:space="preserve"> : </v>
      </c>
      <c r="K70" s="179">
        <v>2</v>
      </c>
      <c r="L70" s="383"/>
      <c r="M70" s="384"/>
      <c r="P70" s="137"/>
      <c r="Q70" s="213"/>
      <c r="R70" s="200"/>
      <c r="S70" s="200"/>
      <c r="T70" s="200"/>
      <c r="U70" s="200"/>
      <c r="V70" s="200"/>
      <c r="W70" s="200"/>
      <c r="X70" s="200"/>
      <c r="Y70" s="200"/>
      <c r="Z70" s="200"/>
      <c r="AA70" s="200"/>
      <c r="AB70" s="200"/>
      <c r="AC70" s="200"/>
      <c r="AD70" s="200"/>
      <c r="AE70" s="200"/>
      <c r="AF70" s="200"/>
      <c r="AG70" s="200"/>
      <c r="AH70" s="200"/>
      <c r="AI70" s="200"/>
      <c r="AJ70" s="200"/>
      <c r="AK70" s="200"/>
      <c r="AL70" s="200"/>
      <c r="AM70" s="200"/>
      <c r="AN70" s="200"/>
      <c r="AO70" s="200"/>
      <c r="AP70" s="200"/>
      <c r="AQ70" s="137"/>
      <c r="AR70" s="137"/>
      <c r="AS70" s="137"/>
      <c r="AT70" s="137"/>
      <c r="AU70" s="137"/>
      <c r="AV70" s="137"/>
      <c r="AW70" s="137"/>
      <c r="AX70" s="137"/>
      <c r="AY70" s="137"/>
      <c r="AZ70" s="137"/>
      <c r="BA70" s="137"/>
      <c r="BB70" s="137"/>
    </row>
    <row r="71" spans="2:54" ht="15.95" customHeight="1" x14ac:dyDescent="0.2">
      <c r="B71" s="278" t="str">
        <f>IF(Calc!$F$26=0,"",IF(OR($C71&gt;Calc!$B$24,MOD($C71-1,Calc!$F$26)&gt;0),"",QUOTIENT($C71-1,Calc!$F$26)+1))</f>
        <v/>
      </c>
      <c r="C71" s="274">
        <v>63</v>
      </c>
      <c r="D71" s="154">
        <f>IF(Plan!$T69="","",Plan!$T69)</f>
        <v>45949</v>
      </c>
      <c r="E71" s="155">
        <f>IF(Plan!$U69="","",Plan!$U69)</f>
        <v>0.72916666666666663</v>
      </c>
      <c r="F71" s="175" t="str">
        <f>Plan!$Q69</f>
        <v>FC St. Pauli</v>
      </c>
      <c r="G71" s="176" t="s">
        <v>4</v>
      </c>
      <c r="H71" s="175" t="str">
        <f>Plan!$S69</f>
        <v>TSG Hoffenheim</v>
      </c>
      <c r="I71" s="177">
        <v>0</v>
      </c>
      <c r="J71" s="178" t="str">
        <f>Language!$E$65</f>
        <v xml:space="preserve"> : </v>
      </c>
      <c r="K71" s="179">
        <v>3</v>
      </c>
      <c r="L71" s="383"/>
      <c r="M71" s="384"/>
      <c r="P71" s="137"/>
      <c r="Q71" s="213"/>
      <c r="R71" s="200"/>
      <c r="S71" s="200"/>
      <c r="T71" s="200"/>
      <c r="U71" s="200"/>
      <c r="V71" s="200"/>
      <c r="W71" s="200"/>
      <c r="X71" s="200"/>
      <c r="Y71" s="200"/>
      <c r="Z71" s="200"/>
      <c r="AA71" s="200"/>
      <c r="AB71" s="200"/>
      <c r="AC71" s="200"/>
      <c r="AD71" s="200"/>
      <c r="AE71" s="200"/>
      <c r="AF71" s="200"/>
      <c r="AG71" s="200"/>
      <c r="AH71" s="200"/>
      <c r="AI71" s="200"/>
      <c r="AJ71" s="200"/>
      <c r="AK71" s="200"/>
      <c r="AL71" s="200"/>
      <c r="AM71" s="200"/>
      <c r="AN71" s="200"/>
      <c r="AO71" s="200"/>
      <c r="AP71" s="200"/>
      <c r="AQ71" s="137"/>
      <c r="AR71" s="137"/>
      <c r="AS71" s="137"/>
      <c r="AT71" s="137"/>
      <c r="AU71" s="137"/>
      <c r="AV71" s="137"/>
      <c r="AW71" s="137"/>
      <c r="AX71" s="137"/>
      <c r="AY71" s="137"/>
      <c r="AZ71" s="137"/>
      <c r="BA71" s="137"/>
      <c r="BB71" s="137"/>
    </row>
    <row r="72" spans="2:54" ht="15.95" customHeight="1" x14ac:dyDescent="0.2">
      <c r="B72" s="278">
        <f>IF(Calc!$F$26=0,"",IF(OR($C72&gt;Calc!$B$24,MOD($C72-1,Calc!$F$26)&gt;0),"",QUOTIENT($C72-1,Calc!$F$26)+1))</f>
        <v>8</v>
      </c>
      <c r="C72" s="274">
        <v>64</v>
      </c>
      <c r="D72" s="154">
        <f>IF(Plan!$T70="","",Plan!$T70)</f>
        <v>45954</v>
      </c>
      <c r="E72" s="155">
        <f>IF(Plan!$U70="","",Plan!$U70)</f>
        <v>0.85416666666666663</v>
      </c>
      <c r="F72" s="175" t="str">
        <f>Plan!$Q70</f>
        <v>SV Werder Bremen</v>
      </c>
      <c r="G72" s="176" t="s">
        <v>4</v>
      </c>
      <c r="H72" s="175" t="str">
        <f>Plan!$S70</f>
        <v>1. FC Union Berlin</v>
      </c>
      <c r="I72" s="177">
        <v>1</v>
      </c>
      <c r="J72" s="178" t="str">
        <f>Language!$E$65</f>
        <v xml:space="preserve"> : </v>
      </c>
      <c r="K72" s="179">
        <v>0</v>
      </c>
      <c r="L72" s="383"/>
      <c r="M72" s="384"/>
      <c r="Q72" s="213"/>
      <c r="R72" s="200"/>
      <c r="S72" s="200"/>
      <c r="T72" s="200"/>
      <c r="U72" s="200"/>
      <c r="V72" s="200"/>
      <c r="W72" s="200"/>
      <c r="X72" s="200"/>
      <c r="Y72" s="200"/>
      <c r="Z72" s="200"/>
      <c r="AA72" s="200"/>
      <c r="AB72" s="200"/>
      <c r="AC72" s="200"/>
      <c r="AD72" s="200"/>
      <c r="AE72" s="200"/>
      <c r="AF72" s="200"/>
      <c r="AG72" s="200"/>
      <c r="AH72" s="200"/>
      <c r="AI72" s="200"/>
      <c r="AJ72" s="200"/>
      <c r="AK72" s="200"/>
      <c r="AL72" s="200"/>
      <c r="AM72" s="200"/>
      <c r="AN72" s="200"/>
      <c r="AO72" s="200"/>
      <c r="AP72" s="200"/>
    </row>
    <row r="73" spans="2:54" ht="15.95" customHeight="1" x14ac:dyDescent="0.2">
      <c r="B73" s="278" t="str">
        <f>IF(Calc!$F$26=0,"",IF(OR($C73&gt;Calc!$B$24,MOD($C73-1,Calc!$F$26)&gt;0),"",QUOTIENT($C73-1,Calc!$F$26)+1))</f>
        <v/>
      </c>
      <c r="C73" s="274">
        <v>65</v>
      </c>
      <c r="D73" s="154">
        <f>IF(Plan!$T71="","",Plan!$T71)</f>
        <v>45955</v>
      </c>
      <c r="E73" s="155">
        <f>IF(Plan!$U71="","",Plan!$U71)</f>
        <v>0.64583333333333337</v>
      </c>
      <c r="F73" s="175" t="str">
        <f>Plan!$Q71</f>
        <v>TSG Hoffenheim</v>
      </c>
      <c r="G73" s="176" t="s">
        <v>4</v>
      </c>
      <c r="H73" s="175" t="str">
        <f>Plan!$S71</f>
        <v>1. FC Heidenheim 1846</v>
      </c>
      <c r="I73" s="177">
        <v>3</v>
      </c>
      <c r="J73" s="178" t="str">
        <f>Language!$E$65</f>
        <v xml:space="preserve"> : </v>
      </c>
      <c r="K73" s="179">
        <v>1</v>
      </c>
      <c r="L73" s="383"/>
      <c r="M73" s="384"/>
      <c r="Q73" s="213"/>
      <c r="R73" s="200"/>
      <c r="S73" s="200"/>
      <c r="T73" s="200"/>
      <c r="U73" s="200"/>
      <c r="V73" s="200"/>
      <c r="W73" s="200"/>
      <c r="X73" s="200"/>
      <c r="Y73" s="200"/>
      <c r="Z73" s="200"/>
      <c r="AA73" s="200"/>
      <c r="AB73" s="200"/>
      <c r="AC73" s="200"/>
      <c r="AD73" s="200"/>
      <c r="AE73" s="200"/>
      <c r="AF73" s="200"/>
      <c r="AG73" s="200"/>
      <c r="AH73" s="200"/>
      <c r="AI73" s="200"/>
      <c r="AJ73" s="200"/>
      <c r="AK73" s="200"/>
      <c r="AL73" s="200"/>
      <c r="AM73" s="200"/>
      <c r="AN73" s="200"/>
      <c r="AO73" s="200"/>
      <c r="AP73" s="200"/>
    </row>
    <row r="74" spans="2:54" ht="15.95" customHeight="1" x14ac:dyDescent="0.2">
      <c r="B74" s="278" t="str">
        <f>IF(Calc!$F$26=0,"",IF(OR($C74&gt;Calc!$B$24,MOD($C74-1,Calc!$F$26)&gt;0),"",QUOTIENT($C74-1,Calc!$F$26)+1))</f>
        <v/>
      </c>
      <c r="C74" s="274">
        <v>66</v>
      </c>
      <c r="D74" s="154">
        <f>IF(Plan!$T72="","",Plan!$T72)</f>
        <v>45955</v>
      </c>
      <c r="E74" s="155">
        <f>IF(Plan!$U72="","",Plan!$U72)</f>
        <v>0.64583333333333337</v>
      </c>
      <c r="F74" s="175" t="str">
        <f>Plan!$Q72</f>
        <v>Hamburger SV</v>
      </c>
      <c r="G74" s="176" t="s">
        <v>4</v>
      </c>
      <c r="H74" s="175" t="str">
        <f>Plan!$S72</f>
        <v>VfL Wolfsburg</v>
      </c>
      <c r="I74" s="177">
        <v>0</v>
      </c>
      <c r="J74" s="178" t="str">
        <f>Language!$E$65</f>
        <v xml:space="preserve"> : </v>
      </c>
      <c r="K74" s="179">
        <v>1</v>
      </c>
      <c r="L74" s="383"/>
      <c r="M74" s="384"/>
      <c r="Q74" s="213"/>
      <c r="R74" s="137"/>
      <c r="S74" s="137"/>
      <c r="T74" s="137"/>
      <c r="U74" s="137"/>
      <c r="V74" s="137"/>
      <c r="W74" s="137"/>
      <c r="X74" s="137"/>
      <c r="Y74" s="137"/>
      <c r="Z74" s="137"/>
      <c r="AA74" s="137"/>
      <c r="AB74" s="137"/>
      <c r="AC74" s="200"/>
      <c r="AD74" s="200"/>
      <c r="AE74" s="200"/>
      <c r="AF74" s="200"/>
      <c r="AG74" s="137"/>
      <c r="AH74" s="137"/>
      <c r="AI74" s="137"/>
      <c r="AJ74" s="137"/>
      <c r="AK74" s="137"/>
      <c r="AL74" s="137"/>
      <c r="AM74" s="137"/>
      <c r="AN74" s="137"/>
      <c r="AO74" s="137"/>
      <c r="AP74" s="137"/>
    </row>
    <row r="75" spans="2:54" ht="15.95" customHeight="1" x14ac:dyDescent="0.2">
      <c r="B75" s="278" t="str">
        <f>IF(Calc!$F$26=0,"",IF(OR($C75&gt;Calc!$B$24,MOD($C75-1,Calc!$F$26)&gt;0),"",QUOTIENT($C75-1,Calc!$F$26)+1))</f>
        <v/>
      </c>
      <c r="C75" s="274">
        <v>67</v>
      </c>
      <c r="D75" s="154">
        <f>IF(Plan!$T73="","",Plan!$T73)</f>
        <v>45955</v>
      </c>
      <c r="E75" s="155">
        <f>IF(Plan!$U73="","",Plan!$U73)</f>
        <v>0.64583333333333337</v>
      </c>
      <c r="F75" s="175" t="str">
        <f>Plan!$Q73</f>
        <v>FC Augsburg</v>
      </c>
      <c r="G75" s="176" t="s">
        <v>4</v>
      </c>
      <c r="H75" s="175" t="str">
        <f>Plan!$S73</f>
        <v>RB Leipzig</v>
      </c>
      <c r="I75" s="177">
        <v>0</v>
      </c>
      <c r="J75" s="178" t="str">
        <f>Language!$E$65</f>
        <v xml:space="preserve"> : </v>
      </c>
      <c r="K75" s="179">
        <v>6</v>
      </c>
      <c r="L75" s="383"/>
      <c r="M75" s="384"/>
      <c r="Q75" s="213"/>
      <c r="R75" s="137"/>
      <c r="S75" s="137"/>
      <c r="T75" s="137"/>
      <c r="U75" s="137"/>
      <c r="V75" s="137"/>
      <c r="W75" s="137"/>
      <c r="X75" s="137"/>
      <c r="Y75" s="137"/>
      <c r="Z75" s="137"/>
      <c r="AA75" s="137"/>
      <c r="AB75" s="137"/>
      <c r="AC75" s="137"/>
      <c r="AD75" s="137"/>
      <c r="AE75" s="137"/>
      <c r="AF75" s="137"/>
      <c r="AG75" s="200"/>
      <c r="AH75" s="137"/>
      <c r="AI75" s="137"/>
      <c r="AJ75" s="137"/>
      <c r="AK75" s="137"/>
      <c r="AL75" s="137"/>
      <c r="AM75" s="137"/>
      <c r="AN75" s="137"/>
      <c r="AO75" s="137"/>
      <c r="AP75" s="137"/>
    </row>
    <row r="76" spans="2:54" ht="15.95" customHeight="1" x14ac:dyDescent="0.2">
      <c r="B76" s="278" t="str">
        <f>IF(Calc!$F$26=0,"",IF(OR($C76&gt;Calc!$B$24,MOD($C76-1,Calc!$F$26)&gt;0),"",QUOTIENT($C76-1,Calc!$F$26)+1))</f>
        <v/>
      </c>
      <c r="C76" s="274">
        <v>68</v>
      </c>
      <c r="D76" s="154">
        <f>IF(Plan!$T74="","",Plan!$T74)</f>
        <v>45955</v>
      </c>
      <c r="E76" s="155">
        <f>IF(Plan!$U74="","",Plan!$U74)</f>
        <v>0.64583333333333337</v>
      </c>
      <c r="F76" s="175" t="str">
        <f>Plan!$Q74</f>
        <v>Eintracht Frankfurt</v>
      </c>
      <c r="G76" s="176" t="s">
        <v>4</v>
      </c>
      <c r="H76" s="175" t="str">
        <f>Plan!$S74</f>
        <v>FC St. Pauli</v>
      </c>
      <c r="I76" s="177">
        <v>2</v>
      </c>
      <c r="J76" s="178" t="str">
        <f>Language!$E$65</f>
        <v xml:space="preserve"> : </v>
      </c>
      <c r="K76" s="179">
        <v>0</v>
      </c>
      <c r="L76" s="383"/>
      <c r="M76" s="384"/>
      <c r="Q76" s="213"/>
      <c r="R76" s="137"/>
      <c r="S76" s="137"/>
      <c r="T76" s="137"/>
      <c r="U76" s="137"/>
      <c r="V76" s="137"/>
      <c r="W76" s="137"/>
      <c r="X76" s="137"/>
      <c r="Y76" s="137"/>
      <c r="Z76" s="137"/>
      <c r="AA76" s="137"/>
      <c r="AB76" s="137"/>
      <c r="AC76" s="137"/>
      <c r="AD76" s="137"/>
      <c r="AE76" s="137"/>
      <c r="AF76" s="137"/>
      <c r="AG76" s="137"/>
      <c r="AH76" s="200"/>
      <c r="AI76" s="137"/>
      <c r="AJ76" s="137"/>
      <c r="AK76" s="137"/>
      <c r="AL76" s="137"/>
      <c r="AM76" s="137"/>
      <c r="AN76" s="137"/>
      <c r="AO76" s="137"/>
      <c r="AP76" s="137"/>
    </row>
    <row r="77" spans="2:54" ht="15.95" customHeight="1" x14ac:dyDescent="0.2">
      <c r="B77" s="278" t="str">
        <f>IF(Calc!$F$26=0,"",IF(OR($C77&gt;Calc!$B$24,MOD($C77-1,Calc!$F$26)&gt;0),"",QUOTIENT($C77-1,Calc!$F$26)+1))</f>
        <v/>
      </c>
      <c r="C77" s="274">
        <v>69</v>
      </c>
      <c r="D77" s="154">
        <f>IF(Plan!$T75="","",Plan!$T75)</f>
        <v>45955</v>
      </c>
      <c r="E77" s="155">
        <f>IF(Plan!$U75="","",Plan!$U75)</f>
        <v>0.64583333333333337</v>
      </c>
      <c r="F77" s="175" t="str">
        <f>Plan!$Q75</f>
        <v>Borussia Mönchengladbach</v>
      </c>
      <c r="G77" s="176" t="s">
        <v>4</v>
      </c>
      <c r="H77" s="175" t="str">
        <f>Plan!$S75</f>
        <v>FC Bayern München</v>
      </c>
      <c r="I77" s="177">
        <v>0</v>
      </c>
      <c r="J77" s="178" t="str">
        <f>Language!$E$65</f>
        <v xml:space="preserve"> : </v>
      </c>
      <c r="K77" s="179">
        <v>3</v>
      </c>
      <c r="L77" s="383"/>
      <c r="M77" s="384"/>
      <c r="Q77" s="213"/>
      <c r="R77" s="137"/>
      <c r="S77" s="137"/>
      <c r="T77" s="137"/>
      <c r="U77" s="137"/>
      <c r="V77" s="137"/>
      <c r="W77" s="137"/>
      <c r="X77" s="137"/>
      <c r="Y77" s="137"/>
      <c r="Z77" s="137"/>
      <c r="AA77" s="137"/>
      <c r="AB77" s="137"/>
      <c r="AC77" s="137"/>
      <c r="AD77" s="137"/>
      <c r="AE77" s="137"/>
      <c r="AF77" s="137"/>
      <c r="AG77" s="137"/>
      <c r="AH77" s="137"/>
      <c r="AI77" s="200"/>
      <c r="AJ77" s="137"/>
      <c r="AK77" s="137"/>
      <c r="AL77" s="137"/>
      <c r="AM77" s="137"/>
      <c r="AN77" s="137"/>
      <c r="AO77" s="137"/>
      <c r="AP77" s="137"/>
    </row>
    <row r="78" spans="2:54" ht="15.95" customHeight="1" x14ac:dyDescent="0.2">
      <c r="B78" s="278" t="str">
        <f>IF(Calc!$F$26=0,"",IF(OR($C78&gt;Calc!$B$24,MOD($C78-1,Calc!$F$26)&gt;0),"",QUOTIENT($C78-1,Calc!$F$26)+1))</f>
        <v/>
      </c>
      <c r="C78" s="274">
        <v>70</v>
      </c>
      <c r="D78" s="154">
        <f>IF(Plan!$T76="","",Plan!$T76)</f>
        <v>45955</v>
      </c>
      <c r="E78" s="155">
        <f>IF(Plan!$U76="","",Plan!$U76)</f>
        <v>0.77083333333333337</v>
      </c>
      <c r="F78" s="175" t="str">
        <f>Plan!$Q76</f>
        <v>Borussia Dortmund</v>
      </c>
      <c r="G78" s="176" t="s">
        <v>4</v>
      </c>
      <c r="H78" s="175" t="str">
        <f>Plan!$S76</f>
        <v>1. FC Köln</v>
      </c>
      <c r="I78" s="177">
        <v>1</v>
      </c>
      <c r="J78" s="178" t="str">
        <f>Language!$E$65</f>
        <v xml:space="preserve"> : </v>
      </c>
      <c r="K78" s="179">
        <v>0</v>
      </c>
      <c r="L78" s="383"/>
      <c r="M78" s="384"/>
      <c r="Q78" s="213"/>
      <c r="R78" s="137"/>
      <c r="S78" s="137"/>
      <c r="T78" s="137"/>
      <c r="U78" s="137"/>
      <c r="V78" s="137"/>
      <c r="W78" s="137"/>
      <c r="X78" s="137"/>
      <c r="Y78" s="137"/>
      <c r="Z78" s="137"/>
      <c r="AA78" s="137"/>
      <c r="AB78" s="137"/>
      <c r="AC78" s="137"/>
      <c r="AD78" s="137"/>
      <c r="AE78" s="137"/>
      <c r="AF78" s="137"/>
      <c r="AG78" s="137"/>
      <c r="AH78" s="137"/>
      <c r="AI78" s="137"/>
      <c r="AJ78" s="200"/>
      <c r="AK78" s="137"/>
      <c r="AL78" s="137"/>
      <c r="AM78" s="137"/>
      <c r="AN78" s="137"/>
      <c r="AO78" s="137"/>
      <c r="AP78" s="137"/>
    </row>
    <row r="79" spans="2:54" ht="15.95" customHeight="1" x14ac:dyDescent="0.2">
      <c r="B79" s="278" t="str">
        <f>IF(Calc!$F$26=0,"",IF(OR($C79&gt;Calc!$B$24,MOD($C79-1,Calc!$F$26)&gt;0),"",QUOTIENT($C79-1,Calc!$F$26)+1))</f>
        <v/>
      </c>
      <c r="C79" s="274">
        <v>71</v>
      </c>
      <c r="D79" s="154">
        <f>IF(Plan!$T77="","",Plan!$T77)</f>
        <v>45956</v>
      </c>
      <c r="E79" s="155">
        <f>IF(Plan!$U77="","",Plan!$U77)</f>
        <v>0.64583333333333337</v>
      </c>
      <c r="F79" s="175" t="str">
        <f>Plan!$Q77</f>
        <v>Bayer 04 Leverkusen</v>
      </c>
      <c r="G79" s="176" t="s">
        <v>4</v>
      </c>
      <c r="H79" s="175" t="str">
        <f>Plan!$S77</f>
        <v>SC Freiburg</v>
      </c>
      <c r="I79" s="177">
        <v>2</v>
      </c>
      <c r="J79" s="178" t="str">
        <f>Language!$E$65</f>
        <v xml:space="preserve"> : </v>
      </c>
      <c r="K79" s="179">
        <v>0</v>
      </c>
      <c r="L79" s="383"/>
      <c r="M79" s="384"/>
      <c r="Q79" s="213"/>
      <c r="R79" s="137"/>
      <c r="S79" s="137"/>
      <c r="T79" s="137"/>
      <c r="U79" s="137"/>
      <c r="V79" s="137"/>
      <c r="W79" s="137"/>
      <c r="X79" s="137"/>
      <c r="Y79" s="137"/>
      <c r="Z79" s="137"/>
      <c r="AA79" s="137"/>
      <c r="AB79" s="137"/>
      <c r="AC79" s="137"/>
      <c r="AD79" s="137"/>
      <c r="AE79" s="137"/>
      <c r="AF79" s="137"/>
      <c r="AG79" s="137"/>
      <c r="AH79" s="137"/>
      <c r="AI79" s="137"/>
      <c r="AJ79" s="137"/>
      <c r="AK79" s="200"/>
      <c r="AL79" s="137"/>
      <c r="AM79" s="137"/>
      <c r="AN79" s="137"/>
      <c r="AO79" s="137"/>
      <c r="AP79" s="137"/>
    </row>
    <row r="80" spans="2:54" ht="15.95" customHeight="1" x14ac:dyDescent="0.2">
      <c r="B80" s="278" t="str">
        <f>IF(Calc!$F$26=0,"",IF(OR($C80&gt;Calc!$B$24,MOD($C80-1,Calc!$F$26)&gt;0),"",QUOTIENT($C80-1,Calc!$F$26)+1))</f>
        <v/>
      </c>
      <c r="C80" s="274">
        <v>72</v>
      </c>
      <c r="D80" s="154">
        <f>IF(Plan!$T78="","",Plan!$T78)</f>
        <v>45956</v>
      </c>
      <c r="E80" s="155">
        <f>IF(Plan!$U78="","",Plan!$U78)</f>
        <v>0.72916666666666663</v>
      </c>
      <c r="F80" s="175" t="str">
        <f>Plan!$Q78</f>
        <v>VfB Stuttgart</v>
      </c>
      <c r="G80" s="176" t="s">
        <v>4</v>
      </c>
      <c r="H80" s="175" t="str">
        <f>Plan!$S78</f>
        <v>1. FSV Mainz 05</v>
      </c>
      <c r="I80" s="177">
        <v>2</v>
      </c>
      <c r="J80" s="178" t="str">
        <f>Language!$E$65</f>
        <v xml:space="preserve"> : </v>
      </c>
      <c r="K80" s="179">
        <v>1</v>
      </c>
      <c r="L80" s="383"/>
      <c r="M80" s="384"/>
      <c r="Q80" s="213"/>
      <c r="R80" s="137"/>
      <c r="S80" s="137"/>
      <c r="T80" s="137"/>
      <c r="U80" s="137"/>
      <c r="V80" s="137"/>
      <c r="W80" s="137"/>
      <c r="X80" s="137"/>
      <c r="Y80" s="137"/>
      <c r="Z80" s="137"/>
      <c r="AA80" s="137"/>
      <c r="AB80" s="137"/>
      <c r="AC80" s="137"/>
      <c r="AD80" s="137"/>
      <c r="AE80" s="137"/>
      <c r="AF80" s="137"/>
      <c r="AG80" s="137"/>
      <c r="AH80" s="137"/>
      <c r="AI80" s="137"/>
      <c r="AJ80" s="137"/>
      <c r="AK80" s="137"/>
      <c r="AL80" s="200"/>
      <c r="AM80" s="137"/>
      <c r="AN80" s="137"/>
      <c r="AO80" s="137"/>
      <c r="AP80" s="137"/>
    </row>
    <row r="81" spans="2:42" ht="15.75" x14ac:dyDescent="0.2">
      <c r="B81" s="278">
        <f>IF(Calc!$F$26=0,"",IF(OR($C81&gt;Calc!$B$24,MOD($C81-1,Calc!$F$26)&gt;0),"",QUOTIENT($C81-1,Calc!$F$26)+1))</f>
        <v>9</v>
      </c>
      <c r="C81" s="274">
        <v>73</v>
      </c>
      <c r="D81" s="154">
        <f>IF(Plan!$T79="","",Plan!$T79)</f>
        <v>45961</v>
      </c>
      <c r="E81" s="155">
        <f>IF(Plan!$U79="","",Plan!$U79)</f>
        <v>0.85416666666666663</v>
      </c>
      <c r="F81" s="175" t="str">
        <f>Plan!$Q79</f>
        <v>FC Augsburg</v>
      </c>
      <c r="G81" s="176" t="s">
        <v>4</v>
      </c>
      <c r="H81" s="175" t="str">
        <f>Plan!$S79</f>
        <v>Borussia Dortmund</v>
      </c>
      <c r="I81" s="177">
        <v>0</v>
      </c>
      <c r="J81" s="178" t="str">
        <f>Language!$E$65</f>
        <v xml:space="preserve"> : </v>
      </c>
      <c r="K81" s="179">
        <v>1</v>
      </c>
      <c r="L81" s="383"/>
      <c r="M81" s="384"/>
      <c r="Q81" s="213"/>
      <c r="R81" s="137"/>
      <c r="S81" s="137"/>
      <c r="T81" s="137"/>
      <c r="U81" s="137"/>
      <c r="V81" s="137"/>
      <c r="W81" s="137"/>
      <c r="X81" s="137"/>
      <c r="Y81" s="137"/>
      <c r="Z81" s="137"/>
      <c r="AA81" s="137"/>
      <c r="AB81" s="137"/>
      <c r="AC81" s="137"/>
      <c r="AD81" s="137"/>
      <c r="AE81" s="137"/>
      <c r="AF81" s="137"/>
      <c r="AG81" s="137"/>
      <c r="AH81" s="137"/>
      <c r="AI81" s="137"/>
      <c r="AJ81" s="137"/>
      <c r="AK81" s="137"/>
      <c r="AL81" s="137"/>
      <c r="AM81" s="200"/>
      <c r="AN81" s="137"/>
      <c r="AO81" s="137"/>
      <c r="AP81" s="137"/>
    </row>
    <row r="82" spans="2:42" ht="15.75" x14ac:dyDescent="0.2">
      <c r="B82" s="278" t="str">
        <f>IF(Calc!$F$26=0,"",IF(OR($C82&gt;Calc!$B$24,MOD($C82-1,Calc!$F$26)&gt;0),"",QUOTIENT($C82-1,Calc!$F$26)+1))</f>
        <v/>
      </c>
      <c r="C82" s="274">
        <v>74</v>
      </c>
      <c r="D82" s="154">
        <f>IF(Plan!$T80="","",Plan!$T80)</f>
        <v>45962</v>
      </c>
      <c r="E82" s="155">
        <f>IF(Plan!$U80="","",Plan!$U80)</f>
        <v>0.64583333333333337</v>
      </c>
      <c r="F82" s="175" t="str">
        <f>Plan!$Q80</f>
        <v>FC St. Pauli</v>
      </c>
      <c r="G82" s="176" t="s">
        <v>4</v>
      </c>
      <c r="H82" s="175" t="str">
        <f>Plan!$S80</f>
        <v>Borussia Mönchengladbach</v>
      </c>
      <c r="I82" s="177">
        <v>0</v>
      </c>
      <c r="J82" s="178" t="str">
        <f>Language!$E$65</f>
        <v xml:space="preserve"> : </v>
      </c>
      <c r="K82" s="179">
        <v>4</v>
      </c>
      <c r="L82" s="383"/>
      <c r="M82" s="384"/>
      <c r="Q82" s="213"/>
      <c r="R82" s="137"/>
      <c r="S82" s="137"/>
      <c r="T82" s="137"/>
      <c r="U82" s="137"/>
      <c r="V82" s="137"/>
      <c r="W82" s="137"/>
      <c r="X82" s="137"/>
      <c r="Y82" s="137"/>
      <c r="Z82" s="137"/>
      <c r="AA82" s="137"/>
      <c r="AB82" s="137"/>
      <c r="AC82" s="137"/>
      <c r="AD82" s="137"/>
      <c r="AE82" s="137"/>
      <c r="AF82" s="137"/>
      <c r="AG82" s="137"/>
      <c r="AH82" s="137"/>
      <c r="AI82" s="137"/>
      <c r="AJ82" s="137"/>
      <c r="AK82" s="137"/>
      <c r="AL82" s="137"/>
      <c r="AM82" s="137"/>
      <c r="AN82" s="200"/>
      <c r="AO82" s="137"/>
      <c r="AP82" s="137"/>
    </row>
    <row r="83" spans="2:42" ht="15.75" x14ac:dyDescent="0.2">
      <c r="B83" s="278" t="str">
        <f>IF(Calc!$F$26=0,"",IF(OR($C83&gt;Calc!$B$24,MOD($C83-1,Calc!$F$26)&gt;0),"",QUOTIENT($C83-1,Calc!$F$26)+1))</f>
        <v/>
      </c>
      <c r="C83" s="274">
        <v>75</v>
      </c>
      <c r="D83" s="154">
        <f>IF(Plan!$T81="","",Plan!$T81)</f>
        <v>45962</v>
      </c>
      <c r="E83" s="155">
        <f>IF(Plan!$U81="","",Plan!$U81)</f>
        <v>0.64583333333333337</v>
      </c>
      <c r="F83" s="175" t="str">
        <f>Plan!$Q81</f>
        <v>1. FC Heidenheim 1846</v>
      </c>
      <c r="G83" s="176" t="s">
        <v>4</v>
      </c>
      <c r="H83" s="175" t="str">
        <f>Plan!$S81</f>
        <v>Eintracht Frankfurt</v>
      </c>
      <c r="I83" s="177">
        <v>1</v>
      </c>
      <c r="J83" s="178" t="str">
        <f>Language!$E$65</f>
        <v xml:space="preserve"> : </v>
      </c>
      <c r="K83" s="179">
        <v>1</v>
      </c>
      <c r="L83" s="383"/>
      <c r="M83" s="384"/>
      <c r="Q83" s="213"/>
      <c r="R83" s="137"/>
      <c r="S83" s="137"/>
      <c r="T83" s="137"/>
      <c r="U83" s="137"/>
      <c r="V83" s="137"/>
      <c r="W83" s="137"/>
      <c r="X83" s="137"/>
      <c r="Y83" s="137"/>
      <c r="Z83" s="137"/>
      <c r="AA83" s="137"/>
      <c r="AB83" s="137"/>
      <c r="AC83" s="137"/>
      <c r="AD83" s="137"/>
      <c r="AE83" s="137"/>
      <c r="AF83" s="137"/>
      <c r="AG83" s="137"/>
      <c r="AH83" s="137"/>
      <c r="AI83" s="137"/>
      <c r="AJ83" s="137"/>
      <c r="AK83" s="137"/>
      <c r="AL83" s="137"/>
      <c r="AM83" s="137"/>
      <c r="AN83" s="137"/>
      <c r="AO83" s="200"/>
      <c r="AP83" s="137"/>
    </row>
    <row r="84" spans="2:42" ht="15.75" x14ac:dyDescent="0.2">
      <c r="B84" s="278" t="str">
        <f>IF(Calc!$F$26=0,"",IF(OR($C84&gt;Calc!$B$24,MOD($C84-1,Calc!$F$26)&gt;0),"",QUOTIENT($C84-1,Calc!$F$26)+1))</f>
        <v/>
      </c>
      <c r="C84" s="274">
        <v>76</v>
      </c>
      <c r="D84" s="154">
        <f>IF(Plan!$T82="","",Plan!$T82)</f>
        <v>45962</v>
      </c>
      <c r="E84" s="155">
        <f>IF(Plan!$U82="","",Plan!$U82)</f>
        <v>0.64583333333333337</v>
      </c>
      <c r="F84" s="175" t="str">
        <f>Plan!$Q82</f>
        <v>1. FC Union Berlin</v>
      </c>
      <c r="G84" s="176" t="s">
        <v>4</v>
      </c>
      <c r="H84" s="175" t="str">
        <f>Plan!$S82</f>
        <v>SC Freiburg</v>
      </c>
      <c r="I84" s="177">
        <v>0</v>
      </c>
      <c r="J84" s="178" t="str">
        <f>Language!$E$65</f>
        <v xml:space="preserve"> : </v>
      </c>
      <c r="K84" s="179">
        <v>0</v>
      </c>
      <c r="L84" s="383"/>
      <c r="M84" s="384"/>
      <c r="Q84" s="213"/>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137"/>
      <c r="AP84" s="200"/>
    </row>
    <row r="85" spans="2:42" ht="15.75" x14ac:dyDescent="0.2">
      <c r="B85" s="278" t="str">
        <f>IF(Calc!$F$26=0,"",IF(OR($C85&gt;Calc!$B$24,MOD($C85-1,Calc!$F$26)&gt;0),"",QUOTIENT($C85-1,Calc!$F$26)+1))</f>
        <v/>
      </c>
      <c r="C85" s="274">
        <v>77</v>
      </c>
      <c r="D85" s="154">
        <f>IF(Plan!$T83="","",Plan!$T83)</f>
        <v>45962</v>
      </c>
      <c r="E85" s="155">
        <f>IF(Plan!$U83="","",Plan!$U83)</f>
        <v>0.64583333333333337</v>
      </c>
      <c r="F85" s="175" t="str">
        <f>Plan!$Q83</f>
        <v>1. FSV Mainz 05</v>
      </c>
      <c r="G85" s="176" t="s">
        <v>4</v>
      </c>
      <c r="H85" s="175" t="str">
        <f>Plan!$S83</f>
        <v>SV Werder Bremen</v>
      </c>
      <c r="I85" s="177">
        <v>1</v>
      </c>
      <c r="J85" s="178" t="str">
        <f>Language!$E$65</f>
        <v xml:space="preserve"> : </v>
      </c>
      <c r="K85" s="179">
        <v>1</v>
      </c>
      <c r="L85" s="383"/>
      <c r="M85" s="384"/>
    </row>
    <row r="86" spans="2:42" ht="15.75" x14ac:dyDescent="0.2">
      <c r="B86" s="278" t="str">
        <f>IF(Calc!$F$26=0,"",IF(OR($C86&gt;Calc!$B$24,MOD($C86-1,Calc!$F$26)&gt;0),"",QUOTIENT($C86-1,Calc!$F$26)+1))</f>
        <v/>
      </c>
      <c r="C86" s="274">
        <v>78</v>
      </c>
      <c r="D86" s="154">
        <f>IF(Plan!$T84="","",Plan!$T84)</f>
        <v>45962</v>
      </c>
      <c r="E86" s="155">
        <f>IF(Plan!$U84="","",Plan!$U84)</f>
        <v>0.64583333333333337</v>
      </c>
      <c r="F86" s="175" t="str">
        <f>Plan!$Q84</f>
        <v>RB Leipzig</v>
      </c>
      <c r="G86" s="176" t="s">
        <v>4</v>
      </c>
      <c r="H86" s="175" t="str">
        <f>Plan!$S84</f>
        <v>VfB Stuttgart</v>
      </c>
      <c r="I86" s="177">
        <v>3</v>
      </c>
      <c r="J86" s="178" t="str">
        <f>Language!$E$65</f>
        <v xml:space="preserve"> : </v>
      </c>
      <c r="K86" s="179">
        <v>1</v>
      </c>
      <c r="L86" s="383"/>
      <c r="M86" s="384"/>
    </row>
    <row r="87" spans="2:42" ht="15.75" x14ac:dyDescent="0.2">
      <c r="B87" s="278" t="str">
        <f>IF(Calc!$F$26=0,"",IF(OR($C87&gt;Calc!$B$24,MOD($C87-1,Calc!$F$26)&gt;0),"",QUOTIENT($C87-1,Calc!$F$26)+1))</f>
        <v/>
      </c>
      <c r="C87" s="274">
        <v>79</v>
      </c>
      <c r="D87" s="154">
        <f>IF(Plan!$T85="","",Plan!$T85)</f>
        <v>45962</v>
      </c>
      <c r="E87" s="155">
        <f>IF(Plan!$U85="","",Plan!$U85)</f>
        <v>0.77083333333333337</v>
      </c>
      <c r="F87" s="175" t="str">
        <f>Plan!$Q85</f>
        <v>FC Bayern München</v>
      </c>
      <c r="G87" s="176" t="s">
        <v>4</v>
      </c>
      <c r="H87" s="175" t="str">
        <f>Plan!$S85</f>
        <v>Bayer 04 Leverkusen</v>
      </c>
      <c r="I87" s="177">
        <v>3</v>
      </c>
      <c r="J87" s="178" t="str">
        <f>Language!$E$65</f>
        <v xml:space="preserve"> : </v>
      </c>
      <c r="K87" s="179">
        <v>0</v>
      </c>
      <c r="L87" s="383"/>
      <c r="M87" s="384"/>
    </row>
    <row r="88" spans="2:42" ht="15.75" x14ac:dyDescent="0.2">
      <c r="B88" s="278" t="str">
        <f>IF(Calc!$F$26=0,"",IF(OR($C88&gt;Calc!$B$24,MOD($C88-1,Calc!$F$26)&gt;0),"",QUOTIENT($C88-1,Calc!$F$26)+1))</f>
        <v/>
      </c>
      <c r="C88" s="274">
        <v>80</v>
      </c>
      <c r="D88" s="154">
        <f>IF(Plan!$T86="","",Plan!$T86)</f>
        <v>45963</v>
      </c>
      <c r="E88" s="155">
        <f>IF(Plan!$U86="","",Plan!$U86)</f>
        <v>0.64583333333333337</v>
      </c>
      <c r="F88" s="175" t="str">
        <f>Plan!$Q86</f>
        <v>1. FC Köln</v>
      </c>
      <c r="G88" s="176" t="s">
        <v>4</v>
      </c>
      <c r="H88" s="175" t="str">
        <f>Plan!$S86</f>
        <v>Hamburger SV</v>
      </c>
      <c r="I88" s="177">
        <v>4</v>
      </c>
      <c r="J88" s="178" t="str">
        <f>Language!$E$65</f>
        <v xml:space="preserve"> : </v>
      </c>
      <c r="K88" s="179">
        <v>1</v>
      </c>
      <c r="L88" s="383"/>
      <c r="M88" s="384"/>
    </row>
    <row r="89" spans="2:42" ht="15.75" x14ac:dyDescent="0.2">
      <c r="B89" s="278" t="str">
        <f>IF(Calc!$F$26=0,"",IF(OR($C89&gt;Calc!$B$24,MOD($C89-1,Calc!$F$26)&gt;0),"",QUOTIENT($C89-1,Calc!$F$26)+1))</f>
        <v/>
      </c>
      <c r="C89" s="274">
        <v>81</v>
      </c>
      <c r="D89" s="154">
        <f>IF(Plan!$T87="","",Plan!$T87)</f>
        <v>45963</v>
      </c>
      <c r="E89" s="155">
        <f>IF(Plan!$U87="","",Plan!$U87)</f>
        <v>0.72916666666666663</v>
      </c>
      <c r="F89" s="175" t="str">
        <f>Plan!$Q87</f>
        <v>VfL Wolfsburg</v>
      </c>
      <c r="G89" s="176" t="s">
        <v>4</v>
      </c>
      <c r="H89" s="175" t="str">
        <f>Plan!$S87</f>
        <v>TSG Hoffenheim</v>
      </c>
      <c r="I89" s="177">
        <v>2</v>
      </c>
      <c r="J89" s="178" t="str">
        <f>Language!$E$65</f>
        <v xml:space="preserve"> : </v>
      </c>
      <c r="K89" s="179">
        <v>3</v>
      </c>
      <c r="L89" s="383"/>
      <c r="M89" s="384"/>
    </row>
    <row r="90" spans="2:42" ht="15.75" x14ac:dyDescent="0.2">
      <c r="B90" s="278">
        <f>IF(Calc!$F$26=0,"",IF(OR($C90&gt;Calc!$B$24,MOD($C90-1,Calc!$F$26)&gt;0),"",QUOTIENT($C90-1,Calc!$F$26)+1))</f>
        <v>10</v>
      </c>
      <c r="C90" s="274">
        <v>82</v>
      </c>
      <c r="D90" s="154">
        <f>IF(Plan!$T88="","",Plan!$T88)</f>
        <v>45968</v>
      </c>
      <c r="E90" s="155">
        <f>IF(Plan!$U88="","",Plan!$U88)</f>
        <v>0.85416666666666663</v>
      </c>
      <c r="F90" s="175" t="str">
        <f>Plan!$Q88</f>
        <v>SV Werder Bremen</v>
      </c>
      <c r="G90" s="176" t="s">
        <v>4</v>
      </c>
      <c r="H90" s="175" t="str">
        <f>Plan!$S88</f>
        <v>VfL Wolfsburg</v>
      </c>
      <c r="I90" s="177">
        <v>2</v>
      </c>
      <c r="J90" s="178" t="str">
        <f>Language!$E$65</f>
        <v xml:space="preserve"> : </v>
      </c>
      <c r="K90" s="179">
        <v>1</v>
      </c>
      <c r="L90" s="383"/>
      <c r="M90" s="384"/>
    </row>
    <row r="91" spans="2:42" ht="15.75" x14ac:dyDescent="0.2">
      <c r="B91" s="278" t="str">
        <f>IF(Calc!$F$26=0,"",IF(OR($C91&gt;Calc!$B$24,MOD($C91-1,Calc!$F$26)&gt;0),"",QUOTIENT($C91-1,Calc!$F$26)+1))</f>
        <v/>
      </c>
      <c r="C91" s="274">
        <v>83</v>
      </c>
      <c r="D91" s="154">
        <f>IF(Plan!$T89="","",Plan!$T89)</f>
        <v>45969</v>
      </c>
      <c r="E91" s="155">
        <f>IF(Plan!$U89="","",Plan!$U89)</f>
        <v>0.64583333333333337</v>
      </c>
      <c r="F91" s="175" t="str">
        <f>Plan!$Q89</f>
        <v>TSG Hoffenheim</v>
      </c>
      <c r="G91" s="176" t="s">
        <v>4</v>
      </c>
      <c r="H91" s="175" t="str">
        <f>Plan!$S89</f>
        <v>RB Leipzig</v>
      </c>
      <c r="I91" s="177">
        <v>3</v>
      </c>
      <c r="J91" s="178" t="str">
        <f>Language!$E$65</f>
        <v xml:space="preserve"> : </v>
      </c>
      <c r="K91" s="179">
        <v>1</v>
      </c>
      <c r="L91" s="383"/>
      <c r="M91" s="384"/>
    </row>
    <row r="92" spans="2:42" ht="15.75" x14ac:dyDescent="0.2">
      <c r="B92" s="278" t="str">
        <f>IF(Calc!$F$26=0,"",IF(OR($C92&gt;Calc!$B$24,MOD($C92-1,Calc!$F$26)&gt;0),"",QUOTIENT($C92-1,Calc!$F$26)+1))</f>
        <v/>
      </c>
      <c r="C92" s="274">
        <v>84</v>
      </c>
      <c r="D92" s="154">
        <f>IF(Plan!$T90="","",Plan!$T90)</f>
        <v>45969</v>
      </c>
      <c r="E92" s="155">
        <f>IF(Plan!$U90="","",Plan!$U90)</f>
        <v>0.64583333333333337</v>
      </c>
      <c r="F92" s="175" t="str">
        <f>Plan!$Q90</f>
        <v>Hamburger SV</v>
      </c>
      <c r="G92" s="176" t="s">
        <v>4</v>
      </c>
      <c r="H92" s="175" t="str">
        <f>Plan!$S90</f>
        <v>Borussia Dortmund</v>
      </c>
      <c r="I92" s="177">
        <v>1</v>
      </c>
      <c r="J92" s="178" t="str">
        <f>Language!$E$65</f>
        <v xml:space="preserve"> : </v>
      </c>
      <c r="K92" s="179">
        <v>1</v>
      </c>
      <c r="L92" s="383"/>
      <c r="M92" s="384"/>
    </row>
    <row r="93" spans="2:42" ht="15.75" x14ac:dyDescent="0.2">
      <c r="B93" s="278" t="str">
        <f>IF(Calc!$F$26=0,"",IF(OR($C93&gt;Calc!$B$24,MOD($C93-1,Calc!$F$26)&gt;0),"",QUOTIENT($C93-1,Calc!$F$26)+1))</f>
        <v/>
      </c>
      <c r="C93" s="274">
        <v>85</v>
      </c>
      <c r="D93" s="154">
        <f>IF(Plan!$T91="","",Plan!$T91)</f>
        <v>45969</v>
      </c>
      <c r="E93" s="155">
        <f>IF(Plan!$U91="","",Plan!$U91)</f>
        <v>0.64583333333333337</v>
      </c>
      <c r="F93" s="175" t="str">
        <f>Plan!$Q91</f>
        <v>Bayer 04 Leverkusen</v>
      </c>
      <c r="G93" s="176" t="s">
        <v>4</v>
      </c>
      <c r="H93" s="175" t="str">
        <f>Plan!$S91</f>
        <v>1. FC Heidenheim 1846</v>
      </c>
      <c r="I93" s="177">
        <v>6</v>
      </c>
      <c r="J93" s="178" t="str">
        <f>Language!$E$65</f>
        <v xml:space="preserve"> : </v>
      </c>
      <c r="K93" s="179">
        <v>0</v>
      </c>
      <c r="L93" s="383"/>
      <c r="M93" s="384"/>
    </row>
    <row r="94" spans="2:42" ht="15.75" x14ac:dyDescent="0.2">
      <c r="B94" s="278" t="str">
        <f>IF(Calc!$F$26=0,"",IF(OR($C94&gt;Calc!$B$24,MOD($C94-1,Calc!$F$26)&gt;0),"",QUOTIENT($C94-1,Calc!$F$26)+1))</f>
        <v/>
      </c>
      <c r="C94" s="274">
        <v>86</v>
      </c>
      <c r="D94" s="154">
        <f>IF(Plan!$T92="","",Plan!$T92)</f>
        <v>45969</v>
      </c>
      <c r="E94" s="155">
        <f>IF(Plan!$U92="","",Plan!$U92)</f>
        <v>0.64583333333333337</v>
      </c>
      <c r="F94" s="175" t="str">
        <f>Plan!$Q92</f>
        <v>1. FC Union Berlin</v>
      </c>
      <c r="G94" s="176" t="s">
        <v>4</v>
      </c>
      <c r="H94" s="175" t="str">
        <f>Plan!$S92</f>
        <v>FC Bayern München</v>
      </c>
      <c r="I94" s="177">
        <v>2</v>
      </c>
      <c r="J94" s="178" t="str">
        <f>Language!$E$65</f>
        <v xml:space="preserve"> : </v>
      </c>
      <c r="K94" s="179">
        <v>2</v>
      </c>
      <c r="L94" s="383"/>
      <c r="M94" s="384"/>
    </row>
    <row r="95" spans="2:42" ht="15.75" x14ac:dyDescent="0.2">
      <c r="B95" s="278" t="str">
        <f>IF(Calc!$F$26=0,"",IF(OR($C95&gt;Calc!$B$24,MOD($C95-1,Calc!$F$26)&gt;0),"",QUOTIENT($C95-1,Calc!$F$26)+1))</f>
        <v/>
      </c>
      <c r="C95" s="274">
        <v>87</v>
      </c>
      <c r="D95" s="154">
        <f>IF(Plan!$T93="","",Plan!$T93)</f>
        <v>45969</v>
      </c>
      <c r="E95" s="155">
        <f>IF(Plan!$U93="","",Plan!$U93)</f>
        <v>0.77083333333333337</v>
      </c>
      <c r="F95" s="175" t="str">
        <f>Plan!$Q93</f>
        <v>Borussia Mönchengladbach</v>
      </c>
      <c r="G95" s="176" t="s">
        <v>4</v>
      </c>
      <c r="H95" s="175" t="str">
        <f>Plan!$S93</f>
        <v>1. FC Köln</v>
      </c>
      <c r="I95" s="177">
        <v>3</v>
      </c>
      <c r="J95" s="178" t="str">
        <f>Language!$E$65</f>
        <v xml:space="preserve"> : </v>
      </c>
      <c r="K95" s="179">
        <v>1</v>
      </c>
      <c r="L95" s="383"/>
      <c r="M95" s="384"/>
    </row>
    <row r="96" spans="2:42" ht="15.75" x14ac:dyDescent="0.2">
      <c r="B96" s="278" t="str">
        <f>IF(Calc!$F$26=0,"",IF(OR($C96&gt;Calc!$B$24,MOD($C96-1,Calc!$F$26)&gt;0),"",QUOTIENT($C96-1,Calc!$F$26)+1))</f>
        <v/>
      </c>
      <c r="C96" s="274">
        <v>88</v>
      </c>
      <c r="D96" s="154">
        <f>IF(Plan!$T94="","",Plan!$T94)</f>
        <v>45970</v>
      </c>
      <c r="E96" s="155">
        <f>IF(Plan!$U94="","",Plan!$U94)</f>
        <v>0.64583333333333337</v>
      </c>
      <c r="F96" s="175" t="str">
        <f>Plan!$Q94</f>
        <v>SC Freiburg</v>
      </c>
      <c r="G96" s="176" t="s">
        <v>4</v>
      </c>
      <c r="H96" s="175" t="str">
        <f>Plan!$S94</f>
        <v>FC St. Pauli</v>
      </c>
      <c r="I96" s="177">
        <v>2</v>
      </c>
      <c r="J96" s="178" t="str">
        <f>Language!$E$65</f>
        <v xml:space="preserve"> : </v>
      </c>
      <c r="K96" s="179">
        <v>1</v>
      </c>
      <c r="L96" s="383"/>
      <c r="M96" s="384"/>
    </row>
    <row r="97" spans="2:13" ht="15.75" x14ac:dyDescent="0.2">
      <c r="B97" s="278" t="str">
        <f>IF(Calc!$F$26=0,"",IF(OR($C97&gt;Calc!$B$24,MOD($C97-1,Calc!$F$26)&gt;0),"",QUOTIENT($C97-1,Calc!$F$26)+1))</f>
        <v/>
      </c>
      <c r="C97" s="274">
        <v>89</v>
      </c>
      <c r="D97" s="154">
        <f>IF(Plan!$T95="","",Plan!$T95)</f>
        <v>45970</v>
      </c>
      <c r="E97" s="155">
        <f>IF(Plan!$U95="","",Plan!$U95)</f>
        <v>0.72916666666666663</v>
      </c>
      <c r="F97" s="175" t="str">
        <f>Plan!$Q95</f>
        <v>VfB Stuttgart</v>
      </c>
      <c r="G97" s="176" t="s">
        <v>4</v>
      </c>
      <c r="H97" s="175" t="str">
        <f>Plan!$S95</f>
        <v>FC Augsburg</v>
      </c>
      <c r="I97" s="177">
        <v>3</v>
      </c>
      <c r="J97" s="178" t="str">
        <f>Language!$E$65</f>
        <v xml:space="preserve"> : </v>
      </c>
      <c r="K97" s="179">
        <v>2</v>
      </c>
      <c r="L97" s="383"/>
      <c r="M97" s="384"/>
    </row>
    <row r="98" spans="2:13" ht="15.75" x14ac:dyDescent="0.2">
      <c r="B98" s="278" t="str">
        <f>IF(Calc!$F$26=0,"",IF(OR($C98&gt;Calc!$B$24,MOD($C98-1,Calc!$F$26)&gt;0),"",QUOTIENT($C98-1,Calc!$F$26)+1))</f>
        <v/>
      </c>
      <c r="C98" s="274">
        <v>90</v>
      </c>
      <c r="D98" s="154">
        <f>IF(Plan!$T96="","",Plan!$T96)</f>
        <v>45970</v>
      </c>
      <c r="E98" s="155">
        <f>IF(Plan!$U96="","",Plan!$U96)</f>
        <v>0.8125</v>
      </c>
      <c r="F98" s="175" t="str">
        <f>Plan!$Q96</f>
        <v>Eintracht Frankfurt</v>
      </c>
      <c r="G98" s="176" t="s">
        <v>4</v>
      </c>
      <c r="H98" s="175" t="str">
        <f>Plan!$S96</f>
        <v>1. FSV Mainz 05</v>
      </c>
      <c r="I98" s="177">
        <v>1</v>
      </c>
      <c r="J98" s="178" t="str">
        <f>Language!$E$65</f>
        <v xml:space="preserve"> : </v>
      </c>
      <c r="K98" s="179">
        <v>0</v>
      </c>
      <c r="L98" s="383"/>
      <c r="M98" s="384"/>
    </row>
    <row r="99" spans="2:13" ht="15.75" x14ac:dyDescent="0.2">
      <c r="B99" s="278">
        <f>IF(Calc!$F$26=0,"",IF(OR($C99&gt;Calc!$B$24,MOD($C99-1,Calc!$F$26)&gt;0),"",QUOTIENT($C99-1,Calc!$F$26)+1))</f>
        <v>11</v>
      </c>
      <c r="C99" s="274">
        <v>91</v>
      </c>
      <c r="D99" s="154">
        <f>IF(Plan!$T97="","",Plan!$T97)</f>
        <v>45982</v>
      </c>
      <c r="E99" s="155">
        <f>IF(Plan!$U97="","",Plan!$U97)</f>
        <v>0.85416666666666663</v>
      </c>
      <c r="F99" s="175" t="str">
        <f>Plan!$Q97</f>
        <v>1. FSV Mainz 05</v>
      </c>
      <c r="G99" s="176" t="s">
        <v>4</v>
      </c>
      <c r="H99" s="175" t="str">
        <f>Plan!$S97</f>
        <v>TSG Hoffenheim</v>
      </c>
      <c r="I99" s="177">
        <v>1</v>
      </c>
      <c r="J99" s="178" t="str">
        <f>Language!$E$65</f>
        <v xml:space="preserve"> : </v>
      </c>
      <c r="K99" s="179">
        <v>1</v>
      </c>
      <c r="L99" s="383"/>
      <c r="M99" s="384"/>
    </row>
    <row r="100" spans="2:13" ht="15.75" x14ac:dyDescent="0.2">
      <c r="B100" s="278" t="str">
        <f>IF(Calc!$F$26=0,"",IF(OR($C100&gt;Calc!$B$24,MOD($C100-1,Calc!$F$26)&gt;0),"",QUOTIENT($C100-1,Calc!$F$26)+1))</f>
        <v/>
      </c>
      <c r="C100" s="274">
        <v>92</v>
      </c>
      <c r="D100" s="154">
        <f>IF(Plan!$T98="","",Plan!$T98)</f>
        <v>45983</v>
      </c>
      <c r="E100" s="155">
        <f>IF(Plan!$U98="","",Plan!$U98)</f>
        <v>0.64583333333333337</v>
      </c>
      <c r="F100" s="175" t="str">
        <f>Plan!$Q98</f>
        <v>FC Augsburg</v>
      </c>
      <c r="G100" s="176" t="s">
        <v>4</v>
      </c>
      <c r="H100" s="175" t="str">
        <f>Plan!$S98</f>
        <v>Hamburger SV</v>
      </c>
      <c r="I100" s="177">
        <v>1</v>
      </c>
      <c r="J100" s="178" t="str">
        <f>Language!$E$65</f>
        <v xml:space="preserve"> : </v>
      </c>
      <c r="K100" s="179">
        <v>0</v>
      </c>
      <c r="L100" s="383"/>
      <c r="M100" s="384"/>
    </row>
    <row r="101" spans="2:13" ht="15.75" x14ac:dyDescent="0.2">
      <c r="B101" s="278" t="str">
        <f>IF(Calc!$F$26=0,"",IF(OR($C101&gt;Calc!$B$24,MOD($C101-1,Calc!$F$26)&gt;0),"",QUOTIENT($C101-1,Calc!$F$26)+1))</f>
        <v/>
      </c>
      <c r="C101" s="274">
        <v>93</v>
      </c>
      <c r="D101" s="154">
        <f>IF(Plan!$T99="","",Plan!$T99)</f>
        <v>45983</v>
      </c>
      <c r="E101" s="155">
        <f>IF(Plan!$U99="","",Plan!$U99)</f>
        <v>0.64583333333333337</v>
      </c>
      <c r="F101" s="175" t="str">
        <f>Plan!$Q99</f>
        <v>1. FC Heidenheim 1846</v>
      </c>
      <c r="G101" s="176" t="s">
        <v>4</v>
      </c>
      <c r="H101" s="175" t="str">
        <f>Plan!$S99</f>
        <v>Borussia Mönchengladbach</v>
      </c>
      <c r="I101" s="177">
        <v>0</v>
      </c>
      <c r="J101" s="178" t="str">
        <f>Language!$E$65</f>
        <v xml:space="preserve"> : </v>
      </c>
      <c r="K101" s="179">
        <v>3</v>
      </c>
      <c r="L101" s="383"/>
      <c r="M101" s="384"/>
    </row>
    <row r="102" spans="2:13" ht="15.75" x14ac:dyDescent="0.2">
      <c r="B102" s="278" t="str">
        <f>IF(Calc!$F$26=0,"",IF(OR($C102&gt;Calc!$B$24,MOD($C102-1,Calc!$F$26)&gt;0),"",QUOTIENT($C102-1,Calc!$F$26)+1))</f>
        <v/>
      </c>
      <c r="C102" s="274">
        <v>94</v>
      </c>
      <c r="D102" s="154">
        <f>IF(Plan!$T100="","",Plan!$T100)</f>
        <v>45983</v>
      </c>
      <c r="E102" s="155">
        <f>IF(Plan!$U100="","",Plan!$U100)</f>
        <v>0.64583333333333337</v>
      </c>
      <c r="F102" s="175" t="str">
        <f>Plan!$Q100</f>
        <v>VfL Wolfsburg</v>
      </c>
      <c r="G102" s="176" t="s">
        <v>4</v>
      </c>
      <c r="H102" s="175" t="str">
        <f>Plan!$S100</f>
        <v>Bayer 04 Leverkusen</v>
      </c>
      <c r="I102" s="177">
        <v>1</v>
      </c>
      <c r="J102" s="178" t="str">
        <f>Language!$E$65</f>
        <v xml:space="preserve"> : </v>
      </c>
      <c r="K102" s="179">
        <v>3</v>
      </c>
      <c r="L102" s="383"/>
      <c r="M102" s="384"/>
    </row>
    <row r="103" spans="2:13" ht="15.75" x14ac:dyDescent="0.2">
      <c r="B103" s="278" t="str">
        <f>IF(Calc!$F$26=0,"",IF(OR($C103&gt;Calc!$B$24,MOD($C103-1,Calc!$F$26)&gt;0),"",QUOTIENT($C103-1,Calc!$F$26)+1))</f>
        <v/>
      </c>
      <c r="C103" s="274">
        <v>95</v>
      </c>
      <c r="D103" s="154">
        <f>IF(Plan!$T101="","",Plan!$T101)</f>
        <v>45983</v>
      </c>
      <c r="E103" s="155">
        <f>IF(Plan!$U101="","",Plan!$U101)</f>
        <v>0.64583333333333337</v>
      </c>
      <c r="F103" s="175" t="str">
        <f>Plan!$Q101</f>
        <v>FC Bayern München</v>
      </c>
      <c r="G103" s="176" t="s">
        <v>4</v>
      </c>
      <c r="H103" s="175" t="str">
        <f>Plan!$S101</f>
        <v>SC Freiburg</v>
      </c>
      <c r="I103" s="177">
        <v>6</v>
      </c>
      <c r="J103" s="178" t="str">
        <f>Language!$E$65</f>
        <v xml:space="preserve"> : </v>
      </c>
      <c r="K103" s="179">
        <v>2</v>
      </c>
      <c r="L103" s="383"/>
      <c r="M103" s="384"/>
    </row>
    <row r="104" spans="2:13" ht="15.75" x14ac:dyDescent="0.2">
      <c r="B104" s="278" t="str">
        <f>IF(Calc!$F$26=0,"",IF(OR($C104&gt;Calc!$B$24,MOD($C104-1,Calc!$F$26)&gt;0),"",QUOTIENT($C104-1,Calc!$F$26)+1))</f>
        <v/>
      </c>
      <c r="C104" s="274">
        <v>96</v>
      </c>
      <c r="D104" s="154">
        <f>IF(Plan!$T102="","",Plan!$T102)</f>
        <v>45983</v>
      </c>
      <c r="E104" s="155">
        <f>IF(Plan!$U102="","",Plan!$U102)</f>
        <v>0.64583333333333337</v>
      </c>
      <c r="F104" s="175" t="str">
        <f>Plan!$Q102</f>
        <v>Borussia Dortmund</v>
      </c>
      <c r="G104" s="176" t="s">
        <v>4</v>
      </c>
      <c r="H104" s="175" t="str">
        <f>Plan!$S102</f>
        <v>VfB Stuttgart</v>
      </c>
      <c r="I104" s="177">
        <v>3</v>
      </c>
      <c r="J104" s="178" t="str">
        <f>Language!$E$65</f>
        <v xml:space="preserve"> : </v>
      </c>
      <c r="K104" s="179">
        <v>3</v>
      </c>
      <c r="L104" s="383"/>
      <c r="M104" s="384"/>
    </row>
    <row r="105" spans="2:13" ht="15.75" x14ac:dyDescent="0.2">
      <c r="B105" s="278" t="str">
        <f>IF(Calc!$F$26=0,"",IF(OR($C105&gt;Calc!$B$24,MOD($C105-1,Calc!$F$26)&gt;0),"",QUOTIENT($C105-1,Calc!$F$26)+1))</f>
        <v/>
      </c>
      <c r="C105" s="274">
        <v>97</v>
      </c>
      <c r="D105" s="154">
        <f>IF(Plan!$T103="","",Plan!$T103)</f>
        <v>45983</v>
      </c>
      <c r="E105" s="155">
        <f>IF(Plan!$U103="","",Plan!$U103)</f>
        <v>0.77083333333333337</v>
      </c>
      <c r="F105" s="175" t="str">
        <f>Plan!$Q103</f>
        <v>1. FC Köln</v>
      </c>
      <c r="G105" s="176" t="s">
        <v>4</v>
      </c>
      <c r="H105" s="175" t="str">
        <f>Plan!$S103</f>
        <v>Eintracht Frankfurt</v>
      </c>
      <c r="I105" s="177">
        <v>3</v>
      </c>
      <c r="J105" s="178" t="str">
        <f>Language!$E$65</f>
        <v xml:space="preserve"> : </v>
      </c>
      <c r="K105" s="179">
        <v>4</v>
      </c>
      <c r="L105" s="383"/>
      <c r="M105" s="384"/>
    </row>
    <row r="106" spans="2:13" ht="15.75" x14ac:dyDescent="0.2">
      <c r="B106" s="278" t="str">
        <f>IF(Calc!$F$26=0,"",IF(OR($C106&gt;Calc!$B$24,MOD($C106-1,Calc!$F$26)&gt;0),"",QUOTIENT($C106-1,Calc!$F$26)+1))</f>
        <v/>
      </c>
      <c r="C106" s="274">
        <v>98</v>
      </c>
      <c r="D106" s="154">
        <f>IF(Plan!$T104="","",Plan!$T104)</f>
        <v>45984</v>
      </c>
      <c r="E106" s="155">
        <f>IF(Plan!$U104="","",Plan!$U104)</f>
        <v>0.64583333333333337</v>
      </c>
      <c r="F106" s="175" t="str">
        <f>Plan!$Q104</f>
        <v>RB Leipzig</v>
      </c>
      <c r="G106" s="176" t="s">
        <v>4</v>
      </c>
      <c r="H106" s="175" t="str">
        <f>Plan!$S104</f>
        <v>SV Werder Bremen</v>
      </c>
      <c r="I106" s="177">
        <v>2</v>
      </c>
      <c r="J106" s="178" t="str">
        <f>Language!$E$65</f>
        <v xml:space="preserve"> : </v>
      </c>
      <c r="K106" s="179">
        <v>0</v>
      </c>
      <c r="L106" s="383"/>
      <c r="M106" s="384"/>
    </row>
    <row r="107" spans="2:13" ht="15.75" x14ac:dyDescent="0.2">
      <c r="B107" s="278" t="str">
        <f>IF(Calc!$F$26=0,"",IF(OR($C107&gt;Calc!$B$24,MOD($C107-1,Calc!$F$26)&gt;0),"",QUOTIENT($C107-1,Calc!$F$26)+1))</f>
        <v/>
      </c>
      <c r="C107" s="274">
        <v>99</v>
      </c>
      <c r="D107" s="154">
        <f>IF(Plan!$T105="","",Plan!$T105)</f>
        <v>45984</v>
      </c>
      <c r="E107" s="155">
        <f>IF(Plan!$U105="","",Plan!$U105)</f>
        <v>0.72916666666666663</v>
      </c>
      <c r="F107" s="175" t="str">
        <f>Plan!$Q105</f>
        <v>FC St. Pauli</v>
      </c>
      <c r="G107" s="176" t="s">
        <v>4</v>
      </c>
      <c r="H107" s="175" t="str">
        <f>Plan!$S105</f>
        <v>1. FC Union Berlin</v>
      </c>
      <c r="I107" s="177">
        <v>0</v>
      </c>
      <c r="J107" s="178" t="str">
        <f>Language!$E$65</f>
        <v xml:space="preserve"> : </v>
      </c>
      <c r="K107" s="179">
        <v>1</v>
      </c>
      <c r="L107" s="383"/>
      <c r="M107" s="384"/>
    </row>
    <row r="108" spans="2:13" ht="15.75" x14ac:dyDescent="0.2">
      <c r="B108" s="278">
        <f>IF(Calc!$F$26=0,"",IF(OR($C108&gt;Calc!$B$24,MOD($C108-1,Calc!$F$26)&gt;0),"",QUOTIENT($C108-1,Calc!$F$26)+1))</f>
        <v>12</v>
      </c>
      <c r="C108" s="274">
        <v>100</v>
      </c>
      <c r="D108" s="154">
        <f>IF(Plan!$T106="","",Plan!$T106)</f>
        <v>45989</v>
      </c>
      <c r="E108" s="155">
        <f>IF(Plan!$U106="","",Plan!$U106)</f>
        <v>0.85416666666666663</v>
      </c>
      <c r="F108" s="175" t="str">
        <f>Plan!$Q106</f>
        <v>Borussia Mönchengladbach</v>
      </c>
      <c r="G108" s="176" t="s">
        <v>4</v>
      </c>
      <c r="H108" s="175" t="str">
        <f>Plan!$S106</f>
        <v>RB Leipzig</v>
      </c>
      <c r="I108" s="177">
        <v>0</v>
      </c>
      <c r="J108" s="178" t="str">
        <f>Language!$E$65</f>
        <v xml:space="preserve"> : </v>
      </c>
      <c r="K108" s="179">
        <v>0</v>
      </c>
      <c r="L108" s="383"/>
      <c r="M108" s="384"/>
    </row>
    <row r="109" spans="2:13" ht="15.75" x14ac:dyDescent="0.2">
      <c r="B109" s="278" t="str">
        <f>IF(Calc!$F$26=0,"",IF(OR($C109&gt;Calc!$B$24,MOD($C109-1,Calc!$F$26)&gt;0),"",QUOTIENT($C109-1,Calc!$F$26)+1))</f>
        <v/>
      </c>
      <c r="C109" s="274">
        <v>101</v>
      </c>
      <c r="D109" s="154">
        <f>IF(Plan!$T107="","",Plan!$T107)</f>
        <v>45990</v>
      </c>
      <c r="E109" s="155">
        <f>IF(Plan!$U107="","",Plan!$U107)</f>
        <v>0.64583333333333337</v>
      </c>
      <c r="F109" s="175" t="str">
        <f>Plan!$Q107</f>
        <v>1. FC Union Berlin</v>
      </c>
      <c r="G109" s="176" t="s">
        <v>4</v>
      </c>
      <c r="H109" s="175" t="str">
        <f>Plan!$S107</f>
        <v>1. FC Heidenheim 1846</v>
      </c>
      <c r="I109" s="177">
        <v>1</v>
      </c>
      <c r="J109" s="178" t="str">
        <f>Language!$E$65</f>
        <v xml:space="preserve"> : </v>
      </c>
      <c r="K109" s="179">
        <v>2</v>
      </c>
      <c r="L109" s="383"/>
      <c r="M109" s="384"/>
    </row>
    <row r="110" spans="2:13" ht="15.75" x14ac:dyDescent="0.2">
      <c r="B110" s="278" t="str">
        <f>IF(Calc!$F$26=0,"",IF(OR($C110&gt;Calc!$B$24,MOD($C110-1,Calc!$F$26)&gt;0),"",QUOTIENT($C110-1,Calc!$F$26)+1))</f>
        <v/>
      </c>
      <c r="C110" s="274">
        <v>102</v>
      </c>
      <c r="D110" s="154">
        <f>IF(Plan!$T108="","",Plan!$T108)</f>
        <v>45990</v>
      </c>
      <c r="E110" s="155">
        <f>IF(Plan!$U108="","",Plan!$U108)</f>
        <v>0.64583333333333337</v>
      </c>
      <c r="F110" s="175" t="str">
        <f>Plan!$Q108</f>
        <v>TSG Hoffenheim</v>
      </c>
      <c r="G110" s="176" t="s">
        <v>4</v>
      </c>
      <c r="H110" s="175" t="str">
        <f>Plan!$S108</f>
        <v>FC Augsburg</v>
      </c>
      <c r="I110" s="177">
        <v>3</v>
      </c>
      <c r="J110" s="178" t="str">
        <f>Language!$E$65</f>
        <v xml:space="preserve"> : </v>
      </c>
      <c r="K110" s="179">
        <v>0</v>
      </c>
      <c r="L110" s="383"/>
      <c r="M110" s="384"/>
    </row>
    <row r="111" spans="2:13" ht="15.75" x14ac:dyDescent="0.2">
      <c r="B111" s="278" t="str">
        <f>IF(Calc!$F$26=0,"",IF(OR($C111&gt;Calc!$B$24,MOD($C111-1,Calc!$F$26)&gt;0),"",QUOTIENT($C111-1,Calc!$F$26)+1))</f>
        <v/>
      </c>
      <c r="C111" s="274">
        <v>103</v>
      </c>
      <c r="D111" s="154">
        <f>IF(Plan!$T109="","",Plan!$T109)</f>
        <v>45990</v>
      </c>
      <c r="E111" s="155">
        <f>IF(Plan!$U109="","",Plan!$U109)</f>
        <v>0.64583333333333337</v>
      </c>
      <c r="F111" s="175" t="str">
        <f>Plan!$Q109</f>
        <v>FC Bayern München</v>
      </c>
      <c r="G111" s="176" t="s">
        <v>4</v>
      </c>
      <c r="H111" s="175" t="str">
        <f>Plan!$S109</f>
        <v>FC St. Pauli</v>
      </c>
      <c r="I111" s="177">
        <v>3</v>
      </c>
      <c r="J111" s="178" t="str">
        <f>Language!$E$65</f>
        <v xml:space="preserve"> : </v>
      </c>
      <c r="K111" s="179">
        <v>1</v>
      </c>
      <c r="L111" s="383"/>
      <c r="M111" s="384"/>
    </row>
    <row r="112" spans="2:13" ht="15.75" x14ac:dyDescent="0.2">
      <c r="B112" s="278" t="str">
        <f>IF(Calc!$F$26=0,"",IF(OR($C112&gt;Calc!$B$24,MOD($C112-1,Calc!$F$26)&gt;0),"",QUOTIENT($C112-1,Calc!$F$26)+1))</f>
        <v/>
      </c>
      <c r="C112" s="274">
        <v>104</v>
      </c>
      <c r="D112" s="154">
        <f>IF(Plan!$T110="","",Plan!$T110)</f>
        <v>45990</v>
      </c>
      <c r="E112" s="155">
        <f>IF(Plan!$U110="","",Plan!$U110)</f>
        <v>0.64583333333333337</v>
      </c>
      <c r="F112" s="175" t="str">
        <f>Plan!$Q110</f>
        <v>SV Werder Bremen</v>
      </c>
      <c r="G112" s="176" t="s">
        <v>4</v>
      </c>
      <c r="H112" s="175" t="str">
        <f>Plan!$S110</f>
        <v>1. FC Köln</v>
      </c>
      <c r="I112" s="177">
        <v>1</v>
      </c>
      <c r="J112" s="178" t="str">
        <f>Language!$E$65</f>
        <v xml:space="preserve"> : </v>
      </c>
      <c r="K112" s="179">
        <v>1</v>
      </c>
      <c r="L112" s="383"/>
      <c r="M112" s="384"/>
    </row>
    <row r="113" spans="2:13" ht="15.75" x14ac:dyDescent="0.2">
      <c r="B113" s="278" t="str">
        <f>IF(Calc!$F$26=0,"",IF(OR($C113&gt;Calc!$B$24,MOD($C113-1,Calc!$F$26)&gt;0),"",QUOTIENT($C113-1,Calc!$F$26)+1))</f>
        <v/>
      </c>
      <c r="C113" s="274">
        <v>105</v>
      </c>
      <c r="D113" s="154">
        <f>IF(Plan!$T111="","",Plan!$T111)</f>
        <v>45990</v>
      </c>
      <c r="E113" s="155">
        <f>IF(Plan!$U111="","",Plan!$U111)</f>
        <v>0.77083333333333337</v>
      </c>
      <c r="F113" s="175" t="str">
        <f>Plan!$Q111</f>
        <v>Bayer 04 Leverkusen</v>
      </c>
      <c r="G113" s="176" t="s">
        <v>4</v>
      </c>
      <c r="H113" s="175" t="str">
        <f>Plan!$S111</f>
        <v>Borussia Dortmund</v>
      </c>
      <c r="I113" s="177">
        <v>1</v>
      </c>
      <c r="J113" s="178" t="str">
        <f>Language!$E$65</f>
        <v xml:space="preserve"> : </v>
      </c>
      <c r="K113" s="179">
        <v>2</v>
      </c>
      <c r="L113" s="383"/>
      <c r="M113" s="384"/>
    </row>
    <row r="114" spans="2:13" ht="15.75" x14ac:dyDescent="0.2">
      <c r="B114" s="278" t="str">
        <f>IF(Calc!$F$26=0,"",IF(OR($C114&gt;Calc!$B$24,MOD($C114-1,Calc!$F$26)&gt;0),"",QUOTIENT($C114-1,Calc!$F$26)+1))</f>
        <v/>
      </c>
      <c r="C114" s="274">
        <v>106</v>
      </c>
      <c r="D114" s="154">
        <f>IF(Plan!$T112="","",Plan!$T112)</f>
        <v>45991</v>
      </c>
      <c r="E114" s="155">
        <f>IF(Plan!$U112="","",Plan!$U112)</f>
        <v>0.64583333333333337</v>
      </c>
      <c r="F114" s="175" t="str">
        <f>Plan!$Q112</f>
        <v>Hamburger SV</v>
      </c>
      <c r="G114" s="176" t="s">
        <v>4</v>
      </c>
      <c r="H114" s="175" t="str">
        <f>Plan!$S112</f>
        <v>VfB Stuttgart</v>
      </c>
      <c r="I114" s="177">
        <v>2</v>
      </c>
      <c r="J114" s="178" t="str">
        <f>Language!$E$65</f>
        <v xml:space="preserve"> : </v>
      </c>
      <c r="K114" s="179">
        <v>1</v>
      </c>
      <c r="L114" s="383"/>
      <c r="M114" s="384"/>
    </row>
    <row r="115" spans="2:13" ht="15.75" x14ac:dyDescent="0.2">
      <c r="B115" s="278" t="str">
        <f>IF(Calc!$F$26=0,"",IF(OR($C115&gt;Calc!$B$24,MOD($C115-1,Calc!$F$26)&gt;0),"",QUOTIENT($C115-1,Calc!$F$26)+1))</f>
        <v/>
      </c>
      <c r="C115" s="274">
        <v>107</v>
      </c>
      <c r="D115" s="154">
        <f>IF(Plan!$T113="","",Plan!$T113)</f>
        <v>45991</v>
      </c>
      <c r="E115" s="155">
        <f>IF(Plan!$U113="","",Plan!$U113)</f>
        <v>0.72916666666666663</v>
      </c>
      <c r="F115" s="175" t="str">
        <f>Plan!$Q113</f>
        <v>Eintracht Frankfurt</v>
      </c>
      <c r="G115" s="176" t="s">
        <v>4</v>
      </c>
      <c r="H115" s="175" t="str">
        <f>Plan!$S113</f>
        <v>VfL Wolfsburg</v>
      </c>
      <c r="I115" s="177">
        <v>1</v>
      </c>
      <c r="J115" s="178" t="str">
        <f>Language!$E$65</f>
        <v xml:space="preserve"> : </v>
      </c>
      <c r="K115" s="179">
        <v>1</v>
      </c>
      <c r="L115" s="383"/>
      <c r="M115" s="384"/>
    </row>
    <row r="116" spans="2:13" ht="15.75" x14ac:dyDescent="0.2">
      <c r="B116" s="278" t="str">
        <f>IF(Calc!$F$26=0,"",IF(OR($C116&gt;Calc!$B$24,MOD($C116-1,Calc!$F$26)&gt;0),"",QUOTIENT($C116-1,Calc!$F$26)+1))</f>
        <v/>
      </c>
      <c r="C116" s="274">
        <v>108</v>
      </c>
      <c r="D116" s="154">
        <f>IF(Plan!$T114="","",Plan!$T114)</f>
        <v>45991</v>
      </c>
      <c r="E116" s="155">
        <f>IF(Plan!$U114="","",Plan!$U114)</f>
        <v>0.8125</v>
      </c>
      <c r="F116" s="175" t="str">
        <f>Plan!$Q114</f>
        <v>SC Freiburg</v>
      </c>
      <c r="G116" s="176" t="s">
        <v>4</v>
      </c>
      <c r="H116" s="175" t="str">
        <f>Plan!$S114</f>
        <v>1. FSV Mainz 05</v>
      </c>
      <c r="I116" s="177">
        <v>4</v>
      </c>
      <c r="J116" s="178" t="str">
        <f>Language!$E$65</f>
        <v xml:space="preserve"> : </v>
      </c>
      <c r="K116" s="179">
        <v>0</v>
      </c>
      <c r="L116" s="383"/>
      <c r="M116" s="384"/>
    </row>
    <row r="117" spans="2:13" ht="15.75" x14ac:dyDescent="0.2">
      <c r="B117" s="278">
        <f>IF(Calc!$F$26=0,"",IF(OR($C117&gt;Calc!$B$24,MOD($C117-1,Calc!$F$26)&gt;0),"",QUOTIENT($C117-1,Calc!$F$26)+1))</f>
        <v>13</v>
      </c>
      <c r="C117" s="274">
        <v>109</v>
      </c>
      <c r="D117" s="154">
        <f>IF(Plan!$T115="","",Plan!$T115)</f>
        <v>45996</v>
      </c>
      <c r="E117" s="155">
        <f>IF(Plan!$U115="","",Plan!$U115)</f>
        <v>0.85416666666666663</v>
      </c>
      <c r="F117" s="175" t="str">
        <f>Plan!$Q115</f>
        <v>1. FSV Mainz 05</v>
      </c>
      <c r="G117" s="176" t="s">
        <v>4</v>
      </c>
      <c r="H117" s="175" t="str">
        <f>Plan!$S115</f>
        <v>Borussia Mönchengladbach</v>
      </c>
      <c r="I117" s="177">
        <v>0</v>
      </c>
      <c r="J117" s="178" t="str">
        <f>Language!$E$65</f>
        <v xml:space="preserve"> : </v>
      </c>
      <c r="K117" s="179">
        <v>1</v>
      </c>
      <c r="L117" s="383"/>
      <c r="M117" s="384"/>
    </row>
    <row r="118" spans="2:13" ht="15.75" x14ac:dyDescent="0.2">
      <c r="B118" s="278" t="str">
        <f>IF(Calc!$F$26=0,"",IF(OR($C118&gt;Calc!$B$24,MOD($C118-1,Calc!$F$26)&gt;0),"",QUOTIENT($C118-1,Calc!$F$26)+1))</f>
        <v/>
      </c>
      <c r="C118" s="274">
        <v>110</v>
      </c>
      <c r="D118" s="154">
        <f>IF(Plan!$T116="","",Plan!$T116)</f>
        <v>45997</v>
      </c>
      <c r="E118" s="155">
        <f>IF(Plan!$U116="","",Plan!$U116)</f>
        <v>0.64583333333333337</v>
      </c>
      <c r="F118" s="175" t="str">
        <f>Plan!$Q116</f>
        <v>1. FC Heidenheim 1846</v>
      </c>
      <c r="G118" s="176" t="s">
        <v>4</v>
      </c>
      <c r="H118" s="175" t="str">
        <f>Plan!$S116</f>
        <v>SC Freiburg</v>
      </c>
      <c r="I118" s="177">
        <v>2</v>
      </c>
      <c r="J118" s="178" t="str">
        <f>Language!$E$65</f>
        <v xml:space="preserve"> : </v>
      </c>
      <c r="K118" s="179">
        <v>1</v>
      </c>
      <c r="L118" s="383"/>
      <c r="M118" s="384"/>
    </row>
    <row r="119" spans="2:13" ht="15.75" x14ac:dyDescent="0.2">
      <c r="B119" s="278" t="str">
        <f>IF(Calc!$F$26=0,"",IF(OR($C119&gt;Calc!$B$24,MOD($C119-1,Calc!$F$26)&gt;0),"",QUOTIENT($C119-1,Calc!$F$26)+1))</f>
        <v/>
      </c>
      <c r="C119" s="274">
        <v>111</v>
      </c>
      <c r="D119" s="154">
        <f>IF(Plan!$T117="","",Plan!$T117)</f>
        <v>45997</v>
      </c>
      <c r="E119" s="155">
        <f>IF(Plan!$U117="","",Plan!$U117)</f>
        <v>0.64583333333333337</v>
      </c>
      <c r="F119" s="175" t="str">
        <f>Plan!$Q117</f>
        <v>1. FC Köln</v>
      </c>
      <c r="G119" s="176" t="s">
        <v>4</v>
      </c>
      <c r="H119" s="175" t="str">
        <f>Plan!$S117</f>
        <v>FC St. Pauli</v>
      </c>
      <c r="I119" s="177">
        <v>1</v>
      </c>
      <c r="J119" s="178" t="str">
        <f>Language!$E$65</f>
        <v xml:space="preserve"> : </v>
      </c>
      <c r="K119" s="179">
        <v>1</v>
      </c>
      <c r="L119" s="383"/>
      <c r="M119" s="384"/>
    </row>
    <row r="120" spans="2:13" ht="15.75" x14ac:dyDescent="0.2">
      <c r="B120" s="278" t="str">
        <f>IF(Calc!$F$26=0,"",IF(OR($C120&gt;Calc!$B$24,MOD($C120-1,Calc!$F$26)&gt;0),"",QUOTIENT($C120-1,Calc!$F$26)+1))</f>
        <v/>
      </c>
      <c r="C120" s="274">
        <v>112</v>
      </c>
      <c r="D120" s="154">
        <f>IF(Plan!$T118="","",Plan!$T118)</f>
        <v>45997</v>
      </c>
      <c r="E120" s="155">
        <f>IF(Plan!$U118="","",Plan!$U118)</f>
        <v>0.64583333333333337</v>
      </c>
      <c r="F120" s="175" t="str">
        <f>Plan!$Q118</f>
        <v>FC Augsburg</v>
      </c>
      <c r="G120" s="176" t="s">
        <v>4</v>
      </c>
      <c r="H120" s="175" t="str">
        <f>Plan!$S118</f>
        <v>Bayer 04 Leverkusen</v>
      </c>
      <c r="I120" s="177">
        <v>2</v>
      </c>
      <c r="J120" s="178" t="str">
        <f>Language!$E$65</f>
        <v xml:space="preserve"> : </v>
      </c>
      <c r="K120" s="179">
        <v>0</v>
      </c>
      <c r="L120" s="383"/>
      <c r="M120" s="384"/>
    </row>
    <row r="121" spans="2:13" ht="15.75" x14ac:dyDescent="0.2">
      <c r="B121" s="278" t="str">
        <f>IF(Calc!$F$26=0,"",IF(OR($C121&gt;Calc!$B$24,MOD($C121-1,Calc!$F$26)&gt;0),"",QUOTIENT($C121-1,Calc!$F$26)+1))</f>
        <v/>
      </c>
      <c r="C121" s="274">
        <v>113</v>
      </c>
      <c r="D121" s="154">
        <f>IF(Plan!$T119="","",Plan!$T119)</f>
        <v>45997</v>
      </c>
      <c r="E121" s="155">
        <f>IF(Plan!$U119="","",Plan!$U119)</f>
        <v>0.64583333333333337</v>
      </c>
      <c r="F121" s="175" t="str">
        <f>Plan!$Q119</f>
        <v>VfB Stuttgart</v>
      </c>
      <c r="G121" s="176" t="s">
        <v>4</v>
      </c>
      <c r="H121" s="175" t="str">
        <f>Plan!$S119</f>
        <v>FC Bayern München</v>
      </c>
      <c r="I121" s="177">
        <v>0</v>
      </c>
      <c r="J121" s="178" t="str">
        <f>Language!$E$65</f>
        <v xml:space="preserve"> : </v>
      </c>
      <c r="K121" s="179">
        <v>5</v>
      </c>
      <c r="L121" s="383"/>
      <c r="M121" s="384"/>
    </row>
    <row r="122" spans="2:13" ht="15.75" x14ac:dyDescent="0.2">
      <c r="B122" s="278" t="str">
        <f>IF(Calc!$F$26=0,"",IF(OR($C122&gt;Calc!$B$24,MOD($C122-1,Calc!$F$26)&gt;0),"",QUOTIENT($C122-1,Calc!$F$26)+1))</f>
        <v/>
      </c>
      <c r="C122" s="274">
        <v>114</v>
      </c>
      <c r="D122" s="154">
        <f>IF(Plan!$T120="","",Plan!$T120)</f>
        <v>45997</v>
      </c>
      <c r="E122" s="155">
        <f>IF(Plan!$U120="","",Plan!$U120)</f>
        <v>0.64583333333333337</v>
      </c>
      <c r="F122" s="175" t="str">
        <f>Plan!$Q120</f>
        <v>VfL Wolfsburg</v>
      </c>
      <c r="G122" s="176" t="s">
        <v>4</v>
      </c>
      <c r="H122" s="175" t="str">
        <f>Plan!$S120</f>
        <v>1. FC Union Berlin</v>
      </c>
      <c r="I122" s="177">
        <v>3</v>
      </c>
      <c r="J122" s="178" t="str">
        <f>Language!$E$65</f>
        <v xml:space="preserve"> : </v>
      </c>
      <c r="K122" s="179">
        <v>1</v>
      </c>
      <c r="L122" s="383"/>
      <c r="M122" s="384"/>
    </row>
    <row r="123" spans="2:13" ht="15.75" x14ac:dyDescent="0.2">
      <c r="B123" s="278" t="str">
        <f>IF(Calc!$F$26=0,"",IF(OR($C123&gt;Calc!$B$24,MOD($C123-1,Calc!$F$26)&gt;0),"",QUOTIENT($C123-1,Calc!$F$26)+1))</f>
        <v/>
      </c>
      <c r="C123" s="274">
        <v>115</v>
      </c>
      <c r="D123" s="154">
        <f>IF(Plan!$T121="","",Plan!$T121)</f>
        <v>45997</v>
      </c>
      <c r="E123" s="155">
        <f>IF(Plan!$U121="","",Plan!$U121)</f>
        <v>0.77083333333333337</v>
      </c>
      <c r="F123" s="175" t="str">
        <f>Plan!$Q121</f>
        <v>RB Leipzig</v>
      </c>
      <c r="G123" s="176" t="s">
        <v>4</v>
      </c>
      <c r="H123" s="175" t="str">
        <f>Plan!$S121</f>
        <v>Eintracht Frankfurt</v>
      </c>
      <c r="I123" s="177">
        <v>6</v>
      </c>
      <c r="J123" s="178" t="str">
        <f>Language!$E$65</f>
        <v xml:space="preserve"> : </v>
      </c>
      <c r="K123" s="179">
        <v>0</v>
      </c>
      <c r="L123" s="383"/>
      <c r="M123" s="384"/>
    </row>
    <row r="124" spans="2:13" ht="15.75" x14ac:dyDescent="0.2">
      <c r="B124" s="278" t="str">
        <f>IF(Calc!$F$26=0,"",IF(OR($C124&gt;Calc!$B$24,MOD($C124-1,Calc!$F$26)&gt;0),"",QUOTIENT($C124-1,Calc!$F$26)+1))</f>
        <v/>
      </c>
      <c r="C124" s="274">
        <v>116</v>
      </c>
      <c r="D124" s="154">
        <f>IF(Plan!$T122="","",Plan!$T122)</f>
        <v>45998</v>
      </c>
      <c r="E124" s="155">
        <f>IF(Plan!$U122="","",Plan!$U122)</f>
        <v>0.64583333333333337</v>
      </c>
      <c r="F124" s="175" t="str">
        <f>Plan!$Q122</f>
        <v>Hamburger SV</v>
      </c>
      <c r="G124" s="176" t="s">
        <v>4</v>
      </c>
      <c r="H124" s="175" t="str">
        <f>Plan!$S122</f>
        <v>SV Werder Bremen</v>
      </c>
      <c r="I124" s="177">
        <v>3</v>
      </c>
      <c r="J124" s="178" t="str">
        <f>Language!$E$65</f>
        <v xml:space="preserve"> : </v>
      </c>
      <c r="K124" s="179">
        <v>2</v>
      </c>
      <c r="L124" s="383"/>
      <c r="M124" s="384"/>
    </row>
    <row r="125" spans="2:13" ht="15.75" x14ac:dyDescent="0.2">
      <c r="B125" s="278" t="str">
        <f>IF(Calc!$F$26=0,"",IF(OR($C125&gt;Calc!$B$24,MOD($C125-1,Calc!$F$26)&gt;0),"",QUOTIENT($C125-1,Calc!$F$26)+1))</f>
        <v/>
      </c>
      <c r="C125" s="274">
        <v>117</v>
      </c>
      <c r="D125" s="154">
        <f>IF(Plan!$T123="","",Plan!$T123)</f>
        <v>45998</v>
      </c>
      <c r="E125" s="155">
        <f>IF(Plan!$U123="","",Plan!$U123)</f>
        <v>0.72916666666666663</v>
      </c>
      <c r="F125" s="175" t="str">
        <f>Plan!$Q123</f>
        <v>Borussia Dortmund</v>
      </c>
      <c r="G125" s="176" t="s">
        <v>4</v>
      </c>
      <c r="H125" s="175" t="str">
        <f>Plan!$S123</f>
        <v>TSG Hoffenheim</v>
      </c>
      <c r="I125" s="177">
        <v>2</v>
      </c>
      <c r="J125" s="178" t="str">
        <f>Language!$E$65</f>
        <v xml:space="preserve"> : </v>
      </c>
      <c r="K125" s="179">
        <v>0</v>
      </c>
      <c r="L125" s="383"/>
      <c r="M125" s="384"/>
    </row>
    <row r="126" spans="2:13" ht="15.75" x14ac:dyDescent="0.2">
      <c r="B126" s="278">
        <f>IF(Calc!$F$26=0,"",IF(OR($C126&gt;Calc!$B$24,MOD($C126-1,Calc!$F$26)&gt;0),"",QUOTIENT($C126-1,Calc!$F$26)+1))</f>
        <v>14</v>
      </c>
      <c r="C126" s="274">
        <v>118</v>
      </c>
      <c r="D126" s="154">
        <f>IF(Plan!$T124="","",Plan!$T124)</f>
        <v>46003</v>
      </c>
      <c r="E126" s="155">
        <f>IF(Plan!$U124="","",Plan!$U124)</f>
        <v>0.85416666666666663</v>
      </c>
      <c r="F126" s="175" t="str">
        <f>Plan!$Q124</f>
        <v>1. FC Union Berlin</v>
      </c>
      <c r="G126" s="176" t="s">
        <v>4</v>
      </c>
      <c r="H126" s="175" t="str">
        <f>Plan!$S124</f>
        <v>RB Leipzig</v>
      </c>
      <c r="I126" s="177">
        <v>3</v>
      </c>
      <c r="J126" s="178" t="str">
        <f>Language!$E$65</f>
        <v xml:space="preserve"> : </v>
      </c>
      <c r="K126" s="179">
        <v>1</v>
      </c>
      <c r="L126" s="383"/>
      <c r="M126" s="384"/>
    </row>
    <row r="127" spans="2:13" ht="15.75" x14ac:dyDescent="0.2">
      <c r="B127" s="278" t="str">
        <f>IF(Calc!$F$26=0,"",IF(OR($C127&gt;Calc!$B$24,MOD($C127-1,Calc!$F$26)&gt;0),"",QUOTIENT($C127-1,Calc!$F$26)+1))</f>
        <v/>
      </c>
      <c r="C127" s="274">
        <v>119</v>
      </c>
      <c r="D127" s="154">
        <f>IF(Plan!$T125="","",Plan!$T125)</f>
        <v>46004</v>
      </c>
      <c r="E127" s="155">
        <f>IF(Plan!$U125="","",Plan!$U125)</f>
        <v>0.64583333333333337</v>
      </c>
      <c r="F127" s="175" t="str">
        <f>Plan!$Q125</f>
        <v>FC St. Pauli</v>
      </c>
      <c r="G127" s="176" t="s">
        <v>4</v>
      </c>
      <c r="H127" s="175" t="str">
        <f>Plan!$S125</f>
        <v>1. FC Heidenheim 1846</v>
      </c>
      <c r="I127" s="177">
        <v>2</v>
      </c>
      <c r="J127" s="178" t="str">
        <f>Language!$E$65</f>
        <v xml:space="preserve"> : </v>
      </c>
      <c r="K127" s="179">
        <v>1</v>
      </c>
      <c r="L127" s="383"/>
      <c r="M127" s="384"/>
    </row>
    <row r="128" spans="2:13" ht="15.75" x14ac:dyDescent="0.2">
      <c r="B128" s="278" t="str">
        <f>IF(Calc!$F$26=0,"",IF(OR($C128&gt;Calc!$B$24,MOD($C128-1,Calc!$F$26)&gt;0),"",QUOTIENT($C128-1,Calc!$F$26)+1))</f>
        <v/>
      </c>
      <c r="C128" s="274">
        <v>120</v>
      </c>
      <c r="D128" s="154">
        <f>IF(Plan!$T126="","",Plan!$T126)</f>
        <v>46004</v>
      </c>
      <c r="E128" s="155">
        <f>IF(Plan!$U126="","",Plan!$U126)</f>
        <v>0.64583333333333337</v>
      </c>
      <c r="F128" s="175" t="str">
        <f>Plan!$Q126</f>
        <v>TSG Hoffenheim</v>
      </c>
      <c r="G128" s="176" t="s">
        <v>4</v>
      </c>
      <c r="H128" s="175" t="str">
        <f>Plan!$S126</f>
        <v>Hamburger SV</v>
      </c>
      <c r="I128" s="177">
        <v>4</v>
      </c>
      <c r="J128" s="178" t="str">
        <f>Language!$E$65</f>
        <v xml:space="preserve"> : </v>
      </c>
      <c r="K128" s="179">
        <v>1</v>
      </c>
      <c r="L128" s="383"/>
      <c r="M128" s="384"/>
    </row>
    <row r="129" spans="2:13" ht="15.75" x14ac:dyDescent="0.2">
      <c r="B129" s="278" t="str">
        <f>IF(Calc!$F$26=0,"",IF(OR($C129&gt;Calc!$B$24,MOD($C129-1,Calc!$F$26)&gt;0),"",QUOTIENT($C129-1,Calc!$F$26)+1))</f>
        <v/>
      </c>
      <c r="C129" s="274">
        <v>121</v>
      </c>
      <c r="D129" s="154">
        <f>IF(Plan!$T127="","",Plan!$T127)</f>
        <v>46004</v>
      </c>
      <c r="E129" s="155">
        <f>IF(Plan!$U127="","",Plan!$U127)</f>
        <v>0.64583333333333337</v>
      </c>
      <c r="F129" s="175" t="str">
        <f>Plan!$Q127</f>
        <v>Eintracht Frankfurt</v>
      </c>
      <c r="G129" s="176" t="s">
        <v>4</v>
      </c>
      <c r="H129" s="175" t="str">
        <f>Plan!$S127</f>
        <v>FC Augsburg</v>
      </c>
      <c r="I129" s="177">
        <v>1</v>
      </c>
      <c r="J129" s="178" t="str">
        <f>Language!$E$65</f>
        <v xml:space="preserve"> : </v>
      </c>
      <c r="K129" s="179">
        <v>0</v>
      </c>
      <c r="L129" s="383"/>
      <c r="M129" s="384"/>
    </row>
    <row r="130" spans="2:13" ht="15.75" x14ac:dyDescent="0.2">
      <c r="B130" s="278" t="str">
        <f>IF(Calc!$F$26=0,"",IF(OR($C130&gt;Calc!$B$24,MOD($C130-1,Calc!$F$26)&gt;0),"",QUOTIENT($C130-1,Calc!$F$26)+1))</f>
        <v/>
      </c>
      <c r="C130" s="274">
        <v>122</v>
      </c>
      <c r="D130" s="154">
        <f>IF(Plan!$T128="","",Plan!$T128)</f>
        <v>46004</v>
      </c>
      <c r="E130" s="155">
        <f>IF(Plan!$U128="","",Plan!$U128)</f>
        <v>0.64583333333333337</v>
      </c>
      <c r="F130" s="175" t="str">
        <f>Plan!$Q128</f>
        <v>Borussia Mönchengladbach</v>
      </c>
      <c r="G130" s="176" t="s">
        <v>4</v>
      </c>
      <c r="H130" s="175" t="str">
        <f>Plan!$S128</f>
        <v>VfL Wolfsburg</v>
      </c>
      <c r="I130" s="177">
        <v>1</v>
      </c>
      <c r="J130" s="178" t="str">
        <f>Language!$E$65</f>
        <v xml:space="preserve"> : </v>
      </c>
      <c r="K130" s="179">
        <v>3</v>
      </c>
      <c r="L130" s="383"/>
      <c r="M130" s="384"/>
    </row>
    <row r="131" spans="2:13" ht="15.75" x14ac:dyDescent="0.2">
      <c r="B131" s="278" t="str">
        <f>IF(Calc!$F$26=0,"",IF(OR($C131&gt;Calc!$B$24,MOD($C131-1,Calc!$F$26)&gt;0),"",QUOTIENT($C131-1,Calc!$F$26)+1))</f>
        <v/>
      </c>
      <c r="C131" s="274">
        <v>123</v>
      </c>
      <c r="D131" s="154">
        <f>IF(Plan!$T129="","",Plan!$T129)</f>
        <v>46004</v>
      </c>
      <c r="E131" s="155">
        <f>IF(Plan!$U129="","",Plan!$U129)</f>
        <v>0.77083333333333337</v>
      </c>
      <c r="F131" s="175" t="str">
        <f>Plan!$Q129</f>
        <v>Bayer 04 Leverkusen</v>
      </c>
      <c r="G131" s="176" t="s">
        <v>4</v>
      </c>
      <c r="H131" s="175" t="str">
        <f>Plan!$S129</f>
        <v>1. FC Köln</v>
      </c>
      <c r="I131" s="177">
        <v>2</v>
      </c>
      <c r="J131" s="178" t="str">
        <f>Language!$E$65</f>
        <v xml:space="preserve"> : </v>
      </c>
      <c r="K131" s="179">
        <v>0</v>
      </c>
      <c r="L131" s="383"/>
      <c r="M131" s="384"/>
    </row>
    <row r="132" spans="2:13" ht="15.75" x14ac:dyDescent="0.2">
      <c r="B132" s="278" t="str">
        <f>IF(Calc!$F$26=0,"",IF(OR($C132&gt;Calc!$B$24,MOD($C132-1,Calc!$F$26)&gt;0),"",QUOTIENT($C132-1,Calc!$F$26)+1))</f>
        <v/>
      </c>
      <c r="C132" s="274">
        <v>124</v>
      </c>
      <c r="D132" s="154">
        <f>IF(Plan!$T130="","",Plan!$T130)</f>
        <v>46005</v>
      </c>
      <c r="E132" s="155">
        <f>IF(Plan!$U130="","",Plan!$U130)</f>
        <v>0.64583333333333337</v>
      </c>
      <c r="F132" s="175" t="str">
        <f>Plan!$Q130</f>
        <v>SC Freiburg</v>
      </c>
      <c r="G132" s="176" t="s">
        <v>4</v>
      </c>
      <c r="H132" s="175" t="str">
        <f>Plan!$S130</f>
        <v>Borussia Dortmund</v>
      </c>
      <c r="I132" s="177">
        <v>1</v>
      </c>
      <c r="J132" s="178" t="str">
        <f>Language!$E$65</f>
        <v xml:space="preserve"> : </v>
      </c>
      <c r="K132" s="179">
        <v>1</v>
      </c>
      <c r="L132" s="383"/>
      <c r="M132" s="384"/>
    </row>
    <row r="133" spans="2:13" ht="15.75" x14ac:dyDescent="0.2">
      <c r="B133" s="278" t="str">
        <f>IF(Calc!$F$26=0,"",IF(OR($C133&gt;Calc!$B$24,MOD($C133-1,Calc!$F$26)&gt;0),"",QUOTIENT($C133-1,Calc!$F$26)+1))</f>
        <v/>
      </c>
      <c r="C133" s="274">
        <v>125</v>
      </c>
      <c r="D133" s="154">
        <f>IF(Plan!$T131="","",Plan!$T131)</f>
        <v>46005</v>
      </c>
      <c r="E133" s="155">
        <f>IF(Plan!$U131="","",Plan!$U131)</f>
        <v>0.72916666666666663</v>
      </c>
      <c r="F133" s="175" t="str">
        <f>Plan!$Q131</f>
        <v>FC Bayern München</v>
      </c>
      <c r="G133" s="176" t="s">
        <v>4</v>
      </c>
      <c r="H133" s="175" t="str">
        <f>Plan!$S131</f>
        <v>1. FSV Mainz 05</v>
      </c>
      <c r="I133" s="177">
        <v>2</v>
      </c>
      <c r="J133" s="178" t="str">
        <f>Language!$E$65</f>
        <v xml:space="preserve"> : </v>
      </c>
      <c r="K133" s="179">
        <v>2</v>
      </c>
      <c r="L133" s="383"/>
      <c r="M133" s="384"/>
    </row>
    <row r="134" spans="2:13" ht="15.75" x14ac:dyDescent="0.2">
      <c r="B134" s="278" t="str">
        <f>IF(Calc!$F$26=0,"",IF(OR($C134&gt;Calc!$B$24,MOD($C134-1,Calc!$F$26)&gt;0),"",QUOTIENT($C134-1,Calc!$F$26)+1))</f>
        <v/>
      </c>
      <c r="C134" s="274">
        <v>126</v>
      </c>
      <c r="D134" s="154">
        <f>IF(Plan!$T132="","",Plan!$T132)</f>
        <v>46005</v>
      </c>
      <c r="E134" s="155">
        <f>IF(Plan!$U132="","",Plan!$U132)</f>
        <v>0.8125</v>
      </c>
      <c r="F134" s="175" t="str">
        <f>Plan!$Q132</f>
        <v>SV Werder Bremen</v>
      </c>
      <c r="G134" s="176" t="s">
        <v>4</v>
      </c>
      <c r="H134" s="175" t="str">
        <f>Plan!$S132</f>
        <v>VfB Stuttgart</v>
      </c>
      <c r="I134" s="177">
        <v>0</v>
      </c>
      <c r="J134" s="178" t="str">
        <f>Language!$E$65</f>
        <v xml:space="preserve"> : </v>
      </c>
      <c r="K134" s="179">
        <v>4</v>
      </c>
      <c r="L134" s="383"/>
      <c r="M134" s="384"/>
    </row>
    <row r="135" spans="2:13" ht="15.75" x14ac:dyDescent="0.2">
      <c r="B135" s="278">
        <f>IF(Calc!$F$26=0,"",IF(OR($C135&gt;Calc!$B$24,MOD($C135-1,Calc!$F$26)&gt;0),"",QUOTIENT($C135-1,Calc!$F$26)+1))</f>
        <v>15</v>
      </c>
      <c r="C135" s="274">
        <v>127</v>
      </c>
      <c r="D135" s="154">
        <f>IF(Plan!$T133="","",Plan!$T133)</f>
        <v>46010</v>
      </c>
      <c r="E135" s="155">
        <f>IF(Plan!$U133="","",Plan!$U133)</f>
        <v>0.85416666666666663</v>
      </c>
      <c r="F135" s="175" t="str">
        <f>Plan!$Q133</f>
        <v>Borussia Dortmund</v>
      </c>
      <c r="G135" s="176" t="s">
        <v>4</v>
      </c>
      <c r="H135" s="175" t="str">
        <f>Plan!$S133</f>
        <v>Borussia Mönchengladbach</v>
      </c>
      <c r="I135" s="177">
        <v>2</v>
      </c>
      <c r="J135" s="178" t="str">
        <f>Language!$E$65</f>
        <v xml:space="preserve"> : </v>
      </c>
      <c r="K135" s="179">
        <v>0</v>
      </c>
      <c r="L135" s="383"/>
      <c r="M135" s="384"/>
    </row>
    <row r="136" spans="2:13" ht="15.75" x14ac:dyDescent="0.2">
      <c r="B136" s="278" t="str">
        <f>IF(Calc!$F$26=0,"",IF(OR($C136&gt;Calc!$B$24,MOD($C136-1,Calc!$F$26)&gt;0),"",QUOTIENT($C136-1,Calc!$F$26)+1))</f>
        <v/>
      </c>
      <c r="C136" s="274">
        <v>128</v>
      </c>
      <c r="D136" s="154">
        <f>IF(Plan!$T134="","",Plan!$T134)</f>
        <v>46011</v>
      </c>
      <c r="E136" s="155">
        <f>IF(Plan!$U134="","",Plan!$U134)</f>
        <v>0.64583333333333337</v>
      </c>
      <c r="F136" s="175" t="str">
        <f>Plan!$Q134</f>
        <v>1. FC Köln</v>
      </c>
      <c r="G136" s="176" t="s">
        <v>4</v>
      </c>
      <c r="H136" s="175" t="str">
        <f>Plan!$S134</f>
        <v>1. FC Union Berlin</v>
      </c>
      <c r="I136" s="177">
        <v>0</v>
      </c>
      <c r="J136" s="178" t="str">
        <f>Language!$E$65</f>
        <v xml:space="preserve"> : </v>
      </c>
      <c r="K136" s="179">
        <v>1</v>
      </c>
      <c r="L136" s="383"/>
      <c r="M136" s="384"/>
    </row>
    <row r="137" spans="2:13" ht="15.75" x14ac:dyDescent="0.2">
      <c r="B137" s="278" t="str">
        <f>IF(Calc!$F$26=0,"",IF(OR($C137&gt;Calc!$B$24,MOD($C137-1,Calc!$F$26)&gt;0),"",QUOTIENT($C137-1,Calc!$F$26)+1))</f>
        <v/>
      </c>
      <c r="C137" s="274">
        <v>129</v>
      </c>
      <c r="D137" s="154">
        <f>IF(Plan!$T135="","",Plan!$T135)</f>
        <v>46011</v>
      </c>
      <c r="E137" s="155">
        <f>IF(Plan!$U135="","",Plan!$U135)</f>
        <v>0.64583333333333337</v>
      </c>
      <c r="F137" s="175" t="str">
        <f>Plan!$Q135</f>
        <v>Hamburger SV</v>
      </c>
      <c r="G137" s="176" t="s">
        <v>4</v>
      </c>
      <c r="H137" s="175" t="str">
        <f>Plan!$S135</f>
        <v>Eintracht Frankfurt</v>
      </c>
      <c r="I137" s="177">
        <v>1</v>
      </c>
      <c r="J137" s="178" t="str">
        <f>Language!$E$65</f>
        <v xml:space="preserve"> : </v>
      </c>
      <c r="K137" s="179">
        <v>1</v>
      </c>
      <c r="L137" s="383"/>
      <c r="M137" s="384"/>
    </row>
    <row r="138" spans="2:13" ht="15.75" x14ac:dyDescent="0.2">
      <c r="B138" s="278" t="str">
        <f>IF(Calc!$F$26=0,"",IF(OR($C138&gt;Calc!$B$24,MOD($C138-1,Calc!$F$26)&gt;0),"",QUOTIENT($C138-1,Calc!$F$26)+1))</f>
        <v/>
      </c>
      <c r="C138" s="274">
        <v>130</v>
      </c>
      <c r="D138" s="154">
        <f>IF(Plan!$T136="","",Plan!$T136)</f>
        <v>46011</v>
      </c>
      <c r="E138" s="155">
        <f>IF(Plan!$U136="","",Plan!$U136)</f>
        <v>0.64583333333333337</v>
      </c>
      <c r="F138" s="175" t="str">
        <f>Plan!$Q136</f>
        <v>FC Augsburg</v>
      </c>
      <c r="G138" s="176" t="s">
        <v>4</v>
      </c>
      <c r="H138" s="175" t="str">
        <f>Plan!$S136</f>
        <v>SV Werder Bremen</v>
      </c>
      <c r="I138" s="177">
        <v>0</v>
      </c>
      <c r="J138" s="178" t="str">
        <f>Language!$E$65</f>
        <v xml:space="preserve"> : </v>
      </c>
      <c r="K138" s="179">
        <v>0</v>
      </c>
      <c r="L138" s="383"/>
      <c r="M138" s="384"/>
    </row>
    <row r="139" spans="2:13" ht="15.75" x14ac:dyDescent="0.2">
      <c r="B139" s="278" t="str">
        <f>IF(Calc!$F$26=0,"",IF(OR($C139&gt;Calc!$B$24,MOD($C139-1,Calc!$F$26)&gt;0),"",QUOTIENT($C139-1,Calc!$F$26)+1))</f>
        <v/>
      </c>
      <c r="C139" s="274">
        <v>131</v>
      </c>
      <c r="D139" s="154">
        <f>IF(Plan!$T137="","",Plan!$T137)</f>
        <v>46011</v>
      </c>
      <c r="E139" s="155">
        <f>IF(Plan!$U137="","",Plan!$U137)</f>
        <v>0.64583333333333337</v>
      </c>
      <c r="F139" s="175" t="str">
        <f>Plan!$Q137</f>
        <v>VfB Stuttgart</v>
      </c>
      <c r="G139" s="176" t="s">
        <v>4</v>
      </c>
      <c r="H139" s="175" t="str">
        <f>Plan!$S137</f>
        <v>TSG Hoffenheim</v>
      </c>
      <c r="I139" s="177">
        <v>0</v>
      </c>
      <c r="J139" s="178" t="str">
        <f>Language!$E$65</f>
        <v xml:space="preserve"> : </v>
      </c>
      <c r="K139" s="179">
        <v>0</v>
      </c>
      <c r="L139" s="383"/>
      <c r="M139" s="384"/>
    </row>
    <row r="140" spans="2:13" ht="15.75" x14ac:dyDescent="0.2">
      <c r="B140" s="278" t="str">
        <f>IF(Calc!$F$26=0,"",IF(OR($C140&gt;Calc!$B$24,MOD($C140-1,Calc!$F$26)&gt;0),"",QUOTIENT($C140-1,Calc!$F$26)+1))</f>
        <v/>
      </c>
      <c r="C140" s="274">
        <v>132</v>
      </c>
      <c r="D140" s="154">
        <f>IF(Plan!$T138="","",Plan!$T138)</f>
        <v>46011</v>
      </c>
      <c r="E140" s="155">
        <f>IF(Plan!$U138="","",Plan!$U138)</f>
        <v>0.64583333333333337</v>
      </c>
      <c r="F140" s="175" t="str">
        <f>Plan!$Q138</f>
        <v>VfL Wolfsburg</v>
      </c>
      <c r="G140" s="176" t="s">
        <v>4</v>
      </c>
      <c r="H140" s="175" t="str">
        <f>Plan!$S138</f>
        <v>SC Freiburg</v>
      </c>
      <c r="I140" s="177">
        <v>3</v>
      </c>
      <c r="J140" s="178" t="str">
        <f>Language!$E$65</f>
        <v xml:space="preserve"> : </v>
      </c>
      <c r="K140" s="179">
        <v>4</v>
      </c>
      <c r="L140" s="383"/>
      <c r="M140" s="384"/>
    </row>
    <row r="141" spans="2:13" ht="15.75" x14ac:dyDescent="0.2">
      <c r="B141" s="278" t="str">
        <f>IF(Calc!$F$26=0,"",IF(OR($C141&gt;Calc!$B$24,MOD($C141-1,Calc!$F$26)&gt;0),"",QUOTIENT($C141-1,Calc!$F$26)+1))</f>
        <v/>
      </c>
      <c r="C141" s="274">
        <v>133</v>
      </c>
      <c r="D141" s="154">
        <f>IF(Plan!$T139="","",Plan!$T139)</f>
        <v>46011</v>
      </c>
      <c r="E141" s="155">
        <f>IF(Plan!$U139="","",Plan!$U139)</f>
        <v>0.77083333333333337</v>
      </c>
      <c r="F141" s="175" t="str">
        <f>Plan!$Q139</f>
        <v>RB Leipzig</v>
      </c>
      <c r="G141" s="176" t="s">
        <v>4</v>
      </c>
      <c r="H141" s="175" t="str">
        <f>Plan!$S139</f>
        <v>Bayer 04 Leverkusen</v>
      </c>
      <c r="I141" s="177">
        <v>1</v>
      </c>
      <c r="J141" s="178" t="str">
        <f>Language!$E$65</f>
        <v xml:space="preserve"> : </v>
      </c>
      <c r="K141" s="179">
        <v>3</v>
      </c>
      <c r="L141" s="383"/>
      <c r="M141" s="384"/>
    </row>
    <row r="142" spans="2:13" ht="15.75" x14ac:dyDescent="0.2">
      <c r="B142" s="278" t="str">
        <f>IF(Calc!$F$26=0,"",IF(OR($C142&gt;Calc!$B$24,MOD($C142-1,Calc!$F$26)&gt;0),"",QUOTIENT($C142-1,Calc!$F$26)+1))</f>
        <v/>
      </c>
      <c r="C142" s="274">
        <v>134</v>
      </c>
      <c r="D142" s="154">
        <f>IF(Plan!$T140="","",Plan!$T140)</f>
        <v>46012</v>
      </c>
      <c r="E142" s="155">
        <f>IF(Plan!$U140="","",Plan!$U140)</f>
        <v>0.64583333333333337</v>
      </c>
      <c r="F142" s="175" t="str">
        <f>Plan!$Q140</f>
        <v>1. FSV Mainz 05</v>
      </c>
      <c r="G142" s="176" t="s">
        <v>4</v>
      </c>
      <c r="H142" s="175" t="str">
        <f>Plan!$S140</f>
        <v>FC St. Pauli</v>
      </c>
      <c r="I142" s="177">
        <v>0</v>
      </c>
      <c r="J142" s="178" t="str">
        <f>Language!$E$65</f>
        <v xml:space="preserve"> : </v>
      </c>
      <c r="K142" s="179">
        <v>0</v>
      </c>
      <c r="L142" s="383"/>
      <c r="M142" s="384"/>
    </row>
    <row r="143" spans="2:13" ht="15.75" x14ac:dyDescent="0.2">
      <c r="B143" s="278" t="str">
        <f>IF(Calc!$F$26=0,"",IF(OR($C143&gt;Calc!$B$24,MOD($C143-1,Calc!$F$26)&gt;0),"",QUOTIENT($C143-1,Calc!$F$26)+1))</f>
        <v/>
      </c>
      <c r="C143" s="274">
        <v>135</v>
      </c>
      <c r="D143" s="154">
        <f>IF(Plan!$T141="","",Plan!$T141)</f>
        <v>46012</v>
      </c>
      <c r="E143" s="155">
        <f>IF(Plan!$U141="","",Plan!$U141)</f>
        <v>0.72916666666666663</v>
      </c>
      <c r="F143" s="175" t="str">
        <f>Plan!$Q141</f>
        <v>1. FC Heidenheim 1846</v>
      </c>
      <c r="G143" s="176" t="s">
        <v>4</v>
      </c>
      <c r="H143" s="175" t="str">
        <f>Plan!$S141</f>
        <v>FC Bayern München</v>
      </c>
      <c r="I143" s="177">
        <v>0</v>
      </c>
      <c r="J143" s="178" t="str">
        <f>Language!$E$65</f>
        <v xml:space="preserve"> : </v>
      </c>
      <c r="K143" s="179">
        <v>4</v>
      </c>
      <c r="L143" s="383"/>
      <c r="M143" s="384"/>
    </row>
    <row r="144" spans="2:13" ht="15.75" x14ac:dyDescent="0.2">
      <c r="B144" s="278">
        <f>IF(Calc!$F$26=0,"",IF(OR($C144&gt;Calc!$B$24,MOD($C144-1,Calc!$F$26)&gt;0),"",QUOTIENT($C144-1,Calc!$F$26)+1))</f>
        <v>16</v>
      </c>
      <c r="C144" s="274">
        <v>136</v>
      </c>
      <c r="D144" s="154">
        <f>IF(Plan!$T142="","",Plan!$T142)</f>
        <v>46031</v>
      </c>
      <c r="E144" s="155">
        <f>IF(Plan!$U142="","",Plan!$U142)</f>
        <v>0.85416666666666663</v>
      </c>
      <c r="F144" s="175" t="str">
        <f>Plan!$Q142</f>
        <v>Eintracht Frankfurt</v>
      </c>
      <c r="G144" s="176" t="s">
        <v>4</v>
      </c>
      <c r="H144" s="175" t="str">
        <f>Plan!$S142</f>
        <v>Borussia Dortmund</v>
      </c>
      <c r="I144" s="177">
        <v>3</v>
      </c>
      <c r="J144" s="178" t="str">
        <f>Language!$E$65</f>
        <v xml:space="preserve"> : </v>
      </c>
      <c r="K144" s="179">
        <v>3</v>
      </c>
      <c r="L144" s="383"/>
      <c r="M144" s="384"/>
    </row>
    <row r="145" spans="2:13" ht="15.75" x14ac:dyDescent="0.2">
      <c r="B145" s="278" t="str">
        <f>IF(Calc!$F$26=0,"",IF(OR($C145&gt;Calc!$B$24,MOD($C145-1,Calc!$F$26)&gt;0),"",QUOTIENT($C145-1,Calc!$F$26)+1))</f>
        <v/>
      </c>
      <c r="C145" s="274">
        <v>137</v>
      </c>
      <c r="D145" s="154">
        <f>IF(Plan!$T143="","",Plan!$T143)</f>
        <v>46032</v>
      </c>
      <c r="E145" s="155">
        <f>IF(Plan!$U143="","",Plan!$U143)</f>
        <v>0.64583333333333337</v>
      </c>
      <c r="F145" s="175" t="str">
        <f>Plan!$Q143</f>
        <v>1. FC Heidenheim 1846</v>
      </c>
      <c r="G145" s="176" t="s">
        <v>4</v>
      </c>
      <c r="H145" s="175" t="str">
        <f>Plan!$S143</f>
        <v>1. FC Köln</v>
      </c>
      <c r="I145" s="177">
        <v>2</v>
      </c>
      <c r="J145" s="178" t="str">
        <f>Language!$E$65</f>
        <v xml:space="preserve"> : </v>
      </c>
      <c r="K145" s="179">
        <v>2</v>
      </c>
      <c r="L145" s="383"/>
      <c r="M145" s="384"/>
    </row>
    <row r="146" spans="2:13" ht="15.75" x14ac:dyDescent="0.2">
      <c r="B146" s="278" t="str">
        <f>IF(Calc!$F$26=0,"",IF(OR($C146&gt;Calc!$B$24,MOD($C146-1,Calc!$F$26)&gt;0),"",QUOTIENT($C146-1,Calc!$F$26)+1))</f>
        <v/>
      </c>
      <c r="C146" s="274">
        <v>138</v>
      </c>
      <c r="D146" s="154">
        <f>IF(Plan!$T144="","",Plan!$T144)</f>
        <v>46032</v>
      </c>
      <c r="E146" s="155">
        <f>IF(Plan!$U144="","",Plan!$U144)</f>
        <v>0.64583333333333337</v>
      </c>
      <c r="F146" s="175" t="str">
        <f>Plan!$Q144</f>
        <v>1. FC Union Berlin</v>
      </c>
      <c r="G146" s="176" t="s">
        <v>4</v>
      </c>
      <c r="H146" s="175" t="str">
        <f>Plan!$S144</f>
        <v>1. FSV Mainz 05</v>
      </c>
      <c r="I146" s="177">
        <v>2</v>
      </c>
      <c r="J146" s="178" t="str">
        <f>Language!$E$65</f>
        <v xml:space="preserve"> : </v>
      </c>
      <c r="K146" s="179">
        <v>2</v>
      </c>
      <c r="L146" s="383"/>
      <c r="M146" s="384"/>
    </row>
    <row r="147" spans="2:13" ht="15.75" x14ac:dyDescent="0.2">
      <c r="B147" s="278" t="str">
        <f>IF(Calc!$F$26=0,"",IF(OR($C147&gt;Calc!$B$24,MOD($C147-1,Calc!$F$26)&gt;0),"",QUOTIENT($C147-1,Calc!$F$26)+1))</f>
        <v/>
      </c>
      <c r="C147" s="274">
        <v>139</v>
      </c>
      <c r="D147" s="154">
        <f>IF(Plan!$T145="","",Plan!$T145)</f>
        <v>46032</v>
      </c>
      <c r="E147" s="155">
        <f>IF(Plan!$U145="","",Plan!$U145)</f>
        <v>0.64583333333333337</v>
      </c>
      <c r="F147" s="175" t="str">
        <f>Plan!$Q145</f>
        <v>SC Freiburg</v>
      </c>
      <c r="G147" s="176" t="s">
        <v>4</v>
      </c>
      <c r="H147" s="175" t="str">
        <f>Plan!$S145</f>
        <v>Hamburger SV</v>
      </c>
      <c r="I147" s="177">
        <v>2</v>
      </c>
      <c r="J147" s="178" t="str">
        <f>Language!$E$65</f>
        <v xml:space="preserve"> : </v>
      </c>
      <c r="K147" s="179">
        <v>1</v>
      </c>
      <c r="L147" s="383"/>
      <c r="M147" s="384"/>
    </row>
    <row r="148" spans="2:13" ht="15.75" x14ac:dyDescent="0.2">
      <c r="B148" s="278" t="str">
        <f>IF(Calc!$F$26=0,"",IF(OR($C148&gt;Calc!$B$24,MOD($C148-1,Calc!$F$26)&gt;0),"",QUOTIENT($C148-1,Calc!$F$26)+1))</f>
        <v/>
      </c>
      <c r="C148" s="274">
        <v>140</v>
      </c>
      <c r="D148" s="154">
        <f>IF(Plan!$T146="","",Plan!$T146)</f>
        <v>46032</v>
      </c>
      <c r="E148" s="155">
        <f>IF(Plan!$U146="","",Plan!$U146)</f>
        <v>0.77083333333333337</v>
      </c>
      <c r="F148" s="175" t="str">
        <f>Plan!$Q146</f>
        <v>Bayer 04 Leverkusen</v>
      </c>
      <c r="G148" s="176" t="s">
        <v>4</v>
      </c>
      <c r="H148" s="175" t="str">
        <f>Plan!$S146</f>
        <v>VfB Stuttgart</v>
      </c>
      <c r="I148" s="177">
        <v>1</v>
      </c>
      <c r="J148" s="178" t="str">
        <f>Language!$E$65</f>
        <v xml:space="preserve"> : </v>
      </c>
      <c r="K148" s="179">
        <v>4</v>
      </c>
      <c r="L148" s="383"/>
      <c r="M148" s="384"/>
    </row>
    <row r="149" spans="2:13" ht="15.75" x14ac:dyDescent="0.2">
      <c r="B149" s="278" t="str">
        <f>IF(Calc!$F$26=0,"",IF(OR($C149&gt;Calc!$B$24,MOD($C149-1,Calc!$F$26)&gt;0),"",QUOTIENT($C149-1,Calc!$F$26)+1))</f>
        <v/>
      </c>
      <c r="C149" s="274">
        <v>141</v>
      </c>
      <c r="D149" s="154">
        <f>IF(Plan!$T147="","",Plan!$T147)</f>
        <v>46033</v>
      </c>
      <c r="E149" s="155">
        <f>IF(Plan!$U147="","",Plan!$U147)</f>
        <v>0.64583333333333337</v>
      </c>
      <c r="F149" s="175" t="str">
        <f>Plan!$Q147</f>
        <v>Borussia Mönchengladbach</v>
      </c>
      <c r="G149" s="176" t="s">
        <v>4</v>
      </c>
      <c r="H149" s="175" t="str">
        <f>Plan!$S147</f>
        <v>FC Augsburg</v>
      </c>
      <c r="I149" s="177">
        <v>4</v>
      </c>
      <c r="J149" s="178" t="str">
        <f>Language!$E$65</f>
        <v xml:space="preserve"> : </v>
      </c>
      <c r="K149" s="179">
        <v>0</v>
      </c>
      <c r="L149" s="383"/>
      <c r="M149" s="384"/>
    </row>
    <row r="150" spans="2:13" ht="15.75" x14ac:dyDescent="0.2">
      <c r="B150" s="278" t="str">
        <f>IF(Calc!$F$26=0,"",IF(OR($C150&gt;Calc!$B$24,MOD($C150-1,Calc!$F$26)&gt;0),"",QUOTIENT($C150-1,Calc!$F$26)+1))</f>
        <v/>
      </c>
      <c r="C150" s="274">
        <v>142</v>
      </c>
      <c r="D150" s="154">
        <f>IF(Plan!$T148="","",Plan!$T148)</f>
        <v>46033</v>
      </c>
      <c r="E150" s="155">
        <f>IF(Plan!$U148="","",Plan!$U148)</f>
        <v>0.72916666666666663</v>
      </c>
      <c r="F150" s="175" t="str">
        <f>Plan!$Q148</f>
        <v>FC Bayern München</v>
      </c>
      <c r="G150" s="176" t="s">
        <v>4</v>
      </c>
      <c r="H150" s="175" t="str">
        <f>Plan!$S148</f>
        <v>VfL Wolfsburg</v>
      </c>
      <c r="I150" s="177">
        <v>8</v>
      </c>
      <c r="J150" s="178" t="str">
        <f>Language!$E$65</f>
        <v xml:space="preserve"> : </v>
      </c>
      <c r="K150" s="179">
        <v>1</v>
      </c>
      <c r="L150" s="383"/>
      <c r="M150" s="384"/>
    </row>
    <row r="151" spans="2:13" ht="15.75" x14ac:dyDescent="0.2">
      <c r="B151" s="278" t="str">
        <f>IF(Calc!$F$26=0,"",IF(OR($C151&gt;Calc!$B$24,MOD($C151-1,Calc!$F$26)&gt;0),"",QUOTIENT($C151-1,Calc!$F$26)+1))</f>
        <v/>
      </c>
      <c r="C151" s="274">
        <v>143</v>
      </c>
      <c r="D151" s="154">
        <f>IF(Plan!$T149="","",Plan!$T149)</f>
        <v>46049</v>
      </c>
      <c r="E151" s="155">
        <f>IF(Plan!$U149="","",Plan!$U149)</f>
        <v>0.85416666666666663</v>
      </c>
      <c r="F151" s="175" t="str">
        <f>Plan!$Q149</f>
        <v>SV Werder Bremen</v>
      </c>
      <c r="G151" s="176" t="s">
        <v>4</v>
      </c>
      <c r="H151" s="175" t="str">
        <f>Plan!$S149</f>
        <v>TSG Hoffenheim</v>
      </c>
      <c r="I151" s="177">
        <v>0</v>
      </c>
      <c r="J151" s="178" t="str">
        <f>Language!$E$65</f>
        <v xml:space="preserve"> : </v>
      </c>
      <c r="K151" s="179">
        <v>2</v>
      </c>
      <c r="L151" s="383"/>
      <c r="M151" s="384"/>
    </row>
    <row r="152" spans="2:13" ht="15.75" x14ac:dyDescent="0.2">
      <c r="B152" s="278" t="str">
        <f>IF(Calc!$F$26=0,"",IF(OR($C152&gt;Calc!$B$24,MOD($C152-1,Calc!$F$26)&gt;0),"",QUOTIENT($C152-1,Calc!$F$26)+1))</f>
        <v/>
      </c>
      <c r="C152" s="274">
        <v>144</v>
      </c>
      <c r="D152" s="154">
        <f>IF(Plan!$T150="","",Plan!$T150)</f>
        <v>46049</v>
      </c>
      <c r="E152" s="155">
        <f>IF(Plan!$U150="","",Plan!$U150)</f>
        <v>0.85416666666666663</v>
      </c>
      <c r="F152" s="175" t="str">
        <f>Plan!$Q150</f>
        <v>FC St. Pauli</v>
      </c>
      <c r="G152" s="176" t="s">
        <v>4</v>
      </c>
      <c r="H152" s="175" t="str">
        <f>Plan!$S150</f>
        <v>RB Leipzig</v>
      </c>
      <c r="I152" s="177">
        <v>1</v>
      </c>
      <c r="J152" s="178" t="str">
        <f>Language!$E$65</f>
        <v xml:space="preserve"> : </v>
      </c>
      <c r="K152" s="179">
        <v>1</v>
      </c>
      <c r="L152" s="383"/>
      <c r="M152" s="384"/>
    </row>
    <row r="153" spans="2:13" ht="15.75" x14ac:dyDescent="0.2">
      <c r="B153" s="278">
        <f>IF(Calc!$F$26=0,"",IF(OR($C153&gt;Calc!$B$24,MOD($C153-1,Calc!$F$26)&gt;0),"",QUOTIENT($C153-1,Calc!$F$26)+1))</f>
        <v>17</v>
      </c>
      <c r="C153" s="274">
        <v>145</v>
      </c>
      <c r="D153" s="154">
        <f>IF(Plan!$T151="","",Plan!$T151)</f>
        <v>46035</v>
      </c>
      <c r="E153" s="155">
        <f>IF(Plan!$U151="","",Plan!$U151)</f>
        <v>0.77083333333333337</v>
      </c>
      <c r="F153" s="175" t="str">
        <f>Plan!$Q151</f>
        <v>VfB Stuttgart</v>
      </c>
      <c r="G153" s="176" t="s">
        <v>4</v>
      </c>
      <c r="H153" s="175" t="str">
        <f>Plan!$S151</f>
        <v>Eintracht Frankfurt</v>
      </c>
      <c r="I153" s="177">
        <v>3</v>
      </c>
      <c r="J153" s="178" t="str">
        <f>Language!$E$65</f>
        <v xml:space="preserve"> : </v>
      </c>
      <c r="K153" s="179">
        <v>2</v>
      </c>
      <c r="L153" s="383"/>
      <c r="M153" s="384"/>
    </row>
    <row r="154" spans="2:13" ht="15.75" x14ac:dyDescent="0.2">
      <c r="B154" s="278" t="str">
        <f>IF(Calc!$F$26=0,"",IF(OR($C154&gt;Calc!$B$24,MOD($C154-1,Calc!$F$26)&gt;0),"",QUOTIENT($C154-1,Calc!$F$26)+1))</f>
        <v/>
      </c>
      <c r="C154" s="274">
        <v>146</v>
      </c>
      <c r="D154" s="154">
        <f>IF(Plan!$T152="","",Plan!$T152)</f>
        <v>46035</v>
      </c>
      <c r="E154" s="155">
        <f>IF(Plan!$U152="","",Plan!$U152)</f>
        <v>0.85416666666666663</v>
      </c>
      <c r="F154" s="175" t="str">
        <f>Plan!$Q152</f>
        <v>Borussia Dortmund</v>
      </c>
      <c r="G154" s="176" t="s">
        <v>4</v>
      </c>
      <c r="H154" s="175" t="str">
        <f>Plan!$S152</f>
        <v>SV Werder Bremen</v>
      </c>
      <c r="I154" s="177">
        <v>3</v>
      </c>
      <c r="J154" s="178" t="str">
        <f>Language!$E$65</f>
        <v xml:space="preserve"> : </v>
      </c>
      <c r="K154" s="179">
        <v>0</v>
      </c>
      <c r="L154" s="383"/>
      <c r="M154" s="384"/>
    </row>
    <row r="155" spans="2:13" ht="15.75" x14ac:dyDescent="0.2">
      <c r="B155" s="278" t="str">
        <f>IF(Calc!$F$26=0,"",IF(OR($C155&gt;Calc!$B$24,MOD($C155-1,Calc!$F$26)&gt;0),"",QUOTIENT($C155-1,Calc!$F$26)+1))</f>
        <v/>
      </c>
      <c r="C155" s="274">
        <v>147</v>
      </c>
      <c r="D155" s="154">
        <f>IF(Plan!$T153="","",Plan!$T153)</f>
        <v>46035</v>
      </c>
      <c r="E155" s="155">
        <f>IF(Plan!$U153="","",Plan!$U153)</f>
        <v>0.85416666666666663</v>
      </c>
      <c r="F155" s="175" t="str">
        <f>Plan!$Q153</f>
        <v>1. FSV Mainz 05</v>
      </c>
      <c r="G155" s="176" t="s">
        <v>4</v>
      </c>
      <c r="H155" s="175" t="str">
        <f>Plan!$S153</f>
        <v>1. FC Heidenheim 1846</v>
      </c>
      <c r="I155" s="177">
        <v>2</v>
      </c>
      <c r="J155" s="178" t="str">
        <f>Language!$E$65</f>
        <v xml:space="preserve"> : </v>
      </c>
      <c r="K155" s="179">
        <v>1</v>
      </c>
      <c r="L155" s="383"/>
      <c r="M155" s="384"/>
    </row>
    <row r="156" spans="2:13" ht="15.75" x14ac:dyDescent="0.2">
      <c r="B156" s="278" t="str">
        <f>IF(Calc!$F$26=0,"",IF(OR($C156&gt;Calc!$B$24,MOD($C156-1,Calc!$F$26)&gt;0),"",QUOTIENT($C156-1,Calc!$F$26)+1))</f>
        <v/>
      </c>
      <c r="C156" s="274">
        <v>148</v>
      </c>
      <c r="D156" s="154">
        <f>IF(Plan!$T154="","",Plan!$T154)</f>
        <v>46036</v>
      </c>
      <c r="E156" s="155">
        <f>IF(Plan!$U154="","",Plan!$U154)</f>
        <v>0.77083333333333337</v>
      </c>
      <c r="F156" s="175" t="str">
        <f>Plan!$Q154</f>
        <v>VfL Wolfsburg</v>
      </c>
      <c r="G156" s="176" t="s">
        <v>4</v>
      </c>
      <c r="H156" s="175" t="str">
        <f>Plan!$S154</f>
        <v>FC St. Pauli</v>
      </c>
      <c r="I156" s="177">
        <v>2</v>
      </c>
      <c r="J156" s="178" t="str">
        <f>Language!$E$65</f>
        <v xml:space="preserve"> : </v>
      </c>
      <c r="K156" s="179">
        <v>1</v>
      </c>
      <c r="L156" s="383"/>
      <c r="M156" s="384"/>
    </row>
    <row r="157" spans="2:13" ht="15.75" x14ac:dyDescent="0.2">
      <c r="B157" s="278" t="str">
        <f>IF(Calc!$F$26=0,"",IF(OR($C157&gt;Calc!$B$24,MOD($C157-1,Calc!$F$26)&gt;0),"",QUOTIENT($C157-1,Calc!$F$26)+1))</f>
        <v/>
      </c>
      <c r="C157" s="274">
        <v>149</v>
      </c>
      <c r="D157" s="154">
        <f>IF(Plan!$T155="","",Plan!$T155)</f>
        <v>46036</v>
      </c>
      <c r="E157" s="155">
        <f>IF(Plan!$U155="","",Plan!$U155)</f>
        <v>0.85416666666666663</v>
      </c>
      <c r="F157" s="175" t="str">
        <f>Plan!$Q155</f>
        <v>RB Leipzig</v>
      </c>
      <c r="G157" s="176" t="s">
        <v>4</v>
      </c>
      <c r="H157" s="175" t="str">
        <f>Plan!$S155</f>
        <v>SC Freiburg</v>
      </c>
      <c r="I157" s="177">
        <v>2</v>
      </c>
      <c r="J157" s="178" t="str">
        <f>Language!$E$65</f>
        <v xml:space="preserve"> : </v>
      </c>
      <c r="K157" s="179">
        <v>0</v>
      </c>
      <c r="L157" s="383"/>
      <c r="M157" s="384"/>
    </row>
    <row r="158" spans="2:13" ht="15.75" x14ac:dyDescent="0.2">
      <c r="B158" s="278" t="str">
        <f>IF(Calc!$F$26=0,"",IF(OR($C158&gt;Calc!$B$24,MOD($C158-1,Calc!$F$26)&gt;0),"",QUOTIENT($C158-1,Calc!$F$26)+1))</f>
        <v/>
      </c>
      <c r="C158" s="274">
        <v>150</v>
      </c>
      <c r="D158" s="154">
        <f>IF(Plan!$T156="","",Plan!$T156)</f>
        <v>46036</v>
      </c>
      <c r="E158" s="155">
        <f>IF(Plan!$U156="","",Plan!$U156)</f>
        <v>0.85416666666666663</v>
      </c>
      <c r="F158" s="175" t="str">
        <f>Plan!$Q156</f>
        <v>TSG Hoffenheim</v>
      </c>
      <c r="G158" s="176" t="s">
        <v>4</v>
      </c>
      <c r="H158" s="175" t="str">
        <f>Plan!$S156</f>
        <v>Borussia Mönchengladbach</v>
      </c>
      <c r="I158" s="177">
        <v>5</v>
      </c>
      <c r="J158" s="178" t="str">
        <f>Language!$E$65</f>
        <v xml:space="preserve"> : </v>
      </c>
      <c r="K158" s="179">
        <v>1</v>
      </c>
      <c r="L158" s="383"/>
      <c r="M158" s="384"/>
    </row>
    <row r="159" spans="2:13" ht="15.75" x14ac:dyDescent="0.2">
      <c r="B159" s="278" t="str">
        <f>IF(Calc!$F$26=0,"",IF(OR($C159&gt;Calc!$B$24,MOD($C159-1,Calc!$F$26)&gt;0),"",QUOTIENT($C159-1,Calc!$F$26)+1))</f>
        <v/>
      </c>
      <c r="C159" s="274">
        <v>151</v>
      </c>
      <c r="D159" s="154">
        <f>IF(Plan!$T157="","",Plan!$T157)</f>
        <v>46036</v>
      </c>
      <c r="E159" s="155">
        <f>IF(Plan!$U157="","",Plan!$U157)</f>
        <v>0.85416666666666663</v>
      </c>
      <c r="F159" s="175" t="str">
        <f>Plan!$Q157</f>
        <v>1. FC Köln</v>
      </c>
      <c r="G159" s="176" t="s">
        <v>4</v>
      </c>
      <c r="H159" s="175" t="str">
        <f>Plan!$S157</f>
        <v>FC Bayern München</v>
      </c>
      <c r="I159" s="177">
        <v>1</v>
      </c>
      <c r="J159" s="178" t="str">
        <f>Language!$E$65</f>
        <v xml:space="preserve"> : </v>
      </c>
      <c r="K159" s="179">
        <v>3</v>
      </c>
      <c r="L159" s="383"/>
      <c r="M159" s="384"/>
    </row>
    <row r="160" spans="2:13" ht="15.75" x14ac:dyDescent="0.2">
      <c r="B160" s="278" t="str">
        <f>IF(Calc!$F$26=0,"",IF(OR($C160&gt;Calc!$B$24,MOD($C160-1,Calc!$F$26)&gt;0),"",QUOTIENT($C160-1,Calc!$F$26)+1))</f>
        <v/>
      </c>
      <c r="C160" s="274">
        <v>152</v>
      </c>
      <c r="D160" s="154">
        <f>IF(Plan!$T158="","",Plan!$T158)</f>
        <v>46037</v>
      </c>
      <c r="E160" s="155">
        <f>IF(Plan!$U158="","",Plan!$U158)</f>
        <v>0.85416666666666663</v>
      </c>
      <c r="F160" s="175" t="str">
        <f>Plan!$Q158</f>
        <v>FC Augsburg</v>
      </c>
      <c r="G160" s="176" t="s">
        <v>4</v>
      </c>
      <c r="H160" s="175" t="str">
        <f>Plan!$S158</f>
        <v>1. FC Union Berlin</v>
      </c>
      <c r="I160" s="177">
        <v>1</v>
      </c>
      <c r="J160" s="178" t="str">
        <f>Language!$E$65</f>
        <v xml:space="preserve"> : </v>
      </c>
      <c r="K160" s="179">
        <v>1</v>
      </c>
      <c r="L160" s="383"/>
      <c r="M160" s="384"/>
    </row>
    <row r="161" spans="2:13" ht="15.75" x14ac:dyDescent="0.2">
      <c r="B161" s="278" t="str">
        <f>IF(Calc!$F$26=0,"",IF(OR($C161&gt;Calc!$B$24,MOD($C161-1,Calc!$F$26)&gt;0),"",QUOTIENT($C161-1,Calc!$F$26)+1))</f>
        <v/>
      </c>
      <c r="C161" s="274">
        <v>153</v>
      </c>
      <c r="D161" s="154">
        <f>IF(Plan!$T159="","",Plan!$T159)</f>
        <v>46085</v>
      </c>
      <c r="E161" s="155">
        <f>IF(Plan!$U159="","",Plan!$U159)</f>
        <v>0.85416666666666663</v>
      </c>
      <c r="F161" s="175" t="str">
        <f>Plan!$Q159</f>
        <v>Hamburger SV</v>
      </c>
      <c r="G161" s="176" t="s">
        <v>4</v>
      </c>
      <c r="H161" s="175" t="str">
        <f>Plan!$S159</f>
        <v>Bayer 04 Leverkusen</v>
      </c>
      <c r="I161" s="177">
        <v>0</v>
      </c>
      <c r="J161" s="178" t="str">
        <f>Language!$E$65</f>
        <v xml:space="preserve"> : </v>
      </c>
      <c r="K161" s="179">
        <v>1</v>
      </c>
      <c r="L161" s="383"/>
      <c r="M161" s="384"/>
    </row>
    <row r="162" spans="2:13" ht="15.75" x14ac:dyDescent="0.2">
      <c r="B162" s="278">
        <f>IF(Calc!$F$26=0,"",IF(OR($C162&gt;Calc!$B$24,MOD($C162-1,Calc!$F$26)&gt;0),"",QUOTIENT($C162-1,Calc!$F$26)+1))</f>
        <v>18</v>
      </c>
      <c r="C162" s="274">
        <v>154</v>
      </c>
      <c r="D162" s="154">
        <f>IF(Plan!$T160="","",Plan!$T160)</f>
        <v>46038</v>
      </c>
      <c r="E162" s="155">
        <f>IF(Plan!$U160="","",Plan!$U160)</f>
        <v>0.85416666666666663</v>
      </c>
      <c r="F162" s="175" t="str">
        <f>Plan!$Q160</f>
        <v>SV Werder Bremen</v>
      </c>
      <c r="G162" s="176" t="s">
        <v>4</v>
      </c>
      <c r="H162" s="175" t="str">
        <f>Plan!$S160</f>
        <v>Eintracht Frankfurt</v>
      </c>
      <c r="I162" s="177">
        <v>3</v>
      </c>
      <c r="J162" s="178" t="str">
        <f>Language!$E$65</f>
        <v xml:space="preserve"> : </v>
      </c>
      <c r="K162" s="179">
        <v>3</v>
      </c>
      <c r="L162" s="383"/>
      <c r="M162" s="384"/>
    </row>
    <row r="163" spans="2:13" ht="15.75" x14ac:dyDescent="0.2">
      <c r="B163" s="278" t="str">
        <f>IF(Calc!$F$26=0,"",IF(OR($C163&gt;Calc!$B$24,MOD($C163-1,Calc!$F$26)&gt;0),"",QUOTIENT($C163-1,Calc!$F$26)+1))</f>
        <v/>
      </c>
      <c r="C163" s="274">
        <v>155</v>
      </c>
      <c r="D163" s="154">
        <f>IF(Plan!$T161="","",Plan!$T161)</f>
        <v>46039</v>
      </c>
      <c r="E163" s="155">
        <f>IF(Plan!$U161="","",Plan!$U161)</f>
        <v>0.64583333333333337</v>
      </c>
      <c r="F163" s="175" t="str">
        <f>Plan!$Q161</f>
        <v>Hamburger SV</v>
      </c>
      <c r="G163" s="176" t="s">
        <v>4</v>
      </c>
      <c r="H163" s="175" t="str">
        <f>Plan!$S161</f>
        <v>Borussia Mönchengladbach</v>
      </c>
      <c r="I163" s="177">
        <v>0</v>
      </c>
      <c r="J163" s="178" t="str">
        <f>Language!$E$65</f>
        <v xml:space="preserve"> : </v>
      </c>
      <c r="K163" s="179">
        <v>0</v>
      </c>
      <c r="L163" s="383"/>
      <c r="M163" s="384"/>
    </row>
    <row r="164" spans="2:13" ht="15.75" x14ac:dyDescent="0.2">
      <c r="B164" s="278" t="str">
        <f>IF(Calc!$F$26=0,"",IF(OR($C164&gt;Calc!$B$24,MOD($C164-1,Calc!$F$26)&gt;0),"",QUOTIENT($C164-1,Calc!$F$26)+1))</f>
        <v/>
      </c>
      <c r="C164" s="274">
        <v>156</v>
      </c>
      <c r="D164" s="154">
        <f>IF(Plan!$T162="","",Plan!$T162)</f>
        <v>46039</v>
      </c>
      <c r="E164" s="155">
        <f>IF(Plan!$U162="","",Plan!$U162)</f>
        <v>0.64583333333333337</v>
      </c>
      <c r="F164" s="175" t="str">
        <f>Plan!$Q162</f>
        <v>VfL Wolfsburg</v>
      </c>
      <c r="G164" s="176" t="s">
        <v>4</v>
      </c>
      <c r="H164" s="175" t="str">
        <f>Plan!$S162</f>
        <v>1. FC Heidenheim 1846</v>
      </c>
      <c r="I164" s="177">
        <v>1</v>
      </c>
      <c r="J164" s="178" t="str">
        <f>Language!$E$65</f>
        <v xml:space="preserve"> : </v>
      </c>
      <c r="K164" s="179">
        <v>1</v>
      </c>
      <c r="L164" s="383"/>
      <c r="M164" s="384"/>
    </row>
    <row r="165" spans="2:13" ht="15.75" x14ac:dyDescent="0.2">
      <c r="B165" s="278" t="str">
        <f>IF(Calc!$F$26=0,"",IF(OR($C165&gt;Calc!$B$24,MOD($C165-1,Calc!$F$26)&gt;0),"",QUOTIENT($C165-1,Calc!$F$26)+1))</f>
        <v/>
      </c>
      <c r="C165" s="274">
        <v>157</v>
      </c>
      <c r="D165" s="154">
        <f>IF(Plan!$T163="","",Plan!$T163)</f>
        <v>46039</v>
      </c>
      <c r="E165" s="155">
        <f>IF(Plan!$U163="","",Plan!$U163)</f>
        <v>0.64583333333333337</v>
      </c>
      <c r="F165" s="175" t="str">
        <f>Plan!$Q163</f>
        <v>TSG Hoffenheim</v>
      </c>
      <c r="G165" s="176" t="s">
        <v>4</v>
      </c>
      <c r="H165" s="175" t="str">
        <f>Plan!$S163</f>
        <v>Bayer 04 Leverkusen</v>
      </c>
      <c r="I165" s="177">
        <v>1</v>
      </c>
      <c r="J165" s="178" t="str">
        <f>Language!$E$65</f>
        <v xml:space="preserve"> : </v>
      </c>
      <c r="K165" s="179">
        <v>0</v>
      </c>
      <c r="L165" s="383"/>
      <c r="M165" s="384"/>
    </row>
    <row r="166" spans="2:13" ht="15.75" x14ac:dyDescent="0.2">
      <c r="B166" s="278" t="str">
        <f>IF(Calc!$F$26=0,"",IF(OR($C166&gt;Calc!$B$24,MOD($C166-1,Calc!$F$26)&gt;0),"",QUOTIENT($C166-1,Calc!$F$26)+1))</f>
        <v/>
      </c>
      <c r="C166" s="274">
        <v>158</v>
      </c>
      <c r="D166" s="154">
        <f>IF(Plan!$T164="","",Plan!$T164)</f>
        <v>46039</v>
      </c>
      <c r="E166" s="155">
        <f>IF(Plan!$U164="","",Plan!$U164)</f>
        <v>0.64583333333333337</v>
      </c>
      <c r="F166" s="175" t="str">
        <f>Plan!$Q164</f>
        <v>Borussia Dortmund</v>
      </c>
      <c r="G166" s="176" t="s">
        <v>4</v>
      </c>
      <c r="H166" s="175" t="str">
        <f>Plan!$S164</f>
        <v>FC St. Pauli</v>
      </c>
      <c r="I166" s="177">
        <v>3</v>
      </c>
      <c r="J166" s="178" t="str">
        <f>Language!$E$65</f>
        <v xml:space="preserve"> : </v>
      </c>
      <c r="K166" s="179">
        <v>2</v>
      </c>
      <c r="L166" s="383"/>
      <c r="M166" s="384"/>
    </row>
    <row r="167" spans="2:13" ht="15.75" x14ac:dyDescent="0.2">
      <c r="B167" s="278" t="str">
        <f>IF(Calc!$F$26=0,"",IF(OR($C167&gt;Calc!$B$24,MOD($C167-1,Calc!$F$26)&gt;0),"",QUOTIENT($C167-1,Calc!$F$26)+1))</f>
        <v/>
      </c>
      <c r="C167" s="274">
        <v>159</v>
      </c>
      <c r="D167" s="154">
        <f>IF(Plan!$T165="","",Plan!$T165)</f>
        <v>46039</v>
      </c>
      <c r="E167" s="155">
        <f>IF(Plan!$U165="","",Plan!$U165)</f>
        <v>0.64583333333333337</v>
      </c>
      <c r="F167" s="175" t="str">
        <f>Plan!$Q165</f>
        <v>1. FC Köln</v>
      </c>
      <c r="G167" s="176" t="s">
        <v>4</v>
      </c>
      <c r="H167" s="175" t="str">
        <f>Plan!$S165</f>
        <v>1. FSV Mainz 05</v>
      </c>
      <c r="I167" s="177">
        <v>2</v>
      </c>
      <c r="J167" s="178" t="str">
        <f>Language!$E$65</f>
        <v xml:space="preserve"> : </v>
      </c>
      <c r="K167" s="179">
        <v>1</v>
      </c>
      <c r="L167" s="383"/>
      <c r="M167" s="384"/>
    </row>
    <row r="168" spans="2:13" ht="15.75" x14ac:dyDescent="0.2">
      <c r="B168" s="278" t="str">
        <f>IF(Calc!$F$26=0,"",IF(OR($C168&gt;Calc!$B$24,MOD($C168-1,Calc!$F$26)&gt;0),"",QUOTIENT($C168-1,Calc!$F$26)+1))</f>
        <v/>
      </c>
      <c r="C168" s="274">
        <v>160</v>
      </c>
      <c r="D168" s="154">
        <f>IF(Plan!$T166="","",Plan!$T166)</f>
        <v>46039</v>
      </c>
      <c r="E168" s="155">
        <f>IF(Plan!$U166="","",Plan!$U166)</f>
        <v>0.77083333333333337</v>
      </c>
      <c r="F168" s="175" t="str">
        <f>Plan!$Q166</f>
        <v>RB Leipzig</v>
      </c>
      <c r="G168" s="176" t="s">
        <v>4</v>
      </c>
      <c r="H168" s="175" t="str">
        <f>Plan!$S166</f>
        <v>FC Bayern München</v>
      </c>
      <c r="I168" s="177">
        <v>1</v>
      </c>
      <c r="J168" s="178" t="str">
        <f>Language!$E$65</f>
        <v xml:space="preserve"> : </v>
      </c>
      <c r="K168" s="179">
        <v>5</v>
      </c>
      <c r="L168" s="383"/>
      <c r="M168" s="384"/>
    </row>
    <row r="169" spans="2:13" ht="15.75" x14ac:dyDescent="0.2">
      <c r="B169" s="278" t="str">
        <f>IF(Calc!$F$26=0,"",IF(OR($C169&gt;Calc!$B$24,MOD($C169-1,Calc!$F$26)&gt;0),"",QUOTIENT($C169-1,Calc!$F$26)+1))</f>
        <v/>
      </c>
      <c r="C169" s="274">
        <v>161</v>
      </c>
      <c r="D169" s="154">
        <f>IF(Plan!$T167="","",Plan!$T167)</f>
        <v>46040</v>
      </c>
      <c r="E169" s="155">
        <f>IF(Plan!$U167="","",Plan!$U167)</f>
        <v>0.64583333333333337</v>
      </c>
      <c r="F169" s="175" t="str">
        <f>Plan!$Q167</f>
        <v>VfB Stuttgart</v>
      </c>
      <c r="G169" s="176" t="s">
        <v>4</v>
      </c>
      <c r="H169" s="175" t="str">
        <f>Plan!$S167</f>
        <v>1. FC Union Berlin</v>
      </c>
      <c r="I169" s="177">
        <v>1</v>
      </c>
      <c r="J169" s="178" t="str">
        <f>Language!$E$65</f>
        <v xml:space="preserve"> : </v>
      </c>
      <c r="K169" s="179">
        <v>1</v>
      </c>
      <c r="L169" s="383"/>
      <c r="M169" s="384"/>
    </row>
    <row r="170" spans="2:13" ht="15.75" x14ac:dyDescent="0.2">
      <c r="B170" s="278" t="str">
        <f>IF(Calc!$F$26=0,"",IF(OR($C170&gt;Calc!$B$24,MOD($C170-1,Calc!$F$26)&gt;0),"",QUOTIENT($C170-1,Calc!$F$26)+1))</f>
        <v/>
      </c>
      <c r="C170" s="274">
        <v>162</v>
      </c>
      <c r="D170" s="154">
        <f>IF(Plan!$T168="","",Plan!$T168)</f>
        <v>46040</v>
      </c>
      <c r="E170" s="155">
        <f>IF(Plan!$U168="","",Plan!$U168)</f>
        <v>0.72916666666666663</v>
      </c>
      <c r="F170" s="175" t="str">
        <f>Plan!$Q168</f>
        <v>FC Augsburg</v>
      </c>
      <c r="G170" s="176" t="s">
        <v>4</v>
      </c>
      <c r="H170" s="175" t="str">
        <f>Plan!$S168</f>
        <v>SC Freiburg</v>
      </c>
      <c r="I170" s="177">
        <v>2</v>
      </c>
      <c r="J170" s="178" t="str">
        <f>Language!$E$65</f>
        <v xml:space="preserve"> : </v>
      </c>
      <c r="K170" s="179">
        <v>2</v>
      </c>
      <c r="L170" s="383"/>
      <c r="M170" s="384"/>
    </row>
    <row r="171" spans="2:13" ht="15.75" x14ac:dyDescent="0.2">
      <c r="B171" s="278">
        <f>IF(Calc!$F$26=0,"",IF(OR($C171&gt;Calc!$B$24,MOD($C171-1,Calc!$F$26)&gt;0),"",QUOTIENT($C171-1,Calc!$F$26)+1))</f>
        <v>19</v>
      </c>
      <c r="C171" s="274">
        <v>163</v>
      </c>
      <c r="D171" s="154">
        <f>IF(Plan!$T169="","",Plan!$T169)</f>
        <v>46045</v>
      </c>
      <c r="E171" s="155">
        <f>IF(Plan!$U169="","",Plan!$U169)</f>
        <v>0.85416666666666663</v>
      </c>
      <c r="F171" s="175" t="str">
        <f>Plan!$Q169</f>
        <v>FC St. Pauli</v>
      </c>
      <c r="G171" s="176" t="s">
        <v>4</v>
      </c>
      <c r="H171" s="175" t="str">
        <f>Plan!$S169</f>
        <v>Hamburger SV</v>
      </c>
      <c r="I171" s="177">
        <v>0</v>
      </c>
      <c r="J171" s="178" t="str">
        <f>Language!$E$65</f>
        <v xml:space="preserve"> : </v>
      </c>
      <c r="K171" s="179">
        <v>0</v>
      </c>
      <c r="L171" s="383"/>
      <c r="M171" s="384"/>
    </row>
    <row r="172" spans="2:13" ht="15.75" x14ac:dyDescent="0.2">
      <c r="B172" s="278" t="str">
        <f>IF(Calc!$F$26=0,"",IF(OR($C172&gt;Calc!$B$24,MOD($C172-1,Calc!$F$26)&gt;0),"",QUOTIENT($C172-1,Calc!$F$26)+1))</f>
        <v/>
      </c>
      <c r="C172" s="274">
        <v>164</v>
      </c>
      <c r="D172" s="154">
        <f>IF(Plan!$T170="","",Plan!$T170)</f>
        <v>46046</v>
      </c>
      <c r="E172" s="155">
        <f>IF(Plan!$U170="","",Plan!$U170)</f>
        <v>0.64583333333333337</v>
      </c>
      <c r="F172" s="175" t="str">
        <f>Plan!$Q170</f>
        <v>1. FC Heidenheim 1846</v>
      </c>
      <c r="G172" s="176" t="s">
        <v>4</v>
      </c>
      <c r="H172" s="175" t="str">
        <f>Plan!$S170</f>
        <v>RB Leipzig</v>
      </c>
      <c r="I172" s="177">
        <v>0</v>
      </c>
      <c r="J172" s="178" t="str">
        <f>Language!$E$65</f>
        <v xml:space="preserve"> : </v>
      </c>
      <c r="K172" s="179">
        <v>3</v>
      </c>
      <c r="L172" s="383"/>
      <c r="M172" s="384"/>
    </row>
    <row r="173" spans="2:13" ht="15.75" x14ac:dyDescent="0.2">
      <c r="B173" s="278" t="str">
        <f>IF(Calc!$F$26=0,"",IF(OR($C173&gt;Calc!$B$24,MOD($C173-1,Calc!$F$26)&gt;0),"",QUOTIENT($C173-1,Calc!$F$26)+1))</f>
        <v/>
      </c>
      <c r="C173" s="274">
        <v>165</v>
      </c>
      <c r="D173" s="154">
        <f>IF(Plan!$T171="","",Plan!$T171)</f>
        <v>46046</v>
      </c>
      <c r="E173" s="155">
        <f>IF(Plan!$U171="","",Plan!$U171)</f>
        <v>0.64583333333333337</v>
      </c>
      <c r="F173" s="175" t="str">
        <f>Plan!$Q171</f>
        <v>Eintracht Frankfurt</v>
      </c>
      <c r="G173" s="176" t="s">
        <v>4</v>
      </c>
      <c r="H173" s="175" t="str">
        <f>Plan!$S171</f>
        <v>TSG Hoffenheim</v>
      </c>
      <c r="I173" s="177">
        <v>1</v>
      </c>
      <c r="J173" s="178" t="str">
        <f>Language!$E$65</f>
        <v xml:space="preserve"> : </v>
      </c>
      <c r="K173" s="179">
        <v>3</v>
      </c>
      <c r="L173" s="383"/>
      <c r="M173" s="384"/>
    </row>
    <row r="174" spans="2:13" ht="15.75" x14ac:dyDescent="0.2">
      <c r="B174" s="278" t="str">
        <f>IF(Calc!$F$26=0,"",IF(OR($C174&gt;Calc!$B$24,MOD($C174-1,Calc!$F$26)&gt;0),"",QUOTIENT($C174-1,Calc!$F$26)+1))</f>
        <v/>
      </c>
      <c r="C174" s="274">
        <v>166</v>
      </c>
      <c r="D174" s="154">
        <f>IF(Plan!$T172="","",Plan!$T172)</f>
        <v>46046</v>
      </c>
      <c r="E174" s="155">
        <f>IF(Plan!$U172="","",Plan!$U172)</f>
        <v>0.64583333333333337</v>
      </c>
      <c r="F174" s="175" t="str">
        <f>Plan!$Q172</f>
        <v>Bayer 04 Leverkusen</v>
      </c>
      <c r="G174" s="176" t="s">
        <v>4</v>
      </c>
      <c r="H174" s="175" t="str">
        <f>Plan!$S172</f>
        <v>SV Werder Bremen</v>
      </c>
      <c r="I174" s="177">
        <v>1</v>
      </c>
      <c r="J174" s="178" t="str">
        <f>Language!$E$65</f>
        <v xml:space="preserve"> : </v>
      </c>
      <c r="K174" s="179">
        <v>0</v>
      </c>
      <c r="L174" s="383"/>
      <c r="M174" s="384"/>
    </row>
    <row r="175" spans="2:13" ht="15.75" x14ac:dyDescent="0.2">
      <c r="B175" s="278" t="str">
        <f>IF(Calc!$F$26=0,"",IF(OR($C175&gt;Calc!$B$24,MOD($C175-1,Calc!$F$26)&gt;0),"",QUOTIENT($C175-1,Calc!$F$26)+1))</f>
        <v/>
      </c>
      <c r="C175" s="274">
        <v>167</v>
      </c>
      <c r="D175" s="154">
        <f>IF(Plan!$T173="","",Plan!$T173)</f>
        <v>46046</v>
      </c>
      <c r="E175" s="155">
        <f>IF(Plan!$U173="","",Plan!$U173)</f>
        <v>0.64583333333333337</v>
      </c>
      <c r="F175" s="175" t="str">
        <f>Plan!$Q173</f>
        <v>FC Bayern München</v>
      </c>
      <c r="G175" s="176" t="s">
        <v>4</v>
      </c>
      <c r="H175" s="175" t="str">
        <f>Plan!$S173</f>
        <v>FC Augsburg</v>
      </c>
      <c r="I175" s="177">
        <v>1</v>
      </c>
      <c r="J175" s="178" t="str">
        <f>Language!$E$65</f>
        <v xml:space="preserve"> : </v>
      </c>
      <c r="K175" s="179">
        <v>2</v>
      </c>
      <c r="L175" s="383"/>
      <c r="M175" s="384"/>
    </row>
    <row r="176" spans="2:13" ht="15.75" x14ac:dyDescent="0.2">
      <c r="B176" s="278" t="str">
        <f>IF(Calc!$F$26=0,"",IF(OR($C176&gt;Calc!$B$24,MOD($C176-1,Calc!$F$26)&gt;0),"",QUOTIENT($C176-1,Calc!$F$26)+1))</f>
        <v/>
      </c>
      <c r="C176" s="274">
        <v>168</v>
      </c>
      <c r="D176" s="154">
        <f>IF(Plan!$T174="","",Plan!$T174)</f>
        <v>46046</v>
      </c>
      <c r="E176" s="155">
        <f>IF(Plan!$U174="","",Plan!$U174)</f>
        <v>0.64583333333333337</v>
      </c>
      <c r="F176" s="175" t="str">
        <f>Plan!$Q174</f>
        <v>1. FSV Mainz 05</v>
      </c>
      <c r="G176" s="176" t="s">
        <v>4</v>
      </c>
      <c r="H176" s="175" t="str">
        <f>Plan!$S174</f>
        <v>VfL Wolfsburg</v>
      </c>
      <c r="I176" s="177">
        <v>3</v>
      </c>
      <c r="J176" s="178" t="str">
        <f>Language!$E$65</f>
        <v xml:space="preserve"> : </v>
      </c>
      <c r="K176" s="179">
        <v>1</v>
      </c>
      <c r="L176" s="383"/>
      <c r="M176" s="384"/>
    </row>
    <row r="177" spans="2:13" ht="15.75" x14ac:dyDescent="0.2">
      <c r="B177" s="278" t="str">
        <f>IF(Calc!$F$26=0,"",IF(OR($C177&gt;Calc!$B$24,MOD($C177-1,Calc!$F$26)&gt;0),"",QUOTIENT($C177-1,Calc!$F$26)+1))</f>
        <v/>
      </c>
      <c r="C177" s="274">
        <v>169</v>
      </c>
      <c r="D177" s="154">
        <f>IF(Plan!$T175="","",Plan!$T175)</f>
        <v>46046</v>
      </c>
      <c r="E177" s="155">
        <f>IF(Plan!$U175="","",Plan!$U175)</f>
        <v>0.77083333333333337</v>
      </c>
      <c r="F177" s="175" t="str">
        <f>Plan!$Q175</f>
        <v>1. FC Union Berlin</v>
      </c>
      <c r="G177" s="176" t="s">
        <v>4</v>
      </c>
      <c r="H177" s="175" t="str">
        <f>Plan!$S175</f>
        <v>Borussia Dortmund</v>
      </c>
      <c r="I177" s="177">
        <v>0</v>
      </c>
      <c r="J177" s="178" t="str">
        <f>Language!$E$65</f>
        <v xml:space="preserve"> : </v>
      </c>
      <c r="K177" s="179">
        <v>3</v>
      </c>
      <c r="L177" s="383"/>
      <c r="M177" s="384"/>
    </row>
    <row r="178" spans="2:13" ht="15.75" x14ac:dyDescent="0.2">
      <c r="B178" s="278" t="str">
        <f>IF(Calc!$F$26=0,"",IF(OR($C178&gt;Calc!$B$24,MOD($C178-1,Calc!$F$26)&gt;0),"",QUOTIENT($C178-1,Calc!$F$26)+1))</f>
        <v/>
      </c>
      <c r="C178" s="274">
        <v>170</v>
      </c>
      <c r="D178" s="154">
        <f>IF(Plan!$T176="","",Plan!$T176)</f>
        <v>46047</v>
      </c>
      <c r="E178" s="155">
        <f>IF(Plan!$U176="","",Plan!$U176)</f>
        <v>0.64583333333333337</v>
      </c>
      <c r="F178" s="175" t="str">
        <f>Plan!$Q176</f>
        <v>Borussia Mönchengladbach</v>
      </c>
      <c r="G178" s="176" t="s">
        <v>4</v>
      </c>
      <c r="H178" s="175" t="str">
        <f>Plan!$S176</f>
        <v>VfB Stuttgart</v>
      </c>
      <c r="I178" s="177">
        <v>0</v>
      </c>
      <c r="J178" s="178" t="str">
        <f>Language!$E$65</f>
        <v xml:space="preserve"> : </v>
      </c>
      <c r="K178" s="179">
        <v>3</v>
      </c>
      <c r="L178" s="383"/>
      <c r="M178" s="384"/>
    </row>
    <row r="179" spans="2:13" ht="15.75" x14ac:dyDescent="0.2">
      <c r="B179" s="278" t="str">
        <f>IF(Calc!$F$26=0,"",IF(OR($C179&gt;Calc!$B$24,MOD($C179-1,Calc!$F$26)&gt;0),"",QUOTIENT($C179-1,Calc!$F$26)+1))</f>
        <v/>
      </c>
      <c r="C179" s="274">
        <v>171</v>
      </c>
      <c r="D179" s="154">
        <f>IF(Plan!$T177="","",Plan!$T177)</f>
        <v>46047</v>
      </c>
      <c r="E179" s="155">
        <f>IF(Plan!$U177="","",Plan!$U177)</f>
        <v>0.72916666666666663</v>
      </c>
      <c r="F179" s="175" t="str">
        <f>Plan!$Q177</f>
        <v>SC Freiburg</v>
      </c>
      <c r="G179" s="176" t="s">
        <v>4</v>
      </c>
      <c r="H179" s="175" t="str">
        <f>Plan!$S177</f>
        <v>1. FC Köln</v>
      </c>
      <c r="I179" s="177">
        <v>2</v>
      </c>
      <c r="J179" s="178" t="str">
        <f>Language!$E$65</f>
        <v xml:space="preserve"> : </v>
      </c>
      <c r="K179" s="179">
        <v>1</v>
      </c>
      <c r="L179" s="383"/>
      <c r="M179" s="384"/>
    </row>
    <row r="180" spans="2:13" ht="15.75" x14ac:dyDescent="0.2">
      <c r="B180" s="278">
        <f>IF(Calc!$F$26=0,"",IF(OR($C180&gt;Calc!$B$24,MOD($C180-1,Calc!$F$26)&gt;0),"",QUOTIENT($C180-1,Calc!$F$26)+1))</f>
        <v>20</v>
      </c>
      <c r="C180" s="274">
        <v>172</v>
      </c>
      <c r="D180" s="154">
        <f>IF(Plan!$T178="","",Plan!$T178)</f>
        <v>46052</v>
      </c>
      <c r="E180" s="155">
        <f>IF(Plan!$U178="","",Plan!$U178)</f>
        <v>0.85416666666666663</v>
      </c>
      <c r="F180" s="175" t="str">
        <f>Plan!$Q178</f>
        <v>1. FC Köln</v>
      </c>
      <c r="G180" s="176" t="s">
        <v>4</v>
      </c>
      <c r="H180" s="175" t="str">
        <f>Plan!$S178</f>
        <v>VfL Wolfsburg</v>
      </c>
      <c r="I180" s="177">
        <v>1</v>
      </c>
      <c r="J180" s="178" t="str">
        <f>Language!$E$65</f>
        <v xml:space="preserve"> : </v>
      </c>
      <c r="K180" s="179">
        <v>0</v>
      </c>
      <c r="L180" s="383"/>
      <c r="M180" s="384"/>
    </row>
    <row r="181" spans="2:13" ht="15.75" x14ac:dyDescent="0.2">
      <c r="B181" s="278" t="str">
        <f>IF(Calc!$F$26=0,"",IF(OR($C181&gt;Calc!$B$24,MOD($C181-1,Calc!$F$26)&gt;0),"",QUOTIENT($C181-1,Calc!$F$26)+1))</f>
        <v/>
      </c>
      <c r="C181" s="274">
        <v>173</v>
      </c>
      <c r="D181" s="154">
        <f>IF(Plan!$T179="","",Plan!$T179)</f>
        <v>46053</v>
      </c>
      <c r="E181" s="155">
        <f>IF(Plan!$U179="","",Plan!$U179)</f>
        <v>0.64583333333333337</v>
      </c>
      <c r="F181" s="175" t="str">
        <f>Plan!$Q179</f>
        <v>FC Augsburg</v>
      </c>
      <c r="G181" s="176" t="s">
        <v>4</v>
      </c>
      <c r="H181" s="175" t="str">
        <f>Plan!$S179</f>
        <v>FC St. Pauli</v>
      </c>
      <c r="I181" s="177">
        <v>2</v>
      </c>
      <c r="J181" s="178" t="str">
        <f>Language!$E$65</f>
        <v xml:space="preserve"> : </v>
      </c>
      <c r="K181" s="179">
        <v>1</v>
      </c>
      <c r="L181" s="383"/>
      <c r="M181" s="384"/>
    </row>
    <row r="182" spans="2:13" ht="15.75" x14ac:dyDescent="0.2">
      <c r="B182" s="278" t="str">
        <f>IF(Calc!$F$26=0,"",IF(OR($C182&gt;Calc!$B$24,MOD($C182-1,Calc!$F$26)&gt;0),"",QUOTIENT($C182-1,Calc!$F$26)+1))</f>
        <v/>
      </c>
      <c r="C182" s="274">
        <v>174</v>
      </c>
      <c r="D182" s="154">
        <f>IF(Plan!$T180="","",Plan!$T180)</f>
        <v>46053</v>
      </c>
      <c r="E182" s="155">
        <f>IF(Plan!$U180="","",Plan!$U180)</f>
        <v>0.64583333333333337</v>
      </c>
      <c r="F182" s="175" t="str">
        <f>Plan!$Q180</f>
        <v>TSG Hoffenheim</v>
      </c>
      <c r="G182" s="176" t="s">
        <v>4</v>
      </c>
      <c r="H182" s="175" t="str">
        <f>Plan!$S180</f>
        <v>1. FC Union Berlin</v>
      </c>
      <c r="I182" s="177">
        <v>3</v>
      </c>
      <c r="J182" s="178" t="str">
        <f>Language!$E$65</f>
        <v xml:space="preserve"> : </v>
      </c>
      <c r="K182" s="179">
        <v>1</v>
      </c>
      <c r="L182" s="383"/>
      <c r="M182" s="384"/>
    </row>
    <row r="183" spans="2:13" ht="15.75" x14ac:dyDescent="0.2">
      <c r="B183" s="278" t="str">
        <f>IF(Calc!$F$26=0,"",IF(OR($C183&gt;Calc!$B$24,MOD($C183-1,Calc!$F$26)&gt;0),"",QUOTIENT($C183-1,Calc!$F$26)+1))</f>
        <v/>
      </c>
      <c r="C183" s="274">
        <v>175</v>
      </c>
      <c r="D183" s="154">
        <f>IF(Plan!$T181="","",Plan!$T181)</f>
        <v>46053</v>
      </c>
      <c r="E183" s="155">
        <f>IF(Plan!$U181="","",Plan!$U181)</f>
        <v>0.64583333333333337</v>
      </c>
      <c r="F183" s="175" t="str">
        <f>Plan!$Q181</f>
        <v>Eintracht Frankfurt</v>
      </c>
      <c r="G183" s="176" t="s">
        <v>4</v>
      </c>
      <c r="H183" s="175" t="str">
        <f>Plan!$S181</f>
        <v>Bayer 04 Leverkusen</v>
      </c>
      <c r="I183" s="177">
        <v>1</v>
      </c>
      <c r="J183" s="178" t="str">
        <f>Language!$E$65</f>
        <v xml:space="preserve"> : </v>
      </c>
      <c r="K183" s="179">
        <v>3</v>
      </c>
      <c r="L183" s="383"/>
      <c r="M183" s="384"/>
    </row>
    <row r="184" spans="2:13" ht="15.75" x14ac:dyDescent="0.2">
      <c r="B184" s="278" t="str">
        <f>IF(Calc!$F$26=0,"",IF(OR($C184&gt;Calc!$B$24,MOD($C184-1,Calc!$F$26)&gt;0),"",QUOTIENT($C184-1,Calc!$F$26)+1))</f>
        <v/>
      </c>
      <c r="C184" s="274">
        <v>176</v>
      </c>
      <c r="D184" s="154">
        <f>IF(Plan!$T182="","",Plan!$T182)</f>
        <v>46053</v>
      </c>
      <c r="E184" s="155">
        <f>IF(Plan!$U182="","",Plan!$U182)</f>
        <v>0.64583333333333337</v>
      </c>
      <c r="F184" s="175" t="str">
        <f>Plan!$Q182</f>
        <v>RB Leipzig</v>
      </c>
      <c r="G184" s="176" t="s">
        <v>4</v>
      </c>
      <c r="H184" s="175" t="str">
        <f>Plan!$S182</f>
        <v>1. FSV Mainz 05</v>
      </c>
      <c r="I184" s="177">
        <v>1</v>
      </c>
      <c r="J184" s="178" t="str">
        <f>Language!$E$65</f>
        <v xml:space="preserve"> : </v>
      </c>
      <c r="K184" s="179">
        <v>2</v>
      </c>
      <c r="L184" s="383"/>
      <c r="M184" s="384"/>
    </row>
    <row r="185" spans="2:13" ht="15.75" x14ac:dyDescent="0.2">
      <c r="B185" s="278" t="str">
        <f>IF(Calc!$F$26=0,"",IF(OR($C185&gt;Calc!$B$24,MOD($C185-1,Calc!$F$26)&gt;0),"",QUOTIENT($C185-1,Calc!$F$26)+1))</f>
        <v/>
      </c>
      <c r="C185" s="274">
        <v>177</v>
      </c>
      <c r="D185" s="154">
        <f>IF(Plan!$T183="","",Plan!$T183)</f>
        <v>46053</v>
      </c>
      <c r="E185" s="155">
        <f>IF(Plan!$U183="","",Plan!$U183)</f>
        <v>0.64583333333333337</v>
      </c>
      <c r="F185" s="175" t="str">
        <f>Plan!$Q183</f>
        <v>SV Werder Bremen</v>
      </c>
      <c r="G185" s="176" t="s">
        <v>4</v>
      </c>
      <c r="H185" s="175" t="str">
        <f>Plan!$S183</f>
        <v>Borussia Mönchengladbach</v>
      </c>
      <c r="I185" s="177">
        <v>1</v>
      </c>
      <c r="J185" s="178" t="str">
        <f>Language!$E$65</f>
        <v xml:space="preserve"> : </v>
      </c>
      <c r="K185" s="179">
        <v>1</v>
      </c>
      <c r="L185" s="383"/>
      <c r="M185" s="384"/>
    </row>
    <row r="186" spans="2:13" ht="15.75" x14ac:dyDescent="0.2">
      <c r="B186" s="278" t="str">
        <f>IF(Calc!$F$26=0,"",IF(OR($C186&gt;Calc!$B$24,MOD($C186-1,Calc!$F$26)&gt;0),"",QUOTIENT($C186-1,Calc!$F$26)+1))</f>
        <v/>
      </c>
      <c r="C186" s="274">
        <v>178</v>
      </c>
      <c r="D186" s="154">
        <f>IF(Plan!$T184="","",Plan!$T184)</f>
        <v>46053</v>
      </c>
      <c r="E186" s="155">
        <f>IF(Plan!$U184="","",Plan!$U184)</f>
        <v>0.77083333333333337</v>
      </c>
      <c r="F186" s="175" t="str">
        <f>Plan!$Q184</f>
        <v>Hamburger SV</v>
      </c>
      <c r="G186" s="176" t="s">
        <v>4</v>
      </c>
      <c r="H186" s="175" t="str">
        <f>Plan!$S184</f>
        <v>FC Bayern München</v>
      </c>
      <c r="I186" s="177">
        <v>2</v>
      </c>
      <c r="J186" s="178" t="str">
        <f>Language!$E$65</f>
        <v xml:space="preserve"> : </v>
      </c>
      <c r="K186" s="179">
        <v>2</v>
      </c>
      <c r="L186" s="383"/>
      <c r="M186" s="384"/>
    </row>
    <row r="187" spans="2:13" ht="15.75" x14ac:dyDescent="0.2">
      <c r="B187" s="278" t="str">
        <f>IF(Calc!$F$26=0,"",IF(OR($C187&gt;Calc!$B$24,MOD($C187-1,Calc!$F$26)&gt;0),"",QUOTIENT($C187-1,Calc!$F$26)+1))</f>
        <v/>
      </c>
      <c r="C187" s="274">
        <v>179</v>
      </c>
      <c r="D187" s="154">
        <f>IF(Plan!$T185="","",Plan!$T185)</f>
        <v>46054</v>
      </c>
      <c r="E187" s="155">
        <f>IF(Plan!$U185="","",Plan!$U185)</f>
        <v>0.64583333333333337</v>
      </c>
      <c r="F187" s="175" t="str">
        <f>Plan!$Q185</f>
        <v>VfB Stuttgart</v>
      </c>
      <c r="G187" s="176" t="s">
        <v>4</v>
      </c>
      <c r="H187" s="175" t="str">
        <f>Plan!$S185</f>
        <v>SC Freiburg</v>
      </c>
      <c r="I187" s="177">
        <v>1</v>
      </c>
      <c r="J187" s="178" t="str">
        <f>Language!$E$65</f>
        <v xml:space="preserve"> : </v>
      </c>
      <c r="K187" s="179">
        <v>0</v>
      </c>
      <c r="L187" s="383"/>
      <c r="M187" s="384"/>
    </row>
    <row r="188" spans="2:13" ht="15.75" x14ac:dyDescent="0.2">
      <c r="B188" s="278" t="str">
        <f>IF(Calc!$F$26=0,"",IF(OR($C188&gt;Calc!$B$24,MOD($C188-1,Calc!$F$26)&gt;0),"",QUOTIENT($C188-1,Calc!$F$26)+1))</f>
        <v/>
      </c>
      <c r="C188" s="274">
        <v>180</v>
      </c>
      <c r="D188" s="154">
        <f>IF(Plan!$T186="","",Plan!$T186)</f>
        <v>46054</v>
      </c>
      <c r="E188" s="155">
        <f>IF(Plan!$U186="","",Plan!$U186)</f>
        <v>0.72916666666666663</v>
      </c>
      <c r="F188" s="175" t="str">
        <f>Plan!$Q186</f>
        <v>Borussia Dortmund</v>
      </c>
      <c r="G188" s="176" t="s">
        <v>4</v>
      </c>
      <c r="H188" s="175" t="str">
        <f>Plan!$S186</f>
        <v>1. FC Heidenheim 1846</v>
      </c>
      <c r="I188" s="177">
        <v>3</v>
      </c>
      <c r="J188" s="178" t="str">
        <f>Language!$E$65</f>
        <v xml:space="preserve"> : </v>
      </c>
      <c r="K188" s="179">
        <v>2</v>
      </c>
      <c r="L188" s="383"/>
      <c r="M188" s="384"/>
    </row>
    <row r="189" spans="2:13" ht="15.75" x14ac:dyDescent="0.2">
      <c r="B189" s="278">
        <f>IF(Calc!$F$26=0,"",IF(OR($C189&gt;Calc!$B$24,MOD($C189-1,Calc!$F$26)&gt;0),"",QUOTIENT($C189-1,Calc!$F$26)+1))</f>
        <v>21</v>
      </c>
      <c r="C189" s="274">
        <v>181</v>
      </c>
      <c r="D189" s="154">
        <f>IF(Plan!$T187="","",Plan!$T187)</f>
        <v>46059</v>
      </c>
      <c r="E189" s="155">
        <f>IF(Plan!$U187="","",Plan!$U187)</f>
        <v>0.85416666666666663</v>
      </c>
      <c r="F189" s="175" t="str">
        <f>Plan!$Q187</f>
        <v>1. FC Union Berlin</v>
      </c>
      <c r="G189" s="176" t="s">
        <v>4</v>
      </c>
      <c r="H189" s="175" t="str">
        <f>Plan!$S187</f>
        <v>Eintracht Frankfurt</v>
      </c>
      <c r="I189" s="177">
        <v>1</v>
      </c>
      <c r="J189" s="178" t="str">
        <f>Language!$E$65</f>
        <v xml:space="preserve"> : </v>
      </c>
      <c r="K189" s="179">
        <v>1</v>
      </c>
      <c r="L189" s="383"/>
      <c r="M189" s="384"/>
    </row>
    <row r="190" spans="2:13" ht="15.75" x14ac:dyDescent="0.2">
      <c r="B190" s="278" t="str">
        <f>IF(Calc!$F$26=0,"",IF(OR($C190&gt;Calc!$B$24,MOD($C190-1,Calc!$F$26)&gt;0),"",QUOTIENT($C190-1,Calc!$F$26)+1))</f>
        <v/>
      </c>
      <c r="C190" s="274">
        <v>182</v>
      </c>
      <c r="D190" s="154">
        <f>IF(Plan!$T188="","",Plan!$T188)</f>
        <v>46060</v>
      </c>
      <c r="E190" s="155">
        <f>IF(Plan!$U188="","",Plan!$U188)</f>
        <v>0.64583333333333337</v>
      </c>
      <c r="F190" s="175" t="str">
        <f>Plan!$Q188</f>
        <v>FC St. Pauli</v>
      </c>
      <c r="G190" s="176" t="s">
        <v>4</v>
      </c>
      <c r="H190" s="175" t="str">
        <f>Plan!$S188</f>
        <v>VfB Stuttgart</v>
      </c>
      <c r="I190" s="177">
        <v>2</v>
      </c>
      <c r="J190" s="178" t="str">
        <f>Language!$E$65</f>
        <v xml:space="preserve"> : </v>
      </c>
      <c r="K190" s="179">
        <v>1</v>
      </c>
      <c r="L190" s="383"/>
      <c r="M190" s="384"/>
    </row>
    <row r="191" spans="2:13" ht="15.75" x14ac:dyDescent="0.2">
      <c r="B191" s="278" t="str">
        <f>IF(Calc!$F$26=0,"",IF(OR($C191&gt;Calc!$B$24,MOD($C191-1,Calc!$F$26)&gt;0),"",QUOTIENT($C191-1,Calc!$F$26)+1))</f>
        <v/>
      </c>
      <c r="C191" s="274">
        <v>183</v>
      </c>
      <c r="D191" s="154">
        <f>IF(Plan!$T189="","",Plan!$T189)</f>
        <v>46060</v>
      </c>
      <c r="E191" s="155">
        <f>IF(Plan!$U189="","",Plan!$U189)</f>
        <v>0.64583333333333337</v>
      </c>
      <c r="F191" s="175" t="str">
        <f>Plan!$Q189</f>
        <v>1. FC Heidenheim 1846</v>
      </c>
      <c r="G191" s="176" t="s">
        <v>4</v>
      </c>
      <c r="H191" s="175" t="str">
        <f>Plan!$S189</f>
        <v>Hamburger SV</v>
      </c>
      <c r="I191" s="177">
        <v>0</v>
      </c>
      <c r="J191" s="178" t="str">
        <f>Language!$E$65</f>
        <v xml:space="preserve"> : </v>
      </c>
      <c r="K191" s="179">
        <v>2</v>
      </c>
      <c r="L191" s="383"/>
      <c r="M191" s="384"/>
    </row>
    <row r="192" spans="2:13" ht="15.75" x14ac:dyDescent="0.2">
      <c r="B192" s="278" t="str">
        <f>IF(Calc!$F$26=0,"",IF(OR($C192&gt;Calc!$B$24,MOD($C192-1,Calc!$F$26)&gt;0),"",QUOTIENT($C192-1,Calc!$F$26)+1))</f>
        <v/>
      </c>
      <c r="C192" s="274">
        <v>184</v>
      </c>
      <c r="D192" s="154">
        <f>IF(Plan!$T190="","",Plan!$T190)</f>
        <v>46060</v>
      </c>
      <c r="E192" s="155">
        <f>IF(Plan!$U190="","",Plan!$U190)</f>
        <v>0.64583333333333337</v>
      </c>
      <c r="F192" s="175" t="str">
        <f>Plan!$Q190</f>
        <v>SC Freiburg</v>
      </c>
      <c r="G192" s="176" t="s">
        <v>4</v>
      </c>
      <c r="H192" s="175" t="str">
        <f>Plan!$S190</f>
        <v>SV Werder Bremen</v>
      </c>
      <c r="I192" s="177">
        <v>1</v>
      </c>
      <c r="J192" s="178" t="str">
        <f>Language!$E$65</f>
        <v xml:space="preserve"> : </v>
      </c>
      <c r="K192" s="179">
        <v>0</v>
      </c>
      <c r="L192" s="383"/>
      <c r="M192" s="384"/>
    </row>
    <row r="193" spans="2:13" ht="15.75" x14ac:dyDescent="0.2">
      <c r="B193" s="278" t="str">
        <f>IF(Calc!$F$26=0,"",IF(OR($C193&gt;Calc!$B$24,MOD($C193-1,Calc!$F$26)&gt;0),"",QUOTIENT($C193-1,Calc!$F$26)+1))</f>
        <v/>
      </c>
      <c r="C193" s="274">
        <v>185</v>
      </c>
      <c r="D193" s="154">
        <f>IF(Plan!$T191="","",Plan!$T191)</f>
        <v>46060</v>
      </c>
      <c r="E193" s="155">
        <f>IF(Plan!$U191="","",Plan!$U191)</f>
        <v>0.64583333333333337</v>
      </c>
      <c r="F193" s="175" t="str">
        <f>Plan!$Q191</f>
        <v>1. FSV Mainz 05</v>
      </c>
      <c r="G193" s="176" t="s">
        <v>4</v>
      </c>
      <c r="H193" s="175" t="str">
        <f>Plan!$S191</f>
        <v>FC Augsburg</v>
      </c>
      <c r="I193" s="177">
        <v>2</v>
      </c>
      <c r="J193" s="178" t="str">
        <f>Language!$E$65</f>
        <v xml:space="preserve"> : </v>
      </c>
      <c r="K193" s="179">
        <v>0</v>
      </c>
      <c r="L193" s="383"/>
      <c r="M193" s="384"/>
    </row>
    <row r="194" spans="2:13" ht="15.75" x14ac:dyDescent="0.2">
      <c r="B194" s="278" t="str">
        <f>IF(Calc!$F$26=0,"",IF(OR($C194&gt;Calc!$B$24,MOD($C194-1,Calc!$F$26)&gt;0),"",QUOTIENT($C194-1,Calc!$F$26)+1))</f>
        <v/>
      </c>
      <c r="C194" s="274">
        <v>186</v>
      </c>
      <c r="D194" s="154">
        <f>IF(Plan!$T192="","",Plan!$T192)</f>
        <v>46060</v>
      </c>
      <c r="E194" s="155">
        <f>IF(Plan!$U192="","",Plan!$U192)</f>
        <v>0.64583333333333337</v>
      </c>
      <c r="F194" s="175" t="str">
        <f>Plan!$Q192</f>
        <v>VfL Wolfsburg</v>
      </c>
      <c r="G194" s="176" t="s">
        <v>4</v>
      </c>
      <c r="H194" s="175" t="str">
        <f>Plan!$S192</f>
        <v>Borussia Dortmund</v>
      </c>
      <c r="I194" s="177">
        <v>1</v>
      </c>
      <c r="J194" s="178" t="str">
        <f>Language!$E$65</f>
        <v xml:space="preserve"> : </v>
      </c>
      <c r="K194" s="179">
        <v>2</v>
      </c>
      <c r="L194" s="383"/>
      <c r="M194" s="384"/>
    </row>
    <row r="195" spans="2:13" ht="15.75" x14ac:dyDescent="0.2">
      <c r="B195" s="278" t="str">
        <f>IF(Calc!$F$26=0,"",IF(OR($C195&gt;Calc!$B$24,MOD($C195-1,Calc!$F$26)&gt;0),"",QUOTIENT($C195-1,Calc!$F$26)+1))</f>
        <v/>
      </c>
      <c r="C195" s="274">
        <v>187</v>
      </c>
      <c r="D195" s="154">
        <f>IF(Plan!$T193="","",Plan!$T193)</f>
        <v>46060</v>
      </c>
      <c r="E195" s="155">
        <f>IF(Plan!$U193="","",Plan!$U193)</f>
        <v>0.77083333333333337</v>
      </c>
      <c r="F195" s="175" t="str">
        <f>Plan!$Q193</f>
        <v>Borussia Mönchengladbach</v>
      </c>
      <c r="G195" s="176" t="s">
        <v>4</v>
      </c>
      <c r="H195" s="175" t="str">
        <f>Plan!$S193</f>
        <v>Bayer 04 Leverkusen</v>
      </c>
      <c r="I195" s="177">
        <v>1</v>
      </c>
      <c r="J195" s="178" t="str">
        <f>Language!$E$65</f>
        <v xml:space="preserve"> : </v>
      </c>
      <c r="K195" s="179">
        <v>1</v>
      </c>
      <c r="L195" s="383"/>
      <c r="M195" s="384"/>
    </row>
    <row r="196" spans="2:13" ht="15.75" x14ac:dyDescent="0.2">
      <c r="B196" s="278" t="str">
        <f>IF(Calc!$F$26=0,"",IF(OR($C196&gt;Calc!$B$24,MOD($C196-1,Calc!$F$26)&gt;0),"",QUOTIENT($C196-1,Calc!$F$26)+1))</f>
        <v/>
      </c>
      <c r="C196" s="274">
        <v>188</v>
      </c>
      <c r="D196" s="154">
        <f>IF(Plan!$T194="","",Plan!$T194)</f>
        <v>46061</v>
      </c>
      <c r="E196" s="155">
        <f>IF(Plan!$U194="","",Plan!$U194)</f>
        <v>0.64583333333333337</v>
      </c>
      <c r="F196" s="175" t="str">
        <f>Plan!$Q194</f>
        <v>1. FC Köln</v>
      </c>
      <c r="G196" s="176" t="s">
        <v>4</v>
      </c>
      <c r="H196" s="175" t="str">
        <f>Plan!$S194</f>
        <v>RB Leipzig</v>
      </c>
      <c r="I196" s="177">
        <v>1</v>
      </c>
      <c r="J196" s="178" t="str">
        <f>Language!$E$65</f>
        <v xml:space="preserve"> : </v>
      </c>
      <c r="K196" s="179">
        <v>2</v>
      </c>
      <c r="L196" s="383"/>
      <c r="M196" s="384"/>
    </row>
    <row r="197" spans="2:13" ht="15.75" x14ac:dyDescent="0.2">
      <c r="B197" s="278" t="str">
        <f>IF(Calc!$F$26=0,"",IF(OR($C197&gt;Calc!$B$24,MOD($C197-1,Calc!$F$26)&gt;0),"",QUOTIENT($C197-1,Calc!$F$26)+1))</f>
        <v/>
      </c>
      <c r="C197" s="274">
        <v>189</v>
      </c>
      <c r="D197" s="154">
        <f>IF(Plan!$T195="","",Plan!$T195)</f>
        <v>46061</v>
      </c>
      <c r="E197" s="155">
        <f>IF(Plan!$U195="","",Plan!$U195)</f>
        <v>0.72916666666666663</v>
      </c>
      <c r="F197" s="175" t="str">
        <f>Plan!$Q195</f>
        <v>FC Bayern München</v>
      </c>
      <c r="G197" s="176" t="s">
        <v>4</v>
      </c>
      <c r="H197" s="175" t="str">
        <f>Plan!$S195</f>
        <v>TSG Hoffenheim</v>
      </c>
      <c r="I197" s="177">
        <v>5</v>
      </c>
      <c r="J197" s="178" t="str">
        <f>Language!$E$65</f>
        <v xml:space="preserve"> : </v>
      </c>
      <c r="K197" s="179">
        <v>1</v>
      </c>
      <c r="L197" s="383"/>
      <c r="M197" s="384"/>
    </row>
    <row r="198" spans="2:13" ht="15.75" x14ac:dyDescent="0.2">
      <c r="B198" s="278">
        <f>IF(Calc!$F$26=0,"",IF(OR($C198&gt;Calc!$B$24,MOD($C198-1,Calc!$F$26)&gt;0),"",QUOTIENT($C198-1,Calc!$F$26)+1))</f>
        <v>22</v>
      </c>
      <c r="C198" s="274">
        <v>190</v>
      </c>
      <c r="D198" s="154">
        <f>IF(Plan!$T196="","",Plan!$T196)</f>
        <v>46066</v>
      </c>
      <c r="E198" s="155">
        <f>IF(Plan!$U196="","",Plan!$U196)</f>
        <v>0.85416666666666663</v>
      </c>
      <c r="F198" s="175" t="str">
        <f>Plan!$Q196</f>
        <v>Borussia Dortmund</v>
      </c>
      <c r="G198" s="176" t="s">
        <v>4</v>
      </c>
      <c r="H198" s="175" t="str">
        <f>Plan!$S196</f>
        <v>1. FSV Mainz 05</v>
      </c>
      <c r="I198" s="177">
        <v>4</v>
      </c>
      <c r="J198" s="178" t="str">
        <f>Language!$E$65</f>
        <v xml:space="preserve"> : </v>
      </c>
      <c r="K198" s="179">
        <v>0</v>
      </c>
      <c r="L198" s="383"/>
      <c r="M198" s="384"/>
    </row>
    <row r="199" spans="2:13" ht="15.75" x14ac:dyDescent="0.2">
      <c r="B199" s="278" t="str">
        <f>IF(Calc!$F$26=0,"",IF(OR($C199&gt;Calc!$B$24,MOD($C199-1,Calc!$F$26)&gt;0),"",QUOTIENT($C199-1,Calc!$F$26)+1))</f>
        <v/>
      </c>
      <c r="C199" s="275">
        <v>191</v>
      </c>
      <c r="D199" s="224">
        <f>IF(Plan!$T197="","",Plan!$T197)</f>
        <v>46067</v>
      </c>
      <c r="E199" s="225">
        <f>IF(Plan!$U197="","",Plan!$U197)</f>
        <v>0.64583333333333337</v>
      </c>
      <c r="F199" s="226" t="str">
        <f>Plan!$Q197</f>
        <v>TSG Hoffenheim</v>
      </c>
      <c r="G199" s="227" t="s">
        <v>4</v>
      </c>
      <c r="H199" s="226" t="str">
        <f>Plan!$S197</f>
        <v>SC Freiburg</v>
      </c>
      <c r="I199" s="228">
        <v>3</v>
      </c>
      <c r="J199" s="229" t="str">
        <f>Language!$E$65</f>
        <v xml:space="preserve"> : </v>
      </c>
      <c r="K199" s="230">
        <v>0</v>
      </c>
      <c r="L199" s="383"/>
      <c r="M199" s="384"/>
    </row>
    <row r="200" spans="2:13" ht="15.75" x14ac:dyDescent="0.2">
      <c r="B200" s="278" t="str">
        <f>IF(Calc!$F$26=0,"",IF(OR($C200&gt;Calc!$B$24,MOD($C200-1,Calc!$F$26)&gt;0),"",QUOTIENT($C200-1,Calc!$F$26)+1))</f>
        <v/>
      </c>
      <c r="C200" s="274">
        <v>192</v>
      </c>
      <c r="D200" s="154">
        <f>IF(Plan!$T198="","",Plan!$T198)</f>
        <v>46067</v>
      </c>
      <c r="E200" s="155">
        <f>IF(Plan!$U198="","",Plan!$U198)</f>
        <v>0.64583333333333337</v>
      </c>
      <c r="F200" s="175" t="str">
        <f>Plan!$Q198</f>
        <v>Hamburger SV</v>
      </c>
      <c r="G200" s="176" t="s">
        <v>4</v>
      </c>
      <c r="H200" s="175" t="str">
        <f>Plan!$S198</f>
        <v>1. FC Union Berlin</v>
      </c>
      <c r="I200" s="177">
        <v>3</v>
      </c>
      <c r="J200" s="178" t="str">
        <f>Language!$E$65</f>
        <v xml:space="preserve"> : </v>
      </c>
      <c r="K200" s="179">
        <v>2</v>
      </c>
      <c r="L200" s="383"/>
      <c r="M200" s="384"/>
    </row>
    <row r="201" spans="2:13" ht="15.75" x14ac:dyDescent="0.2">
      <c r="B201" s="278" t="str">
        <f>IF(Calc!$F$26=0,"",IF(OR($C201&gt;Calc!$B$24,MOD($C201-1,Calc!$F$26)&gt;0),"",QUOTIENT($C201-1,Calc!$F$26)+1))</f>
        <v/>
      </c>
      <c r="C201" s="274">
        <v>193</v>
      </c>
      <c r="D201" s="154">
        <f>IF(Plan!$T199="","",Plan!$T199)</f>
        <v>46067</v>
      </c>
      <c r="E201" s="155">
        <f>IF(Plan!$U199="","",Plan!$U199)</f>
        <v>0.64583333333333337</v>
      </c>
      <c r="F201" s="175" t="str">
        <f>Plan!$Q199</f>
        <v>Bayer 04 Leverkusen</v>
      </c>
      <c r="G201" s="176" t="s">
        <v>4</v>
      </c>
      <c r="H201" s="175" t="str">
        <f>Plan!$S199</f>
        <v>FC St. Pauli</v>
      </c>
      <c r="I201" s="177">
        <v>4</v>
      </c>
      <c r="J201" s="178" t="str">
        <f>Language!$E$65</f>
        <v xml:space="preserve"> : </v>
      </c>
      <c r="K201" s="179">
        <v>0</v>
      </c>
      <c r="L201" s="383"/>
      <c r="M201" s="384"/>
    </row>
    <row r="202" spans="2:13" ht="15.75" x14ac:dyDescent="0.2">
      <c r="B202" s="278" t="str">
        <f>IF(Calc!$F$26=0,"",IF(OR($C202&gt;Calc!$B$24,MOD($C202-1,Calc!$F$26)&gt;0),"",QUOTIENT($C202-1,Calc!$F$26)+1))</f>
        <v/>
      </c>
      <c r="C202" s="274">
        <v>194</v>
      </c>
      <c r="D202" s="154">
        <f>IF(Plan!$T200="","",Plan!$T200)</f>
        <v>46067</v>
      </c>
      <c r="E202" s="155">
        <f>IF(Plan!$U200="","",Plan!$U200)</f>
        <v>0.64583333333333337</v>
      </c>
      <c r="F202" s="175" t="str">
        <f>Plan!$Q200</f>
        <v>Eintracht Frankfurt</v>
      </c>
      <c r="G202" s="176" t="s">
        <v>4</v>
      </c>
      <c r="H202" s="175" t="str">
        <f>Plan!$S200</f>
        <v>Borussia Mönchengladbach</v>
      </c>
      <c r="I202" s="177">
        <v>3</v>
      </c>
      <c r="J202" s="178" t="str">
        <f>Language!$E$65</f>
        <v xml:space="preserve"> : </v>
      </c>
      <c r="K202" s="179">
        <v>0</v>
      </c>
      <c r="L202" s="383"/>
      <c r="M202" s="384"/>
    </row>
    <row r="203" spans="2:13" ht="15.75" x14ac:dyDescent="0.2">
      <c r="B203" s="278" t="str">
        <f>IF(Calc!$F$26=0,"",IF(OR($C203&gt;Calc!$B$24,MOD($C203-1,Calc!$F$26)&gt;0),"",QUOTIENT($C203-1,Calc!$F$26)+1))</f>
        <v/>
      </c>
      <c r="C203" s="274">
        <v>195</v>
      </c>
      <c r="D203" s="154">
        <f>IF(Plan!$T201="","",Plan!$T201)</f>
        <v>46067</v>
      </c>
      <c r="E203" s="155">
        <f>IF(Plan!$U201="","",Plan!$U201)</f>
        <v>0.64583333333333337</v>
      </c>
      <c r="F203" s="175" t="str">
        <f>Plan!$Q201</f>
        <v>SV Werder Bremen</v>
      </c>
      <c r="G203" s="176" t="s">
        <v>4</v>
      </c>
      <c r="H203" s="175" t="str">
        <f>Plan!$S201</f>
        <v>FC Bayern München</v>
      </c>
      <c r="I203" s="177">
        <v>0</v>
      </c>
      <c r="J203" s="178" t="str">
        <f>Language!$E$65</f>
        <v xml:space="preserve"> : </v>
      </c>
      <c r="K203" s="179">
        <v>3</v>
      </c>
      <c r="L203" s="383"/>
      <c r="M203" s="384"/>
    </row>
    <row r="204" spans="2:13" ht="15.75" x14ac:dyDescent="0.2">
      <c r="B204" s="278" t="str">
        <f>IF(Calc!$F$26=0,"",IF(OR($C204&gt;Calc!$B$24,MOD($C204-1,Calc!$F$26)&gt;0),"",QUOTIENT($C204-1,Calc!$F$26)+1))</f>
        <v/>
      </c>
      <c r="C204" s="274">
        <v>196</v>
      </c>
      <c r="D204" s="154">
        <f>IF(Plan!$T202="","",Plan!$T202)</f>
        <v>46067</v>
      </c>
      <c r="E204" s="155">
        <f>IF(Plan!$U202="","",Plan!$U202)</f>
        <v>0.77083333333333337</v>
      </c>
      <c r="F204" s="175" t="str">
        <f>Plan!$Q202</f>
        <v>VfB Stuttgart</v>
      </c>
      <c r="G204" s="176" t="s">
        <v>4</v>
      </c>
      <c r="H204" s="175" t="str">
        <f>Plan!$S202</f>
        <v>1. FC Köln</v>
      </c>
      <c r="I204" s="177">
        <v>3</v>
      </c>
      <c r="J204" s="178" t="str">
        <f>Language!$E$65</f>
        <v xml:space="preserve"> : </v>
      </c>
      <c r="K204" s="179">
        <v>1</v>
      </c>
      <c r="L204" s="383"/>
      <c r="M204" s="384"/>
    </row>
    <row r="205" spans="2:13" ht="15.75" x14ac:dyDescent="0.2">
      <c r="B205" s="278" t="str">
        <f>IF(Calc!$F$26=0,"",IF(OR($C205&gt;Calc!$B$24,MOD($C205-1,Calc!$F$26)&gt;0),"",QUOTIENT($C205-1,Calc!$F$26)+1))</f>
        <v/>
      </c>
      <c r="C205" s="274">
        <v>197</v>
      </c>
      <c r="D205" s="154">
        <f>IF(Plan!$T203="","",Plan!$T203)</f>
        <v>46068</v>
      </c>
      <c r="E205" s="155">
        <f>IF(Plan!$U203="","",Plan!$U203)</f>
        <v>0.64583333333333337</v>
      </c>
      <c r="F205" s="175" t="str">
        <f>Plan!$Q203</f>
        <v>FC Augsburg</v>
      </c>
      <c r="G205" s="176" t="s">
        <v>4</v>
      </c>
      <c r="H205" s="175" t="str">
        <f>Plan!$S203</f>
        <v>1. FC Heidenheim 1846</v>
      </c>
      <c r="I205" s="177">
        <v>1</v>
      </c>
      <c r="J205" s="178" t="str">
        <f>Language!$E$65</f>
        <v xml:space="preserve"> : </v>
      </c>
      <c r="K205" s="179">
        <v>0</v>
      </c>
      <c r="L205" s="383"/>
      <c r="M205" s="384"/>
    </row>
    <row r="206" spans="2:13" ht="15.75" x14ac:dyDescent="0.2">
      <c r="B206" s="278" t="str">
        <f>IF(Calc!$F$26=0,"",IF(OR($C206&gt;Calc!$B$24,MOD($C206-1,Calc!$F$26)&gt;0),"",QUOTIENT($C206-1,Calc!$F$26)+1))</f>
        <v/>
      </c>
      <c r="C206" s="274">
        <v>198</v>
      </c>
      <c r="D206" s="154">
        <f>IF(Plan!$T204="","",Plan!$T204)</f>
        <v>46068</v>
      </c>
      <c r="E206" s="155">
        <f>IF(Plan!$U204="","",Plan!$U204)</f>
        <v>0.72916666666666663</v>
      </c>
      <c r="F206" s="175" t="str">
        <f>Plan!$Q204</f>
        <v>RB Leipzig</v>
      </c>
      <c r="G206" s="176" t="s">
        <v>4</v>
      </c>
      <c r="H206" s="175" t="str">
        <f>Plan!$S204</f>
        <v>VfL Wolfsburg</v>
      </c>
      <c r="I206" s="177">
        <v>2</v>
      </c>
      <c r="J206" s="178" t="str">
        <f>Language!$E$65</f>
        <v xml:space="preserve"> : </v>
      </c>
      <c r="K206" s="179">
        <v>2</v>
      </c>
      <c r="L206" s="383"/>
      <c r="M206" s="384"/>
    </row>
    <row r="207" spans="2:13" ht="15.75" x14ac:dyDescent="0.2">
      <c r="B207" s="278">
        <f>IF(Calc!$F$26=0,"",IF(OR($C207&gt;Calc!$B$24,MOD($C207-1,Calc!$F$26)&gt;0),"",QUOTIENT($C207-1,Calc!$F$26)+1))</f>
        <v>23</v>
      </c>
      <c r="C207" s="274">
        <v>199</v>
      </c>
      <c r="D207" s="154">
        <f>IF(Plan!$T205="","",Plan!$T205)</f>
        <v>46073</v>
      </c>
      <c r="E207" s="155">
        <f>IF(Plan!$U205="","",Plan!$U205)</f>
        <v>0.85416666666666663</v>
      </c>
      <c r="F207" s="175" t="str">
        <f>Plan!$Q205</f>
        <v>1. FSV Mainz 05</v>
      </c>
      <c r="G207" s="176" t="s">
        <v>4</v>
      </c>
      <c r="H207" s="175" t="str">
        <f>Plan!$S205</f>
        <v>Hamburger SV</v>
      </c>
      <c r="I207" s="177">
        <v>1</v>
      </c>
      <c r="J207" s="178" t="str">
        <f>Language!$E$65</f>
        <v xml:space="preserve"> : </v>
      </c>
      <c r="K207" s="179">
        <v>1</v>
      </c>
      <c r="L207" s="383"/>
      <c r="M207" s="384"/>
    </row>
    <row r="208" spans="2:13" ht="15.75" x14ac:dyDescent="0.2">
      <c r="B208" s="278" t="str">
        <f>IF(Calc!$F$26=0,"",IF(OR($C208&gt;Calc!$B$24,MOD($C208-1,Calc!$F$26)&gt;0),"",QUOTIENT($C208-1,Calc!$F$26)+1))</f>
        <v/>
      </c>
      <c r="C208" s="274">
        <v>200</v>
      </c>
      <c r="D208" s="154">
        <f>IF(Plan!$T206="","",Plan!$T206)</f>
        <v>46074</v>
      </c>
      <c r="E208" s="155">
        <f>IF(Plan!$U206="","",Plan!$U206)</f>
        <v>0.64583333333333337</v>
      </c>
      <c r="F208" s="175" t="str">
        <f>Plan!$Q206</f>
        <v>1. FC Köln</v>
      </c>
      <c r="G208" s="176" t="s">
        <v>4</v>
      </c>
      <c r="H208" s="175" t="str">
        <f>Plan!$S206</f>
        <v>TSG Hoffenheim</v>
      </c>
      <c r="I208" s="177">
        <v>2</v>
      </c>
      <c r="J208" s="178" t="str">
        <f>Language!$E$65</f>
        <v xml:space="preserve"> : </v>
      </c>
      <c r="K208" s="179">
        <v>2</v>
      </c>
      <c r="L208" s="383"/>
      <c r="M208" s="384"/>
    </row>
    <row r="209" spans="2:13" ht="15.75" x14ac:dyDescent="0.2">
      <c r="B209" s="278" t="str">
        <f>IF(Calc!$F$26=0,"",IF(OR($C209&gt;Calc!$B$24,MOD($C209-1,Calc!$F$26)&gt;0),"",QUOTIENT($C209-1,Calc!$F$26)+1))</f>
        <v/>
      </c>
      <c r="C209" s="274">
        <v>201</v>
      </c>
      <c r="D209" s="154">
        <f>IF(Plan!$T207="","",Plan!$T207)</f>
        <v>46074</v>
      </c>
      <c r="E209" s="155">
        <f>IF(Plan!$U207="","",Plan!$U207)</f>
        <v>0.64583333333333337</v>
      </c>
      <c r="F209" s="175" t="str">
        <f>Plan!$Q207</f>
        <v>1. FC Union Berlin</v>
      </c>
      <c r="G209" s="176" t="s">
        <v>4</v>
      </c>
      <c r="H209" s="175" t="str">
        <f>Plan!$S207</f>
        <v>Bayer 04 Leverkusen</v>
      </c>
      <c r="I209" s="177">
        <v>1</v>
      </c>
      <c r="J209" s="178" t="str">
        <f>Language!$E$65</f>
        <v xml:space="preserve"> : </v>
      </c>
      <c r="K209" s="179">
        <v>0</v>
      </c>
      <c r="L209" s="383"/>
      <c r="M209" s="384"/>
    </row>
    <row r="210" spans="2:13" ht="15.75" x14ac:dyDescent="0.2">
      <c r="B210" s="278" t="str">
        <f>IF(Calc!$F$26=0,"",IF(OR($C210&gt;Calc!$B$24,MOD($C210-1,Calc!$F$26)&gt;0),"",QUOTIENT($C210-1,Calc!$F$26)+1))</f>
        <v/>
      </c>
      <c r="C210" s="274">
        <v>202</v>
      </c>
      <c r="D210" s="154">
        <f>IF(Plan!$T208="","",Plan!$T208)</f>
        <v>46074</v>
      </c>
      <c r="E210" s="155">
        <f>IF(Plan!$U208="","",Plan!$U208)</f>
        <v>0.64583333333333337</v>
      </c>
      <c r="F210" s="175" t="str">
        <f>Plan!$Q208</f>
        <v>FC Bayern München</v>
      </c>
      <c r="G210" s="176" t="s">
        <v>4</v>
      </c>
      <c r="H210" s="175" t="str">
        <f>Plan!$S208</f>
        <v>Eintracht Frankfurt</v>
      </c>
      <c r="I210" s="177">
        <v>3</v>
      </c>
      <c r="J210" s="178" t="str">
        <f>Language!$E$65</f>
        <v xml:space="preserve"> : </v>
      </c>
      <c r="K210" s="179">
        <v>2</v>
      </c>
      <c r="L210" s="383"/>
      <c r="M210" s="384"/>
    </row>
    <row r="211" spans="2:13" ht="15.75" x14ac:dyDescent="0.2">
      <c r="B211" s="278" t="str">
        <f>IF(Calc!$F$26=0,"",IF(OR($C211&gt;Calc!$B$24,MOD($C211-1,Calc!$F$26)&gt;0),"",QUOTIENT($C211-1,Calc!$F$26)+1))</f>
        <v/>
      </c>
      <c r="C211" s="274">
        <v>203</v>
      </c>
      <c r="D211" s="154">
        <f>IF(Plan!$T209="","",Plan!$T209)</f>
        <v>46074</v>
      </c>
      <c r="E211" s="155">
        <f>IF(Plan!$U209="","",Plan!$U209)</f>
        <v>0.64583333333333337</v>
      </c>
      <c r="F211" s="175" t="str">
        <f>Plan!$Q209</f>
        <v>VfL Wolfsburg</v>
      </c>
      <c r="G211" s="176" t="s">
        <v>4</v>
      </c>
      <c r="H211" s="175" t="str">
        <f>Plan!$S209</f>
        <v>FC Augsburg</v>
      </c>
      <c r="I211" s="177">
        <v>2</v>
      </c>
      <c r="J211" s="178" t="str">
        <f>Language!$E$65</f>
        <v xml:space="preserve"> : </v>
      </c>
      <c r="K211" s="179">
        <v>3</v>
      </c>
      <c r="L211" s="383"/>
      <c r="M211" s="384"/>
    </row>
    <row r="212" spans="2:13" ht="15.75" x14ac:dyDescent="0.2">
      <c r="B212" s="278" t="str">
        <f>IF(Calc!$F$26=0,"",IF(OR($C212&gt;Calc!$B$24,MOD($C212-1,Calc!$F$26)&gt;0),"",QUOTIENT($C212-1,Calc!$F$26)+1))</f>
        <v/>
      </c>
      <c r="C212" s="274">
        <v>204</v>
      </c>
      <c r="D212" s="154">
        <f>IF(Plan!$T210="","",Plan!$T210)</f>
        <v>46074</v>
      </c>
      <c r="E212" s="155">
        <f>IF(Plan!$U210="","",Plan!$U210)</f>
        <v>0.77083333333333337</v>
      </c>
      <c r="F212" s="175" t="str">
        <f>Plan!$Q210</f>
        <v>RB Leipzig</v>
      </c>
      <c r="G212" s="176" t="s">
        <v>4</v>
      </c>
      <c r="H212" s="175" t="str">
        <f>Plan!$S210</f>
        <v>Borussia Dortmund</v>
      </c>
      <c r="I212" s="177">
        <v>2</v>
      </c>
      <c r="J212" s="178" t="str">
        <f>Language!$E$65</f>
        <v xml:space="preserve"> : </v>
      </c>
      <c r="K212" s="179">
        <v>2</v>
      </c>
      <c r="L212" s="383"/>
      <c r="M212" s="384"/>
    </row>
    <row r="213" spans="2:13" ht="15.75" x14ac:dyDescent="0.2">
      <c r="B213" s="278" t="str">
        <f>IF(Calc!$F$26=0,"",IF(OR($C213&gt;Calc!$B$24,MOD($C213-1,Calc!$F$26)&gt;0),"",QUOTIENT($C213-1,Calc!$F$26)+1))</f>
        <v/>
      </c>
      <c r="C213" s="274">
        <v>205</v>
      </c>
      <c r="D213" s="154">
        <f>IF(Plan!$T211="","",Plan!$T211)</f>
        <v>46075</v>
      </c>
      <c r="E213" s="155">
        <f>IF(Plan!$U211="","",Plan!$U211)</f>
        <v>0.64583333333333337</v>
      </c>
      <c r="F213" s="175" t="str">
        <f>Plan!$Q211</f>
        <v>SC Freiburg</v>
      </c>
      <c r="G213" s="176" t="s">
        <v>4</v>
      </c>
      <c r="H213" s="175" t="str">
        <f>Plan!$S211</f>
        <v>Borussia Mönchengladbach</v>
      </c>
      <c r="I213" s="177">
        <v>2</v>
      </c>
      <c r="J213" s="178" t="str">
        <f>Language!$E$65</f>
        <v xml:space="preserve"> : </v>
      </c>
      <c r="K213" s="179">
        <v>1</v>
      </c>
      <c r="L213" s="383"/>
      <c r="M213" s="384"/>
    </row>
    <row r="214" spans="2:13" ht="15.75" x14ac:dyDescent="0.2">
      <c r="B214" s="278" t="str">
        <f>IF(Calc!$F$26=0,"",IF(OR($C214&gt;Calc!$B$24,MOD($C214-1,Calc!$F$26)&gt;0),"",QUOTIENT($C214-1,Calc!$F$26)+1))</f>
        <v/>
      </c>
      <c r="C214" s="274">
        <v>206</v>
      </c>
      <c r="D214" s="154">
        <f>IF(Plan!$T212="","",Plan!$T212)</f>
        <v>46075</v>
      </c>
      <c r="E214" s="155">
        <f>IF(Plan!$U212="","",Plan!$U212)</f>
        <v>0.72916666666666663</v>
      </c>
      <c r="F214" s="175" t="str">
        <f>Plan!$Q212</f>
        <v>FC St. Pauli</v>
      </c>
      <c r="G214" s="176" t="s">
        <v>4</v>
      </c>
      <c r="H214" s="175" t="str">
        <f>Plan!$S212</f>
        <v>SV Werder Bremen</v>
      </c>
      <c r="I214" s="177">
        <v>2</v>
      </c>
      <c r="J214" s="178" t="str">
        <f>Language!$E$65</f>
        <v xml:space="preserve"> : </v>
      </c>
      <c r="K214" s="179">
        <v>1</v>
      </c>
      <c r="L214" s="383"/>
      <c r="M214" s="384"/>
    </row>
    <row r="215" spans="2:13" ht="15.75" x14ac:dyDescent="0.2">
      <c r="B215" s="278" t="str">
        <f>IF(Calc!$F$26=0,"",IF(OR($C215&gt;Calc!$B$24,MOD($C215-1,Calc!$F$26)&gt;0),"",QUOTIENT($C215-1,Calc!$F$26)+1))</f>
        <v/>
      </c>
      <c r="C215" s="274">
        <v>207</v>
      </c>
      <c r="D215" s="154">
        <f>IF(Plan!$T213="","",Plan!$T213)</f>
        <v>46075</v>
      </c>
      <c r="E215" s="155">
        <f>IF(Plan!$U213="","",Plan!$U213)</f>
        <v>0.8125</v>
      </c>
      <c r="F215" s="175" t="str">
        <f>Plan!$Q213</f>
        <v>1. FC Heidenheim 1846</v>
      </c>
      <c r="G215" s="176" t="s">
        <v>4</v>
      </c>
      <c r="H215" s="175" t="str">
        <f>Plan!$S213</f>
        <v>VfB Stuttgart</v>
      </c>
      <c r="I215" s="177">
        <v>3</v>
      </c>
      <c r="J215" s="178" t="str">
        <f>Language!$E$65</f>
        <v xml:space="preserve"> : </v>
      </c>
      <c r="K215" s="179">
        <v>3</v>
      </c>
      <c r="L215" s="383"/>
      <c r="M215" s="384"/>
    </row>
    <row r="216" spans="2:13" ht="15.75" x14ac:dyDescent="0.2">
      <c r="B216" s="278">
        <f>IF(Calc!$F$26=0,"",IF(OR($C216&gt;Calc!$B$24,MOD($C216-1,Calc!$F$26)&gt;0),"",QUOTIENT($C216-1,Calc!$F$26)+1))</f>
        <v>24</v>
      </c>
      <c r="C216" s="274">
        <v>208</v>
      </c>
      <c r="D216" s="154">
        <f>IF(Plan!$T214="","",Plan!$T214)</f>
        <v>46080</v>
      </c>
      <c r="E216" s="155">
        <f>IF(Plan!$U214="","",Plan!$U214)</f>
        <v>0.85416666666666663</v>
      </c>
      <c r="F216" s="175" t="str">
        <f>Plan!$Q214</f>
        <v>FC Augsburg</v>
      </c>
      <c r="G216" s="176" t="s">
        <v>4</v>
      </c>
      <c r="H216" s="175" t="str">
        <f>Plan!$S214</f>
        <v>1. FC Köln</v>
      </c>
      <c r="I216" s="177">
        <v>2</v>
      </c>
      <c r="J216" s="178" t="str">
        <f>Language!$E$65</f>
        <v xml:space="preserve"> : </v>
      </c>
      <c r="K216" s="179">
        <v>0</v>
      </c>
      <c r="L216" s="383"/>
      <c r="M216" s="384"/>
    </row>
    <row r="217" spans="2:13" ht="15.75" x14ac:dyDescent="0.2">
      <c r="B217" s="278" t="str">
        <f>IF(Calc!$F$26=0,"",IF(OR($C217&gt;Calc!$B$24,MOD($C217-1,Calc!$F$26)&gt;0),"",QUOTIENT($C217-1,Calc!$F$26)+1))</f>
        <v/>
      </c>
      <c r="C217" s="274">
        <v>209</v>
      </c>
      <c r="D217" s="154">
        <f>IF(Plan!$T215="","",Plan!$T215)</f>
        <v>46081</v>
      </c>
      <c r="E217" s="155">
        <f>IF(Plan!$U215="","",Plan!$U215)</f>
        <v>0.64583333333333337</v>
      </c>
      <c r="F217" s="175" t="str">
        <f>Plan!$Q215</f>
        <v>TSG Hoffenheim</v>
      </c>
      <c r="G217" s="176" t="s">
        <v>4</v>
      </c>
      <c r="H217" s="175" t="str">
        <f>Plan!$S215</f>
        <v>FC St. Pauli</v>
      </c>
      <c r="I217" s="177">
        <v>0</v>
      </c>
      <c r="J217" s="178" t="str">
        <f>Language!$E$65</f>
        <v xml:space="preserve"> : </v>
      </c>
      <c r="K217" s="179">
        <v>1</v>
      </c>
      <c r="L217" s="383"/>
      <c r="M217" s="384"/>
    </row>
    <row r="218" spans="2:13" ht="15.75" x14ac:dyDescent="0.2">
      <c r="B218" s="278" t="str">
        <f>IF(Calc!$F$26=0,"",IF(OR($C218&gt;Calc!$B$24,MOD($C218-1,Calc!$F$26)&gt;0),"",QUOTIENT($C218-1,Calc!$F$26)+1))</f>
        <v/>
      </c>
      <c r="C218" s="274">
        <v>210</v>
      </c>
      <c r="D218" s="154">
        <f>IF(Plan!$T216="","",Plan!$T216)</f>
        <v>46081</v>
      </c>
      <c r="E218" s="155">
        <f>IF(Plan!$U216="","",Plan!$U216)</f>
        <v>0.64583333333333337</v>
      </c>
      <c r="F218" s="175" t="str">
        <f>Plan!$Q216</f>
        <v>Borussia Mönchengladbach</v>
      </c>
      <c r="G218" s="176" t="s">
        <v>4</v>
      </c>
      <c r="H218" s="175" t="str">
        <f>Plan!$S216</f>
        <v>1. FC Union Berlin</v>
      </c>
      <c r="I218" s="177">
        <v>1</v>
      </c>
      <c r="J218" s="178" t="str">
        <f>Language!$E$65</f>
        <v xml:space="preserve"> : </v>
      </c>
      <c r="K218" s="179">
        <v>0</v>
      </c>
      <c r="L218" s="383"/>
      <c r="M218" s="384"/>
    </row>
    <row r="219" spans="2:13" ht="15.75" x14ac:dyDescent="0.2">
      <c r="B219" s="278" t="str">
        <f>IF(Calc!$F$26=0,"",IF(OR($C219&gt;Calc!$B$24,MOD($C219-1,Calc!$F$26)&gt;0),"",QUOTIENT($C219-1,Calc!$F$26)+1))</f>
        <v/>
      </c>
      <c r="C219" s="274">
        <v>211</v>
      </c>
      <c r="D219" s="154">
        <f>IF(Plan!$T217="","",Plan!$T217)</f>
        <v>46081</v>
      </c>
      <c r="E219" s="155">
        <f>IF(Plan!$U217="","",Plan!$U217)</f>
        <v>0.64583333333333337</v>
      </c>
      <c r="F219" s="175" t="str">
        <f>Plan!$Q217</f>
        <v>Bayer 04 Leverkusen</v>
      </c>
      <c r="G219" s="176" t="s">
        <v>4</v>
      </c>
      <c r="H219" s="175" t="str">
        <f>Plan!$S217</f>
        <v>1. FSV Mainz 05</v>
      </c>
      <c r="I219" s="177">
        <v>1</v>
      </c>
      <c r="J219" s="178" t="str">
        <f>Language!$E$65</f>
        <v xml:space="preserve"> : </v>
      </c>
      <c r="K219" s="179">
        <v>1</v>
      </c>
      <c r="L219" s="383"/>
      <c r="M219" s="384"/>
    </row>
    <row r="220" spans="2:13" ht="15.75" x14ac:dyDescent="0.2">
      <c r="B220" s="278" t="str">
        <f>IF(Calc!$F$26=0,"",IF(OR($C220&gt;Calc!$B$24,MOD($C220-1,Calc!$F$26)&gt;0),"",QUOTIENT($C220-1,Calc!$F$26)+1))</f>
        <v/>
      </c>
      <c r="C220" s="274">
        <v>212</v>
      </c>
      <c r="D220" s="154">
        <f>IF(Plan!$T218="","",Plan!$T218)</f>
        <v>46081</v>
      </c>
      <c r="E220" s="155">
        <f>IF(Plan!$U218="","",Plan!$U218)</f>
        <v>0.64583333333333337</v>
      </c>
      <c r="F220" s="175" t="str">
        <f>Plan!$Q218</f>
        <v>SV Werder Bremen</v>
      </c>
      <c r="G220" s="176" t="s">
        <v>4</v>
      </c>
      <c r="H220" s="175" t="str">
        <f>Plan!$S218</f>
        <v>1. FC Heidenheim 1846</v>
      </c>
      <c r="I220" s="177">
        <v>2</v>
      </c>
      <c r="J220" s="178" t="str">
        <f>Language!$E$65</f>
        <v xml:space="preserve"> : </v>
      </c>
      <c r="K220" s="179">
        <v>0</v>
      </c>
      <c r="L220" s="383"/>
      <c r="M220" s="384"/>
    </row>
    <row r="221" spans="2:13" ht="15.75" x14ac:dyDescent="0.2">
      <c r="B221" s="278" t="str">
        <f>IF(Calc!$F$26=0,"",IF(OR($C221&gt;Calc!$B$24,MOD($C221-1,Calc!$F$26)&gt;0),"",QUOTIENT($C221-1,Calc!$F$26)+1))</f>
        <v/>
      </c>
      <c r="C221" s="274">
        <v>213</v>
      </c>
      <c r="D221" s="154">
        <f>IF(Plan!$T219="","",Plan!$T219)</f>
        <v>46081</v>
      </c>
      <c r="E221" s="155">
        <f>IF(Plan!$U219="","",Plan!$U219)</f>
        <v>0.77083333333333337</v>
      </c>
      <c r="F221" s="175" t="str">
        <f>Plan!$Q219</f>
        <v>Borussia Dortmund</v>
      </c>
      <c r="G221" s="176" t="s">
        <v>4</v>
      </c>
      <c r="H221" s="175" t="str">
        <f>Plan!$S219</f>
        <v>FC Bayern München</v>
      </c>
      <c r="I221" s="177">
        <v>2</v>
      </c>
      <c r="J221" s="178" t="str">
        <f>Language!$E$65</f>
        <v xml:space="preserve"> : </v>
      </c>
      <c r="K221" s="179">
        <v>3</v>
      </c>
      <c r="L221" s="383"/>
      <c r="M221" s="384"/>
    </row>
    <row r="222" spans="2:13" ht="15.75" x14ac:dyDescent="0.2">
      <c r="B222" s="278" t="str">
        <f>IF(Calc!$F$26=0,"",IF(OR($C222&gt;Calc!$B$24,MOD($C222-1,Calc!$F$26)&gt;0),"",QUOTIENT($C222-1,Calc!$F$26)+1))</f>
        <v/>
      </c>
      <c r="C222" s="274">
        <v>214</v>
      </c>
      <c r="D222" s="154">
        <f>IF(Plan!$T220="","",Plan!$T220)</f>
        <v>46082</v>
      </c>
      <c r="E222" s="155">
        <f>IF(Plan!$U220="","",Plan!$U220)</f>
        <v>0.64583333333333337</v>
      </c>
      <c r="F222" s="175" t="str">
        <f>Plan!$Q220</f>
        <v>VfB Stuttgart</v>
      </c>
      <c r="G222" s="176" t="s">
        <v>4</v>
      </c>
      <c r="H222" s="175" t="str">
        <f>Plan!$S220</f>
        <v>VfL Wolfsburg</v>
      </c>
      <c r="I222" s="177">
        <v>4</v>
      </c>
      <c r="J222" s="178" t="str">
        <f>Language!$E$65</f>
        <v xml:space="preserve"> : </v>
      </c>
      <c r="K222" s="179">
        <v>0</v>
      </c>
      <c r="L222" s="383"/>
      <c r="M222" s="384"/>
    </row>
    <row r="223" spans="2:13" ht="15.75" x14ac:dyDescent="0.2">
      <c r="B223" s="278" t="str">
        <f>IF(Calc!$F$26=0,"",IF(OR($C223&gt;Calc!$B$24,MOD($C223-1,Calc!$F$26)&gt;0),"",QUOTIENT($C223-1,Calc!$F$26)+1))</f>
        <v/>
      </c>
      <c r="C223" s="274">
        <v>215</v>
      </c>
      <c r="D223" s="154">
        <f>IF(Plan!$T221="","",Plan!$T221)</f>
        <v>46082</v>
      </c>
      <c r="E223" s="155">
        <f>IF(Plan!$U221="","",Plan!$U221)</f>
        <v>0.72916666666666663</v>
      </c>
      <c r="F223" s="175" t="str">
        <f>Plan!$Q221</f>
        <v>Eintracht Frankfurt</v>
      </c>
      <c r="G223" s="176" t="s">
        <v>4</v>
      </c>
      <c r="H223" s="175" t="str">
        <f>Plan!$S221</f>
        <v>SC Freiburg</v>
      </c>
      <c r="I223" s="177">
        <v>2</v>
      </c>
      <c r="J223" s="178" t="str">
        <f>Language!$E$65</f>
        <v xml:space="preserve"> : </v>
      </c>
      <c r="K223" s="179">
        <v>0</v>
      </c>
      <c r="L223" s="383"/>
      <c r="M223" s="384"/>
    </row>
    <row r="224" spans="2:13" ht="15.75" x14ac:dyDescent="0.2">
      <c r="B224" s="278" t="str">
        <f>IF(Calc!$F$26=0,"",IF(OR($C224&gt;Calc!$B$24,MOD($C224-1,Calc!$F$26)&gt;0),"",QUOTIENT($C224-1,Calc!$F$26)+1))</f>
        <v/>
      </c>
      <c r="C224" s="274">
        <v>216</v>
      </c>
      <c r="D224" s="154">
        <f>IF(Plan!$T222="","",Plan!$T222)</f>
        <v>46082</v>
      </c>
      <c r="E224" s="155">
        <f>IF(Plan!$U222="","",Plan!$U222)</f>
        <v>0.8125</v>
      </c>
      <c r="F224" s="175" t="str">
        <f>Plan!$Q222</f>
        <v>Hamburger SV</v>
      </c>
      <c r="G224" s="176" t="s">
        <v>4</v>
      </c>
      <c r="H224" s="175" t="str">
        <f>Plan!$S222</f>
        <v>RB Leipzig</v>
      </c>
      <c r="I224" s="177">
        <v>1</v>
      </c>
      <c r="J224" s="178" t="str">
        <f>Language!$E$65</f>
        <v xml:space="preserve"> : </v>
      </c>
      <c r="K224" s="179">
        <v>2</v>
      </c>
      <c r="L224" s="383"/>
      <c r="M224" s="384"/>
    </row>
    <row r="225" spans="2:13" ht="15.75" x14ac:dyDescent="0.2">
      <c r="B225" s="278">
        <f>IF(Calc!$F$26=0,"",IF(OR($C225&gt;Calc!$B$24,MOD($C225-1,Calc!$F$26)&gt;0),"",QUOTIENT($C225-1,Calc!$F$26)+1))</f>
        <v>25</v>
      </c>
      <c r="C225" s="274">
        <v>217</v>
      </c>
      <c r="D225" s="154">
        <f>IF(Plan!$T223="","",Plan!$T223)</f>
        <v>46087</v>
      </c>
      <c r="E225" s="155">
        <f>IF(Plan!$U223="","",Plan!$U223)</f>
        <v>0.85416666666666663</v>
      </c>
      <c r="F225" s="175" t="str">
        <f>Plan!$Q223</f>
        <v>FC Bayern München</v>
      </c>
      <c r="G225" s="176" t="s">
        <v>4</v>
      </c>
      <c r="H225" s="175" t="str">
        <f>Plan!$S223</f>
        <v>Borussia Mönchengladbach</v>
      </c>
      <c r="I225" s="177">
        <v>4</v>
      </c>
      <c r="J225" s="178" t="str">
        <f>Language!$E$65</f>
        <v xml:space="preserve"> : </v>
      </c>
      <c r="K225" s="179">
        <v>1</v>
      </c>
      <c r="L225" s="383"/>
      <c r="M225" s="384"/>
    </row>
    <row r="226" spans="2:13" ht="15.75" x14ac:dyDescent="0.2">
      <c r="B226" s="278" t="str">
        <f>IF(Calc!$F$26=0,"",IF(OR($C226&gt;Calc!$B$24,MOD($C226-1,Calc!$F$26)&gt;0),"",QUOTIENT($C226-1,Calc!$F$26)+1))</f>
        <v/>
      </c>
      <c r="C226" s="274">
        <v>218</v>
      </c>
      <c r="D226" s="154">
        <f>IF(Plan!$T224="","",Plan!$T224)</f>
        <v>46088</v>
      </c>
      <c r="E226" s="155">
        <f>IF(Plan!$U224="","",Plan!$U224)</f>
        <v>0.64583333333333337</v>
      </c>
      <c r="F226" s="175" t="str">
        <f>Plan!$Q224</f>
        <v>VfL Wolfsburg</v>
      </c>
      <c r="G226" s="176" t="s">
        <v>4</v>
      </c>
      <c r="H226" s="175" t="str">
        <f>Plan!$S224</f>
        <v>Hamburger SV</v>
      </c>
      <c r="I226" s="177">
        <v>1</v>
      </c>
      <c r="J226" s="178" t="str">
        <f>Language!$E$65</f>
        <v xml:space="preserve"> : </v>
      </c>
      <c r="K226" s="179">
        <v>2</v>
      </c>
      <c r="L226" s="383"/>
      <c r="M226" s="384"/>
    </row>
    <row r="227" spans="2:13" ht="15.75" x14ac:dyDescent="0.2">
      <c r="B227" s="278" t="str">
        <f>IF(Calc!$F$26=0,"",IF(OR($C227&gt;Calc!$B$24,MOD($C227-1,Calc!$F$26)&gt;0),"",QUOTIENT($C227-1,Calc!$F$26)+1))</f>
        <v/>
      </c>
      <c r="C227" s="274">
        <v>219</v>
      </c>
      <c r="D227" s="154">
        <f>IF(Plan!$T225="","",Plan!$T225)</f>
        <v>46088</v>
      </c>
      <c r="E227" s="155">
        <f>IF(Plan!$U225="","",Plan!$U225)</f>
        <v>0.64583333333333337</v>
      </c>
      <c r="F227" s="175" t="str">
        <f>Plan!$Q225</f>
        <v>1. FC Heidenheim 1846</v>
      </c>
      <c r="G227" s="176" t="s">
        <v>4</v>
      </c>
      <c r="H227" s="175" t="str">
        <f>Plan!$S225</f>
        <v>TSG Hoffenheim</v>
      </c>
      <c r="I227" s="177">
        <v>2</v>
      </c>
      <c r="J227" s="178" t="str">
        <f>Language!$E$65</f>
        <v xml:space="preserve"> : </v>
      </c>
      <c r="K227" s="179">
        <v>4</v>
      </c>
      <c r="L227" s="383"/>
      <c r="M227" s="384"/>
    </row>
    <row r="228" spans="2:13" ht="15.75" x14ac:dyDescent="0.2">
      <c r="B228" s="278" t="str">
        <f>IF(Calc!$F$26=0,"",IF(OR($C228&gt;Calc!$B$24,MOD($C228-1,Calc!$F$26)&gt;0),"",QUOTIENT($C228-1,Calc!$F$26)+1))</f>
        <v/>
      </c>
      <c r="C228" s="274">
        <v>220</v>
      </c>
      <c r="D228" s="154">
        <f>IF(Plan!$T226="","",Plan!$T226)</f>
        <v>46088</v>
      </c>
      <c r="E228" s="155">
        <f>IF(Plan!$U226="","",Plan!$U226)</f>
        <v>0.64583333333333337</v>
      </c>
      <c r="F228" s="175" t="str">
        <f>Plan!$Q226</f>
        <v>RB Leipzig</v>
      </c>
      <c r="G228" s="176" t="s">
        <v>4</v>
      </c>
      <c r="H228" s="175" t="str">
        <f>Plan!$S226</f>
        <v>FC Augsburg</v>
      </c>
      <c r="I228" s="177">
        <v>2</v>
      </c>
      <c r="J228" s="178" t="str">
        <f>Language!$E$65</f>
        <v xml:space="preserve"> : </v>
      </c>
      <c r="K228" s="179">
        <v>1</v>
      </c>
      <c r="L228" s="383"/>
      <c r="M228" s="384"/>
    </row>
    <row r="229" spans="2:13" ht="15.75" x14ac:dyDescent="0.2">
      <c r="B229" s="278" t="str">
        <f>IF(Calc!$F$26=0,"",IF(OR($C229&gt;Calc!$B$24,MOD($C229-1,Calc!$F$26)&gt;0),"",QUOTIENT($C229-1,Calc!$F$26)+1))</f>
        <v/>
      </c>
      <c r="C229" s="274">
        <v>221</v>
      </c>
      <c r="D229" s="154">
        <f>IF(Plan!$T227="","",Plan!$T227)</f>
        <v>46088</v>
      </c>
      <c r="E229" s="155">
        <f>IF(Plan!$U227="","",Plan!$U227)</f>
        <v>0.64583333333333337</v>
      </c>
      <c r="F229" s="175" t="str">
        <f>Plan!$Q227</f>
        <v>SC Freiburg</v>
      </c>
      <c r="G229" s="176" t="s">
        <v>4</v>
      </c>
      <c r="H229" s="175" t="str">
        <f>Plan!$S227</f>
        <v>Bayer 04 Leverkusen</v>
      </c>
      <c r="I229" s="177">
        <v>3</v>
      </c>
      <c r="J229" s="178" t="str">
        <f>Language!$E$65</f>
        <v xml:space="preserve"> : </v>
      </c>
      <c r="K229" s="179">
        <v>3</v>
      </c>
      <c r="L229" s="383"/>
      <c r="M229" s="384"/>
    </row>
    <row r="230" spans="2:13" ht="15.75" x14ac:dyDescent="0.2">
      <c r="B230" s="278" t="str">
        <f>IF(Calc!$F$26=0,"",IF(OR($C230&gt;Calc!$B$24,MOD($C230-1,Calc!$F$26)&gt;0),"",QUOTIENT($C230-1,Calc!$F$26)+1))</f>
        <v/>
      </c>
      <c r="C230" s="274">
        <v>222</v>
      </c>
      <c r="D230" s="154">
        <f>IF(Plan!$T228="","",Plan!$T228)</f>
        <v>46088</v>
      </c>
      <c r="E230" s="155">
        <f>IF(Plan!$U228="","",Plan!$U228)</f>
        <v>0.64583333333333337</v>
      </c>
      <c r="F230" s="175" t="str">
        <f>Plan!$Q228</f>
        <v>1. FSV Mainz 05</v>
      </c>
      <c r="G230" s="176" t="s">
        <v>4</v>
      </c>
      <c r="H230" s="175" t="str">
        <f>Plan!$S228</f>
        <v>VfB Stuttgart</v>
      </c>
      <c r="I230" s="177">
        <v>2</v>
      </c>
      <c r="J230" s="178" t="str">
        <f>Language!$E$65</f>
        <v xml:space="preserve"> : </v>
      </c>
      <c r="K230" s="179">
        <v>2</v>
      </c>
      <c r="L230" s="383"/>
      <c r="M230" s="384"/>
    </row>
    <row r="231" spans="2:13" ht="15.75" x14ac:dyDescent="0.2">
      <c r="B231" s="278" t="str">
        <f>IF(Calc!$F$26=0,"",IF(OR($C231&gt;Calc!$B$24,MOD($C231-1,Calc!$F$26)&gt;0),"",QUOTIENT($C231-1,Calc!$F$26)+1))</f>
        <v/>
      </c>
      <c r="C231" s="274">
        <v>223</v>
      </c>
      <c r="D231" s="154">
        <f>IF(Plan!$T229="","",Plan!$T229)</f>
        <v>46088</v>
      </c>
      <c r="E231" s="155">
        <f>IF(Plan!$U229="","",Plan!$U229)</f>
        <v>0.77083333333333337</v>
      </c>
      <c r="F231" s="175" t="str">
        <f>Plan!$Q229</f>
        <v>1. FC Köln</v>
      </c>
      <c r="G231" s="176" t="s">
        <v>4</v>
      </c>
      <c r="H231" s="175" t="str">
        <f>Plan!$S229</f>
        <v>Borussia Dortmund</v>
      </c>
      <c r="I231" s="177">
        <v>1</v>
      </c>
      <c r="J231" s="178" t="str">
        <f>Language!$E$65</f>
        <v xml:space="preserve"> : </v>
      </c>
      <c r="K231" s="179">
        <v>2</v>
      </c>
      <c r="L231" s="383"/>
      <c r="M231" s="384"/>
    </row>
    <row r="232" spans="2:13" ht="15.75" x14ac:dyDescent="0.2">
      <c r="B232" s="278" t="str">
        <f>IF(Calc!$F$26=0,"",IF(OR($C232&gt;Calc!$B$24,MOD($C232-1,Calc!$F$26)&gt;0),"",QUOTIENT($C232-1,Calc!$F$26)+1))</f>
        <v/>
      </c>
      <c r="C232" s="274">
        <v>224</v>
      </c>
      <c r="D232" s="154">
        <f>IF(Plan!$T230="","",Plan!$T230)</f>
        <v>46089</v>
      </c>
      <c r="E232" s="155">
        <f>IF(Plan!$U230="","",Plan!$U230)</f>
        <v>0.64583333333333337</v>
      </c>
      <c r="F232" s="175" t="str">
        <f>Plan!$Q230</f>
        <v>FC St. Pauli</v>
      </c>
      <c r="G232" s="176" t="s">
        <v>4</v>
      </c>
      <c r="H232" s="175" t="str">
        <f>Plan!$S230</f>
        <v>Eintracht Frankfurt</v>
      </c>
      <c r="I232" s="177">
        <v>0</v>
      </c>
      <c r="J232" s="178" t="str">
        <f>Language!$E$65</f>
        <v xml:space="preserve"> : </v>
      </c>
      <c r="K232" s="179">
        <v>0</v>
      </c>
      <c r="L232" s="383"/>
      <c r="M232" s="384"/>
    </row>
    <row r="233" spans="2:13" ht="15.75" x14ac:dyDescent="0.2">
      <c r="B233" s="278" t="str">
        <f>IF(Calc!$F$26=0,"",IF(OR($C233&gt;Calc!$B$24,MOD($C233-1,Calc!$F$26)&gt;0),"",QUOTIENT($C233-1,Calc!$F$26)+1))</f>
        <v/>
      </c>
      <c r="C233" s="274">
        <v>225</v>
      </c>
      <c r="D233" s="154">
        <f>IF(Plan!$T231="","",Plan!$T231)</f>
        <v>46089</v>
      </c>
      <c r="E233" s="155">
        <f>IF(Plan!$U231="","",Plan!$U231)</f>
        <v>0.72916666666666663</v>
      </c>
      <c r="F233" s="175" t="str">
        <f>Plan!$Q231</f>
        <v>1. FC Union Berlin</v>
      </c>
      <c r="G233" s="176" t="s">
        <v>4</v>
      </c>
      <c r="H233" s="175" t="str">
        <f>Plan!$S231</f>
        <v>SV Werder Bremen</v>
      </c>
      <c r="I233" s="177">
        <v>1</v>
      </c>
      <c r="J233" s="178" t="str">
        <f>Language!$E$65</f>
        <v xml:space="preserve"> : </v>
      </c>
      <c r="K233" s="179">
        <v>4</v>
      </c>
      <c r="L233" s="383"/>
      <c r="M233" s="384"/>
    </row>
    <row r="234" spans="2:13" ht="15.75" x14ac:dyDescent="0.2">
      <c r="B234" s="278">
        <f>IF(Calc!$F$26=0,"",IF(OR($C234&gt;Calc!$B$24,MOD($C234-1,Calc!$F$26)&gt;0),"",QUOTIENT($C234-1,Calc!$F$26)+1))</f>
        <v>26</v>
      </c>
      <c r="C234" s="274">
        <v>226</v>
      </c>
      <c r="D234" s="154">
        <f>IF(Plan!$T232="","",Plan!$T232)</f>
        <v>46094</v>
      </c>
      <c r="E234" s="155">
        <f>IF(Plan!$U232="","",Plan!$U232)</f>
        <v>0.85416666666666663</v>
      </c>
      <c r="F234" s="175" t="str">
        <f>Plan!$Q232</f>
        <v>Borussia Mönchengladbach</v>
      </c>
      <c r="G234" s="176" t="s">
        <v>4</v>
      </c>
      <c r="H234" s="175" t="str">
        <f>Plan!$S232</f>
        <v>FC St. Pauli</v>
      </c>
      <c r="I234" s="177">
        <v>2</v>
      </c>
      <c r="J234" s="178" t="str">
        <f>Language!$E$65</f>
        <v xml:space="preserve"> : </v>
      </c>
      <c r="K234" s="179">
        <v>0</v>
      </c>
      <c r="L234" s="383"/>
      <c r="M234" s="384"/>
    </row>
    <row r="235" spans="2:13" ht="15.75" x14ac:dyDescent="0.2">
      <c r="B235" s="278" t="str">
        <f>IF(Calc!$F$26=0,"",IF(OR($C235&gt;Calc!$B$24,MOD($C235-1,Calc!$F$26)&gt;0),"",QUOTIENT($C235-1,Calc!$F$26)+1))</f>
        <v/>
      </c>
      <c r="C235" s="274">
        <v>227</v>
      </c>
      <c r="D235" s="154">
        <f>IF(Plan!$T233="","",Plan!$T233)</f>
        <v>46095</v>
      </c>
      <c r="E235" s="155">
        <f>IF(Plan!$U233="","",Plan!$U233)</f>
        <v>0.64583333333333337</v>
      </c>
      <c r="F235" s="175" t="str">
        <f>Plan!$Q233</f>
        <v>Borussia Dortmund</v>
      </c>
      <c r="G235" s="176" t="s">
        <v>4</v>
      </c>
      <c r="H235" s="175" t="str">
        <f>Plan!$S233</f>
        <v>FC Augsburg</v>
      </c>
      <c r="I235" s="177">
        <v>2</v>
      </c>
      <c r="J235" s="178" t="str">
        <f>Language!$E$65</f>
        <v xml:space="preserve"> : </v>
      </c>
      <c r="K235" s="179">
        <v>0</v>
      </c>
      <c r="L235" s="383"/>
      <c r="M235" s="384"/>
    </row>
    <row r="236" spans="2:13" ht="15.75" x14ac:dyDescent="0.2">
      <c r="B236" s="278" t="str">
        <f>IF(Calc!$F$26=0,"",IF(OR($C236&gt;Calc!$B$24,MOD($C236-1,Calc!$F$26)&gt;0),"",QUOTIENT($C236-1,Calc!$F$26)+1))</f>
        <v/>
      </c>
      <c r="C236" s="274">
        <v>228</v>
      </c>
      <c r="D236" s="154">
        <f>IF(Plan!$T234="","",Plan!$T234)</f>
        <v>46095</v>
      </c>
      <c r="E236" s="155">
        <f>IF(Plan!$U234="","",Plan!$U234)</f>
        <v>0.64583333333333337</v>
      </c>
      <c r="F236" s="175" t="str">
        <f>Plan!$Q234</f>
        <v>TSG Hoffenheim</v>
      </c>
      <c r="G236" s="176" t="s">
        <v>4</v>
      </c>
      <c r="H236" s="175" t="str">
        <f>Plan!$S234</f>
        <v>VfL Wolfsburg</v>
      </c>
      <c r="I236" s="177">
        <v>1</v>
      </c>
      <c r="J236" s="178" t="str">
        <f>Language!$E$65</f>
        <v xml:space="preserve"> : </v>
      </c>
      <c r="K236" s="179">
        <v>1</v>
      </c>
      <c r="L236" s="383"/>
      <c r="M236" s="384"/>
    </row>
    <row r="237" spans="2:13" ht="15.75" x14ac:dyDescent="0.2">
      <c r="B237" s="278" t="str">
        <f>IF(Calc!$F$26=0,"",IF(OR($C237&gt;Calc!$B$24,MOD($C237-1,Calc!$F$26)&gt;0),"",QUOTIENT($C237-1,Calc!$F$26)+1))</f>
        <v/>
      </c>
      <c r="C237" s="274">
        <v>229</v>
      </c>
      <c r="D237" s="154">
        <f>IF(Plan!$T235="","",Plan!$T235)</f>
        <v>46095</v>
      </c>
      <c r="E237" s="155">
        <f>IF(Plan!$U235="","",Plan!$U235)</f>
        <v>0.64583333333333337</v>
      </c>
      <c r="F237" s="175" t="str">
        <f>Plan!$Q235</f>
        <v>Bayer 04 Leverkusen</v>
      </c>
      <c r="G237" s="176" t="s">
        <v>4</v>
      </c>
      <c r="H237" s="175" t="str">
        <f>Plan!$S235</f>
        <v>FC Bayern München</v>
      </c>
      <c r="I237" s="177">
        <v>1</v>
      </c>
      <c r="J237" s="178" t="str">
        <f>Language!$E$65</f>
        <v xml:space="preserve"> : </v>
      </c>
      <c r="K237" s="179">
        <v>1</v>
      </c>
      <c r="L237" s="383"/>
      <c r="M237" s="384"/>
    </row>
    <row r="238" spans="2:13" ht="15.75" x14ac:dyDescent="0.2">
      <c r="B238" s="278" t="str">
        <f>IF(Calc!$F$26=0,"",IF(OR($C238&gt;Calc!$B$24,MOD($C238-1,Calc!$F$26)&gt;0),"",QUOTIENT($C238-1,Calc!$F$26)+1))</f>
        <v/>
      </c>
      <c r="C238" s="274">
        <v>230</v>
      </c>
      <c r="D238" s="154">
        <f>IF(Plan!$T236="","",Plan!$T236)</f>
        <v>46095</v>
      </c>
      <c r="E238" s="155">
        <f>IF(Plan!$U236="","",Plan!$U236)</f>
        <v>0.64583333333333337</v>
      </c>
      <c r="F238" s="175" t="str">
        <f>Plan!$Q236</f>
        <v>Eintracht Frankfurt</v>
      </c>
      <c r="G238" s="176" t="s">
        <v>4</v>
      </c>
      <c r="H238" s="175" t="str">
        <f>Plan!$S236</f>
        <v>1. FC Heidenheim 1846</v>
      </c>
      <c r="I238" s="177">
        <v>1</v>
      </c>
      <c r="J238" s="178" t="str">
        <f>Language!$E$65</f>
        <v xml:space="preserve"> : </v>
      </c>
      <c r="K238" s="179">
        <v>0</v>
      </c>
      <c r="L238" s="383"/>
      <c r="M238" s="384"/>
    </row>
    <row r="239" spans="2:13" ht="15.75" x14ac:dyDescent="0.2">
      <c r="B239" s="278" t="str">
        <f>IF(Calc!$F$26=0,"",IF(OR($C239&gt;Calc!$B$24,MOD($C239-1,Calc!$F$26)&gt;0),"",QUOTIENT($C239-1,Calc!$F$26)+1))</f>
        <v/>
      </c>
      <c r="C239" s="274">
        <v>231</v>
      </c>
      <c r="D239" s="154">
        <f>IF(Plan!$T237="","",Plan!$T237)</f>
        <v>46095</v>
      </c>
      <c r="E239" s="155">
        <f>IF(Plan!$U237="","",Plan!$U237)</f>
        <v>0.77083333333333337</v>
      </c>
      <c r="F239" s="175" t="str">
        <f>Plan!$Q237</f>
        <v>Hamburger SV</v>
      </c>
      <c r="G239" s="176" t="s">
        <v>4</v>
      </c>
      <c r="H239" s="175" t="str">
        <f>Plan!$S237</f>
        <v>1. FC Köln</v>
      </c>
      <c r="I239" s="177">
        <v>1</v>
      </c>
      <c r="J239" s="178" t="str">
        <f>Language!$E$65</f>
        <v xml:space="preserve"> : </v>
      </c>
      <c r="K239" s="179">
        <v>1</v>
      </c>
      <c r="L239" s="383"/>
      <c r="M239" s="384"/>
    </row>
    <row r="240" spans="2:13" ht="15.75" x14ac:dyDescent="0.2">
      <c r="B240" s="278" t="str">
        <f>IF(Calc!$F$26=0,"",IF(OR($C240&gt;Calc!$B$24,MOD($C240-1,Calc!$F$26)&gt;0),"",QUOTIENT($C240-1,Calc!$F$26)+1))</f>
        <v/>
      </c>
      <c r="C240" s="274">
        <v>232</v>
      </c>
      <c r="D240" s="154">
        <f>IF(Plan!$T238="","",Plan!$T238)</f>
        <v>46096</v>
      </c>
      <c r="E240" s="155">
        <f>IF(Plan!$U238="","",Plan!$U238)</f>
        <v>0.64583333333333337</v>
      </c>
      <c r="F240" s="175" t="str">
        <f>Plan!$Q238</f>
        <v>SV Werder Bremen</v>
      </c>
      <c r="G240" s="176" t="s">
        <v>4</v>
      </c>
      <c r="H240" s="175" t="str">
        <f>Plan!$S238</f>
        <v>1. FSV Mainz 05</v>
      </c>
      <c r="I240" s="177">
        <v>0</v>
      </c>
      <c r="J240" s="178" t="str">
        <f>Language!$E$65</f>
        <v xml:space="preserve"> : </v>
      </c>
      <c r="K240" s="179">
        <v>2</v>
      </c>
      <c r="L240" s="383"/>
      <c r="M240" s="384"/>
    </row>
    <row r="241" spans="2:13" ht="15.75" x14ac:dyDescent="0.2">
      <c r="B241" s="278" t="str">
        <f>IF(Calc!$F$26=0,"",IF(OR($C241&gt;Calc!$B$24,MOD($C241-1,Calc!$F$26)&gt;0),"",QUOTIENT($C241-1,Calc!$F$26)+1))</f>
        <v/>
      </c>
      <c r="C241" s="274">
        <v>233</v>
      </c>
      <c r="D241" s="154">
        <f>IF(Plan!$T239="","",Plan!$T239)</f>
        <v>46096</v>
      </c>
      <c r="E241" s="155">
        <f>IF(Plan!$U239="","",Plan!$U239)</f>
        <v>0.72916666666666663</v>
      </c>
      <c r="F241" s="175" t="str">
        <f>Plan!$Q239</f>
        <v>SC Freiburg</v>
      </c>
      <c r="G241" s="176" t="s">
        <v>4</v>
      </c>
      <c r="H241" s="175" t="str">
        <f>Plan!$S239</f>
        <v>1. FC Union Berlin</v>
      </c>
      <c r="I241" s="177">
        <v>0</v>
      </c>
      <c r="J241" s="178" t="str">
        <f>Language!$E$65</f>
        <v xml:space="preserve"> : </v>
      </c>
      <c r="K241" s="179">
        <v>1</v>
      </c>
      <c r="L241" s="383"/>
      <c r="M241" s="384"/>
    </row>
    <row r="242" spans="2:13" ht="15.75" x14ac:dyDescent="0.2">
      <c r="B242" s="278" t="str">
        <f>IF(Calc!$F$26=0,"",IF(OR($C242&gt;Calc!$B$24,MOD($C242-1,Calc!$F$26)&gt;0),"",QUOTIENT($C242-1,Calc!$F$26)+1))</f>
        <v/>
      </c>
      <c r="C242" s="274">
        <v>234</v>
      </c>
      <c r="D242" s="154">
        <f>IF(Plan!$T240="","",Plan!$T240)</f>
        <v>46096</v>
      </c>
      <c r="E242" s="155">
        <f>IF(Plan!$U240="","",Plan!$U240)</f>
        <v>0.8125</v>
      </c>
      <c r="F242" s="175" t="str">
        <f>Plan!$Q240</f>
        <v>VfB Stuttgart</v>
      </c>
      <c r="G242" s="176" t="s">
        <v>4</v>
      </c>
      <c r="H242" s="175" t="str">
        <f>Plan!$S240</f>
        <v>RB Leipzig</v>
      </c>
      <c r="I242" s="177">
        <v>1</v>
      </c>
      <c r="J242" s="178" t="str">
        <f>Language!$E$65</f>
        <v xml:space="preserve"> : </v>
      </c>
      <c r="K242" s="179">
        <v>0</v>
      </c>
      <c r="L242" s="383"/>
      <c r="M242" s="384"/>
    </row>
    <row r="243" spans="2:13" ht="15.75" x14ac:dyDescent="0.2">
      <c r="B243" s="278">
        <f>IF(Calc!$F$26=0,"",IF(OR($C243&gt;Calc!$B$24,MOD($C243-1,Calc!$F$26)&gt;0),"",QUOTIENT($C243-1,Calc!$F$26)+1))</f>
        <v>27</v>
      </c>
      <c r="C243" s="274">
        <v>235</v>
      </c>
      <c r="D243" s="154">
        <f>IF(Plan!$T241="","",Plan!$T241)</f>
        <v>46101</v>
      </c>
      <c r="E243" s="155">
        <f>IF(Plan!$U241="","",Plan!$U241)</f>
        <v>0.85416666666666663</v>
      </c>
      <c r="F243" s="175" t="str">
        <f>Plan!$Q241</f>
        <v>RB Leipzig</v>
      </c>
      <c r="G243" s="176" t="s">
        <v>4</v>
      </c>
      <c r="H243" s="175" t="str">
        <f>Plan!$S241</f>
        <v>TSG Hoffenheim</v>
      </c>
      <c r="I243" s="177">
        <v>5</v>
      </c>
      <c r="J243" s="178" t="str">
        <f>Language!$E$65</f>
        <v xml:space="preserve"> : </v>
      </c>
      <c r="K243" s="179">
        <v>0</v>
      </c>
      <c r="L243" s="383"/>
      <c r="M243" s="384"/>
    </row>
    <row r="244" spans="2:13" ht="15.75" x14ac:dyDescent="0.2">
      <c r="B244" s="278" t="str">
        <f>IF(Calc!$F$26=0,"",IF(OR($C244&gt;Calc!$B$24,MOD($C244-1,Calc!$F$26)&gt;0),"",QUOTIENT($C244-1,Calc!$F$26)+1))</f>
        <v/>
      </c>
      <c r="C244" s="274">
        <v>236</v>
      </c>
      <c r="D244" s="154">
        <f>IF(Plan!$T242="","",Plan!$T242)</f>
        <v>46102</v>
      </c>
      <c r="E244" s="155">
        <f>IF(Plan!$U242="","",Plan!$U242)</f>
        <v>0.64583333333333337</v>
      </c>
      <c r="F244" s="175" t="str">
        <f>Plan!$Q242</f>
        <v>1. FC Heidenheim 1846</v>
      </c>
      <c r="G244" s="176" t="s">
        <v>4</v>
      </c>
      <c r="H244" s="175" t="str">
        <f>Plan!$S242</f>
        <v>Bayer 04 Leverkusen</v>
      </c>
      <c r="I244" s="177">
        <v>3</v>
      </c>
      <c r="J244" s="178" t="str">
        <f>Language!$E$65</f>
        <v xml:space="preserve"> : </v>
      </c>
      <c r="K244" s="179">
        <v>3</v>
      </c>
      <c r="L244" s="383"/>
      <c r="M244" s="384"/>
    </row>
    <row r="245" spans="2:13" ht="15.75" x14ac:dyDescent="0.2">
      <c r="B245" s="278" t="str">
        <f>IF(Calc!$F$26=0,"",IF(OR($C245&gt;Calc!$B$24,MOD($C245-1,Calc!$F$26)&gt;0),"",QUOTIENT($C245-1,Calc!$F$26)+1))</f>
        <v/>
      </c>
      <c r="C245" s="274">
        <v>237</v>
      </c>
      <c r="D245" s="154">
        <f>IF(Plan!$T243="","",Plan!$T243)</f>
        <v>46102</v>
      </c>
      <c r="E245" s="155">
        <f>IF(Plan!$U243="","",Plan!$U243)</f>
        <v>0.64583333333333337</v>
      </c>
      <c r="F245" s="175" t="str">
        <f>Plan!$Q243</f>
        <v>1. FC Köln</v>
      </c>
      <c r="G245" s="176" t="s">
        <v>4</v>
      </c>
      <c r="H245" s="175" t="str">
        <f>Plan!$S243</f>
        <v>Borussia Mönchengladbach</v>
      </c>
      <c r="I245" s="177">
        <v>3</v>
      </c>
      <c r="J245" s="178" t="str">
        <f>Language!$E$65</f>
        <v xml:space="preserve"> : </v>
      </c>
      <c r="K245" s="179">
        <v>3</v>
      </c>
      <c r="L245" s="383"/>
      <c r="M245" s="384"/>
    </row>
    <row r="246" spans="2:13" ht="15.75" x14ac:dyDescent="0.2">
      <c r="B246" s="278" t="str">
        <f>IF(Calc!$F$26=0,"",IF(OR($C246&gt;Calc!$B$24,MOD($C246-1,Calc!$F$26)&gt;0),"",QUOTIENT($C246-1,Calc!$F$26)+1))</f>
        <v/>
      </c>
      <c r="C246" s="274">
        <v>238</v>
      </c>
      <c r="D246" s="154">
        <f>IF(Plan!$T244="","",Plan!$T244)</f>
        <v>46102</v>
      </c>
      <c r="E246" s="155">
        <f>IF(Plan!$U244="","",Plan!$U244)</f>
        <v>0.64583333333333337</v>
      </c>
      <c r="F246" s="175" t="str">
        <f>Plan!$Q244</f>
        <v>FC Bayern München</v>
      </c>
      <c r="G246" s="176" t="s">
        <v>4</v>
      </c>
      <c r="H246" s="175" t="str">
        <f>Plan!$S244</f>
        <v>1. FC Union Berlin</v>
      </c>
      <c r="I246" s="177">
        <v>4</v>
      </c>
      <c r="J246" s="178" t="str">
        <f>Language!$E$65</f>
        <v xml:space="preserve"> : </v>
      </c>
      <c r="K246" s="179">
        <v>0</v>
      </c>
      <c r="L246" s="383"/>
      <c r="M246" s="384"/>
    </row>
    <row r="247" spans="2:13" ht="15.75" x14ac:dyDescent="0.2">
      <c r="B247" s="278" t="str">
        <f>IF(Calc!$F$26=0,"",IF(OR($C247&gt;Calc!$B$24,MOD($C247-1,Calc!$F$26)&gt;0),"",QUOTIENT($C247-1,Calc!$F$26)+1))</f>
        <v/>
      </c>
      <c r="C247" s="274">
        <v>239</v>
      </c>
      <c r="D247" s="154">
        <f>IF(Plan!$T245="","",Plan!$T245)</f>
        <v>46102</v>
      </c>
      <c r="E247" s="155">
        <f>IF(Plan!$U245="","",Plan!$U245)</f>
        <v>0.64583333333333337</v>
      </c>
      <c r="F247" s="175" t="str">
        <f>Plan!$Q245</f>
        <v>VfL Wolfsburg</v>
      </c>
      <c r="G247" s="176" t="s">
        <v>4</v>
      </c>
      <c r="H247" s="175" t="str">
        <f>Plan!$S245</f>
        <v>SV Werder Bremen</v>
      </c>
      <c r="I247" s="177">
        <v>0</v>
      </c>
      <c r="J247" s="178" t="str">
        <f>Language!$E$65</f>
        <v xml:space="preserve"> : </v>
      </c>
      <c r="K247" s="179">
        <v>1</v>
      </c>
      <c r="L247" s="383"/>
      <c r="M247" s="384"/>
    </row>
    <row r="248" spans="2:13" ht="15.75" x14ac:dyDescent="0.2">
      <c r="B248" s="278" t="str">
        <f>IF(Calc!$F$26=0,"",IF(OR($C248&gt;Calc!$B$24,MOD($C248-1,Calc!$F$26)&gt;0),"",QUOTIENT($C248-1,Calc!$F$26)+1))</f>
        <v/>
      </c>
      <c r="C248" s="274">
        <v>240</v>
      </c>
      <c r="D248" s="154">
        <f>IF(Plan!$T246="","",Plan!$T246)</f>
        <v>46102</v>
      </c>
      <c r="E248" s="155">
        <f>IF(Plan!$U246="","",Plan!$U246)</f>
        <v>0.77083333333333337</v>
      </c>
      <c r="F248" s="175" t="str">
        <f>Plan!$Q246</f>
        <v>Borussia Dortmund</v>
      </c>
      <c r="G248" s="176" t="s">
        <v>4</v>
      </c>
      <c r="H248" s="175" t="str">
        <f>Plan!$S246</f>
        <v>Hamburger SV</v>
      </c>
      <c r="I248" s="177">
        <v>3</v>
      </c>
      <c r="J248" s="178" t="str">
        <f>Language!$E$65</f>
        <v xml:space="preserve"> : </v>
      </c>
      <c r="K248" s="179">
        <v>2</v>
      </c>
      <c r="L248" s="383"/>
      <c r="M248" s="384"/>
    </row>
    <row r="249" spans="2:13" ht="15.75" x14ac:dyDescent="0.2">
      <c r="B249" s="278" t="str">
        <f>IF(Calc!$F$26=0,"",IF(OR($C249&gt;Calc!$B$24,MOD($C249-1,Calc!$F$26)&gt;0),"",QUOTIENT($C249-1,Calc!$F$26)+1))</f>
        <v/>
      </c>
      <c r="C249" s="274">
        <v>241</v>
      </c>
      <c r="D249" s="154">
        <f>IF(Plan!$T247="","",Plan!$T247)</f>
        <v>46103</v>
      </c>
      <c r="E249" s="155">
        <f>IF(Plan!$U247="","",Plan!$U247)</f>
        <v>0.64583333333333337</v>
      </c>
      <c r="F249" s="175" t="str">
        <f>Plan!$Q247</f>
        <v>1. FSV Mainz 05</v>
      </c>
      <c r="G249" s="176" t="s">
        <v>4</v>
      </c>
      <c r="H249" s="175" t="str">
        <f>Plan!$S247</f>
        <v>Eintracht Frankfurt</v>
      </c>
      <c r="I249" s="177">
        <v>2</v>
      </c>
      <c r="J249" s="178" t="str">
        <f>Language!$E$65</f>
        <v xml:space="preserve"> : </v>
      </c>
      <c r="K249" s="179">
        <v>1</v>
      </c>
      <c r="L249" s="383"/>
      <c r="M249" s="384"/>
    </row>
    <row r="250" spans="2:13" ht="15.75" x14ac:dyDescent="0.2">
      <c r="B250" s="278" t="str">
        <f>IF(Calc!$F$26=0,"",IF(OR($C250&gt;Calc!$B$24,MOD($C250-1,Calc!$F$26)&gt;0),"",QUOTIENT($C250-1,Calc!$F$26)+1))</f>
        <v/>
      </c>
      <c r="C250" s="274">
        <v>242</v>
      </c>
      <c r="D250" s="154">
        <f>IF(Plan!$T248="","",Plan!$T248)</f>
        <v>46103</v>
      </c>
      <c r="E250" s="155">
        <f>IF(Plan!$U248="","",Plan!$U248)</f>
        <v>0.72916666666666663</v>
      </c>
      <c r="F250" s="175" t="str">
        <f>Plan!$Q248</f>
        <v>FC St. Pauli</v>
      </c>
      <c r="G250" s="176" t="s">
        <v>4</v>
      </c>
      <c r="H250" s="175" t="str">
        <f>Plan!$S248</f>
        <v>SC Freiburg</v>
      </c>
      <c r="I250" s="177">
        <v>1</v>
      </c>
      <c r="J250" s="178" t="str">
        <f>Language!$E$65</f>
        <v xml:space="preserve"> : </v>
      </c>
      <c r="K250" s="179">
        <v>2</v>
      </c>
      <c r="L250" s="383"/>
      <c r="M250" s="384"/>
    </row>
    <row r="251" spans="2:13" ht="15.75" x14ac:dyDescent="0.2">
      <c r="B251" s="278" t="str">
        <f>IF(Calc!$F$26=0,"",IF(OR($C251&gt;Calc!$B$24,MOD($C251-1,Calc!$F$26)&gt;0),"",QUOTIENT($C251-1,Calc!$F$26)+1))</f>
        <v/>
      </c>
      <c r="C251" s="274">
        <v>243</v>
      </c>
      <c r="D251" s="154">
        <f>IF(Plan!$T249="","",Plan!$T249)</f>
        <v>46103</v>
      </c>
      <c r="E251" s="155">
        <f>IF(Plan!$U249="","",Plan!$U249)</f>
        <v>0.8125</v>
      </c>
      <c r="F251" s="175" t="str">
        <f>Plan!$Q249</f>
        <v>FC Augsburg</v>
      </c>
      <c r="G251" s="176" t="s">
        <v>4</v>
      </c>
      <c r="H251" s="175" t="str">
        <f>Plan!$S249</f>
        <v>VfB Stuttgart</v>
      </c>
      <c r="I251" s="177">
        <v>2</v>
      </c>
      <c r="J251" s="178" t="str">
        <f>Language!$E$65</f>
        <v xml:space="preserve"> : </v>
      </c>
      <c r="K251" s="179">
        <v>5</v>
      </c>
      <c r="L251" s="383"/>
      <c r="M251" s="384"/>
    </row>
    <row r="252" spans="2:13" ht="15.75" x14ac:dyDescent="0.2">
      <c r="B252" s="278">
        <f>IF(Calc!$F$26=0,"",IF(OR($C252&gt;Calc!$B$24,MOD($C252-1,Calc!$F$26)&gt;0),"",QUOTIENT($C252-1,Calc!$F$26)+1))</f>
        <v>28</v>
      </c>
      <c r="C252" s="274">
        <v>244</v>
      </c>
      <c r="D252" s="154">
        <f>IF(Plan!$T250="","",Plan!$T250)</f>
        <v>46116</v>
      </c>
      <c r="E252" s="155">
        <f>IF(Plan!$U250="","",Plan!$U250)</f>
        <v>0.64583333333333337</v>
      </c>
      <c r="F252" s="175" t="str">
        <f>Plan!$Q250</f>
        <v>Borussia Mönchengladbach</v>
      </c>
      <c r="G252" s="176" t="s">
        <v>4</v>
      </c>
      <c r="H252" s="175" t="str">
        <f>Plan!$S250</f>
        <v>1. FC Heidenheim 1846</v>
      </c>
      <c r="I252" s="177">
        <v>2</v>
      </c>
      <c r="J252" s="178" t="str">
        <f>Language!$E$65</f>
        <v xml:space="preserve"> : </v>
      </c>
      <c r="K252" s="179">
        <v>2</v>
      </c>
      <c r="L252" s="383"/>
      <c r="M252" s="384"/>
    </row>
    <row r="253" spans="2:13" ht="15.75" x14ac:dyDescent="0.2">
      <c r="B253" s="278" t="str">
        <f>IF(Calc!$F$26=0,"",IF(OR($C253&gt;Calc!$B$24,MOD($C253-1,Calc!$F$26)&gt;0),"",QUOTIENT($C253-1,Calc!$F$26)+1))</f>
        <v/>
      </c>
      <c r="C253" s="274">
        <v>245</v>
      </c>
      <c r="D253" s="154">
        <f>IF(Plan!$T251="","",Plan!$T251)</f>
        <v>46116</v>
      </c>
      <c r="E253" s="155">
        <f>IF(Plan!$U251="","",Plan!$U251)</f>
        <v>0.64583333333333337</v>
      </c>
      <c r="F253" s="175" t="str">
        <f>Plan!$Q251</f>
        <v>TSG Hoffenheim</v>
      </c>
      <c r="G253" s="176" t="s">
        <v>4</v>
      </c>
      <c r="H253" s="175" t="str">
        <f>Plan!$S251</f>
        <v>1. FSV Mainz 05</v>
      </c>
      <c r="I253" s="177">
        <v>1</v>
      </c>
      <c r="J253" s="178" t="str">
        <f>Language!$E$65</f>
        <v xml:space="preserve"> : </v>
      </c>
      <c r="K253" s="179">
        <v>2</v>
      </c>
      <c r="L253" s="383"/>
      <c r="M253" s="384"/>
    </row>
    <row r="254" spans="2:13" ht="15.75" x14ac:dyDescent="0.2">
      <c r="B254" s="278" t="str">
        <f>IF(Calc!$F$26=0,"",IF(OR($C254&gt;Calc!$B$24,MOD($C254-1,Calc!$F$26)&gt;0),"",QUOTIENT($C254-1,Calc!$F$26)+1))</f>
        <v/>
      </c>
      <c r="C254" s="274">
        <v>246</v>
      </c>
      <c r="D254" s="154">
        <f>IF(Plan!$T252="","",Plan!$T252)</f>
        <v>46116</v>
      </c>
      <c r="E254" s="155">
        <f>IF(Plan!$U252="","",Plan!$U252)</f>
        <v>0.64583333333333337</v>
      </c>
      <c r="F254" s="175" t="str">
        <f>Plan!$Q252</f>
        <v>Hamburger SV</v>
      </c>
      <c r="G254" s="176" t="s">
        <v>4</v>
      </c>
      <c r="H254" s="175" t="str">
        <f>Plan!$S252</f>
        <v>FC Augsburg</v>
      </c>
      <c r="I254" s="177">
        <v>1</v>
      </c>
      <c r="J254" s="178" t="str">
        <f>Language!$E$65</f>
        <v xml:space="preserve"> : </v>
      </c>
      <c r="K254" s="179">
        <v>1</v>
      </c>
      <c r="L254" s="383"/>
      <c r="M254" s="384"/>
    </row>
    <row r="255" spans="2:13" ht="15.75" x14ac:dyDescent="0.2">
      <c r="B255" s="278" t="str">
        <f>IF(Calc!$F$26=0,"",IF(OR($C255&gt;Calc!$B$24,MOD($C255-1,Calc!$F$26)&gt;0),"",QUOTIENT($C255-1,Calc!$F$26)+1))</f>
        <v/>
      </c>
      <c r="C255" s="274">
        <v>247</v>
      </c>
      <c r="D255" s="154">
        <f>IF(Plan!$T253="","",Plan!$T253)</f>
        <v>46116</v>
      </c>
      <c r="E255" s="155">
        <f>IF(Plan!$U253="","",Plan!$U253)</f>
        <v>0.64583333333333337</v>
      </c>
      <c r="F255" s="175" t="str">
        <f>Plan!$Q253</f>
        <v>Bayer 04 Leverkusen</v>
      </c>
      <c r="G255" s="176" t="s">
        <v>4</v>
      </c>
      <c r="H255" s="175" t="str">
        <f>Plan!$S253</f>
        <v>VfL Wolfsburg</v>
      </c>
      <c r="I255" s="177">
        <v>6</v>
      </c>
      <c r="J255" s="178" t="str">
        <f>Language!$E$65</f>
        <v xml:space="preserve"> : </v>
      </c>
      <c r="K255" s="179">
        <v>3</v>
      </c>
      <c r="L255" s="383"/>
      <c r="M255" s="384"/>
    </row>
    <row r="256" spans="2:13" ht="15.75" x14ac:dyDescent="0.2">
      <c r="B256" s="278" t="str">
        <f>IF(Calc!$F$26=0,"",IF(OR($C256&gt;Calc!$B$24,MOD($C256-1,Calc!$F$26)&gt;0),"",QUOTIENT($C256-1,Calc!$F$26)+1))</f>
        <v/>
      </c>
      <c r="C256" s="274">
        <v>248</v>
      </c>
      <c r="D256" s="154">
        <f>IF(Plan!$T254="","",Plan!$T254)</f>
        <v>46116</v>
      </c>
      <c r="E256" s="155">
        <f>IF(Plan!$U254="","",Plan!$U254)</f>
        <v>0.64583333333333337</v>
      </c>
      <c r="F256" s="175" t="str">
        <f>Plan!$Q254</f>
        <v>SC Freiburg</v>
      </c>
      <c r="G256" s="176" t="s">
        <v>4</v>
      </c>
      <c r="H256" s="175" t="str">
        <f>Plan!$S254</f>
        <v>FC Bayern München</v>
      </c>
      <c r="I256" s="177">
        <v>2</v>
      </c>
      <c r="J256" s="178" t="str">
        <f>Language!$E$65</f>
        <v xml:space="preserve"> : </v>
      </c>
      <c r="K256" s="179">
        <v>3</v>
      </c>
      <c r="L256" s="383"/>
      <c r="M256" s="384"/>
    </row>
    <row r="257" spans="2:13" ht="15.75" x14ac:dyDescent="0.2">
      <c r="B257" s="278" t="str">
        <f>IF(Calc!$F$26=0,"",IF(OR($C257&gt;Calc!$B$24,MOD($C257-1,Calc!$F$26)&gt;0),"",QUOTIENT($C257-1,Calc!$F$26)+1))</f>
        <v/>
      </c>
      <c r="C257" s="274">
        <v>249</v>
      </c>
      <c r="D257" s="154">
        <f>IF(Plan!$T255="","",Plan!$T255)</f>
        <v>46116</v>
      </c>
      <c r="E257" s="155">
        <f>IF(Plan!$U255="","",Plan!$U255)</f>
        <v>0.64583333333333337</v>
      </c>
      <c r="F257" s="175" t="str">
        <f>Plan!$Q255</f>
        <v>SV Werder Bremen</v>
      </c>
      <c r="G257" s="176" t="s">
        <v>4</v>
      </c>
      <c r="H257" s="175" t="str">
        <f>Plan!$S255</f>
        <v>RB Leipzig</v>
      </c>
      <c r="I257" s="177">
        <v>1</v>
      </c>
      <c r="J257" s="178" t="str">
        <f>Language!$E$65</f>
        <v xml:space="preserve"> : </v>
      </c>
      <c r="K257" s="179">
        <v>2</v>
      </c>
      <c r="L257" s="383"/>
      <c r="M257" s="384"/>
    </row>
    <row r="258" spans="2:13" ht="15.75" x14ac:dyDescent="0.2">
      <c r="B258" s="278" t="str">
        <f>IF(Calc!$F$26=0,"",IF(OR($C258&gt;Calc!$B$24,MOD($C258-1,Calc!$F$26)&gt;0),"",QUOTIENT($C258-1,Calc!$F$26)+1))</f>
        <v/>
      </c>
      <c r="C258" s="274">
        <v>250</v>
      </c>
      <c r="D258" s="154">
        <f>IF(Plan!$T256="","",Plan!$T256)</f>
        <v>46116</v>
      </c>
      <c r="E258" s="155">
        <f>IF(Plan!$U256="","",Plan!$U256)</f>
        <v>0.77083333333333337</v>
      </c>
      <c r="F258" s="175" t="str">
        <f>Plan!$Q256</f>
        <v>VfB Stuttgart</v>
      </c>
      <c r="G258" s="176" t="s">
        <v>4</v>
      </c>
      <c r="H258" s="175" t="str">
        <f>Plan!$S256</f>
        <v>Borussia Dortmund</v>
      </c>
      <c r="I258" s="177">
        <v>0</v>
      </c>
      <c r="J258" s="178" t="str">
        <f>Language!$E$65</f>
        <v xml:space="preserve"> : </v>
      </c>
      <c r="K258" s="179">
        <v>2</v>
      </c>
      <c r="L258" s="383"/>
      <c r="M258" s="384"/>
    </row>
    <row r="259" spans="2:13" ht="15.75" x14ac:dyDescent="0.2">
      <c r="B259" s="278" t="str">
        <f>IF(Calc!$F$26=0,"",IF(OR($C259&gt;Calc!$B$24,MOD($C259-1,Calc!$F$26)&gt;0),"",QUOTIENT($C259-1,Calc!$F$26)+1))</f>
        <v/>
      </c>
      <c r="C259" s="274">
        <v>251</v>
      </c>
      <c r="D259" s="154">
        <f>IF(Plan!$T257="","",Plan!$T257)</f>
        <v>46117</v>
      </c>
      <c r="E259" s="155">
        <f>IF(Plan!$U257="","",Plan!$U257)</f>
        <v>0.64583333333333337</v>
      </c>
      <c r="F259" s="175" t="str">
        <f>Plan!$Q257</f>
        <v>1. FC Union Berlin</v>
      </c>
      <c r="G259" s="176" t="s">
        <v>4</v>
      </c>
      <c r="H259" s="175" t="str">
        <f>Plan!$S257</f>
        <v>FC St. Pauli</v>
      </c>
      <c r="I259" s="177">
        <v>1</v>
      </c>
      <c r="J259" s="178" t="str">
        <f>Language!$E$65</f>
        <v xml:space="preserve"> : </v>
      </c>
      <c r="K259" s="179">
        <v>1</v>
      </c>
      <c r="L259" s="383"/>
      <c r="M259" s="384"/>
    </row>
    <row r="260" spans="2:13" ht="15.75" x14ac:dyDescent="0.2">
      <c r="B260" s="278" t="str">
        <f>IF(Calc!$F$26=0,"",IF(OR($C260&gt;Calc!$B$24,MOD($C260-1,Calc!$F$26)&gt;0),"",QUOTIENT($C260-1,Calc!$F$26)+1))</f>
        <v/>
      </c>
      <c r="C260" s="274">
        <v>252</v>
      </c>
      <c r="D260" s="154">
        <f>IF(Plan!$T258="","",Plan!$T258)</f>
        <v>46117</v>
      </c>
      <c r="E260" s="155">
        <f>IF(Plan!$U258="","",Plan!$U258)</f>
        <v>0.72916666666666663</v>
      </c>
      <c r="F260" s="175" t="str">
        <f>Plan!$Q258</f>
        <v>Eintracht Frankfurt</v>
      </c>
      <c r="G260" s="176" t="s">
        <v>4</v>
      </c>
      <c r="H260" s="175" t="str">
        <f>Plan!$S258</f>
        <v>1. FC Köln</v>
      </c>
      <c r="I260" s="177">
        <v>2</v>
      </c>
      <c r="J260" s="178" t="str">
        <f>Language!$E$65</f>
        <v xml:space="preserve"> : </v>
      </c>
      <c r="K260" s="179">
        <v>2</v>
      </c>
      <c r="L260" s="383"/>
      <c r="M260" s="384"/>
    </row>
    <row r="261" spans="2:13" ht="15.75" x14ac:dyDescent="0.2">
      <c r="B261" s="278">
        <f>IF(Calc!$F$26=0,"",IF(OR($C261&gt;Calc!$B$24,MOD($C261-1,Calc!$F$26)&gt;0),"",QUOTIENT($C261-1,Calc!$F$26)+1))</f>
        <v>29</v>
      </c>
      <c r="C261" s="274">
        <v>253</v>
      </c>
      <c r="D261" s="154">
        <f>IF(Plan!$T259="","",Plan!$T259)</f>
        <v>46122</v>
      </c>
      <c r="E261" s="155">
        <f>IF(Plan!$U259="","",Plan!$U259)</f>
        <v>0.85416666666666663</v>
      </c>
      <c r="F261" s="175" t="str">
        <f>Plan!$Q259</f>
        <v>FC Augsburg</v>
      </c>
      <c r="G261" s="176" t="s">
        <v>4</v>
      </c>
      <c r="H261" s="175" t="str">
        <f>Plan!$S259</f>
        <v>TSG Hoffenheim</v>
      </c>
      <c r="I261" s="177">
        <v>2</v>
      </c>
      <c r="J261" s="178" t="str">
        <f>Language!$E$65</f>
        <v xml:space="preserve"> : </v>
      </c>
      <c r="K261" s="179">
        <v>2</v>
      </c>
      <c r="L261" s="383"/>
      <c r="M261" s="384"/>
    </row>
    <row r="262" spans="2:13" ht="15.75" x14ac:dyDescent="0.2">
      <c r="B262" s="278" t="str">
        <f>IF(Calc!$F$26=0,"",IF(OR($C262&gt;Calc!$B$24,MOD($C262-1,Calc!$F$26)&gt;0),"",QUOTIENT($C262-1,Calc!$F$26)+1))</f>
        <v/>
      </c>
      <c r="C262" s="274">
        <v>254</v>
      </c>
      <c r="D262" s="154">
        <f>IF(Plan!$T260="","",Plan!$T260)</f>
        <v>46123</v>
      </c>
      <c r="E262" s="155">
        <f>IF(Plan!$U260="","",Plan!$U260)</f>
        <v>0.64583333333333337</v>
      </c>
      <c r="F262" s="175" t="str">
        <f>Plan!$Q260</f>
        <v>VfL Wolfsburg</v>
      </c>
      <c r="G262" s="176" t="s">
        <v>4</v>
      </c>
      <c r="H262" s="175" t="str">
        <f>Plan!$S260</f>
        <v>Eintracht Frankfurt</v>
      </c>
      <c r="I262" s="177">
        <v>1</v>
      </c>
      <c r="J262" s="178" t="str">
        <f>Language!$E$65</f>
        <v xml:space="preserve"> : </v>
      </c>
      <c r="K262" s="179">
        <v>2</v>
      </c>
      <c r="L262" s="383"/>
      <c r="M262" s="384"/>
    </row>
    <row r="263" spans="2:13" ht="15.75" x14ac:dyDescent="0.2">
      <c r="B263" s="278" t="str">
        <f>IF(Calc!$F$26=0,"",IF(OR($C263&gt;Calc!$B$24,MOD($C263-1,Calc!$F$26)&gt;0),"",QUOTIENT($C263-1,Calc!$F$26)+1))</f>
        <v/>
      </c>
      <c r="C263" s="274">
        <v>255</v>
      </c>
      <c r="D263" s="154">
        <f>IF(Plan!$T261="","",Plan!$T261)</f>
        <v>46123</v>
      </c>
      <c r="E263" s="155">
        <f>IF(Plan!$U261="","",Plan!$U261)</f>
        <v>0.64583333333333337</v>
      </c>
      <c r="F263" s="175" t="str">
        <f>Plan!$Q261</f>
        <v>1. FC Heidenheim 1846</v>
      </c>
      <c r="G263" s="176" t="s">
        <v>4</v>
      </c>
      <c r="H263" s="175" t="str">
        <f>Plan!$S261</f>
        <v>1. FC Union Berlin</v>
      </c>
      <c r="I263" s="177">
        <v>3</v>
      </c>
      <c r="J263" s="178" t="str">
        <f>Language!$E$65</f>
        <v xml:space="preserve"> : </v>
      </c>
      <c r="K263" s="179">
        <v>1</v>
      </c>
      <c r="L263" s="383"/>
      <c r="M263" s="384"/>
    </row>
    <row r="264" spans="2:13" ht="15.75" x14ac:dyDescent="0.2">
      <c r="B264" s="278" t="str">
        <f>IF(Calc!$F$26=0,"",IF(OR($C264&gt;Calc!$B$24,MOD($C264-1,Calc!$F$26)&gt;0),"",QUOTIENT($C264-1,Calc!$F$26)+1))</f>
        <v/>
      </c>
      <c r="C264" s="274">
        <v>256</v>
      </c>
      <c r="D264" s="154">
        <f>IF(Plan!$T262="","",Plan!$T262)</f>
        <v>46123</v>
      </c>
      <c r="E264" s="155">
        <f>IF(Plan!$U262="","",Plan!$U262)</f>
        <v>0.64583333333333337</v>
      </c>
      <c r="F264" s="175" t="str">
        <f>Plan!$Q262</f>
        <v>Borussia Dortmund</v>
      </c>
      <c r="G264" s="176" t="s">
        <v>4</v>
      </c>
      <c r="H264" s="175" t="str">
        <f>Plan!$S262</f>
        <v>Bayer 04 Leverkusen</v>
      </c>
      <c r="I264" s="177">
        <v>0</v>
      </c>
      <c r="J264" s="178" t="str">
        <f>Language!$E$65</f>
        <v xml:space="preserve"> : </v>
      </c>
      <c r="K264" s="179">
        <v>1</v>
      </c>
      <c r="L264" s="383"/>
      <c r="M264" s="384"/>
    </row>
    <row r="265" spans="2:13" ht="15.75" x14ac:dyDescent="0.2">
      <c r="B265" s="278" t="str">
        <f>IF(Calc!$F$26=0,"",IF(OR($C265&gt;Calc!$B$24,MOD($C265-1,Calc!$F$26)&gt;0),"",QUOTIENT($C265-1,Calc!$F$26)+1))</f>
        <v/>
      </c>
      <c r="C265" s="274">
        <v>257</v>
      </c>
      <c r="D265" s="154">
        <f>IF(Plan!$T263="","",Plan!$T263)</f>
        <v>46123</v>
      </c>
      <c r="E265" s="155">
        <f>IF(Plan!$U263="","",Plan!$U263)</f>
        <v>0.64583333333333337</v>
      </c>
      <c r="F265" s="175" t="str">
        <f>Plan!$Q263</f>
        <v>RB Leipzig</v>
      </c>
      <c r="G265" s="176" t="s">
        <v>4</v>
      </c>
      <c r="H265" s="175" t="str">
        <f>Plan!$S263</f>
        <v>Borussia Mönchengladbach</v>
      </c>
      <c r="I265" s="177">
        <v>1</v>
      </c>
      <c r="J265" s="178" t="str">
        <f>Language!$E$65</f>
        <v xml:space="preserve"> : </v>
      </c>
      <c r="K265" s="179">
        <v>0</v>
      </c>
      <c r="L265" s="383"/>
      <c r="M265" s="384"/>
    </row>
    <row r="266" spans="2:13" ht="15.75" x14ac:dyDescent="0.2">
      <c r="B266" s="278" t="str">
        <f>IF(Calc!$F$26=0,"",IF(OR($C266&gt;Calc!$B$24,MOD($C266-1,Calc!$F$26)&gt;0),"",QUOTIENT($C266-1,Calc!$F$26)+1))</f>
        <v/>
      </c>
      <c r="C266" s="274">
        <v>258</v>
      </c>
      <c r="D266" s="154">
        <f>IF(Plan!$T264="","",Plan!$T264)</f>
        <v>46123</v>
      </c>
      <c r="E266" s="155">
        <f>IF(Plan!$U264="","",Plan!$U264)</f>
        <v>0.77083333333333337</v>
      </c>
      <c r="F266" s="175" t="str">
        <f>Plan!$Q264</f>
        <v>FC St. Pauli</v>
      </c>
      <c r="G266" s="176" t="s">
        <v>4</v>
      </c>
      <c r="H266" s="175" t="str">
        <f>Plan!$S264</f>
        <v>FC Bayern München</v>
      </c>
      <c r="I266" s="177">
        <v>0</v>
      </c>
      <c r="J266" s="178" t="str">
        <f>Language!$E$65</f>
        <v xml:space="preserve"> : </v>
      </c>
      <c r="K266" s="179">
        <v>5</v>
      </c>
      <c r="L266" s="383"/>
      <c r="M266" s="384"/>
    </row>
    <row r="267" spans="2:13" ht="15.75" x14ac:dyDescent="0.2">
      <c r="B267" s="278" t="str">
        <f>IF(Calc!$F$26=0,"",IF(OR($C267&gt;Calc!$B$24,MOD($C267-1,Calc!$F$26)&gt;0),"",QUOTIENT($C267-1,Calc!$F$26)+1))</f>
        <v/>
      </c>
      <c r="C267" s="274">
        <v>259</v>
      </c>
      <c r="D267" s="154">
        <f>IF(Plan!$T265="","",Plan!$T265)</f>
        <v>46124</v>
      </c>
      <c r="E267" s="155">
        <f>IF(Plan!$U265="","",Plan!$U265)</f>
        <v>0.64583333333333337</v>
      </c>
      <c r="F267" s="175" t="str">
        <f>Plan!$Q265</f>
        <v>1. FC Köln</v>
      </c>
      <c r="G267" s="176" t="s">
        <v>4</v>
      </c>
      <c r="H267" s="175" t="str">
        <f>Plan!$S265</f>
        <v>SV Werder Bremen</v>
      </c>
      <c r="I267" s="177">
        <v>3</v>
      </c>
      <c r="J267" s="178" t="str">
        <f>Language!$E$65</f>
        <v xml:space="preserve"> : </v>
      </c>
      <c r="K267" s="179">
        <v>1</v>
      </c>
      <c r="L267" s="383"/>
      <c r="M267" s="384"/>
    </row>
    <row r="268" spans="2:13" ht="15.75" x14ac:dyDescent="0.2">
      <c r="B268" s="278" t="str">
        <f>IF(Calc!$F$26=0,"",IF(OR($C268&gt;Calc!$B$24,MOD($C268-1,Calc!$F$26)&gt;0),"",QUOTIENT($C268-1,Calc!$F$26)+1))</f>
        <v/>
      </c>
      <c r="C268" s="274">
        <v>260</v>
      </c>
      <c r="D268" s="154">
        <f>IF(Plan!$T266="","",Plan!$T266)</f>
        <v>46124</v>
      </c>
      <c r="E268" s="155">
        <f>IF(Plan!$U266="","",Plan!$U266)</f>
        <v>0.72916666666666663</v>
      </c>
      <c r="F268" s="175" t="str">
        <f>Plan!$Q266</f>
        <v>VfB Stuttgart</v>
      </c>
      <c r="G268" s="176" t="s">
        <v>4</v>
      </c>
      <c r="H268" s="175" t="str">
        <f>Plan!$S266</f>
        <v>Hamburger SV</v>
      </c>
      <c r="I268" s="177">
        <v>4</v>
      </c>
      <c r="J268" s="178" t="str">
        <f>Language!$E$65</f>
        <v xml:space="preserve"> : </v>
      </c>
      <c r="K268" s="179">
        <v>0</v>
      </c>
      <c r="L268" s="383"/>
      <c r="M268" s="384"/>
    </row>
    <row r="269" spans="2:13" ht="15.75" x14ac:dyDescent="0.2">
      <c r="B269" s="278" t="str">
        <f>IF(Calc!$F$26=0,"",IF(OR($C269&gt;Calc!$B$24,MOD($C269-1,Calc!$F$26)&gt;0),"",QUOTIENT($C269-1,Calc!$F$26)+1))</f>
        <v/>
      </c>
      <c r="C269" s="274">
        <v>261</v>
      </c>
      <c r="D269" s="154">
        <f>IF(Plan!$T267="","",Plan!$T267)</f>
        <v>46124</v>
      </c>
      <c r="E269" s="155">
        <f>IF(Plan!$U267="","",Plan!$U267)</f>
        <v>0.8125</v>
      </c>
      <c r="F269" s="175" t="str">
        <f>Plan!$Q267</f>
        <v>1. FSV Mainz 05</v>
      </c>
      <c r="G269" s="176" t="s">
        <v>4</v>
      </c>
      <c r="H269" s="175" t="str">
        <f>Plan!$S267</f>
        <v>SC Freiburg</v>
      </c>
      <c r="I269" s="177">
        <v>0</v>
      </c>
      <c r="J269" s="178" t="str">
        <f>Language!$E$65</f>
        <v xml:space="preserve"> : </v>
      </c>
      <c r="K269" s="179">
        <v>1</v>
      </c>
      <c r="L269" s="383"/>
      <c r="M269" s="384"/>
    </row>
    <row r="270" spans="2:13" ht="15.75" x14ac:dyDescent="0.2">
      <c r="B270" s="278">
        <f>IF(Calc!$F$26=0,"",IF(OR($C270&gt;Calc!$B$24,MOD($C270-1,Calc!$F$26)&gt;0),"",QUOTIENT($C270-1,Calc!$F$26)+1))</f>
        <v>30</v>
      </c>
      <c r="C270" s="274">
        <v>262</v>
      </c>
      <c r="D270" s="154">
        <f>IF(Plan!$T268="","",Plan!$T268)</f>
        <v>46129</v>
      </c>
      <c r="E270" s="155">
        <f>IF(Plan!$U268="","",Plan!$U268)</f>
        <v>0.85416666666666663</v>
      </c>
      <c r="F270" s="175" t="str">
        <f>Plan!$Q268</f>
        <v>FC St. Pauli</v>
      </c>
      <c r="G270" s="176" t="s">
        <v>4</v>
      </c>
      <c r="H270" s="175" t="str">
        <f>Plan!$S268</f>
        <v>1. FC Köln</v>
      </c>
      <c r="I270" s="177">
        <v>1</v>
      </c>
      <c r="J270" s="178" t="str">
        <f>Language!$E$65</f>
        <v xml:space="preserve"> : </v>
      </c>
      <c r="K270" s="179">
        <v>1</v>
      </c>
      <c r="L270" s="383"/>
      <c r="M270" s="384"/>
    </row>
    <row r="271" spans="2:13" ht="15.75" x14ac:dyDescent="0.2">
      <c r="B271" s="278" t="str">
        <f>IF(Calc!$F$26=0,"",IF(OR($C271&gt;Calc!$B$24,MOD($C271-1,Calc!$F$26)&gt;0),"",QUOTIENT($C271-1,Calc!$F$26)+1))</f>
        <v/>
      </c>
      <c r="C271" s="274">
        <v>263</v>
      </c>
      <c r="D271" s="154">
        <f>IF(Plan!$T269="","",Plan!$T269)</f>
        <v>46130</v>
      </c>
      <c r="E271" s="155">
        <f>IF(Plan!$U269="","",Plan!$U269)</f>
        <v>0.64583333333333337</v>
      </c>
      <c r="F271" s="175" t="str">
        <f>Plan!$Q269</f>
        <v>1. FC Union Berlin</v>
      </c>
      <c r="G271" s="176" t="s">
        <v>4</v>
      </c>
      <c r="H271" s="175" t="str">
        <f>Plan!$S269</f>
        <v>VfL Wolfsburg</v>
      </c>
      <c r="I271" s="177">
        <v>1</v>
      </c>
      <c r="J271" s="178" t="str">
        <f>Language!$E$65</f>
        <v xml:space="preserve"> : </v>
      </c>
      <c r="K271" s="179">
        <v>2</v>
      </c>
      <c r="L271" s="383"/>
      <c r="M271" s="384"/>
    </row>
    <row r="272" spans="2:13" ht="15.75" x14ac:dyDescent="0.2">
      <c r="B272" s="278" t="str">
        <f>IF(Calc!$F$26=0,"",IF(OR($C272&gt;Calc!$B$24,MOD($C272-1,Calc!$F$26)&gt;0),"",QUOTIENT($C272-1,Calc!$F$26)+1))</f>
        <v/>
      </c>
      <c r="C272" s="274">
        <v>264</v>
      </c>
      <c r="D272" s="154">
        <f>IF(Plan!$T270="","",Plan!$T270)</f>
        <v>46130</v>
      </c>
      <c r="E272" s="155">
        <f>IF(Plan!$U270="","",Plan!$U270)</f>
        <v>0.64583333333333337</v>
      </c>
      <c r="F272" s="175" t="str">
        <f>Plan!$Q270</f>
        <v>TSG Hoffenheim</v>
      </c>
      <c r="G272" s="176" t="s">
        <v>4</v>
      </c>
      <c r="H272" s="175" t="str">
        <f>Plan!$S270</f>
        <v>Borussia Dortmund</v>
      </c>
      <c r="I272" s="177">
        <v>2</v>
      </c>
      <c r="J272" s="178" t="str">
        <f>Language!$E$65</f>
        <v xml:space="preserve"> : </v>
      </c>
      <c r="K272" s="179">
        <v>1</v>
      </c>
      <c r="L272" s="383"/>
      <c r="M272" s="384"/>
    </row>
    <row r="273" spans="2:13" ht="15.75" x14ac:dyDescent="0.2">
      <c r="B273" s="278" t="str">
        <f>IF(Calc!$F$26=0,"",IF(OR($C273&gt;Calc!$B$24,MOD($C273-1,Calc!$F$26)&gt;0),"",QUOTIENT($C273-1,Calc!$F$26)+1))</f>
        <v/>
      </c>
      <c r="C273" s="274">
        <v>265</v>
      </c>
      <c r="D273" s="154">
        <f>IF(Plan!$T271="","",Plan!$T271)</f>
        <v>46130</v>
      </c>
      <c r="E273" s="155">
        <f>IF(Plan!$U271="","",Plan!$U271)</f>
        <v>0.64583333333333337</v>
      </c>
      <c r="F273" s="175" t="str">
        <f>Plan!$Q271</f>
        <v>Bayer 04 Leverkusen</v>
      </c>
      <c r="G273" s="176" t="s">
        <v>4</v>
      </c>
      <c r="H273" s="175" t="str">
        <f>Plan!$S271</f>
        <v>FC Augsburg</v>
      </c>
      <c r="I273" s="177">
        <v>1</v>
      </c>
      <c r="J273" s="178" t="str">
        <f>Language!$E$65</f>
        <v xml:space="preserve"> : </v>
      </c>
      <c r="K273" s="179">
        <v>2</v>
      </c>
      <c r="L273" s="383"/>
      <c r="M273" s="384"/>
    </row>
    <row r="274" spans="2:13" ht="15.75" x14ac:dyDescent="0.2">
      <c r="B274" s="278" t="str">
        <f>IF(Calc!$F$26=0,"",IF(OR($C274&gt;Calc!$B$24,MOD($C274-1,Calc!$F$26)&gt;0),"",QUOTIENT($C274-1,Calc!$F$26)+1))</f>
        <v/>
      </c>
      <c r="C274" s="274">
        <v>266</v>
      </c>
      <c r="D274" s="154">
        <f>IF(Plan!$T272="","",Plan!$T272)</f>
        <v>46130</v>
      </c>
      <c r="E274" s="155">
        <f>IF(Plan!$U272="","",Plan!$U272)</f>
        <v>0.64583333333333337</v>
      </c>
      <c r="F274" s="175" t="str">
        <f>Plan!$Q272</f>
        <v>SV Werder Bremen</v>
      </c>
      <c r="G274" s="176" t="s">
        <v>4</v>
      </c>
      <c r="H274" s="175" t="str">
        <f>Plan!$S272</f>
        <v>Hamburger SV</v>
      </c>
      <c r="I274" s="177">
        <v>3</v>
      </c>
      <c r="J274" s="178" t="str">
        <f>Language!$E$65</f>
        <v xml:space="preserve"> : </v>
      </c>
      <c r="K274" s="179">
        <v>1</v>
      </c>
      <c r="L274" s="383"/>
      <c r="M274" s="384"/>
    </row>
    <row r="275" spans="2:13" ht="15.75" x14ac:dyDescent="0.2">
      <c r="B275" s="278" t="str">
        <f>IF(Calc!$F$26=0,"",IF(OR($C275&gt;Calc!$B$24,MOD($C275-1,Calc!$F$26)&gt;0),"",QUOTIENT($C275-1,Calc!$F$26)+1))</f>
        <v/>
      </c>
      <c r="C275" s="274">
        <v>267</v>
      </c>
      <c r="D275" s="154">
        <f>IF(Plan!$T273="","",Plan!$T273)</f>
        <v>46130</v>
      </c>
      <c r="E275" s="155">
        <f>IF(Plan!$U273="","",Plan!$U273)</f>
        <v>0.77083333333333337</v>
      </c>
      <c r="F275" s="175" t="str">
        <f>Plan!$Q273</f>
        <v>Eintracht Frankfurt</v>
      </c>
      <c r="G275" s="176" t="s">
        <v>4</v>
      </c>
      <c r="H275" s="175" t="str">
        <f>Plan!$S273</f>
        <v>RB Leipzig</v>
      </c>
      <c r="I275" s="177">
        <v>1</v>
      </c>
      <c r="J275" s="178" t="str">
        <f>Language!$E$65</f>
        <v xml:space="preserve"> : </v>
      </c>
      <c r="K275" s="179">
        <v>3</v>
      </c>
      <c r="L275" s="383"/>
      <c r="M275" s="384"/>
    </row>
    <row r="276" spans="2:13" ht="15.75" x14ac:dyDescent="0.2">
      <c r="B276" s="278" t="str">
        <f>IF(Calc!$F$26=0,"",IF(OR($C276&gt;Calc!$B$24,MOD($C276-1,Calc!$F$26)&gt;0),"",QUOTIENT($C276-1,Calc!$F$26)+1))</f>
        <v/>
      </c>
      <c r="C276" s="274">
        <v>268</v>
      </c>
      <c r="D276" s="154">
        <f>IF(Plan!$T274="","",Plan!$T274)</f>
        <v>46131</v>
      </c>
      <c r="E276" s="155">
        <f>IF(Plan!$U274="","",Plan!$U274)</f>
        <v>0.64583333333333337</v>
      </c>
      <c r="F276" s="175" t="str">
        <f>Plan!$Q274</f>
        <v>SC Freiburg</v>
      </c>
      <c r="G276" s="176" t="s">
        <v>4</v>
      </c>
      <c r="H276" s="175" t="str">
        <f>Plan!$S274</f>
        <v>1. FC Heidenheim 1846</v>
      </c>
      <c r="I276" s="177">
        <v>2</v>
      </c>
      <c r="J276" s="178" t="str">
        <f>Language!$E$65</f>
        <v xml:space="preserve"> : </v>
      </c>
      <c r="K276" s="179">
        <v>1</v>
      </c>
      <c r="L276" s="383"/>
      <c r="M276" s="384"/>
    </row>
    <row r="277" spans="2:13" ht="15.75" x14ac:dyDescent="0.2">
      <c r="B277" s="278" t="str">
        <f>IF(Calc!$F$26=0,"",IF(OR($C277&gt;Calc!$B$24,MOD($C277-1,Calc!$F$26)&gt;0),"",QUOTIENT($C277-1,Calc!$F$26)+1))</f>
        <v/>
      </c>
      <c r="C277" s="274">
        <v>269</v>
      </c>
      <c r="D277" s="154">
        <f>IF(Plan!$T275="","",Plan!$T275)</f>
        <v>46131</v>
      </c>
      <c r="E277" s="155">
        <f>IF(Plan!$U275="","",Plan!$U275)</f>
        <v>0.72916666666666663</v>
      </c>
      <c r="F277" s="175" t="str">
        <f>Plan!$Q275</f>
        <v>FC Bayern München</v>
      </c>
      <c r="G277" s="176" t="s">
        <v>4</v>
      </c>
      <c r="H277" s="175" t="str">
        <f>Plan!$S275</f>
        <v>VfB Stuttgart</v>
      </c>
      <c r="I277" s="177">
        <v>4</v>
      </c>
      <c r="J277" s="178" t="str">
        <f>Language!$E$65</f>
        <v xml:space="preserve"> : </v>
      </c>
      <c r="K277" s="179">
        <v>2</v>
      </c>
      <c r="L277" s="383"/>
      <c r="M277" s="384"/>
    </row>
    <row r="278" spans="2:13" ht="15.75" x14ac:dyDescent="0.2">
      <c r="B278" s="278" t="str">
        <f>IF(Calc!$F$26=0,"",IF(OR($C278&gt;Calc!$B$24,MOD($C278-1,Calc!$F$26)&gt;0),"",QUOTIENT($C278-1,Calc!$F$26)+1))</f>
        <v/>
      </c>
      <c r="C278" s="274">
        <v>270</v>
      </c>
      <c r="D278" s="154">
        <f>IF(Plan!$T276="","",Plan!$T276)</f>
        <v>46131</v>
      </c>
      <c r="E278" s="155">
        <f>IF(Plan!$U276="","",Plan!$U276)</f>
        <v>0.8125</v>
      </c>
      <c r="F278" s="175" t="str">
        <f>Plan!$Q276</f>
        <v>Borussia Mönchengladbach</v>
      </c>
      <c r="G278" s="176" t="s">
        <v>4</v>
      </c>
      <c r="H278" s="175" t="str">
        <f>Plan!$S276</f>
        <v>1. FSV Mainz 05</v>
      </c>
      <c r="I278" s="177">
        <v>1</v>
      </c>
      <c r="J278" s="178" t="str">
        <f>Language!$E$65</f>
        <v xml:space="preserve"> : </v>
      </c>
      <c r="K278" s="179">
        <v>1</v>
      </c>
      <c r="L278" s="383"/>
      <c r="M278" s="384"/>
    </row>
    <row r="279" spans="2:13" ht="15.75" x14ac:dyDescent="0.2">
      <c r="B279" s="278">
        <f>IF(Calc!$F$26=0,"",IF(OR($C279&gt;Calc!$B$24,MOD($C279-1,Calc!$F$26)&gt;0),"",QUOTIENT($C279-1,Calc!$F$26)+1))</f>
        <v>31</v>
      </c>
      <c r="C279" s="274">
        <v>271</v>
      </c>
      <c r="D279" s="154">
        <f>IF(Plan!$T277="","",Plan!$T277)</f>
        <v>46136</v>
      </c>
      <c r="E279" s="155">
        <f>IF(Plan!$U277="","",Plan!$U277)</f>
        <v>0.85416666666666663</v>
      </c>
      <c r="F279" s="175" t="str">
        <f>Plan!$Q277</f>
        <v>RB Leipzig</v>
      </c>
      <c r="G279" s="176" t="s">
        <v>4</v>
      </c>
      <c r="H279" s="175" t="str">
        <f>Plan!$S277</f>
        <v>1. FC Union Berlin</v>
      </c>
      <c r="I279" s="177">
        <v>3</v>
      </c>
      <c r="J279" s="178" t="str">
        <f>Language!$E$65</f>
        <v xml:space="preserve"> : </v>
      </c>
      <c r="K279" s="179">
        <v>1</v>
      </c>
      <c r="L279" s="383"/>
      <c r="M279" s="384"/>
    </row>
    <row r="280" spans="2:13" ht="15.75" x14ac:dyDescent="0.2">
      <c r="B280" s="278" t="str">
        <f>IF(Calc!$F$26=0,"",IF(OR($C280&gt;Calc!$B$24,MOD($C280-1,Calc!$F$26)&gt;0),"",QUOTIENT($C280-1,Calc!$F$26)+1))</f>
        <v/>
      </c>
      <c r="C280" s="274">
        <v>272</v>
      </c>
      <c r="D280" s="154">
        <f>IF(Plan!$T278="","",Plan!$T278)</f>
        <v>46137</v>
      </c>
      <c r="E280" s="155">
        <f>IF(Plan!$U278="","",Plan!$U278)</f>
        <v>0.64583333333333337</v>
      </c>
      <c r="F280" s="175" t="str">
        <f>Plan!$Q278</f>
        <v>1. FC Heidenheim 1846</v>
      </c>
      <c r="G280" s="176" t="s">
        <v>4</v>
      </c>
      <c r="H280" s="175" t="str">
        <f>Plan!$S278</f>
        <v>FC St. Pauli</v>
      </c>
      <c r="I280" s="177">
        <v>2</v>
      </c>
      <c r="J280" s="178" t="str">
        <f>Language!$E$65</f>
        <v xml:space="preserve"> : </v>
      </c>
      <c r="K280" s="179">
        <v>0</v>
      </c>
      <c r="L280" s="383"/>
      <c r="M280" s="384"/>
    </row>
    <row r="281" spans="2:13" ht="15.75" x14ac:dyDescent="0.2">
      <c r="B281" s="278" t="str">
        <f>IF(Calc!$F$26=0,"",IF(OR($C281&gt;Calc!$B$24,MOD($C281-1,Calc!$F$26)&gt;0),"",QUOTIENT($C281-1,Calc!$F$26)+1))</f>
        <v/>
      </c>
      <c r="C281" s="274">
        <v>273</v>
      </c>
      <c r="D281" s="154">
        <f>IF(Plan!$T279="","",Plan!$T279)</f>
        <v>46137</v>
      </c>
      <c r="E281" s="155">
        <f>IF(Plan!$U279="","",Plan!$U279)</f>
        <v>0.64583333333333337</v>
      </c>
      <c r="F281" s="175" t="str">
        <f>Plan!$Q279</f>
        <v>1. FC Köln</v>
      </c>
      <c r="G281" s="176" t="s">
        <v>4</v>
      </c>
      <c r="H281" s="175" t="str">
        <f>Plan!$S279</f>
        <v>Bayer 04 Leverkusen</v>
      </c>
      <c r="I281" s="177">
        <v>1</v>
      </c>
      <c r="J281" s="178" t="str">
        <f>Language!$E$65</f>
        <v xml:space="preserve"> : </v>
      </c>
      <c r="K281" s="179">
        <v>2</v>
      </c>
      <c r="L281" s="383"/>
      <c r="M281" s="384"/>
    </row>
    <row r="282" spans="2:13" ht="15.75" x14ac:dyDescent="0.2">
      <c r="B282" s="278" t="str">
        <f>IF(Calc!$F$26=0,"",IF(OR($C282&gt;Calc!$B$24,MOD($C282-1,Calc!$F$26)&gt;0),"",QUOTIENT($C282-1,Calc!$F$26)+1))</f>
        <v/>
      </c>
      <c r="C282" s="274">
        <v>274</v>
      </c>
      <c r="D282" s="154">
        <f>IF(Plan!$T280="","",Plan!$T280)</f>
        <v>46137</v>
      </c>
      <c r="E282" s="155">
        <f>IF(Plan!$U280="","",Plan!$U280)</f>
        <v>0.64583333333333337</v>
      </c>
      <c r="F282" s="175" t="str">
        <f>Plan!$Q280</f>
        <v>FC Augsburg</v>
      </c>
      <c r="G282" s="176" t="s">
        <v>4</v>
      </c>
      <c r="H282" s="175" t="str">
        <f>Plan!$S280</f>
        <v>Eintracht Frankfurt</v>
      </c>
      <c r="I282" s="177">
        <v>1</v>
      </c>
      <c r="J282" s="178" t="str">
        <f>Language!$E$65</f>
        <v xml:space="preserve"> : </v>
      </c>
      <c r="K282" s="179">
        <v>1</v>
      </c>
      <c r="L282" s="383"/>
      <c r="M282" s="384"/>
    </row>
    <row r="283" spans="2:13" ht="15.75" x14ac:dyDescent="0.2">
      <c r="B283" s="278" t="str">
        <f>IF(Calc!$F$26=0,"",IF(OR($C283&gt;Calc!$B$24,MOD($C283-1,Calc!$F$26)&gt;0),"",QUOTIENT($C283-1,Calc!$F$26)+1))</f>
        <v/>
      </c>
      <c r="C283" s="274">
        <v>275</v>
      </c>
      <c r="D283" s="154">
        <f>IF(Plan!$T281="","",Plan!$T281)</f>
        <v>46137</v>
      </c>
      <c r="E283" s="155">
        <f>IF(Plan!$U281="","",Plan!$U281)</f>
        <v>0.64583333333333337</v>
      </c>
      <c r="F283" s="175" t="str">
        <f>Plan!$Q281</f>
        <v>1. FSV Mainz 05</v>
      </c>
      <c r="G283" s="176" t="s">
        <v>4</v>
      </c>
      <c r="H283" s="175" t="str">
        <f>Plan!$S281</f>
        <v>FC Bayern München</v>
      </c>
      <c r="I283" s="177">
        <v>3</v>
      </c>
      <c r="J283" s="178" t="str">
        <f>Language!$E$65</f>
        <v xml:space="preserve"> : </v>
      </c>
      <c r="K283" s="179">
        <v>4</v>
      </c>
      <c r="L283" s="383"/>
      <c r="M283" s="384"/>
    </row>
    <row r="284" spans="2:13" ht="15.75" x14ac:dyDescent="0.2">
      <c r="B284" s="278" t="str">
        <f>IF(Calc!$F$26=0,"",IF(OR($C284&gt;Calc!$B$24,MOD($C284-1,Calc!$F$26)&gt;0),"",QUOTIENT($C284-1,Calc!$F$26)+1))</f>
        <v/>
      </c>
      <c r="C284" s="274">
        <v>276</v>
      </c>
      <c r="D284" s="154">
        <f>IF(Plan!$T282="","",Plan!$T282)</f>
        <v>46137</v>
      </c>
      <c r="E284" s="155">
        <f>IF(Plan!$U282="","",Plan!$U282)</f>
        <v>0.64583333333333337</v>
      </c>
      <c r="F284" s="175" t="str">
        <f>Plan!$Q282</f>
        <v>VfL Wolfsburg</v>
      </c>
      <c r="G284" s="176" t="s">
        <v>4</v>
      </c>
      <c r="H284" s="175" t="str">
        <f>Plan!$S282</f>
        <v>Borussia Mönchengladbach</v>
      </c>
      <c r="I284" s="177">
        <v>0</v>
      </c>
      <c r="J284" s="178" t="str">
        <f>Language!$E$65</f>
        <v xml:space="preserve"> : </v>
      </c>
      <c r="K284" s="179">
        <v>0</v>
      </c>
      <c r="L284" s="383"/>
      <c r="M284" s="384"/>
    </row>
    <row r="285" spans="2:13" ht="15.75" x14ac:dyDescent="0.2">
      <c r="B285" s="278" t="str">
        <f>IF(Calc!$F$26=0,"",IF(OR($C285&gt;Calc!$B$24,MOD($C285-1,Calc!$F$26)&gt;0),"",QUOTIENT($C285-1,Calc!$F$26)+1))</f>
        <v/>
      </c>
      <c r="C285" s="274">
        <v>277</v>
      </c>
      <c r="D285" s="154">
        <f>IF(Plan!$T283="","",Plan!$T283)</f>
        <v>46137</v>
      </c>
      <c r="E285" s="155">
        <f>IF(Plan!$U283="","",Plan!$U283)</f>
        <v>0.77083333333333337</v>
      </c>
      <c r="F285" s="175" t="str">
        <f>Plan!$Q283</f>
        <v>Hamburger SV</v>
      </c>
      <c r="G285" s="176" t="s">
        <v>4</v>
      </c>
      <c r="H285" s="175" t="str">
        <f>Plan!$S283</f>
        <v>TSG Hoffenheim</v>
      </c>
      <c r="I285" s="177">
        <v>1</v>
      </c>
      <c r="J285" s="178" t="str">
        <f>Language!$E$65</f>
        <v xml:space="preserve"> : </v>
      </c>
      <c r="K285" s="179">
        <v>2</v>
      </c>
      <c r="L285" s="383"/>
      <c r="M285" s="384"/>
    </row>
    <row r="286" spans="2:13" ht="15.75" x14ac:dyDescent="0.2">
      <c r="B286" s="278" t="str">
        <f>IF(Calc!$F$26=0,"",IF(OR($C286&gt;Calc!$B$24,MOD($C286-1,Calc!$F$26)&gt;0),"",QUOTIENT($C286-1,Calc!$F$26)+1))</f>
        <v/>
      </c>
      <c r="C286" s="274">
        <v>278</v>
      </c>
      <c r="D286" s="154">
        <f>IF(Plan!$T284="","",Plan!$T284)</f>
        <v>46138</v>
      </c>
      <c r="E286" s="155">
        <f>IF(Plan!$U284="","",Plan!$U284)</f>
        <v>0.64583333333333337</v>
      </c>
      <c r="F286" s="175" t="str">
        <f>Plan!$Q284</f>
        <v>VfB Stuttgart</v>
      </c>
      <c r="G286" s="176" t="s">
        <v>4</v>
      </c>
      <c r="H286" s="175" t="str">
        <f>Plan!$S284</f>
        <v>SV Werder Bremen</v>
      </c>
      <c r="I286" s="177">
        <v>1</v>
      </c>
      <c r="J286" s="178" t="str">
        <f>Language!$E$65</f>
        <v xml:space="preserve"> : </v>
      </c>
      <c r="K286" s="179">
        <v>1</v>
      </c>
      <c r="L286" s="383"/>
      <c r="M286" s="384"/>
    </row>
    <row r="287" spans="2:13" ht="15.75" x14ac:dyDescent="0.2">
      <c r="B287" s="278" t="str">
        <f>IF(Calc!$F$26=0,"",IF(OR($C287&gt;Calc!$B$24,MOD($C287-1,Calc!$F$26)&gt;0),"",QUOTIENT($C287-1,Calc!$F$26)+1))</f>
        <v/>
      </c>
      <c r="C287" s="274">
        <v>279</v>
      </c>
      <c r="D287" s="154">
        <f>IF(Plan!$T285="","",Plan!$T285)</f>
        <v>46138</v>
      </c>
      <c r="E287" s="155">
        <f>IF(Plan!$U285="","",Plan!$U285)</f>
        <v>0.72916666666666663</v>
      </c>
      <c r="F287" s="175" t="str">
        <f>Plan!$Q285</f>
        <v>Borussia Dortmund</v>
      </c>
      <c r="G287" s="176" t="s">
        <v>4</v>
      </c>
      <c r="H287" s="175" t="str">
        <f>Plan!$S285</f>
        <v>SC Freiburg</v>
      </c>
      <c r="I287" s="177">
        <v>4</v>
      </c>
      <c r="J287" s="178" t="str">
        <f>Language!$E$65</f>
        <v xml:space="preserve"> : </v>
      </c>
      <c r="K287" s="179">
        <v>0</v>
      </c>
      <c r="L287" s="383"/>
      <c r="M287" s="384"/>
    </row>
    <row r="288" spans="2:13" ht="15.75" x14ac:dyDescent="0.2">
      <c r="B288" s="278">
        <f>IF(Calc!$F$26=0,"",IF(OR($C288&gt;Calc!$B$24,MOD($C288-1,Calc!$F$26)&gt;0),"",QUOTIENT($C288-1,Calc!$F$26)+1))</f>
        <v>32</v>
      </c>
      <c r="C288" s="274">
        <v>280</v>
      </c>
      <c r="D288" s="154">
        <f>IF(Plan!$T286="","",Plan!$T286)</f>
        <v>46144</v>
      </c>
      <c r="E288" s="155">
        <f>IF(Plan!$U286="","",Plan!$U286)</f>
        <v>0.64583333333333337</v>
      </c>
      <c r="F288" s="175" t="str">
        <f>Plan!$Q286</f>
        <v>1. FC Union Berlin</v>
      </c>
      <c r="G288" s="176" t="s">
        <v>4</v>
      </c>
      <c r="H288" s="175" t="str">
        <f>Plan!$S286</f>
        <v>1. FC Köln</v>
      </c>
      <c r="I288" s="177">
        <v>2</v>
      </c>
      <c r="J288" s="178" t="str">
        <f>Language!$E$65</f>
        <v xml:space="preserve"> : </v>
      </c>
      <c r="K288" s="179">
        <v>2</v>
      </c>
      <c r="L288" s="383"/>
      <c r="M288" s="384"/>
    </row>
    <row r="289" spans="2:13" ht="15.75" x14ac:dyDescent="0.2">
      <c r="B289" s="278" t="str">
        <f>IF(Calc!$F$26=0,"",IF(OR($C289&gt;Calc!$B$24,MOD($C289-1,Calc!$F$26)&gt;0),"",QUOTIENT($C289-1,Calc!$F$26)+1))</f>
        <v/>
      </c>
      <c r="C289" s="274">
        <v>281</v>
      </c>
      <c r="D289" s="154">
        <f>IF(Plan!$T287="","",Plan!$T287)</f>
        <v>46144</v>
      </c>
      <c r="E289" s="155">
        <f>IF(Plan!$U287="","",Plan!$U287)</f>
        <v>0.64583333333333337</v>
      </c>
      <c r="F289" s="175" t="str">
        <f>Plan!$Q287</f>
        <v>TSG Hoffenheim</v>
      </c>
      <c r="G289" s="176" t="s">
        <v>4</v>
      </c>
      <c r="H289" s="175" t="str">
        <f>Plan!$S287</f>
        <v>VfB Stuttgart</v>
      </c>
      <c r="I289" s="177">
        <v>3</v>
      </c>
      <c r="J289" s="178" t="str">
        <f>Language!$E$65</f>
        <v xml:space="preserve"> : </v>
      </c>
      <c r="K289" s="179">
        <v>3</v>
      </c>
      <c r="L289" s="383"/>
      <c r="M289" s="384"/>
    </row>
    <row r="290" spans="2:13" ht="15.75" x14ac:dyDescent="0.2">
      <c r="B290" s="278" t="str">
        <f>IF(Calc!$F$26=0,"",IF(OR($C290&gt;Calc!$B$24,MOD($C290-1,Calc!$F$26)&gt;0),"",QUOTIENT($C290-1,Calc!$F$26)+1))</f>
        <v/>
      </c>
      <c r="C290" s="274">
        <v>282</v>
      </c>
      <c r="D290" s="154">
        <f>IF(Plan!$T288="","",Plan!$T288)</f>
        <v>46144</v>
      </c>
      <c r="E290" s="155">
        <f>IF(Plan!$U288="","",Plan!$U288)</f>
        <v>0.64583333333333337</v>
      </c>
      <c r="F290" s="175" t="str">
        <f>Plan!$Q288</f>
        <v>SV Werder Bremen</v>
      </c>
      <c r="G290" s="176" t="s">
        <v>4</v>
      </c>
      <c r="H290" s="175" t="str">
        <f>Plan!$S288</f>
        <v>FC Augsburg</v>
      </c>
      <c r="I290" s="177">
        <v>1</v>
      </c>
      <c r="J290" s="178" t="str">
        <f>Language!$E$65</f>
        <v xml:space="preserve"> : </v>
      </c>
      <c r="K290" s="179">
        <v>3</v>
      </c>
      <c r="L290" s="383"/>
      <c r="M290" s="384"/>
    </row>
    <row r="291" spans="2:13" ht="15.75" x14ac:dyDescent="0.2">
      <c r="B291" s="278" t="str">
        <f>IF(Calc!$F$26=0,"",IF(OR($C291&gt;Calc!$B$24,MOD($C291-1,Calc!$F$26)&gt;0),"",QUOTIENT($C291-1,Calc!$F$26)+1))</f>
        <v/>
      </c>
      <c r="C291" s="274">
        <v>283</v>
      </c>
      <c r="D291" s="154">
        <f>IF(Plan!$T289="","",Plan!$T289)</f>
        <v>46144</v>
      </c>
      <c r="E291" s="155">
        <f>IF(Plan!$U289="","",Plan!$U289)</f>
        <v>0.64583333333333337</v>
      </c>
      <c r="F291" s="175" t="str">
        <f>Plan!$Q289</f>
        <v>FC Bayern München</v>
      </c>
      <c r="G291" s="176" t="s">
        <v>4</v>
      </c>
      <c r="H291" s="175" t="str">
        <f>Plan!$S289</f>
        <v>1. FC Heidenheim 1846</v>
      </c>
      <c r="I291" s="177">
        <v>3</v>
      </c>
      <c r="J291" s="178" t="str">
        <f>Language!$E$65</f>
        <v xml:space="preserve"> : </v>
      </c>
      <c r="K291" s="179">
        <v>3</v>
      </c>
      <c r="L291" s="383"/>
      <c r="M291" s="384"/>
    </row>
    <row r="292" spans="2:13" ht="15.75" x14ac:dyDescent="0.2">
      <c r="B292" s="278" t="str">
        <f>IF(Calc!$F$26=0,"",IF(OR($C292&gt;Calc!$B$24,MOD($C292-1,Calc!$F$26)&gt;0),"",QUOTIENT($C292-1,Calc!$F$26)+1))</f>
        <v/>
      </c>
      <c r="C292" s="274">
        <v>284</v>
      </c>
      <c r="D292" s="154">
        <f>IF(Plan!$T290="","",Plan!$T290)</f>
        <v>46144</v>
      </c>
      <c r="E292" s="155">
        <f>IF(Plan!$U290="","",Plan!$U290)</f>
        <v>0.64583333333333337</v>
      </c>
      <c r="F292" s="175" t="str">
        <f>Plan!$Q290</f>
        <v>Eintracht Frankfurt</v>
      </c>
      <c r="G292" s="176" t="s">
        <v>4</v>
      </c>
      <c r="H292" s="175" t="str">
        <f>Plan!$S290</f>
        <v>Hamburger SV</v>
      </c>
      <c r="I292" s="177">
        <v>1</v>
      </c>
      <c r="J292" s="178" t="str">
        <f>Language!$E$65</f>
        <v xml:space="preserve"> : </v>
      </c>
      <c r="K292" s="179">
        <v>2</v>
      </c>
      <c r="L292" s="383"/>
      <c r="M292" s="384"/>
    </row>
    <row r="293" spans="2:13" ht="15.75" x14ac:dyDescent="0.2">
      <c r="B293" s="278" t="str">
        <f>IF(Calc!$F$26=0,"",IF(OR($C293&gt;Calc!$B$24,MOD($C293-1,Calc!$F$26)&gt;0),"",QUOTIENT($C293-1,Calc!$F$26)+1))</f>
        <v/>
      </c>
      <c r="C293" s="274">
        <v>285</v>
      </c>
      <c r="D293" s="154">
        <f>IF(Plan!$T291="","",Plan!$T291)</f>
        <v>46144</v>
      </c>
      <c r="E293" s="155">
        <f>IF(Plan!$U291="","",Plan!$U291)</f>
        <v>0.77083333333333337</v>
      </c>
      <c r="F293" s="175" t="str">
        <f>Plan!$Q291</f>
        <v>Bayer 04 Leverkusen</v>
      </c>
      <c r="G293" s="176" t="s">
        <v>4</v>
      </c>
      <c r="H293" s="175" t="str">
        <f>Plan!$S291</f>
        <v>RB Leipzig</v>
      </c>
      <c r="I293" s="177">
        <v>4</v>
      </c>
      <c r="J293" s="178" t="str">
        <f>Language!$E$65</f>
        <v xml:space="preserve"> : </v>
      </c>
      <c r="K293" s="179">
        <v>1</v>
      </c>
      <c r="L293" s="383"/>
      <c r="M293" s="384"/>
    </row>
    <row r="294" spans="2:13" ht="15.75" x14ac:dyDescent="0.2">
      <c r="B294" s="278" t="str">
        <f>IF(Calc!$F$26=0,"",IF(OR($C294&gt;Calc!$B$24,MOD($C294-1,Calc!$F$26)&gt;0),"",QUOTIENT($C294-1,Calc!$F$26)+1))</f>
        <v/>
      </c>
      <c r="C294" s="274">
        <v>286</v>
      </c>
      <c r="D294" s="154">
        <f>IF(Plan!$T292="","",Plan!$T292)</f>
        <v>46145</v>
      </c>
      <c r="E294" s="155">
        <f>IF(Plan!$U292="","",Plan!$U292)</f>
        <v>0.64583333333333337</v>
      </c>
      <c r="F294" s="175" t="str">
        <f>Plan!$Q292</f>
        <v>FC St. Pauli</v>
      </c>
      <c r="G294" s="176" t="s">
        <v>4</v>
      </c>
      <c r="H294" s="175" t="str">
        <f>Plan!$S292</f>
        <v>1. FSV Mainz 05</v>
      </c>
      <c r="I294" s="177">
        <v>1</v>
      </c>
      <c r="J294" s="178" t="str">
        <f>Language!$E$65</f>
        <v xml:space="preserve"> : </v>
      </c>
      <c r="K294" s="179">
        <v>2</v>
      </c>
      <c r="L294" s="383"/>
      <c r="M294" s="384"/>
    </row>
    <row r="295" spans="2:13" ht="15.75" x14ac:dyDescent="0.2">
      <c r="B295" s="278" t="str">
        <f>IF(Calc!$F$26=0,"",IF(OR($C295&gt;Calc!$B$24,MOD($C295-1,Calc!$F$26)&gt;0),"",QUOTIENT($C295-1,Calc!$F$26)+1))</f>
        <v/>
      </c>
      <c r="C295" s="274">
        <v>287</v>
      </c>
      <c r="D295" s="154">
        <f>IF(Plan!$T293="","",Plan!$T293)</f>
        <v>46145</v>
      </c>
      <c r="E295" s="155">
        <f>IF(Plan!$U293="","",Plan!$U293)</f>
        <v>0.72916666666666663</v>
      </c>
      <c r="F295" s="175" t="str">
        <f>Plan!$Q293</f>
        <v>Borussia Mönchengladbach</v>
      </c>
      <c r="G295" s="176" t="s">
        <v>4</v>
      </c>
      <c r="H295" s="175" t="str">
        <f>Plan!$S293</f>
        <v>Borussia Dortmund</v>
      </c>
      <c r="I295" s="177">
        <v>1</v>
      </c>
      <c r="J295" s="178" t="str">
        <f>Language!$E$65</f>
        <v xml:space="preserve"> : </v>
      </c>
      <c r="K295" s="179">
        <v>0</v>
      </c>
      <c r="L295" s="383"/>
      <c r="M295" s="384"/>
    </row>
    <row r="296" spans="2:13" ht="15.75" x14ac:dyDescent="0.2">
      <c r="B296" s="278" t="str">
        <f>IF(Calc!$F$26=0,"",IF(OR($C296&gt;Calc!$B$24,MOD($C296-1,Calc!$F$26)&gt;0),"",QUOTIENT($C296-1,Calc!$F$26)+1))</f>
        <v/>
      </c>
      <c r="C296" s="274">
        <v>288</v>
      </c>
      <c r="D296" s="154">
        <f>IF(Plan!$T294="","",Plan!$T294)</f>
        <v>46145</v>
      </c>
      <c r="E296" s="155">
        <f>IF(Plan!$U294="","",Plan!$U294)</f>
        <v>0.8125</v>
      </c>
      <c r="F296" s="175" t="str">
        <f>Plan!$Q294</f>
        <v>SC Freiburg</v>
      </c>
      <c r="G296" s="176" t="s">
        <v>4</v>
      </c>
      <c r="H296" s="175" t="str">
        <f>Plan!$S294</f>
        <v>VfL Wolfsburg</v>
      </c>
      <c r="I296" s="177">
        <v>1</v>
      </c>
      <c r="J296" s="178" t="str">
        <f>Language!$E$65</f>
        <v xml:space="preserve"> : </v>
      </c>
      <c r="K296" s="179">
        <v>1</v>
      </c>
      <c r="L296" s="383"/>
      <c r="M296" s="384"/>
    </row>
    <row r="297" spans="2:13" ht="15.75" x14ac:dyDescent="0.2">
      <c r="B297" s="278">
        <f>IF(Calc!$F$26=0,"",IF(OR($C297&gt;Calc!$B$24,MOD($C297-1,Calc!$F$26)&gt;0),"",QUOTIENT($C297-1,Calc!$F$26)+1))</f>
        <v>33</v>
      </c>
      <c r="C297" s="274">
        <v>289</v>
      </c>
      <c r="D297" s="154">
        <f>IF(Plan!$T295="","",Plan!$T295)</f>
        <v>46150</v>
      </c>
      <c r="E297" s="155">
        <f>IF(Plan!$U295="","",Plan!$U295)</f>
        <v>0.85416666666666663</v>
      </c>
      <c r="F297" s="175" t="str">
        <f>Plan!$Q295</f>
        <v>Borussia Dortmund</v>
      </c>
      <c r="G297" s="176" t="s">
        <v>4</v>
      </c>
      <c r="H297" s="175" t="str">
        <f>Plan!$S295</f>
        <v>Eintracht Frankfurt</v>
      </c>
      <c r="I297" s="177">
        <v>3</v>
      </c>
      <c r="J297" s="178" t="str">
        <f>Language!$E$65</f>
        <v xml:space="preserve"> : </v>
      </c>
      <c r="K297" s="179">
        <v>2</v>
      </c>
      <c r="L297" s="383"/>
      <c r="M297" s="384"/>
    </row>
    <row r="298" spans="2:13" ht="15.75" x14ac:dyDescent="0.2">
      <c r="B298" s="278" t="str">
        <f>IF(Calc!$F$26=0,"",IF(OR($C298&gt;Calc!$B$24,MOD($C298-1,Calc!$F$26)&gt;0),"",QUOTIENT($C298-1,Calc!$F$26)+1))</f>
        <v/>
      </c>
      <c r="C298" s="274">
        <v>290</v>
      </c>
      <c r="D298" s="154">
        <f>IF(Plan!$T296="","",Plan!$T296)</f>
        <v>46151</v>
      </c>
      <c r="E298" s="155">
        <f>IF(Plan!$U296="","",Plan!$U296)</f>
        <v>0.64583333333333337</v>
      </c>
      <c r="F298" s="175" t="str">
        <f>Plan!$Q296</f>
        <v>FC Augsburg</v>
      </c>
      <c r="G298" s="176" t="s">
        <v>4</v>
      </c>
      <c r="H298" s="175" t="str">
        <f>Plan!$S296</f>
        <v>Borussia Mönchengladbach</v>
      </c>
      <c r="I298" s="177">
        <v>3</v>
      </c>
      <c r="J298" s="178" t="str">
        <f>Language!$E$65</f>
        <v xml:space="preserve"> : </v>
      </c>
      <c r="K298" s="179">
        <v>1</v>
      </c>
      <c r="L298" s="383"/>
      <c r="M298" s="384"/>
    </row>
    <row r="299" spans="2:13" ht="15.75" x14ac:dyDescent="0.2">
      <c r="B299" s="278" t="str">
        <f>IF(Calc!$F$26=0,"",IF(OR($C299&gt;Calc!$B$24,MOD($C299-1,Calc!$F$26)&gt;0),"",QUOTIENT($C299-1,Calc!$F$26)+1))</f>
        <v/>
      </c>
      <c r="C299" s="274">
        <v>291</v>
      </c>
      <c r="D299" s="154">
        <f>IF(Plan!$T297="","",Plan!$T297)</f>
        <v>46151</v>
      </c>
      <c r="E299" s="155">
        <f>IF(Plan!$U297="","",Plan!$U297)</f>
        <v>0.64583333333333337</v>
      </c>
      <c r="F299" s="175" t="str">
        <f>Plan!$Q297</f>
        <v>TSG Hoffenheim</v>
      </c>
      <c r="G299" s="176" t="s">
        <v>4</v>
      </c>
      <c r="H299" s="175" t="str">
        <f>Plan!$S297</f>
        <v>SV Werder Bremen</v>
      </c>
      <c r="I299" s="177">
        <v>1</v>
      </c>
      <c r="J299" s="178" t="str">
        <f>Language!$E$65</f>
        <v xml:space="preserve"> : </v>
      </c>
      <c r="K299" s="179">
        <v>0</v>
      </c>
      <c r="L299" s="383"/>
      <c r="M299" s="384"/>
    </row>
    <row r="300" spans="2:13" ht="15.75" x14ac:dyDescent="0.2">
      <c r="B300" s="278" t="str">
        <f>IF(Calc!$F$26=0,"",IF(OR($C300&gt;Calc!$B$24,MOD($C300-1,Calc!$F$26)&gt;0),"",QUOTIENT($C300-1,Calc!$F$26)+1))</f>
        <v/>
      </c>
      <c r="C300" s="274">
        <v>292</v>
      </c>
      <c r="D300" s="154">
        <f>IF(Plan!$T298="","",Plan!$T298)</f>
        <v>46151</v>
      </c>
      <c r="E300" s="155">
        <f>IF(Plan!$U298="","",Plan!$U298)</f>
        <v>0.64583333333333337</v>
      </c>
      <c r="F300" s="175" t="str">
        <f>Plan!$Q298</f>
        <v>RB Leipzig</v>
      </c>
      <c r="G300" s="176" t="s">
        <v>4</v>
      </c>
      <c r="H300" s="175" t="str">
        <f>Plan!$S298</f>
        <v>FC St. Pauli</v>
      </c>
      <c r="I300" s="177">
        <v>2</v>
      </c>
      <c r="J300" s="178" t="str">
        <f>Language!$E$65</f>
        <v xml:space="preserve"> : </v>
      </c>
      <c r="K300" s="179">
        <v>1</v>
      </c>
      <c r="L300" s="383"/>
      <c r="M300" s="384"/>
    </row>
    <row r="301" spans="2:13" ht="15.75" x14ac:dyDescent="0.2">
      <c r="B301" s="278" t="str">
        <f>IF(Calc!$F$26=0,"",IF(OR($C301&gt;Calc!$B$24,MOD($C301-1,Calc!$F$26)&gt;0),"",QUOTIENT($C301-1,Calc!$F$26)+1))</f>
        <v/>
      </c>
      <c r="C301" s="274">
        <v>293</v>
      </c>
      <c r="D301" s="154">
        <f>IF(Plan!$T299="","",Plan!$T299)</f>
        <v>46151</v>
      </c>
      <c r="E301" s="155">
        <f>IF(Plan!$U299="","",Plan!$U299)</f>
        <v>0.64583333333333337</v>
      </c>
      <c r="F301" s="175" t="str">
        <f>Plan!$Q299</f>
        <v>VfB Stuttgart</v>
      </c>
      <c r="G301" s="176" t="s">
        <v>4</v>
      </c>
      <c r="H301" s="175" t="str">
        <f>Plan!$S299</f>
        <v>Bayer 04 Leverkusen</v>
      </c>
      <c r="I301" s="177">
        <v>3</v>
      </c>
      <c r="J301" s="178" t="str">
        <f>Language!$E$65</f>
        <v xml:space="preserve"> : </v>
      </c>
      <c r="K301" s="179">
        <v>1</v>
      </c>
      <c r="L301" s="383"/>
      <c r="M301" s="384"/>
    </row>
    <row r="302" spans="2:13" ht="15.75" x14ac:dyDescent="0.2">
      <c r="B302" s="278" t="str">
        <f>IF(Calc!$F$26=0,"",IF(OR($C302&gt;Calc!$B$24,MOD($C302-1,Calc!$F$26)&gt;0),"",QUOTIENT($C302-1,Calc!$F$26)+1))</f>
        <v/>
      </c>
      <c r="C302" s="274">
        <v>294</v>
      </c>
      <c r="D302" s="154">
        <f>IF(Plan!$T300="","",Plan!$T300)</f>
        <v>46151</v>
      </c>
      <c r="E302" s="155">
        <f>IF(Plan!$U300="","",Plan!$U300)</f>
        <v>0.77083333333333337</v>
      </c>
      <c r="F302" s="175" t="str">
        <f>Plan!$Q300</f>
        <v>VfL Wolfsburg</v>
      </c>
      <c r="G302" s="176" t="s">
        <v>4</v>
      </c>
      <c r="H302" s="175" t="str">
        <f>Plan!$S300</f>
        <v>FC Bayern München</v>
      </c>
      <c r="I302" s="177">
        <v>0</v>
      </c>
      <c r="J302" s="178" t="str">
        <f>Language!$E$65</f>
        <v xml:space="preserve"> : </v>
      </c>
      <c r="K302" s="179">
        <v>1</v>
      </c>
      <c r="L302" s="383"/>
      <c r="M302" s="384"/>
    </row>
    <row r="303" spans="2:13" ht="15.75" x14ac:dyDescent="0.2">
      <c r="B303" s="278" t="str">
        <f>IF(Calc!$F$26=0,"",IF(OR($C303&gt;Calc!$B$24,MOD($C303-1,Calc!$F$26)&gt;0),"",QUOTIENT($C303-1,Calc!$F$26)+1))</f>
        <v/>
      </c>
      <c r="C303" s="274">
        <v>295</v>
      </c>
      <c r="D303" s="154">
        <f>IF(Plan!$T301="","",Plan!$T301)</f>
        <v>46152</v>
      </c>
      <c r="E303" s="155">
        <f>IF(Plan!$U301="","",Plan!$U301)</f>
        <v>0.64583333333333337</v>
      </c>
      <c r="F303" s="175" t="str">
        <f>Plan!$Q301</f>
        <v>Hamburger SV</v>
      </c>
      <c r="G303" s="176" t="s">
        <v>4</v>
      </c>
      <c r="H303" s="175" t="str">
        <f>Plan!$S301</f>
        <v>SC Freiburg</v>
      </c>
      <c r="I303" s="177">
        <v>3</v>
      </c>
      <c r="J303" s="178" t="str">
        <f>Language!$E$65</f>
        <v xml:space="preserve"> : </v>
      </c>
      <c r="K303" s="179">
        <v>2</v>
      </c>
      <c r="L303" s="383"/>
      <c r="M303" s="384"/>
    </row>
    <row r="304" spans="2:13" ht="15.75" x14ac:dyDescent="0.2">
      <c r="B304" s="278" t="str">
        <f>IF(Calc!$F$26=0,"",IF(OR($C304&gt;Calc!$B$24,MOD($C304-1,Calc!$F$26)&gt;0),"",QUOTIENT($C304-1,Calc!$F$26)+1))</f>
        <v/>
      </c>
      <c r="C304" s="274">
        <v>296</v>
      </c>
      <c r="D304" s="154">
        <f>IF(Plan!$T302="","",Plan!$T302)</f>
        <v>46152</v>
      </c>
      <c r="E304" s="155">
        <f>IF(Plan!$U302="","",Plan!$U302)</f>
        <v>0.72916666666666663</v>
      </c>
      <c r="F304" s="175" t="str">
        <f>Plan!$Q302</f>
        <v>1. FC Köln</v>
      </c>
      <c r="G304" s="176" t="s">
        <v>4</v>
      </c>
      <c r="H304" s="175" t="str">
        <f>Plan!$S302</f>
        <v>1. FC Heidenheim 1846</v>
      </c>
      <c r="I304" s="177">
        <v>1</v>
      </c>
      <c r="J304" s="178" t="str">
        <f>Language!$E$65</f>
        <v xml:space="preserve"> : </v>
      </c>
      <c r="K304" s="179">
        <v>3</v>
      </c>
      <c r="L304" s="383"/>
      <c r="M304" s="384"/>
    </row>
    <row r="305" spans="2:13" ht="15.75" x14ac:dyDescent="0.2">
      <c r="B305" s="278" t="str">
        <f>IF(Calc!$F$26=0,"",IF(OR($C305&gt;Calc!$B$24,MOD($C305-1,Calc!$F$26)&gt;0),"",QUOTIENT($C305-1,Calc!$F$26)+1))</f>
        <v/>
      </c>
      <c r="C305" s="274">
        <v>297</v>
      </c>
      <c r="D305" s="154">
        <f>IF(Plan!$T303="","",Plan!$T303)</f>
        <v>46152</v>
      </c>
      <c r="E305" s="155">
        <f>IF(Plan!$U303="","",Plan!$U303)</f>
        <v>0.8125</v>
      </c>
      <c r="F305" s="175" t="str">
        <f>Plan!$Q303</f>
        <v>1. FSV Mainz 05</v>
      </c>
      <c r="G305" s="176" t="s">
        <v>4</v>
      </c>
      <c r="H305" s="175" t="str">
        <f>Plan!$S303</f>
        <v>1. FC Union Berlin</v>
      </c>
      <c r="I305" s="177">
        <v>0</v>
      </c>
      <c r="J305" s="178" t="str">
        <f>Language!$E$65</f>
        <v xml:space="preserve"> : </v>
      </c>
      <c r="K305" s="179">
        <v>1</v>
      </c>
      <c r="L305" s="383"/>
      <c r="M305" s="384"/>
    </row>
    <row r="306" spans="2:13" ht="15.75" x14ac:dyDescent="0.2">
      <c r="B306" s="278">
        <f>IF(Calc!$F$26=0,"",IF(OR($C306&gt;Calc!$B$24,MOD($C306-1,Calc!$F$26)&gt;0),"",QUOTIENT($C306-1,Calc!$F$26)+1))</f>
        <v>34</v>
      </c>
      <c r="C306" s="274">
        <v>298</v>
      </c>
      <c r="D306" s="154">
        <f>IF(Plan!$T304="","",Plan!$T304)</f>
        <v>46158</v>
      </c>
      <c r="E306" s="155">
        <f>IF(Plan!$U304="","",Plan!$U304)</f>
        <v>0.64583333333333337</v>
      </c>
      <c r="F306" s="175" t="str">
        <f>Plan!$Q304</f>
        <v>1. FC Union Berlin</v>
      </c>
      <c r="G306" s="176" t="s">
        <v>4</v>
      </c>
      <c r="H306" s="175" t="str">
        <f>Plan!$S304</f>
        <v>FC Augsburg</v>
      </c>
      <c r="I306" s="177">
        <v>4</v>
      </c>
      <c r="J306" s="178" t="str">
        <f>Language!$E$65</f>
        <v xml:space="preserve"> : </v>
      </c>
      <c r="K306" s="179">
        <v>0</v>
      </c>
      <c r="L306" s="383"/>
      <c r="M306" s="384"/>
    </row>
    <row r="307" spans="2:13" ht="15.75" x14ac:dyDescent="0.2">
      <c r="B307" s="278" t="str">
        <f>IF(Calc!$F$26=0,"",IF(OR($C307&gt;Calc!$B$24,MOD($C307-1,Calc!$F$26)&gt;0),"",QUOTIENT($C307-1,Calc!$F$26)+1))</f>
        <v/>
      </c>
      <c r="C307" s="274">
        <v>299</v>
      </c>
      <c r="D307" s="154">
        <f>IF(Plan!$T305="","",Plan!$T305)</f>
        <v>46158</v>
      </c>
      <c r="E307" s="155">
        <f>IF(Plan!$U305="","",Plan!$U305)</f>
        <v>0.64583333333333337</v>
      </c>
      <c r="F307" s="175" t="str">
        <f>Plan!$Q305</f>
        <v>Borussia Mönchengladbach</v>
      </c>
      <c r="G307" s="176" t="s">
        <v>4</v>
      </c>
      <c r="H307" s="175" t="str">
        <f>Plan!$S305</f>
        <v>TSG Hoffenheim</v>
      </c>
      <c r="I307" s="177">
        <v>4</v>
      </c>
      <c r="J307" s="178" t="str">
        <f>Language!$E$65</f>
        <v xml:space="preserve"> : </v>
      </c>
      <c r="K307" s="179">
        <v>0</v>
      </c>
      <c r="L307" s="383"/>
      <c r="M307" s="384"/>
    </row>
    <row r="308" spans="2:13" ht="15.75" x14ac:dyDescent="0.2">
      <c r="B308" s="278" t="str">
        <f>IF(Calc!$F$26=0,"",IF(OR($C308&gt;Calc!$B$24,MOD($C308-1,Calc!$F$26)&gt;0),"",QUOTIENT($C308-1,Calc!$F$26)+1))</f>
        <v/>
      </c>
      <c r="C308" s="274">
        <v>300</v>
      </c>
      <c r="D308" s="154">
        <f>IF(Plan!$T306="","",Plan!$T306)</f>
        <v>46158</v>
      </c>
      <c r="E308" s="155">
        <f>IF(Plan!$U306="","",Plan!$U306)</f>
        <v>0.64583333333333337</v>
      </c>
      <c r="F308" s="175" t="str">
        <f>Plan!$Q306</f>
        <v>1. FC Heidenheim 1846</v>
      </c>
      <c r="G308" s="176" t="s">
        <v>4</v>
      </c>
      <c r="H308" s="175" t="str">
        <f>Plan!$S306</f>
        <v>1. FSV Mainz 05</v>
      </c>
      <c r="I308" s="177">
        <v>0</v>
      </c>
      <c r="J308" s="178" t="str">
        <f>Language!$E$65</f>
        <v xml:space="preserve"> : </v>
      </c>
      <c r="K308" s="179">
        <v>2</v>
      </c>
      <c r="L308" s="383"/>
      <c r="M308" s="384"/>
    </row>
    <row r="309" spans="2:13" ht="15.75" x14ac:dyDescent="0.2">
      <c r="B309" s="278" t="str">
        <f>IF(Calc!$F$26=0,"",IF(OR($C309&gt;Calc!$B$24,MOD($C309-1,Calc!$F$26)&gt;0),"",QUOTIENT($C309-1,Calc!$F$26)+1))</f>
        <v/>
      </c>
      <c r="C309" s="274">
        <v>301</v>
      </c>
      <c r="D309" s="154">
        <f>IF(Plan!$T307="","",Plan!$T307)</f>
        <v>46158</v>
      </c>
      <c r="E309" s="155">
        <f>IF(Plan!$U307="","",Plan!$U307)</f>
        <v>0.64583333333333337</v>
      </c>
      <c r="F309" s="175" t="str">
        <f>Plan!$Q307</f>
        <v>FC St. Pauli</v>
      </c>
      <c r="G309" s="176" t="s">
        <v>4</v>
      </c>
      <c r="H309" s="175" t="str">
        <f>Plan!$S307</f>
        <v>VfL Wolfsburg</v>
      </c>
      <c r="I309" s="177">
        <v>1</v>
      </c>
      <c r="J309" s="178" t="str">
        <f>Language!$E$65</f>
        <v xml:space="preserve"> : </v>
      </c>
      <c r="K309" s="179">
        <v>3</v>
      </c>
      <c r="L309" s="383"/>
      <c r="M309" s="384"/>
    </row>
    <row r="310" spans="2:13" ht="15.75" x14ac:dyDescent="0.2">
      <c r="B310" s="278" t="str">
        <f>IF(Calc!$F$26=0,"",IF(OR($C310&gt;Calc!$B$24,MOD($C310-1,Calc!$F$26)&gt;0),"",QUOTIENT($C310-1,Calc!$F$26)+1))</f>
        <v/>
      </c>
      <c r="C310" s="274">
        <v>302</v>
      </c>
      <c r="D310" s="154">
        <f>IF(Plan!$T308="","",Plan!$T308)</f>
        <v>46158</v>
      </c>
      <c r="E310" s="155">
        <f>IF(Plan!$U308="","",Plan!$U308)</f>
        <v>0.64583333333333337</v>
      </c>
      <c r="F310" s="175" t="str">
        <f>Plan!$Q308</f>
        <v>SV Werder Bremen</v>
      </c>
      <c r="G310" s="176" t="s">
        <v>4</v>
      </c>
      <c r="H310" s="175" t="str">
        <f>Plan!$S308</f>
        <v>Borussia Dortmund</v>
      </c>
      <c r="I310" s="177">
        <v>0</v>
      </c>
      <c r="J310" s="178" t="str">
        <f>Language!$E$65</f>
        <v xml:space="preserve"> : </v>
      </c>
      <c r="K310" s="179">
        <v>2</v>
      </c>
      <c r="L310" s="383"/>
      <c r="M310" s="384"/>
    </row>
    <row r="311" spans="2:13" ht="15.75" x14ac:dyDescent="0.2">
      <c r="B311" s="278" t="str">
        <f>IF(Calc!$F$26=0,"",IF(OR($C311&gt;Calc!$B$24,MOD($C311-1,Calc!$F$26)&gt;0),"",QUOTIENT($C311-1,Calc!$F$26)+1))</f>
        <v/>
      </c>
      <c r="C311" s="274">
        <v>303</v>
      </c>
      <c r="D311" s="154">
        <f>IF(Plan!$T309="","",Plan!$T309)</f>
        <v>46158</v>
      </c>
      <c r="E311" s="155">
        <f>IF(Plan!$U309="","",Plan!$U309)</f>
        <v>0.64583333333333337</v>
      </c>
      <c r="F311" s="175" t="str">
        <f>Plan!$Q309</f>
        <v>Bayer 04 Leverkusen</v>
      </c>
      <c r="G311" s="176" t="s">
        <v>4</v>
      </c>
      <c r="H311" s="175" t="str">
        <f>Plan!$S309</f>
        <v>Hamburger SV</v>
      </c>
      <c r="I311" s="177">
        <v>1</v>
      </c>
      <c r="J311" s="178" t="str">
        <f>Language!$E$65</f>
        <v xml:space="preserve"> : </v>
      </c>
      <c r="K311" s="179">
        <v>1</v>
      </c>
      <c r="L311" s="383"/>
      <c r="M311" s="384"/>
    </row>
    <row r="312" spans="2:13" ht="15.75" x14ac:dyDescent="0.2">
      <c r="B312" s="278" t="str">
        <f>IF(Calc!$F$26=0,"",IF(OR($C312&gt;Calc!$B$24,MOD($C312-1,Calc!$F$26)&gt;0),"",QUOTIENT($C312-1,Calc!$F$26)+1))</f>
        <v/>
      </c>
      <c r="C312" s="274">
        <v>304</v>
      </c>
      <c r="D312" s="154">
        <f>IF(Plan!$T310="","",Plan!$T310)</f>
        <v>46158</v>
      </c>
      <c r="E312" s="155">
        <f>IF(Plan!$U310="","",Plan!$U310)</f>
        <v>0.64583333333333337</v>
      </c>
      <c r="F312" s="175" t="str">
        <f>Plan!$Q310</f>
        <v>FC Bayern München</v>
      </c>
      <c r="G312" s="176" t="s">
        <v>4</v>
      </c>
      <c r="H312" s="175" t="str">
        <f>Plan!$S310</f>
        <v>1. FC Köln</v>
      </c>
      <c r="I312" s="177">
        <v>5</v>
      </c>
      <c r="J312" s="178" t="str">
        <f>Language!$E$65</f>
        <v xml:space="preserve"> : </v>
      </c>
      <c r="K312" s="179">
        <v>1</v>
      </c>
      <c r="L312" s="383"/>
      <c r="M312" s="384"/>
    </row>
    <row r="313" spans="2:13" ht="15.75" x14ac:dyDescent="0.2">
      <c r="B313" s="278" t="str">
        <f>IF(Calc!$F$26=0,"",IF(OR($C313&gt;Calc!$B$24,MOD($C313-1,Calc!$F$26)&gt;0),"",QUOTIENT($C313-1,Calc!$F$26)+1))</f>
        <v/>
      </c>
      <c r="C313" s="274">
        <v>305</v>
      </c>
      <c r="D313" s="154">
        <f>IF(Plan!$T311="","",Plan!$T311)</f>
        <v>46158</v>
      </c>
      <c r="E313" s="155">
        <f>IF(Plan!$U311="","",Plan!$U311)</f>
        <v>0.64583333333333337</v>
      </c>
      <c r="F313" s="175" t="str">
        <f>Plan!$Q311</f>
        <v>SC Freiburg</v>
      </c>
      <c r="G313" s="176" t="s">
        <v>4</v>
      </c>
      <c r="H313" s="175" t="str">
        <f>Plan!$S311</f>
        <v>RB Leipzig</v>
      </c>
      <c r="I313" s="177">
        <v>4</v>
      </c>
      <c r="J313" s="178" t="str">
        <f>Language!$E$65</f>
        <v xml:space="preserve"> : </v>
      </c>
      <c r="K313" s="179">
        <v>1</v>
      </c>
      <c r="L313" s="383"/>
      <c r="M313" s="384"/>
    </row>
    <row r="314" spans="2:13" ht="15.75" x14ac:dyDescent="0.2">
      <c r="B314" s="278" t="str">
        <f>IF(Calc!$F$26=0,"",IF(OR($C314&gt;Calc!$B$24,MOD($C314-1,Calc!$F$26)&gt;0),"",QUOTIENT($C314-1,Calc!$F$26)+1))</f>
        <v/>
      </c>
      <c r="C314" s="274">
        <v>306</v>
      </c>
      <c r="D314" s="154">
        <f>IF(Plan!$T312="","",Plan!$T312)</f>
        <v>46158</v>
      </c>
      <c r="E314" s="155">
        <f>IF(Plan!$U312="","",Plan!$U312)</f>
        <v>0.64583333333333337</v>
      </c>
      <c r="F314" s="175" t="str">
        <f>Plan!$Q312</f>
        <v>Eintracht Frankfurt</v>
      </c>
      <c r="G314" s="176" t="s">
        <v>4</v>
      </c>
      <c r="H314" s="175" t="str">
        <f>Plan!$S312</f>
        <v>VfB Stuttgart</v>
      </c>
      <c r="I314" s="177">
        <v>2</v>
      </c>
      <c r="J314" s="178" t="str">
        <f>Language!$E$65</f>
        <v xml:space="preserve"> : </v>
      </c>
      <c r="K314" s="179">
        <v>2</v>
      </c>
      <c r="L314" s="383"/>
      <c r="M314" s="384"/>
    </row>
    <row r="315" spans="2:13" ht="15.75" x14ac:dyDescent="0.2">
      <c r="B315" s="278" t="str">
        <f>IF(Calc!$F$26=0,"",IF(OR($C315&gt;Calc!$B$24,MOD($C315-1,Calc!$F$26)&gt;0),"",QUOTIENT($C315-1,Calc!$F$26)+1))</f>
        <v/>
      </c>
      <c r="C315" s="274">
        <v>307</v>
      </c>
      <c r="D315" s="154" t="str">
        <f>IF(Plan!$T313="","",Plan!$T313)</f>
        <v/>
      </c>
      <c r="E315" s="155" t="str">
        <f>IF(Plan!$U313="","",Plan!$U313)</f>
        <v/>
      </c>
      <c r="F315" s="175" t="str">
        <f>Plan!$Q313</f>
        <v/>
      </c>
      <c r="G315" s="176" t="s">
        <v>4</v>
      </c>
      <c r="H315" s="175" t="str">
        <f>Plan!$S313</f>
        <v/>
      </c>
      <c r="I315" s="177"/>
      <c r="J315" s="178" t="str">
        <f>Language!$E$65</f>
        <v xml:space="preserve"> : </v>
      </c>
      <c r="K315" s="179"/>
      <c r="L315" s="383"/>
      <c r="M315" s="384"/>
    </row>
    <row r="316" spans="2:13" ht="15.75" x14ac:dyDescent="0.2">
      <c r="B316" s="278" t="str">
        <f>IF(Calc!$F$26=0,"",IF(OR($C316&gt;Calc!$B$24,MOD($C316-1,Calc!$F$26)&gt;0),"",QUOTIENT($C316-1,Calc!$F$26)+1))</f>
        <v/>
      </c>
      <c r="C316" s="274">
        <v>308</v>
      </c>
      <c r="D316" s="154" t="str">
        <f>IF(Plan!$T314="","",Plan!$T314)</f>
        <v/>
      </c>
      <c r="E316" s="155" t="str">
        <f>IF(Plan!$U314="","",Plan!$U314)</f>
        <v/>
      </c>
      <c r="F316" s="175" t="str">
        <f>Plan!$Q314</f>
        <v/>
      </c>
      <c r="G316" s="176" t="s">
        <v>4</v>
      </c>
      <c r="H316" s="175" t="str">
        <f>Plan!$S314</f>
        <v/>
      </c>
      <c r="I316" s="177"/>
      <c r="J316" s="178" t="str">
        <f>Language!$E$65</f>
        <v xml:space="preserve"> : </v>
      </c>
      <c r="K316" s="179"/>
      <c r="L316" s="383"/>
      <c r="M316" s="384"/>
    </row>
    <row r="317" spans="2:13" ht="15.75" x14ac:dyDescent="0.2">
      <c r="B317" s="278" t="str">
        <f>IF(Calc!$F$26=0,"",IF(OR($C317&gt;Calc!$B$24,MOD($C317-1,Calc!$F$26)&gt;0),"",QUOTIENT($C317-1,Calc!$F$26)+1))</f>
        <v/>
      </c>
      <c r="C317" s="274">
        <v>309</v>
      </c>
      <c r="D317" s="154" t="str">
        <f>IF(Plan!$T315="","",Plan!$T315)</f>
        <v/>
      </c>
      <c r="E317" s="155" t="str">
        <f>IF(Plan!$U315="","",Plan!$U315)</f>
        <v/>
      </c>
      <c r="F317" s="175" t="str">
        <f>Plan!$Q315</f>
        <v/>
      </c>
      <c r="G317" s="176" t="s">
        <v>4</v>
      </c>
      <c r="H317" s="175" t="str">
        <f>Plan!$S315</f>
        <v/>
      </c>
      <c r="I317" s="177"/>
      <c r="J317" s="178" t="str">
        <f>Language!$E$65</f>
        <v xml:space="preserve"> : </v>
      </c>
      <c r="K317" s="179"/>
      <c r="L317" s="383"/>
      <c r="M317" s="384"/>
    </row>
    <row r="318" spans="2:13" ht="15.75" x14ac:dyDescent="0.2">
      <c r="B318" s="278" t="str">
        <f>IF(Calc!$F$26=0,"",IF(OR($C318&gt;Calc!$B$24,MOD($C318-1,Calc!$F$26)&gt;0),"",QUOTIENT($C318-1,Calc!$F$26)+1))</f>
        <v/>
      </c>
      <c r="C318" s="274">
        <v>310</v>
      </c>
      <c r="D318" s="154" t="str">
        <f>IF(Plan!$T316="","",Plan!$T316)</f>
        <v/>
      </c>
      <c r="E318" s="155" t="str">
        <f>IF(Plan!$U316="","",Plan!$U316)</f>
        <v/>
      </c>
      <c r="F318" s="175" t="str">
        <f>Plan!$Q316</f>
        <v/>
      </c>
      <c r="G318" s="176" t="s">
        <v>4</v>
      </c>
      <c r="H318" s="175" t="str">
        <f>Plan!$S316</f>
        <v/>
      </c>
      <c r="I318" s="177"/>
      <c r="J318" s="178" t="str">
        <f>Language!$E$65</f>
        <v xml:space="preserve"> : </v>
      </c>
      <c r="K318" s="179"/>
      <c r="L318" s="383"/>
      <c r="M318" s="384"/>
    </row>
    <row r="319" spans="2:13" ht="15.75" x14ac:dyDescent="0.2">
      <c r="B319" s="278" t="str">
        <f>IF(Calc!$F$26=0,"",IF(OR($C319&gt;Calc!$B$24,MOD($C319-1,Calc!$F$26)&gt;0),"",QUOTIENT($C319-1,Calc!$F$26)+1))</f>
        <v/>
      </c>
      <c r="C319" s="274">
        <v>311</v>
      </c>
      <c r="D319" s="154" t="str">
        <f>IF(Plan!$T317="","",Plan!$T317)</f>
        <v/>
      </c>
      <c r="E319" s="155" t="str">
        <f>IF(Plan!$U317="","",Plan!$U317)</f>
        <v/>
      </c>
      <c r="F319" s="175" t="str">
        <f>Plan!$Q317</f>
        <v/>
      </c>
      <c r="G319" s="176" t="s">
        <v>4</v>
      </c>
      <c r="H319" s="175" t="str">
        <f>Plan!$S317</f>
        <v/>
      </c>
      <c r="I319" s="177"/>
      <c r="J319" s="178" t="str">
        <f>Language!$E$65</f>
        <v xml:space="preserve"> : </v>
      </c>
      <c r="K319" s="179"/>
      <c r="L319" s="383"/>
      <c r="M319" s="384"/>
    </row>
    <row r="320" spans="2:13" ht="15.75" x14ac:dyDescent="0.2">
      <c r="B320" s="278" t="str">
        <f>IF(Calc!$F$26=0,"",IF(OR($C320&gt;Calc!$B$24,MOD($C320-1,Calc!$F$26)&gt;0),"",QUOTIENT($C320-1,Calc!$F$26)+1))</f>
        <v/>
      </c>
      <c r="C320" s="274">
        <v>312</v>
      </c>
      <c r="D320" s="154" t="str">
        <f>IF(Plan!$T318="","",Plan!$T318)</f>
        <v/>
      </c>
      <c r="E320" s="155" t="str">
        <f>IF(Plan!$U318="","",Plan!$U318)</f>
        <v/>
      </c>
      <c r="F320" s="175" t="str">
        <f>Plan!$Q318</f>
        <v/>
      </c>
      <c r="G320" s="176" t="s">
        <v>4</v>
      </c>
      <c r="H320" s="175" t="str">
        <f>Plan!$S318</f>
        <v/>
      </c>
      <c r="I320" s="177"/>
      <c r="J320" s="178" t="str">
        <f>Language!$E$65</f>
        <v xml:space="preserve"> : </v>
      </c>
      <c r="K320" s="179"/>
      <c r="L320" s="383"/>
      <c r="M320" s="384"/>
    </row>
    <row r="321" spans="2:13" ht="15.75" x14ac:dyDescent="0.2">
      <c r="B321" s="278" t="str">
        <f>IF(Calc!$F$26=0,"",IF(OR($C321&gt;Calc!$B$24,MOD($C321-1,Calc!$F$26)&gt;0),"",QUOTIENT($C321-1,Calc!$F$26)+1))</f>
        <v/>
      </c>
      <c r="C321" s="274">
        <v>313</v>
      </c>
      <c r="D321" s="154" t="str">
        <f>IF(Plan!$T319="","",Plan!$T319)</f>
        <v/>
      </c>
      <c r="E321" s="155" t="str">
        <f>IF(Plan!$U319="","",Plan!$U319)</f>
        <v/>
      </c>
      <c r="F321" s="175" t="str">
        <f>Plan!$Q319</f>
        <v/>
      </c>
      <c r="G321" s="176" t="s">
        <v>4</v>
      </c>
      <c r="H321" s="175" t="str">
        <f>Plan!$S319</f>
        <v/>
      </c>
      <c r="I321" s="177"/>
      <c r="J321" s="178" t="str">
        <f>Language!$E$65</f>
        <v xml:space="preserve"> : </v>
      </c>
      <c r="K321" s="179"/>
      <c r="L321" s="383"/>
      <c r="M321" s="384"/>
    </row>
    <row r="322" spans="2:13" ht="15.75" x14ac:dyDescent="0.2">
      <c r="B322" s="278" t="str">
        <f>IF(Calc!$F$26=0,"",IF(OR($C322&gt;Calc!$B$24,MOD($C322-1,Calc!$F$26)&gt;0),"",QUOTIENT($C322-1,Calc!$F$26)+1))</f>
        <v/>
      </c>
      <c r="C322" s="274">
        <v>314</v>
      </c>
      <c r="D322" s="154" t="str">
        <f>IF(Plan!$T320="","",Plan!$T320)</f>
        <v/>
      </c>
      <c r="E322" s="155" t="str">
        <f>IF(Plan!$U320="","",Plan!$U320)</f>
        <v/>
      </c>
      <c r="F322" s="175" t="str">
        <f>Plan!$Q320</f>
        <v/>
      </c>
      <c r="G322" s="176" t="s">
        <v>4</v>
      </c>
      <c r="H322" s="175" t="str">
        <f>Plan!$S320</f>
        <v/>
      </c>
      <c r="I322" s="177"/>
      <c r="J322" s="178" t="str">
        <f>Language!$E$65</f>
        <v xml:space="preserve"> : </v>
      </c>
      <c r="K322" s="179"/>
      <c r="L322" s="383"/>
      <c r="M322" s="384"/>
    </row>
    <row r="323" spans="2:13" ht="15.75" x14ac:dyDescent="0.2">
      <c r="B323" s="278" t="str">
        <f>IF(Calc!$F$26=0,"",IF(OR($C323&gt;Calc!$B$24,MOD($C323-1,Calc!$F$26)&gt;0),"",QUOTIENT($C323-1,Calc!$F$26)+1))</f>
        <v/>
      </c>
      <c r="C323" s="274">
        <v>315</v>
      </c>
      <c r="D323" s="154" t="str">
        <f>IF(Plan!$T321="","",Plan!$T321)</f>
        <v/>
      </c>
      <c r="E323" s="155" t="str">
        <f>IF(Plan!$U321="","",Plan!$U321)</f>
        <v/>
      </c>
      <c r="F323" s="175" t="str">
        <f>Plan!$Q321</f>
        <v/>
      </c>
      <c r="G323" s="176" t="s">
        <v>4</v>
      </c>
      <c r="H323" s="175" t="str">
        <f>Plan!$S321</f>
        <v/>
      </c>
      <c r="I323" s="177"/>
      <c r="J323" s="178" t="str">
        <f>Language!$E$65</f>
        <v xml:space="preserve"> : </v>
      </c>
      <c r="K323" s="179"/>
      <c r="L323" s="383"/>
      <c r="M323" s="384"/>
    </row>
    <row r="324" spans="2:13" ht="15.75" x14ac:dyDescent="0.2">
      <c r="B324" s="278" t="str">
        <f>IF(Calc!$F$26=0,"",IF(OR($C324&gt;Calc!$B$24,MOD($C324-1,Calc!$F$26)&gt;0),"",QUOTIENT($C324-1,Calc!$F$26)+1))</f>
        <v/>
      </c>
      <c r="C324" s="274">
        <v>316</v>
      </c>
      <c r="D324" s="154" t="str">
        <f>IF(Plan!$T322="","",Plan!$T322)</f>
        <v/>
      </c>
      <c r="E324" s="155" t="str">
        <f>IF(Plan!$U322="","",Plan!$U322)</f>
        <v/>
      </c>
      <c r="F324" s="175" t="str">
        <f>Plan!$Q322</f>
        <v/>
      </c>
      <c r="G324" s="176" t="s">
        <v>4</v>
      </c>
      <c r="H324" s="175" t="str">
        <f>Plan!$S322</f>
        <v/>
      </c>
      <c r="I324" s="177"/>
      <c r="J324" s="178" t="str">
        <f>Language!$E$65</f>
        <v xml:space="preserve"> : </v>
      </c>
      <c r="K324" s="179"/>
      <c r="L324" s="383"/>
      <c r="M324" s="384"/>
    </row>
    <row r="325" spans="2:13" ht="15.75" x14ac:dyDescent="0.2">
      <c r="B325" s="278" t="str">
        <f>IF(Calc!$F$26=0,"",IF(OR($C325&gt;Calc!$B$24,MOD($C325-1,Calc!$F$26)&gt;0),"",QUOTIENT($C325-1,Calc!$F$26)+1))</f>
        <v/>
      </c>
      <c r="C325" s="274">
        <v>317</v>
      </c>
      <c r="D325" s="154" t="str">
        <f>IF(Plan!$T323="","",Plan!$T323)</f>
        <v/>
      </c>
      <c r="E325" s="155" t="str">
        <f>IF(Plan!$U323="","",Plan!$U323)</f>
        <v/>
      </c>
      <c r="F325" s="175" t="str">
        <f>Plan!$Q323</f>
        <v/>
      </c>
      <c r="G325" s="176" t="s">
        <v>4</v>
      </c>
      <c r="H325" s="175" t="str">
        <f>Plan!$S323</f>
        <v/>
      </c>
      <c r="I325" s="177"/>
      <c r="J325" s="178" t="str">
        <f>Language!$E$65</f>
        <v xml:space="preserve"> : </v>
      </c>
      <c r="K325" s="179"/>
      <c r="L325" s="383"/>
      <c r="M325" s="384"/>
    </row>
    <row r="326" spans="2:13" ht="15.75" x14ac:dyDescent="0.2">
      <c r="B326" s="278" t="str">
        <f>IF(Calc!$F$26=0,"",IF(OR($C326&gt;Calc!$B$24,MOD($C326-1,Calc!$F$26)&gt;0),"",QUOTIENT($C326-1,Calc!$F$26)+1))</f>
        <v/>
      </c>
      <c r="C326" s="274">
        <v>318</v>
      </c>
      <c r="D326" s="154" t="str">
        <f>IF(Plan!$T324="","",Plan!$T324)</f>
        <v/>
      </c>
      <c r="E326" s="155" t="str">
        <f>IF(Plan!$U324="","",Plan!$U324)</f>
        <v/>
      </c>
      <c r="F326" s="175" t="str">
        <f>Plan!$Q324</f>
        <v/>
      </c>
      <c r="G326" s="176" t="s">
        <v>4</v>
      </c>
      <c r="H326" s="175" t="str">
        <f>Plan!$S324</f>
        <v/>
      </c>
      <c r="I326" s="177"/>
      <c r="J326" s="178" t="str">
        <f>Language!$E$65</f>
        <v xml:space="preserve"> : </v>
      </c>
      <c r="K326" s="179"/>
      <c r="L326" s="383"/>
      <c r="M326" s="384"/>
    </row>
    <row r="327" spans="2:13" ht="15.75" x14ac:dyDescent="0.2">
      <c r="B327" s="278" t="str">
        <f>IF(Calc!$F$26=0,"",IF(OR($C327&gt;Calc!$B$24,MOD($C327-1,Calc!$F$26)&gt;0),"",QUOTIENT($C327-1,Calc!$F$26)+1))</f>
        <v/>
      </c>
      <c r="C327" s="274">
        <v>319</v>
      </c>
      <c r="D327" s="154" t="str">
        <f>IF(Plan!$T325="","",Plan!$T325)</f>
        <v/>
      </c>
      <c r="E327" s="155" t="str">
        <f>IF(Plan!$U325="","",Plan!$U325)</f>
        <v/>
      </c>
      <c r="F327" s="175" t="str">
        <f>Plan!$Q325</f>
        <v/>
      </c>
      <c r="G327" s="176" t="s">
        <v>4</v>
      </c>
      <c r="H327" s="175" t="str">
        <f>Plan!$S325</f>
        <v/>
      </c>
      <c r="I327" s="177"/>
      <c r="J327" s="178" t="str">
        <f>Language!$E$65</f>
        <v xml:space="preserve"> : </v>
      </c>
      <c r="K327" s="179"/>
      <c r="L327" s="383"/>
      <c r="M327" s="384"/>
    </row>
    <row r="328" spans="2:13" ht="15.75" x14ac:dyDescent="0.2">
      <c r="B328" s="278" t="str">
        <f>IF(Calc!$F$26=0,"",IF(OR($C328&gt;Calc!$B$24,MOD($C328-1,Calc!$F$26)&gt;0),"",QUOTIENT($C328-1,Calc!$F$26)+1))</f>
        <v/>
      </c>
      <c r="C328" s="274">
        <v>320</v>
      </c>
      <c r="D328" s="154" t="str">
        <f>IF(Plan!$T326="","",Plan!$T326)</f>
        <v/>
      </c>
      <c r="E328" s="155" t="str">
        <f>IF(Plan!$U326="","",Plan!$U326)</f>
        <v/>
      </c>
      <c r="F328" s="175" t="str">
        <f>Plan!$Q326</f>
        <v/>
      </c>
      <c r="G328" s="176" t="s">
        <v>4</v>
      </c>
      <c r="H328" s="175" t="str">
        <f>Plan!$S326</f>
        <v/>
      </c>
      <c r="I328" s="177"/>
      <c r="J328" s="178" t="str">
        <f>Language!$E$65</f>
        <v xml:space="preserve"> : </v>
      </c>
      <c r="K328" s="179"/>
      <c r="L328" s="383"/>
      <c r="M328" s="384"/>
    </row>
    <row r="329" spans="2:13" ht="15.75" x14ac:dyDescent="0.2">
      <c r="B329" s="278" t="str">
        <f>IF(Calc!$F$26=0,"",IF(OR($C329&gt;Calc!$B$24,MOD($C329-1,Calc!$F$26)&gt;0),"",QUOTIENT($C329-1,Calc!$F$26)+1))</f>
        <v/>
      </c>
      <c r="C329" s="274">
        <v>321</v>
      </c>
      <c r="D329" s="154" t="str">
        <f>IF(Plan!$T327="","",Plan!$T327)</f>
        <v/>
      </c>
      <c r="E329" s="155" t="str">
        <f>IF(Plan!$U327="","",Plan!$U327)</f>
        <v/>
      </c>
      <c r="F329" s="175" t="str">
        <f>Plan!$Q327</f>
        <v/>
      </c>
      <c r="G329" s="176" t="s">
        <v>4</v>
      </c>
      <c r="H329" s="175" t="str">
        <f>Plan!$S327</f>
        <v/>
      </c>
      <c r="I329" s="177"/>
      <c r="J329" s="178" t="str">
        <f>Language!$E$65</f>
        <v xml:space="preserve"> : </v>
      </c>
      <c r="K329" s="179"/>
      <c r="L329" s="383"/>
      <c r="M329" s="384"/>
    </row>
    <row r="330" spans="2:13" ht="15.75" x14ac:dyDescent="0.2">
      <c r="B330" s="278" t="str">
        <f>IF(Calc!$F$26=0,"",IF(OR($C330&gt;Calc!$B$24,MOD($C330-1,Calc!$F$26)&gt;0),"",QUOTIENT($C330-1,Calc!$F$26)+1))</f>
        <v/>
      </c>
      <c r="C330" s="274">
        <v>322</v>
      </c>
      <c r="D330" s="154" t="str">
        <f>IF(Plan!$T328="","",Plan!$T328)</f>
        <v/>
      </c>
      <c r="E330" s="155" t="str">
        <f>IF(Plan!$U328="","",Plan!$U328)</f>
        <v/>
      </c>
      <c r="F330" s="175" t="str">
        <f>Plan!$Q328</f>
        <v/>
      </c>
      <c r="G330" s="176" t="s">
        <v>4</v>
      </c>
      <c r="H330" s="175" t="str">
        <f>Plan!$S328</f>
        <v/>
      </c>
      <c r="I330" s="177"/>
      <c r="J330" s="178" t="str">
        <f>Language!$E$65</f>
        <v xml:space="preserve"> : </v>
      </c>
      <c r="K330" s="179"/>
      <c r="L330" s="383"/>
      <c r="M330" s="384"/>
    </row>
    <row r="331" spans="2:13" ht="15.75" x14ac:dyDescent="0.2">
      <c r="B331" s="278" t="str">
        <f>IF(Calc!$F$26=0,"",IF(OR($C331&gt;Calc!$B$24,MOD($C331-1,Calc!$F$26)&gt;0),"",QUOTIENT($C331-1,Calc!$F$26)+1))</f>
        <v/>
      </c>
      <c r="C331" s="274">
        <v>323</v>
      </c>
      <c r="D331" s="154" t="str">
        <f>IF(Plan!$T329="","",Plan!$T329)</f>
        <v/>
      </c>
      <c r="E331" s="155" t="str">
        <f>IF(Plan!$U329="","",Plan!$U329)</f>
        <v/>
      </c>
      <c r="F331" s="175" t="str">
        <f>Plan!$Q329</f>
        <v/>
      </c>
      <c r="G331" s="176" t="s">
        <v>4</v>
      </c>
      <c r="H331" s="175" t="str">
        <f>Plan!$S329</f>
        <v/>
      </c>
      <c r="I331" s="177"/>
      <c r="J331" s="178" t="str">
        <f>Language!$E$65</f>
        <v xml:space="preserve"> : </v>
      </c>
      <c r="K331" s="179"/>
      <c r="L331" s="383"/>
      <c r="M331" s="384"/>
    </row>
    <row r="332" spans="2:13" ht="15.75" x14ac:dyDescent="0.2">
      <c r="B332" s="278" t="str">
        <f>IF(Calc!$F$26=0,"",IF(OR($C332&gt;Calc!$B$24,MOD($C332-1,Calc!$F$26)&gt;0),"",QUOTIENT($C332-1,Calc!$F$26)+1))</f>
        <v/>
      </c>
      <c r="C332" s="274">
        <v>324</v>
      </c>
      <c r="D332" s="154" t="str">
        <f>IF(Plan!$T330="","",Plan!$T330)</f>
        <v/>
      </c>
      <c r="E332" s="155" t="str">
        <f>IF(Plan!$U330="","",Plan!$U330)</f>
        <v/>
      </c>
      <c r="F332" s="175" t="str">
        <f>Plan!$Q330</f>
        <v/>
      </c>
      <c r="G332" s="176" t="s">
        <v>4</v>
      </c>
      <c r="H332" s="175" t="str">
        <f>Plan!$S330</f>
        <v/>
      </c>
      <c r="I332" s="177"/>
      <c r="J332" s="178" t="str">
        <f>Language!$E$65</f>
        <v xml:space="preserve"> : </v>
      </c>
      <c r="K332" s="179"/>
      <c r="L332" s="383"/>
      <c r="M332" s="384"/>
    </row>
    <row r="333" spans="2:13" ht="15.75" x14ac:dyDescent="0.2">
      <c r="B333" s="278" t="str">
        <f>IF(Calc!$F$26=0,"",IF(OR($C333&gt;Calc!$B$24,MOD($C333-1,Calc!$F$26)&gt;0),"",QUOTIENT($C333-1,Calc!$F$26)+1))</f>
        <v/>
      </c>
      <c r="C333" s="274">
        <v>325</v>
      </c>
      <c r="D333" s="154" t="str">
        <f>IF(Plan!$T331="","",Plan!$T331)</f>
        <v/>
      </c>
      <c r="E333" s="155" t="str">
        <f>IF(Plan!$U331="","",Plan!$U331)</f>
        <v/>
      </c>
      <c r="F333" s="175" t="str">
        <f>Plan!$Q331</f>
        <v/>
      </c>
      <c r="G333" s="176" t="s">
        <v>4</v>
      </c>
      <c r="H333" s="175" t="str">
        <f>Plan!$S331</f>
        <v/>
      </c>
      <c r="I333" s="177"/>
      <c r="J333" s="178" t="str">
        <f>Language!$E$65</f>
        <v xml:space="preserve"> : </v>
      </c>
      <c r="K333" s="179"/>
      <c r="L333" s="383"/>
      <c r="M333" s="384"/>
    </row>
    <row r="334" spans="2:13" ht="15.75" x14ac:dyDescent="0.2">
      <c r="B334" s="278" t="str">
        <f>IF(Calc!$F$26=0,"",IF(OR($C334&gt;Calc!$B$24,MOD($C334-1,Calc!$F$26)&gt;0),"",QUOTIENT($C334-1,Calc!$F$26)+1))</f>
        <v/>
      </c>
      <c r="C334" s="274">
        <v>326</v>
      </c>
      <c r="D334" s="154" t="str">
        <f>IF(Plan!$T332="","",Plan!$T332)</f>
        <v/>
      </c>
      <c r="E334" s="155" t="str">
        <f>IF(Plan!$U332="","",Plan!$U332)</f>
        <v/>
      </c>
      <c r="F334" s="175" t="str">
        <f>Plan!$Q332</f>
        <v/>
      </c>
      <c r="G334" s="176" t="s">
        <v>4</v>
      </c>
      <c r="H334" s="175" t="str">
        <f>Plan!$S332</f>
        <v/>
      </c>
      <c r="I334" s="177"/>
      <c r="J334" s="178" t="str">
        <f>Language!$E$65</f>
        <v xml:space="preserve"> : </v>
      </c>
      <c r="K334" s="179"/>
      <c r="L334" s="383"/>
      <c r="M334" s="384"/>
    </row>
    <row r="335" spans="2:13" ht="15.75" x14ac:dyDescent="0.2">
      <c r="B335" s="278" t="str">
        <f>IF(Calc!$F$26=0,"",IF(OR($C335&gt;Calc!$B$24,MOD($C335-1,Calc!$F$26)&gt;0),"",QUOTIENT($C335-1,Calc!$F$26)+1))</f>
        <v/>
      </c>
      <c r="C335" s="274">
        <v>327</v>
      </c>
      <c r="D335" s="154" t="str">
        <f>IF(Plan!$T333="","",Plan!$T333)</f>
        <v/>
      </c>
      <c r="E335" s="155" t="str">
        <f>IF(Plan!$U333="","",Plan!$U333)</f>
        <v/>
      </c>
      <c r="F335" s="175" t="str">
        <f>Plan!$Q333</f>
        <v/>
      </c>
      <c r="G335" s="176" t="s">
        <v>4</v>
      </c>
      <c r="H335" s="175" t="str">
        <f>Plan!$S333</f>
        <v/>
      </c>
      <c r="I335" s="177"/>
      <c r="J335" s="178" t="str">
        <f>Language!$E$65</f>
        <v xml:space="preserve"> : </v>
      </c>
      <c r="K335" s="179"/>
      <c r="L335" s="383"/>
      <c r="M335" s="384"/>
    </row>
    <row r="336" spans="2:13" ht="15.75" x14ac:dyDescent="0.2">
      <c r="B336" s="278" t="str">
        <f>IF(Calc!$F$26=0,"",IF(OR($C336&gt;Calc!$B$24,MOD($C336-1,Calc!$F$26)&gt;0),"",QUOTIENT($C336-1,Calc!$F$26)+1))</f>
        <v/>
      </c>
      <c r="C336" s="274">
        <v>328</v>
      </c>
      <c r="D336" s="154" t="str">
        <f>IF(Plan!$T334="","",Plan!$T334)</f>
        <v/>
      </c>
      <c r="E336" s="155" t="str">
        <f>IF(Plan!$U334="","",Plan!$U334)</f>
        <v/>
      </c>
      <c r="F336" s="175" t="str">
        <f>Plan!$Q334</f>
        <v/>
      </c>
      <c r="G336" s="176" t="s">
        <v>4</v>
      </c>
      <c r="H336" s="175" t="str">
        <f>Plan!$S334</f>
        <v/>
      </c>
      <c r="I336" s="177"/>
      <c r="J336" s="178" t="str">
        <f>Language!$E$65</f>
        <v xml:space="preserve"> : </v>
      </c>
      <c r="K336" s="179"/>
      <c r="L336" s="383"/>
      <c r="M336" s="384"/>
    </row>
    <row r="337" spans="2:13" ht="15.75" x14ac:dyDescent="0.2">
      <c r="B337" s="278" t="str">
        <f>IF(Calc!$F$26=0,"",IF(OR($C337&gt;Calc!$B$24,MOD($C337-1,Calc!$F$26)&gt;0),"",QUOTIENT($C337-1,Calc!$F$26)+1))</f>
        <v/>
      </c>
      <c r="C337" s="274">
        <v>329</v>
      </c>
      <c r="D337" s="154" t="str">
        <f>IF(Plan!$T335="","",Plan!$T335)</f>
        <v/>
      </c>
      <c r="E337" s="155" t="str">
        <f>IF(Plan!$U335="","",Plan!$U335)</f>
        <v/>
      </c>
      <c r="F337" s="175" t="str">
        <f>Plan!$Q335</f>
        <v/>
      </c>
      <c r="G337" s="176" t="s">
        <v>4</v>
      </c>
      <c r="H337" s="175" t="str">
        <f>Plan!$S335</f>
        <v/>
      </c>
      <c r="I337" s="177"/>
      <c r="J337" s="178" t="str">
        <f>Language!$E$65</f>
        <v xml:space="preserve"> : </v>
      </c>
      <c r="K337" s="179"/>
      <c r="L337" s="383"/>
      <c r="M337" s="384"/>
    </row>
    <row r="338" spans="2:13" ht="15.75" x14ac:dyDescent="0.2">
      <c r="B338" s="278" t="str">
        <f>IF(Calc!$F$26=0,"",IF(OR($C338&gt;Calc!$B$24,MOD($C338-1,Calc!$F$26)&gt;0),"",QUOTIENT($C338-1,Calc!$F$26)+1))</f>
        <v/>
      </c>
      <c r="C338" s="274">
        <v>330</v>
      </c>
      <c r="D338" s="154" t="str">
        <f>IF(Plan!$T336="","",Plan!$T336)</f>
        <v/>
      </c>
      <c r="E338" s="155" t="str">
        <f>IF(Plan!$U336="","",Plan!$U336)</f>
        <v/>
      </c>
      <c r="F338" s="175" t="str">
        <f>Plan!$Q336</f>
        <v/>
      </c>
      <c r="G338" s="176" t="s">
        <v>4</v>
      </c>
      <c r="H338" s="175" t="str">
        <f>Plan!$S336</f>
        <v/>
      </c>
      <c r="I338" s="177"/>
      <c r="J338" s="178" t="str">
        <f>Language!$E$65</f>
        <v xml:space="preserve"> : </v>
      </c>
      <c r="K338" s="179"/>
      <c r="L338" s="383"/>
      <c r="M338" s="384"/>
    </row>
    <row r="339" spans="2:13" ht="15.75" x14ac:dyDescent="0.2">
      <c r="B339" s="278" t="str">
        <f>IF(Calc!$F$26=0,"",IF(OR($C339&gt;Calc!$B$24,MOD($C339-1,Calc!$F$26)&gt;0),"",QUOTIENT($C339-1,Calc!$F$26)+1))</f>
        <v/>
      </c>
      <c r="C339" s="274">
        <v>331</v>
      </c>
      <c r="D339" s="154" t="str">
        <f>IF(Plan!$T337="","",Plan!$T337)</f>
        <v/>
      </c>
      <c r="E339" s="155" t="str">
        <f>IF(Plan!$U337="","",Plan!$U337)</f>
        <v/>
      </c>
      <c r="F339" s="175" t="str">
        <f>Plan!$Q337</f>
        <v/>
      </c>
      <c r="G339" s="176" t="s">
        <v>4</v>
      </c>
      <c r="H339" s="175" t="str">
        <f>Plan!$S337</f>
        <v/>
      </c>
      <c r="I339" s="177"/>
      <c r="J339" s="178" t="str">
        <f>Language!$E$65</f>
        <v xml:space="preserve"> : </v>
      </c>
      <c r="K339" s="179"/>
      <c r="L339" s="383"/>
      <c r="M339" s="384"/>
    </row>
    <row r="340" spans="2:13" ht="15.75" x14ac:dyDescent="0.2">
      <c r="B340" s="278" t="str">
        <f>IF(Calc!$F$26=0,"",IF(OR($C340&gt;Calc!$B$24,MOD($C340-1,Calc!$F$26)&gt;0),"",QUOTIENT($C340-1,Calc!$F$26)+1))</f>
        <v/>
      </c>
      <c r="C340" s="274">
        <v>332</v>
      </c>
      <c r="D340" s="154" t="str">
        <f>IF(Plan!$T338="","",Plan!$T338)</f>
        <v/>
      </c>
      <c r="E340" s="155" t="str">
        <f>IF(Plan!$U338="","",Plan!$U338)</f>
        <v/>
      </c>
      <c r="F340" s="175" t="str">
        <f>Plan!$Q338</f>
        <v/>
      </c>
      <c r="G340" s="176" t="s">
        <v>4</v>
      </c>
      <c r="H340" s="175" t="str">
        <f>Plan!$S338</f>
        <v/>
      </c>
      <c r="I340" s="177"/>
      <c r="J340" s="178" t="str">
        <f>Language!$E$65</f>
        <v xml:space="preserve"> : </v>
      </c>
      <c r="K340" s="179"/>
      <c r="L340" s="383"/>
      <c r="M340" s="384"/>
    </row>
    <row r="341" spans="2:13" ht="15.75" x14ac:dyDescent="0.2">
      <c r="B341" s="278" t="str">
        <f>IF(Calc!$F$26=0,"",IF(OR($C341&gt;Calc!$B$24,MOD($C341-1,Calc!$F$26)&gt;0),"",QUOTIENT($C341-1,Calc!$F$26)+1))</f>
        <v/>
      </c>
      <c r="C341" s="274">
        <v>333</v>
      </c>
      <c r="D341" s="154" t="str">
        <f>IF(Plan!$T339="","",Plan!$T339)</f>
        <v/>
      </c>
      <c r="E341" s="155" t="str">
        <f>IF(Plan!$U339="","",Plan!$U339)</f>
        <v/>
      </c>
      <c r="F341" s="175" t="str">
        <f>Plan!$Q339</f>
        <v/>
      </c>
      <c r="G341" s="176" t="s">
        <v>4</v>
      </c>
      <c r="H341" s="175" t="str">
        <f>Plan!$S339</f>
        <v/>
      </c>
      <c r="I341" s="177"/>
      <c r="J341" s="178" t="str">
        <f>Language!$E$65</f>
        <v xml:space="preserve"> : </v>
      </c>
      <c r="K341" s="179"/>
      <c r="L341" s="383"/>
      <c r="M341" s="384"/>
    </row>
    <row r="342" spans="2:13" ht="15.75" x14ac:dyDescent="0.2">
      <c r="B342" s="278" t="str">
        <f>IF(Calc!$F$26=0,"",IF(OR($C342&gt;Calc!$B$24,MOD($C342-1,Calc!$F$26)&gt;0),"",QUOTIENT($C342-1,Calc!$F$26)+1))</f>
        <v/>
      </c>
      <c r="C342" s="274">
        <v>334</v>
      </c>
      <c r="D342" s="154" t="str">
        <f>IF(Plan!$T340="","",Plan!$T340)</f>
        <v/>
      </c>
      <c r="E342" s="155" t="str">
        <f>IF(Plan!$U340="","",Plan!$U340)</f>
        <v/>
      </c>
      <c r="F342" s="175" t="str">
        <f>Plan!$Q340</f>
        <v/>
      </c>
      <c r="G342" s="176" t="s">
        <v>4</v>
      </c>
      <c r="H342" s="175" t="str">
        <f>Plan!$S340</f>
        <v/>
      </c>
      <c r="I342" s="177"/>
      <c r="J342" s="178" t="str">
        <f>Language!$E$65</f>
        <v xml:space="preserve"> : </v>
      </c>
      <c r="K342" s="179"/>
      <c r="L342" s="383"/>
      <c r="M342" s="384"/>
    </row>
    <row r="343" spans="2:13" ht="15.75" x14ac:dyDescent="0.2">
      <c r="B343" s="278" t="str">
        <f>IF(Calc!$F$26=0,"",IF(OR($C343&gt;Calc!$B$24,MOD($C343-1,Calc!$F$26)&gt;0),"",QUOTIENT($C343-1,Calc!$F$26)+1))</f>
        <v/>
      </c>
      <c r="C343" s="274">
        <v>335</v>
      </c>
      <c r="D343" s="154" t="str">
        <f>IF(Plan!$T341="","",Plan!$T341)</f>
        <v/>
      </c>
      <c r="E343" s="155" t="str">
        <f>IF(Plan!$U341="","",Plan!$U341)</f>
        <v/>
      </c>
      <c r="F343" s="175" t="str">
        <f>Plan!$Q341</f>
        <v/>
      </c>
      <c r="G343" s="176" t="s">
        <v>4</v>
      </c>
      <c r="H343" s="175" t="str">
        <f>Plan!$S341</f>
        <v/>
      </c>
      <c r="I343" s="177"/>
      <c r="J343" s="178" t="str">
        <f>Language!$E$65</f>
        <v xml:space="preserve"> : </v>
      </c>
      <c r="K343" s="179"/>
      <c r="L343" s="383"/>
      <c r="M343" s="384"/>
    </row>
    <row r="344" spans="2:13" ht="15.75" x14ac:dyDescent="0.2">
      <c r="B344" s="278" t="str">
        <f>IF(Calc!$F$26=0,"",IF(OR($C344&gt;Calc!$B$24,MOD($C344-1,Calc!$F$26)&gt;0),"",QUOTIENT($C344-1,Calc!$F$26)+1))</f>
        <v/>
      </c>
      <c r="C344" s="274">
        <v>336</v>
      </c>
      <c r="D344" s="154" t="str">
        <f>IF(Plan!$T342="","",Plan!$T342)</f>
        <v/>
      </c>
      <c r="E344" s="155" t="str">
        <f>IF(Plan!$U342="","",Plan!$U342)</f>
        <v/>
      </c>
      <c r="F344" s="175" t="str">
        <f>Plan!$Q342</f>
        <v/>
      </c>
      <c r="G344" s="176" t="s">
        <v>4</v>
      </c>
      <c r="H344" s="175" t="str">
        <f>Plan!$S342</f>
        <v/>
      </c>
      <c r="I344" s="177"/>
      <c r="J344" s="178" t="str">
        <f>Language!$E$65</f>
        <v xml:space="preserve"> : </v>
      </c>
      <c r="K344" s="179"/>
      <c r="L344" s="383"/>
      <c r="M344" s="384"/>
    </row>
    <row r="345" spans="2:13" ht="15.75" x14ac:dyDescent="0.2">
      <c r="B345" s="278" t="str">
        <f>IF(Calc!$F$26=0,"",IF(OR($C345&gt;Calc!$B$24,MOD($C345-1,Calc!$F$26)&gt;0),"",QUOTIENT($C345-1,Calc!$F$26)+1))</f>
        <v/>
      </c>
      <c r="C345" s="274">
        <v>337</v>
      </c>
      <c r="D345" s="154" t="str">
        <f>IF(Plan!$T343="","",Plan!$T343)</f>
        <v/>
      </c>
      <c r="E345" s="155" t="str">
        <f>IF(Plan!$U343="","",Plan!$U343)</f>
        <v/>
      </c>
      <c r="F345" s="175" t="str">
        <f>Plan!$Q343</f>
        <v/>
      </c>
      <c r="G345" s="176" t="s">
        <v>4</v>
      </c>
      <c r="H345" s="175" t="str">
        <f>Plan!$S343</f>
        <v/>
      </c>
      <c r="I345" s="177"/>
      <c r="J345" s="178" t="str">
        <f>Language!$E$65</f>
        <v xml:space="preserve"> : </v>
      </c>
      <c r="K345" s="179"/>
      <c r="L345" s="383"/>
      <c r="M345" s="384"/>
    </row>
    <row r="346" spans="2:13" ht="15.75" x14ac:dyDescent="0.2">
      <c r="B346" s="278" t="str">
        <f>IF(Calc!$F$26=0,"",IF(OR($C346&gt;Calc!$B$24,MOD($C346-1,Calc!$F$26)&gt;0),"",QUOTIENT($C346-1,Calc!$F$26)+1))</f>
        <v/>
      </c>
      <c r="C346" s="274">
        <v>338</v>
      </c>
      <c r="D346" s="154" t="str">
        <f>IF(Plan!$T344="","",Plan!$T344)</f>
        <v/>
      </c>
      <c r="E346" s="155" t="str">
        <f>IF(Plan!$U344="","",Plan!$U344)</f>
        <v/>
      </c>
      <c r="F346" s="175" t="str">
        <f>Plan!$Q344</f>
        <v/>
      </c>
      <c r="G346" s="176" t="s">
        <v>4</v>
      </c>
      <c r="H346" s="175" t="str">
        <f>Plan!$S344</f>
        <v/>
      </c>
      <c r="I346" s="177"/>
      <c r="J346" s="178" t="str">
        <f>Language!$E$65</f>
        <v xml:space="preserve"> : </v>
      </c>
      <c r="K346" s="179"/>
      <c r="L346" s="383"/>
      <c r="M346" s="384"/>
    </row>
    <row r="347" spans="2:13" ht="15.75" x14ac:dyDescent="0.2">
      <c r="B347" s="278" t="str">
        <f>IF(Calc!$F$26=0,"",IF(OR($C347&gt;Calc!$B$24,MOD($C347-1,Calc!$F$26)&gt;0),"",QUOTIENT($C347-1,Calc!$F$26)+1))</f>
        <v/>
      </c>
      <c r="C347" s="274">
        <v>339</v>
      </c>
      <c r="D347" s="154" t="str">
        <f>IF(Plan!$T345="","",Plan!$T345)</f>
        <v/>
      </c>
      <c r="E347" s="155" t="str">
        <f>IF(Plan!$U345="","",Plan!$U345)</f>
        <v/>
      </c>
      <c r="F347" s="175" t="str">
        <f>Plan!$Q345</f>
        <v/>
      </c>
      <c r="G347" s="176" t="s">
        <v>4</v>
      </c>
      <c r="H347" s="175" t="str">
        <f>Plan!$S345</f>
        <v/>
      </c>
      <c r="I347" s="177"/>
      <c r="J347" s="178" t="str">
        <f>Language!$E$65</f>
        <v xml:space="preserve"> : </v>
      </c>
      <c r="K347" s="179"/>
      <c r="L347" s="383"/>
      <c r="M347" s="384"/>
    </row>
    <row r="348" spans="2:13" ht="15.75" x14ac:dyDescent="0.2">
      <c r="B348" s="278" t="str">
        <f>IF(Calc!$F$26=0,"",IF(OR($C348&gt;Calc!$B$24,MOD($C348-1,Calc!$F$26)&gt;0),"",QUOTIENT($C348-1,Calc!$F$26)+1))</f>
        <v/>
      </c>
      <c r="C348" s="274">
        <v>340</v>
      </c>
      <c r="D348" s="154" t="str">
        <f>IF(Plan!$T346="","",Plan!$T346)</f>
        <v/>
      </c>
      <c r="E348" s="155" t="str">
        <f>IF(Plan!$U346="","",Plan!$U346)</f>
        <v/>
      </c>
      <c r="F348" s="175" t="str">
        <f>Plan!$Q346</f>
        <v/>
      </c>
      <c r="G348" s="176" t="s">
        <v>4</v>
      </c>
      <c r="H348" s="175" t="str">
        <f>Plan!$S346</f>
        <v/>
      </c>
      <c r="I348" s="177"/>
      <c r="J348" s="178" t="str">
        <f>Language!$E$65</f>
        <v xml:space="preserve"> : </v>
      </c>
      <c r="K348" s="179"/>
      <c r="L348" s="383"/>
      <c r="M348" s="384"/>
    </row>
    <row r="349" spans="2:13" ht="15.75" x14ac:dyDescent="0.2">
      <c r="B349" s="278" t="str">
        <f>IF(Calc!$F$26=0,"",IF(OR($C349&gt;Calc!$B$24,MOD($C349-1,Calc!$F$26)&gt;0),"",QUOTIENT($C349-1,Calc!$F$26)+1))</f>
        <v/>
      </c>
      <c r="C349" s="274">
        <v>341</v>
      </c>
      <c r="D349" s="154" t="str">
        <f>IF(Plan!$T347="","",Plan!$T347)</f>
        <v/>
      </c>
      <c r="E349" s="155" t="str">
        <f>IF(Plan!$U347="","",Plan!$U347)</f>
        <v/>
      </c>
      <c r="F349" s="175" t="str">
        <f>Plan!$Q347</f>
        <v/>
      </c>
      <c r="G349" s="176" t="s">
        <v>4</v>
      </c>
      <c r="H349" s="175" t="str">
        <f>Plan!$S347</f>
        <v/>
      </c>
      <c r="I349" s="177"/>
      <c r="J349" s="178" t="str">
        <f>Language!$E$65</f>
        <v xml:space="preserve"> : </v>
      </c>
      <c r="K349" s="179"/>
      <c r="L349" s="383"/>
      <c r="M349" s="384"/>
    </row>
    <row r="350" spans="2:13" ht="15.75" x14ac:dyDescent="0.2">
      <c r="B350" s="278" t="str">
        <f>IF(Calc!$F$26=0,"",IF(OR($C350&gt;Calc!$B$24,MOD($C350-1,Calc!$F$26)&gt;0),"",QUOTIENT($C350-1,Calc!$F$26)+1))</f>
        <v/>
      </c>
      <c r="C350" s="274">
        <v>342</v>
      </c>
      <c r="D350" s="154" t="str">
        <f>IF(Plan!$T348="","",Plan!$T348)</f>
        <v/>
      </c>
      <c r="E350" s="155" t="str">
        <f>IF(Plan!$U348="","",Plan!$U348)</f>
        <v/>
      </c>
      <c r="F350" s="175" t="str">
        <f>Plan!$Q348</f>
        <v/>
      </c>
      <c r="G350" s="176" t="s">
        <v>4</v>
      </c>
      <c r="H350" s="175" t="str">
        <f>Plan!$S348</f>
        <v/>
      </c>
      <c r="I350" s="177"/>
      <c r="J350" s="178" t="str">
        <f>Language!$E$65</f>
        <v xml:space="preserve"> : </v>
      </c>
      <c r="K350" s="179"/>
      <c r="L350" s="383"/>
      <c r="M350" s="384"/>
    </row>
    <row r="351" spans="2:13" ht="15.75" x14ac:dyDescent="0.2">
      <c r="B351" s="278" t="str">
        <f>IF(Calc!$F$26=0,"",IF(OR($C351&gt;Calc!$B$24,MOD($C351-1,Calc!$F$26)&gt;0),"",QUOTIENT($C351-1,Calc!$F$26)+1))</f>
        <v/>
      </c>
      <c r="C351" s="274">
        <v>343</v>
      </c>
      <c r="D351" s="154" t="str">
        <f>IF(Plan!$T349="","",Plan!$T349)</f>
        <v/>
      </c>
      <c r="E351" s="155" t="str">
        <f>IF(Plan!$U349="","",Plan!$U349)</f>
        <v/>
      </c>
      <c r="F351" s="175" t="str">
        <f>Plan!$Q349</f>
        <v/>
      </c>
      <c r="G351" s="176" t="s">
        <v>4</v>
      </c>
      <c r="H351" s="175" t="str">
        <f>Plan!$S349</f>
        <v/>
      </c>
      <c r="I351" s="177"/>
      <c r="J351" s="178" t="str">
        <f>Language!$E$65</f>
        <v xml:space="preserve"> : </v>
      </c>
      <c r="K351" s="179"/>
      <c r="L351" s="383"/>
      <c r="M351" s="384"/>
    </row>
    <row r="352" spans="2:13" ht="15.75" x14ac:dyDescent="0.2">
      <c r="B352" s="278" t="str">
        <f>IF(Calc!$F$26=0,"",IF(OR($C352&gt;Calc!$B$24,MOD($C352-1,Calc!$F$26)&gt;0),"",QUOTIENT($C352-1,Calc!$F$26)+1))</f>
        <v/>
      </c>
      <c r="C352" s="274">
        <v>344</v>
      </c>
      <c r="D352" s="154" t="str">
        <f>IF(Plan!$T350="","",Plan!$T350)</f>
        <v/>
      </c>
      <c r="E352" s="155" t="str">
        <f>IF(Plan!$U350="","",Plan!$U350)</f>
        <v/>
      </c>
      <c r="F352" s="175" t="str">
        <f>Plan!$Q350</f>
        <v/>
      </c>
      <c r="G352" s="176" t="s">
        <v>4</v>
      </c>
      <c r="H352" s="175" t="str">
        <f>Plan!$S350</f>
        <v/>
      </c>
      <c r="I352" s="177"/>
      <c r="J352" s="178" t="str">
        <f>Language!$E$65</f>
        <v xml:space="preserve"> : </v>
      </c>
      <c r="K352" s="179"/>
      <c r="L352" s="383"/>
      <c r="M352" s="384"/>
    </row>
    <row r="353" spans="2:13" ht="15.75" x14ac:dyDescent="0.2">
      <c r="B353" s="278" t="str">
        <f>IF(Calc!$F$26=0,"",IF(OR($C353&gt;Calc!$B$24,MOD($C353-1,Calc!$F$26)&gt;0),"",QUOTIENT($C353-1,Calc!$F$26)+1))</f>
        <v/>
      </c>
      <c r="C353" s="274">
        <v>345</v>
      </c>
      <c r="D353" s="154" t="str">
        <f>IF(Plan!$T351="","",Plan!$T351)</f>
        <v/>
      </c>
      <c r="E353" s="155" t="str">
        <f>IF(Plan!$U351="","",Plan!$U351)</f>
        <v/>
      </c>
      <c r="F353" s="175" t="str">
        <f>Plan!$Q351</f>
        <v/>
      </c>
      <c r="G353" s="176" t="s">
        <v>4</v>
      </c>
      <c r="H353" s="175" t="str">
        <f>Plan!$S351</f>
        <v/>
      </c>
      <c r="I353" s="177"/>
      <c r="J353" s="178" t="str">
        <f>Language!$E$65</f>
        <v xml:space="preserve"> : </v>
      </c>
      <c r="K353" s="179"/>
      <c r="L353" s="383"/>
      <c r="M353" s="384"/>
    </row>
    <row r="354" spans="2:13" ht="15.75" x14ac:dyDescent="0.2">
      <c r="B354" s="278" t="str">
        <f>IF(Calc!$F$26=0,"",IF(OR($C354&gt;Calc!$B$24,MOD($C354-1,Calc!$F$26)&gt;0),"",QUOTIENT($C354-1,Calc!$F$26)+1))</f>
        <v/>
      </c>
      <c r="C354" s="274">
        <v>346</v>
      </c>
      <c r="D354" s="154" t="str">
        <f>IF(Plan!$T352="","",Plan!$T352)</f>
        <v/>
      </c>
      <c r="E354" s="155" t="str">
        <f>IF(Plan!$U352="","",Plan!$U352)</f>
        <v/>
      </c>
      <c r="F354" s="175" t="str">
        <f>Plan!$Q352</f>
        <v/>
      </c>
      <c r="G354" s="176" t="s">
        <v>4</v>
      </c>
      <c r="H354" s="175" t="str">
        <f>Plan!$S352</f>
        <v/>
      </c>
      <c r="I354" s="177"/>
      <c r="J354" s="178" t="str">
        <f>Language!$E$65</f>
        <v xml:space="preserve"> : </v>
      </c>
      <c r="K354" s="179"/>
      <c r="L354" s="383"/>
      <c r="M354" s="384"/>
    </row>
    <row r="355" spans="2:13" ht="15.75" x14ac:dyDescent="0.2">
      <c r="B355" s="278" t="str">
        <f>IF(Calc!$F$26=0,"",IF(OR($C355&gt;Calc!$B$24,MOD($C355-1,Calc!$F$26)&gt;0),"",QUOTIENT($C355-1,Calc!$F$26)+1))</f>
        <v/>
      </c>
      <c r="C355" s="274">
        <v>347</v>
      </c>
      <c r="D355" s="154" t="str">
        <f>IF(Plan!$T353="","",Plan!$T353)</f>
        <v/>
      </c>
      <c r="E355" s="155" t="str">
        <f>IF(Plan!$U353="","",Plan!$U353)</f>
        <v/>
      </c>
      <c r="F355" s="175" t="str">
        <f>Plan!$Q353</f>
        <v/>
      </c>
      <c r="G355" s="176" t="s">
        <v>4</v>
      </c>
      <c r="H355" s="175" t="str">
        <f>Plan!$S353</f>
        <v/>
      </c>
      <c r="I355" s="177"/>
      <c r="J355" s="178" t="str">
        <f>Language!$E$65</f>
        <v xml:space="preserve"> : </v>
      </c>
      <c r="K355" s="179"/>
      <c r="L355" s="383"/>
      <c r="M355" s="384"/>
    </row>
    <row r="356" spans="2:13" ht="15.75" x14ac:dyDescent="0.2">
      <c r="B356" s="278" t="str">
        <f>IF(Calc!$F$26=0,"",IF(OR($C356&gt;Calc!$B$24,MOD($C356-1,Calc!$F$26)&gt;0),"",QUOTIENT($C356-1,Calc!$F$26)+1))</f>
        <v/>
      </c>
      <c r="C356" s="274">
        <v>348</v>
      </c>
      <c r="D356" s="154" t="str">
        <f>IF(Plan!$T354="","",Plan!$T354)</f>
        <v/>
      </c>
      <c r="E356" s="155" t="str">
        <f>IF(Plan!$U354="","",Plan!$U354)</f>
        <v/>
      </c>
      <c r="F356" s="175" t="str">
        <f>Plan!$Q354</f>
        <v/>
      </c>
      <c r="G356" s="176" t="s">
        <v>4</v>
      </c>
      <c r="H356" s="175" t="str">
        <f>Plan!$S354</f>
        <v/>
      </c>
      <c r="I356" s="177"/>
      <c r="J356" s="178" t="str">
        <f>Language!$E$65</f>
        <v xml:space="preserve"> : </v>
      </c>
      <c r="K356" s="179"/>
      <c r="L356" s="383"/>
      <c r="M356" s="384"/>
    </row>
    <row r="357" spans="2:13" ht="15.75" x14ac:dyDescent="0.2">
      <c r="B357" s="278" t="str">
        <f>IF(Calc!$F$26=0,"",IF(OR($C357&gt;Calc!$B$24,MOD($C357-1,Calc!$F$26)&gt;0),"",QUOTIENT($C357-1,Calc!$F$26)+1))</f>
        <v/>
      </c>
      <c r="C357" s="274">
        <v>349</v>
      </c>
      <c r="D357" s="154" t="str">
        <f>IF(Plan!$T355="","",Plan!$T355)</f>
        <v/>
      </c>
      <c r="E357" s="155" t="str">
        <f>IF(Plan!$U355="","",Plan!$U355)</f>
        <v/>
      </c>
      <c r="F357" s="175" t="str">
        <f>Plan!$Q355</f>
        <v/>
      </c>
      <c r="G357" s="176" t="s">
        <v>4</v>
      </c>
      <c r="H357" s="175" t="str">
        <f>Plan!$S355</f>
        <v/>
      </c>
      <c r="I357" s="177"/>
      <c r="J357" s="178" t="str">
        <f>Language!$E$65</f>
        <v xml:space="preserve"> : </v>
      </c>
      <c r="K357" s="179"/>
      <c r="L357" s="383"/>
      <c r="M357" s="384"/>
    </row>
    <row r="358" spans="2:13" ht="15.75" x14ac:dyDescent="0.2">
      <c r="B358" s="278" t="str">
        <f>IF(Calc!$F$26=0,"",IF(OR($C358&gt;Calc!$B$24,MOD($C358-1,Calc!$F$26)&gt;0),"",QUOTIENT($C358-1,Calc!$F$26)+1))</f>
        <v/>
      </c>
      <c r="C358" s="274">
        <v>350</v>
      </c>
      <c r="D358" s="154" t="str">
        <f>IF(Plan!$T356="","",Plan!$T356)</f>
        <v/>
      </c>
      <c r="E358" s="155" t="str">
        <f>IF(Plan!$U356="","",Plan!$U356)</f>
        <v/>
      </c>
      <c r="F358" s="175" t="str">
        <f>Plan!$Q356</f>
        <v/>
      </c>
      <c r="G358" s="176" t="s">
        <v>4</v>
      </c>
      <c r="H358" s="175" t="str">
        <f>Plan!$S356</f>
        <v/>
      </c>
      <c r="I358" s="177"/>
      <c r="J358" s="178" t="str">
        <f>Language!$E$65</f>
        <v xml:space="preserve"> : </v>
      </c>
      <c r="K358" s="179"/>
      <c r="L358" s="383"/>
      <c r="M358" s="384"/>
    </row>
    <row r="359" spans="2:13" ht="15.75" x14ac:dyDescent="0.2">
      <c r="B359" s="278" t="str">
        <f>IF(Calc!$F$26=0,"",IF(OR($C359&gt;Calc!$B$24,MOD($C359-1,Calc!$F$26)&gt;0),"",QUOTIENT($C359-1,Calc!$F$26)+1))</f>
        <v/>
      </c>
      <c r="C359" s="274">
        <v>351</v>
      </c>
      <c r="D359" s="154" t="str">
        <f>IF(Plan!$T357="","",Plan!$T357)</f>
        <v/>
      </c>
      <c r="E359" s="155" t="str">
        <f>IF(Plan!$U357="","",Plan!$U357)</f>
        <v/>
      </c>
      <c r="F359" s="175" t="str">
        <f>Plan!$Q357</f>
        <v/>
      </c>
      <c r="G359" s="176" t="s">
        <v>4</v>
      </c>
      <c r="H359" s="175" t="str">
        <f>Plan!$S357</f>
        <v/>
      </c>
      <c r="I359" s="177"/>
      <c r="J359" s="178" t="str">
        <f>Language!$E$65</f>
        <v xml:space="preserve"> : </v>
      </c>
      <c r="K359" s="179"/>
      <c r="L359" s="383"/>
      <c r="M359" s="384"/>
    </row>
    <row r="360" spans="2:13" ht="15.75" x14ac:dyDescent="0.2">
      <c r="B360" s="278" t="str">
        <f>IF(Calc!$F$26=0,"",IF(OR($C360&gt;Calc!$B$24,MOD($C360-1,Calc!$F$26)&gt;0),"",QUOTIENT($C360-1,Calc!$F$26)+1))</f>
        <v/>
      </c>
      <c r="C360" s="274">
        <v>352</v>
      </c>
      <c r="D360" s="154" t="str">
        <f>IF(Plan!$T358="","",Plan!$T358)</f>
        <v/>
      </c>
      <c r="E360" s="155" t="str">
        <f>IF(Plan!$U358="","",Plan!$U358)</f>
        <v/>
      </c>
      <c r="F360" s="175" t="str">
        <f>Plan!$Q358</f>
        <v/>
      </c>
      <c r="G360" s="176" t="s">
        <v>4</v>
      </c>
      <c r="H360" s="175" t="str">
        <f>Plan!$S358</f>
        <v/>
      </c>
      <c r="I360" s="177"/>
      <c r="J360" s="178" t="str">
        <f>Language!$E$65</f>
        <v xml:space="preserve"> : </v>
      </c>
      <c r="K360" s="179"/>
      <c r="L360" s="383"/>
      <c r="M360" s="384"/>
    </row>
    <row r="361" spans="2:13" ht="15.75" x14ac:dyDescent="0.2">
      <c r="B361" s="278" t="str">
        <f>IF(Calc!$F$26=0,"",IF(OR($C361&gt;Calc!$B$24,MOD($C361-1,Calc!$F$26)&gt;0),"",QUOTIENT($C361-1,Calc!$F$26)+1))</f>
        <v/>
      </c>
      <c r="C361" s="274">
        <v>353</v>
      </c>
      <c r="D361" s="154" t="str">
        <f>IF(Plan!$T359="","",Plan!$T359)</f>
        <v/>
      </c>
      <c r="E361" s="155" t="str">
        <f>IF(Plan!$U359="","",Plan!$U359)</f>
        <v/>
      </c>
      <c r="F361" s="175" t="str">
        <f>Plan!$Q359</f>
        <v/>
      </c>
      <c r="G361" s="176" t="s">
        <v>4</v>
      </c>
      <c r="H361" s="175" t="str">
        <f>Plan!$S359</f>
        <v/>
      </c>
      <c r="I361" s="177"/>
      <c r="J361" s="178" t="str">
        <f>Language!$E$65</f>
        <v xml:space="preserve"> : </v>
      </c>
      <c r="K361" s="179"/>
      <c r="L361" s="383"/>
      <c r="M361" s="384"/>
    </row>
    <row r="362" spans="2:13" ht="15.75" x14ac:dyDescent="0.2">
      <c r="B362" s="278" t="str">
        <f>IF(Calc!$F$26=0,"",IF(OR($C362&gt;Calc!$B$24,MOD($C362-1,Calc!$F$26)&gt;0),"",QUOTIENT($C362-1,Calc!$F$26)+1))</f>
        <v/>
      </c>
      <c r="C362" s="274">
        <v>354</v>
      </c>
      <c r="D362" s="154" t="str">
        <f>IF(Plan!$T360="","",Plan!$T360)</f>
        <v/>
      </c>
      <c r="E362" s="155" t="str">
        <f>IF(Plan!$U360="","",Plan!$U360)</f>
        <v/>
      </c>
      <c r="F362" s="175" t="str">
        <f>Plan!$Q360</f>
        <v/>
      </c>
      <c r="G362" s="176" t="s">
        <v>4</v>
      </c>
      <c r="H362" s="175" t="str">
        <f>Plan!$S360</f>
        <v/>
      </c>
      <c r="I362" s="177"/>
      <c r="J362" s="178" t="str">
        <f>Language!$E$65</f>
        <v xml:space="preserve"> : </v>
      </c>
      <c r="K362" s="179"/>
      <c r="L362" s="383"/>
      <c r="M362" s="384"/>
    </row>
    <row r="363" spans="2:13" ht="15.75" x14ac:dyDescent="0.2">
      <c r="B363" s="278" t="str">
        <f>IF(Calc!$F$26=0,"",IF(OR($C363&gt;Calc!$B$24,MOD($C363-1,Calc!$F$26)&gt;0),"",QUOTIENT($C363-1,Calc!$F$26)+1))</f>
        <v/>
      </c>
      <c r="C363" s="274">
        <v>355</v>
      </c>
      <c r="D363" s="154" t="str">
        <f>IF(Plan!$T361="","",Plan!$T361)</f>
        <v/>
      </c>
      <c r="E363" s="155" t="str">
        <f>IF(Plan!$U361="","",Plan!$U361)</f>
        <v/>
      </c>
      <c r="F363" s="175" t="str">
        <f>Plan!$Q361</f>
        <v/>
      </c>
      <c r="G363" s="176" t="s">
        <v>4</v>
      </c>
      <c r="H363" s="175" t="str">
        <f>Plan!$S361</f>
        <v/>
      </c>
      <c r="I363" s="177"/>
      <c r="J363" s="178" t="str">
        <f>Language!$E$65</f>
        <v xml:space="preserve"> : </v>
      </c>
      <c r="K363" s="179"/>
      <c r="L363" s="383"/>
      <c r="M363" s="384"/>
    </row>
    <row r="364" spans="2:13" ht="15.75" x14ac:dyDescent="0.2">
      <c r="B364" s="278" t="str">
        <f>IF(Calc!$F$26=0,"",IF(OR($C364&gt;Calc!$B$24,MOD($C364-1,Calc!$F$26)&gt;0),"",QUOTIENT($C364-1,Calc!$F$26)+1))</f>
        <v/>
      </c>
      <c r="C364" s="274">
        <v>356</v>
      </c>
      <c r="D364" s="154" t="str">
        <f>IF(Plan!$T362="","",Plan!$T362)</f>
        <v/>
      </c>
      <c r="E364" s="155" t="str">
        <f>IF(Plan!$U362="","",Plan!$U362)</f>
        <v/>
      </c>
      <c r="F364" s="175" t="str">
        <f>Plan!$Q362</f>
        <v/>
      </c>
      <c r="G364" s="176" t="s">
        <v>4</v>
      </c>
      <c r="H364" s="175" t="str">
        <f>Plan!$S362</f>
        <v/>
      </c>
      <c r="I364" s="177"/>
      <c r="J364" s="178" t="str">
        <f>Language!$E$65</f>
        <v xml:space="preserve"> : </v>
      </c>
      <c r="K364" s="179"/>
      <c r="L364" s="383"/>
      <c r="M364" s="384"/>
    </row>
    <row r="365" spans="2:13" ht="15.75" x14ac:dyDescent="0.2">
      <c r="B365" s="278" t="str">
        <f>IF(Calc!$F$26=0,"",IF(OR($C365&gt;Calc!$B$24,MOD($C365-1,Calc!$F$26)&gt;0),"",QUOTIENT($C365-1,Calc!$F$26)+1))</f>
        <v/>
      </c>
      <c r="C365" s="274">
        <v>357</v>
      </c>
      <c r="D365" s="154" t="str">
        <f>IF(Plan!$T363="","",Plan!$T363)</f>
        <v/>
      </c>
      <c r="E365" s="155" t="str">
        <f>IF(Plan!$U363="","",Plan!$U363)</f>
        <v/>
      </c>
      <c r="F365" s="175" t="str">
        <f>Plan!$Q363</f>
        <v/>
      </c>
      <c r="G365" s="176" t="s">
        <v>4</v>
      </c>
      <c r="H365" s="175" t="str">
        <f>Plan!$S363</f>
        <v/>
      </c>
      <c r="I365" s="177"/>
      <c r="J365" s="178" t="str">
        <f>Language!$E$65</f>
        <v xml:space="preserve"> : </v>
      </c>
      <c r="K365" s="179"/>
      <c r="L365" s="383"/>
      <c r="M365" s="384"/>
    </row>
    <row r="366" spans="2:13" ht="15.75" x14ac:dyDescent="0.2">
      <c r="B366" s="278" t="str">
        <f>IF(Calc!$F$26=0,"",IF(OR($C366&gt;Calc!$B$24,MOD($C366-1,Calc!$F$26)&gt;0),"",QUOTIENT($C366-1,Calc!$F$26)+1))</f>
        <v/>
      </c>
      <c r="C366" s="274">
        <v>358</v>
      </c>
      <c r="D366" s="154" t="str">
        <f>IF(Plan!$T364="","",Plan!$T364)</f>
        <v/>
      </c>
      <c r="E366" s="155" t="str">
        <f>IF(Plan!$U364="","",Plan!$U364)</f>
        <v/>
      </c>
      <c r="F366" s="175" t="str">
        <f>Plan!$Q364</f>
        <v/>
      </c>
      <c r="G366" s="176" t="s">
        <v>4</v>
      </c>
      <c r="H366" s="175" t="str">
        <f>Plan!$S364</f>
        <v/>
      </c>
      <c r="I366" s="177"/>
      <c r="J366" s="178" t="str">
        <f>Language!$E$65</f>
        <v xml:space="preserve"> : </v>
      </c>
      <c r="K366" s="179"/>
      <c r="L366" s="383"/>
      <c r="M366" s="384"/>
    </row>
    <row r="367" spans="2:13" ht="15.75" x14ac:dyDescent="0.2">
      <c r="B367" s="278" t="str">
        <f>IF(Calc!$F$26=0,"",IF(OR($C367&gt;Calc!$B$24,MOD($C367-1,Calc!$F$26)&gt;0),"",QUOTIENT($C367-1,Calc!$F$26)+1))</f>
        <v/>
      </c>
      <c r="C367" s="274">
        <v>359</v>
      </c>
      <c r="D367" s="154" t="str">
        <f>IF(Plan!$T365="","",Plan!$T365)</f>
        <v/>
      </c>
      <c r="E367" s="155" t="str">
        <f>IF(Plan!$U365="","",Plan!$U365)</f>
        <v/>
      </c>
      <c r="F367" s="175" t="str">
        <f>Plan!$Q365</f>
        <v/>
      </c>
      <c r="G367" s="176" t="s">
        <v>4</v>
      </c>
      <c r="H367" s="175" t="str">
        <f>Plan!$S365</f>
        <v/>
      </c>
      <c r="I367" s="177"/>
      <c r="J367" s="178" t="str">
        <f>Language!$E$65</f>
        <v xml:space="preserve"> : </v>
      </c>
      <c r="K367" s="179"/>
      <c r="L367" s="383"/>
      <c r="M367" s="384"/>
    </row>
    <row r="368" spans="2:13" ht="15.75" x14ac:dyDescent="0.2">
      <c r="B368" s="278" t="str">
        <f>IF(Calc!$F$26=0,"",IF(OR($C368&gt;Calc!$B$24,MOD($C368-1,Calc!$F$26)&gt;0),"",QUOTIENT($C368-1,Calc!$F$26)+1))</f>
        <v/>
      </c>
      <c r="C368" s="274">
        <v>360</v>
      </c>
      <c r="D368" s="154" t="str">
        <f>IF(Plan!$T366="","",Plan!$T366)</f>
        <v/>
      </c>
      <c r="E368" s="155" t="str">
        <f>IF(Plan!$U366="","",Plan!$U366)</f>
        <v/>
      </c>
      <c r="F368" s="175" t="str">
        <f>Plan!$Q366</f>
        <v/>
      </c>
      <c r="G368" s="176" t="s">
        <v>4</v>
      </c>
      <c r="H368" s="175" t="str">
        <f>Plan!$S366</f>
        <v/>
      </c>
      <c r="I368" s="177"/>
      <c r="J368" s="178" t="str">
        <f>Language!$E$65</f>
        <v xml:space="preserve"> : </v>
      </c>
      <c r="K368" s="179"/>
      <c r="L368" s="383"/>
      <c r="M368" s="384"/>
    </row>
    <row r="369" spans="2:13" ht="15.75" x14ac:dyDescent="0.2">
      <c r="B369" s="278" t="str">
        <f>IF(Calc!$F$26=0,"",IF(OR($C369&gt;Calc!$B$24,MOD($C369-1,Calc!$F$26)&gt;0),"",QUOTIENT($C369-1,Calc!$F$26)+1))</f>
        <v/>
      </c>
      <c r="C369" s="274">
        <v>361</v>
      </c>
      <c r="D369" s="154" t="str">
        <f>IF(Plan!$T367="","",Plan!$T367)</f>
        <v/>
      </c>
      <c r="E369" s="155" t="str">
        <f>IF(Plan!$U367="","",Plan!$U367)</f>
        <v/>
      </c>
      <c r="F369" s="175" t="str">
        <f>Plan!$Q367</f>
        <v/>
      </c>
      <c r="G369" s="176" t="s">
        <v>4</v>
      </c>
      <c r="H369" s="175" t="str">
        <f>Plan!$S367</f>
        <v/>
      </c>
      <c r="I369" s="177"/>
      <c r="J369" s="178" t="str">
        <f>Language!$E$65</f>
        <v xml:space="preserve"> : </v>
      </c>
      <c r="K369" s="179"/>
      <c r="L369" s="383"/>
      <c r="M369" s="384"/>
    </row>
    <row r="370" spans="2:13" ht="15.75" x14ac:dyDescent="0.2">
      <c r="B370" s="278" t="str">
        <f>IF(Calc!$F$26=0,"",IF(OR($C370&gt;Calc!$B$24,MOD($C370-1,Calc!$F$26)&gt;0),"",QUOTIENT($C370-1,Calc!$F$26)+1))</f>
        <v/>
      </c>
      <c r="C370" s="274">
        <v>362</v>
      </c>
      <c r="D370" s="154" t="str">
        <f>IF(Plan!$T368="","",Plan!$T368)</f>
        <v/>
      </c>
      <c r="E370" s="155" t="str">
        <f>IF(Plan!$U368="","",Plan!$U368)</f>
        <v/>
      </c>
      <c r="F370" s="175" t="str">
        <f>Plan!$Q368</f>
        <v/>
      </c>
      <c r="G370" s="176" t="s">
        <v>4</v>
      </c>
      <c r="H370" s="175" t="str">
        <f>Plan!$S368</f>
        <v/>
      </c>
      <c r="I370" s="177"/>
      <c r="J370" s="178" t="str">
        <f>Language!$E$65</f>
        <v xml:space="preserve"> : </v>
      </c>
      <c r="K370" s="179"/>
      <c r="L370" s="383"/>
      <c r="M370" s="384"/>
    </row>
    <row r="371" spans="2:13" ht="15.75" x14ac:dyDescent="0.2">
      <c r="B371" s="278" t="str">
        <f>IF(Calc!$F$26=0,"",IF(OR($C371&gt;Calc!$B$24,MOD($C371-1,Calc!$F$26)&gt;0),"",QUOTIENT($C371-1,Calc!$F$26)+1))</f>
        <v/>
      </c>
      <c r="C371" s="274">
        <v>363</v>
      </c>
      <c r="D371" s="154" t="str">
        <f>IF(Plan!$T369="","",Plan!$T369)</f>
        <v/>
      </c>
      <c r="E371" s="155" t="str">
        <f>IF(Plan!$U369="","",Plan!$U369)</f>
        <v/>
      </c>
      <c r="F371" s="175" t="str">
        <f>Plan!$Q369</f>
        <v/>
      </c>
      <c r="G371" s="176" t="s">
        <v>4</v>
      </c>
      <c r="H371" s="175" t="str">
        <f>Plan!$S369</f>
        <v/>
      </c>
      <c r="I371" s="177"/>
      <c r="J371" s="178" t="str">
        <f>Language!$E$65</f>
        <v xml:space="preserve"> : </v>
      </c>
      <c r="K371" s="179"/>
      <c r="L371" s="383"/>
      <c r="M371" s="384"/>
    </row>
    <row r="372" spans="2:13" ht="15.75" x14ac:dyDescent="0.2">
      <c r="B372" s="278" t="str">
        <f>IF(Calc!$F$26=0,"",IF(OR($C372&gt;Calc!$B$24,MOD($C372-1,Calc!$F$26)&gt;0),"",QUOTIENT($C372-1,Calc!$F$26)+1))</f>
        <v/>
      </c>
      <c r="C372" s="274">
        <v>364</v>
      </c>
      <c r="D372" s="154" t="str">
        <f>IF(Plan!$T370="","",Plan!$T370)</f>
        <v/>
      </c>
      <c r="E372" s="155" t="str">
        <f>IF(Plan!$U370="","",Plan!$U370)</f>
        <v/>
      </c>
      <c r="F372" s="175" t="str">
        <f>Plan!$Q370</f>
        <v/>
      </c>
      <c r="G372" s="176" t="s">
        <v>4</v>
      </c>
      <c r="H372" s="175" t="str">
        <f>Plan!$S370</f>
        <v/>
      </c>
      <c r="I372" s="177"/>
      <c r="J372" s="178" t="str">
        <f>Language!$E$65</f>
        <v xml:space="preserve"> : </v>
      </c>
      <c r="K372" s="179"/>
      <c r="L372" s="383"/>
      <c r="M372" s="384"/>
    </row>
    <row r="373" spans="2:13" ht="15.75" x14ac:dyDescent="0.2">
      <c r="B373" s="278" t="str">
        <f>IF(Calc!$F$26=0,"",IF(OR($C373&gt;Calc!$B$24,MOD($C373-1,Calc!$F$26)&gt;0),"",QUOTIENT($C373-1,Calc!$F$26)+1))</f>
        <v/>
      </c>
      <c r="C373" s="274">
        <v>365</v>
      </c>
      <c r="D373" s="154" t="str">
        <f>IF(Plan!$T371="","",Plan!$T371)</f>
        <v/>
      </c>
      <c r="E373" s="155" t="str">
        <f>IF(Plan!$U371="","",Plan!$U371)</f>
        <v/>
      </c>
      <c r="F373" s="175" t="str">
        <f>Plan!$Q371</f>
        <v/>
      </c>
      <c r="G373" s="176" t="s">
        <v>4</v>
      </c>
      <c r="H373" s="175" t="str">
        <f>Plan!$S371</f>
        <v/>
      </c>
      <c r="I373" s="177"/>
      <c r="J373" s="178" t="str">
        <f>Language!$E$65</f>
        <v xml:space="preserve"> : </v>
      </c>
      <c r="K373" s="179"/>
      <c r="L373" s="383"/>
      <c r="M373" s="384"/>
    </row>
    <row r="374" spans="2:13" ht="15.75" x14ac:dyDescent="0.2">
      <c r="B374" s="278" t="str">
        <f>IF(Calc!$F$26=0,"",IF(OR($C374&gt;Calc!$B$24,MOD($C374-1,Calc!$F$26)&gt;0),"",QUOTIENT($C374-1,Calc!$F$26)+1))</f>
        <v/>
      </c>
      <c r="C374" s="274">
        <v>366</v>
      </c>
      <c r="D374" s="154" t="str">
        <f>IF(Plan!$T372="","",Plan!$T372)</f>
        <v/>
      </c>
      <c r="E374" s="155" t="str">
        <f>IF(Plan!$U372="","",Plan!$U372)</f>
        <v/>
      </c>
      <c r="F374" s="175" t="str">
        <f>Plan!$Q372</f>
        <v/>
      </c>
      <c r="G374" s="176" t="s">
        <v>4</v>
      </c>
      <c r="H374" s="175" t="str">
        <f>Plan!$S372</f>
        <v/>
      </c>
      <c r="I374" s="177"/>
      <c r="J374" s="178" t="str">
        <f>Language!$E$65</f>
        <v xml:space="preserve"> : </v>
      </c>
      <c r="K374" s="179"/>
      <c r="L374" s="383"/>
      <c r="M374" s="384"/>
    </row>
    <row r="375" spans="2:13" ht="15.75" x14ac:dyDescent="0.2">
      <c r="B375" s="278" t="str">
        <f>IF(Calc!$F$26=0,"",IF(OR($C375&gt;Calc!$B$24,MOD($C375-1,Calc!$F$26)&gt;0),"",QUOTIENT($C375-1,Calc!$F$26)+1))</f>
        <v/>
      </c>
      <c r="C375" s="274">
        <v>367</v>
      </c>
      <c r="D375" s="154" t="str">
        <f>IF(Plan!$T373="","",Plan!$T373)</f>
        <v/>
      </c>
      <c r="E375" s="155" t="str">
        <f>IF(Plan!$U373="","",Plan!$U373)</f>
        <v/>
      </c>
      <c r="F375" s="175" t="str">
        <f>Plan!$Q373</f>
        <v/>
      </c>
      <c r="G375" s="176" t="s">
        <v>4</v>
      </c>
      <c r="H375" s="175" t="str">
        <f>Plan!$S373</f>
        <v/>
      </c>
      <c r="I375" s="177"/>
      <c r="J375" s="178" t="str">
        <f>Language!$E$65</f>
        <v xml:space="preserve"> : </v>
      </c>
      <c r="K375" s="179"/>
      <c r="L375" s="383"/>
      <c r="M375" s="384"/>
    </row>
    <row r="376" spans="2:13" ht="15.75" x14ac:dyDescent="0.2">
      <c r="B376" s="278" t="str">
        <f>IF(Calc!$F$26=0,"",IF(OR($C376&gt;Calc!$B$24,MOD($C376-1,Calc!$F$26)&gt;0),"",QUOTIENT($C376-1,Calc!$F$26)+1))</f>
        <v/>
      </c>
      <c r="C376" s="274">
        <v>368</v>
      </c>
      <c r="D376" s="154" t="str">
        <f>IF(Plan!$T374="","",Plan!$T374)</f>
        <v/>
      </c>
      <c r="E376" s="155" t="str">
        <f>IF(Plan!$U374="","",Plan!$U374)</f>
        <v/>
      </c>
      <c r="F376" s="175" t="str">
        <f>Plan!$Q374</f>
        <v/>
      </c>
      <c r="G376" s="176" t="s">
        <v>4</v>
      </c>
      <c r="H376" s="175" t="str">
        <f>Plan!$S374</f>
        <v/>
      </c>
      <c r="I376" s="177"/>
      <c r="J376" s="178" t="str">
        <f>Language!$E$65</f>
        <v xml:space="preserve"> : </v>
      </c>
      <c r="K376" s="179"/>
      <c r="L376" s="383"/>
      <c r="M376" s="384"/>
    </row>
    <row r="377" spans="2:13" ht="15.75" x14ac:dyDescent="0.2">
      <c r="B377" s="278" t="str">
        <f>IF(Calc!$F$26=0,"",IF(OR($C377&gt;Calc!$B$24,MOD($C377-1,Calc!$F$26)&gt;0),"",QUOTIENT($C377-1,Calc!$F$26)+1))</f>
        <v/>
      </c>
      <c r="C377" s="274">
        <v>369</v>
      </c>
      <c r="D377" s="154" t="str">
        <f>IF(Plan!$T375="","",Plan!$T375)</f>
        <v/>
      </c>
      <c r="E377" s="155" t="str">
        <f>IF(Plan!$U375="","",Plan!$U375)</f>
        <v/>
      </c>
      <c r="F377" s="175" t="str">
        <f>Plan!$Q375</f>
        <v/>
      </c>
      <c r="G377" s="176" t="s">
        <v>4</v>
      </c>
      <c r="H377" s="175" t="str">
        <f>Plan!$S375</f>
        <v/>
      </c>
      <c r="I377" s="177"/>
      <c r="J377" s="178" t="str">
        <f>Language!$E$65</f>
        <v xml:space="preserve"> : </v>
      </c>
      <c r="K377" s="179"/>
      <c r="L377" s="383"/>
      <c r="M377" s="384"/>
    </row>
    <row r="378" spans="2:13" ht="15.75" x14ac:dyDescent="0.2">
      <c r="B378" s="278" t="str">
        <f>IF(Calc!$F$26=0,"",IF(OR($C378&gt;Calc!$B$24,MOD($C378-1,Calc!$F$26)&gt;0),"",QUOTIENT($C378-1,Calc!$F$26)+1))</f>
        <v/>
      </c>
      <c r="C378" s="274">
        <v>370</v>
      </c>
      <c r="D378" s="154" t="str">
        <f>IF(Plan!$T376="","",Plan!$T376)</f>
        <v/>
      </c>
      <c r="E378" s="155" t="str">
        <f>IF(Plan!$U376="","",Plan!$U376)</f>
        <v/>
      </c>
      <c r="F378" s="175" t="str">
        <f>Plan!$Q376</f>
        <v/>
      </c>
      <c r="G378" s="176" t="s">
        <v>4</v>
      </c>
      <c r="H378" s="175" t="str">
        <f>Plan!$S376</f>
        <v/>
      </c>
      <c r="I378" s="177"/>
      <c r="J378" s="178" t="str">
        <f>Language!$E$65</f>
        <v xml:space="preserve"> : </v>
      </c>
      <c r="K378" s="179"/>
      <c r="L378" s="383"/>
      <c r="M378" s="384"/>
    </row>
    <row r="379" spans="2:13" ht="15.75" x14ac:dyDescent="0.2">
      <c r="B379" s="278" t="str">
        <f>IF(Calc!$F$26=0,"",IF(OR($C379&gt;Calc!$B$24,MOD($C379-1,Calc!$F$26)&gt;0),"",QUOTIENT($C379-1,Calc!$F$26)+1))</f>
        <v/>
      </c>
      <c r="C379" s="274">
        <v>371</v>
      </c>
      <c r="D379" s="154" t="str">
        <f>IF(Plan!$T377="","",Plan!$T377)</f>
        <v/>
      </c>
      <c r="E379" s="155" t="str">
        <f>IF(Plan!$U377="","",Plan!$U377)</f>
        <v/>
      </c>
      <c r="F379" s="175" t="str">
        <f>Plan!$Q377</f>
        <v/>
      </c>
      <c r="G379" s="176" t="s">
        <v>4</v>
      </c>
      <c r="H379" s="175" t="str">
        <f>Plan!$S377</f>
        <v/>
      </c>
      <c r="I379" s="177"/>
      <c r="J379" s="178" t="str">
        <f>Language!$E$65</f>
        <v xml:space="preserve"> : </v>
      </c>
      <c r="K379" s="179"/>
      <c r="L379" s="383"/>
      <c r="M379" s="384"/>
    </row>
    <row r="380" spans="2:13" ht="15.75" x14ac:dyDescent="0.2">
      <c r="B380" s="278" t="str">
        <f>IF(Calc!$F$26=0,"",IF(OR($C380&gt;Calc!$B$24,MOD($C380-1,Calc!$F$26)&gt;0),"",QUOTIENT($C380-1,Calc!$F$26)+1))</f>
        <v/>
      </c>
      <c r="C380" s="274">
        <v>372</v>
      </c>
      <c r="D380" s="154" t="str">
        <f>IF(Plan!$T378="","",Plan!$T378)</f>
        <v/>
      </c>
      <c r="E380" s="155" t="str">
        <f>IF(Plan!$U378="","",Plan!$U378)</f>
        <v/>
      </c>
      <c r="F380" s="175" t="str">
        <f>Plan!$Q378</f>
        <v/>
      </c>
      <c r="G380" s="176" t="s">
        <v>4</v>
      </c>
      <c r="H380" s="175" t="str">
        <f>Plan!$S378</f>
        <v/>
      </c>
      <c r="I380" s="177"/>
      <c r="J380" s="178" t="str">
        <f>Language!$E$65</f>
        <v xml:space="preserve"> : </v>
      </c>
      <c r="K380" s="179"/>
      <c r="L380" s="383"/>
      <c r="M380" s="384"/>
    </row>
    <row r="381" spans="2:13" ht="15.75" x14ac:dyDescent="0.2">
      <c r="B381" s="278" t="str">
        <f>IF(Calc!$F$26=0,"",IF(OR($C381&gt;Calc!$B$24,MOD($C381-1,Calc!$F$26)&gt;0),"",QUOTIENT($C381-1,Calc!$F$26)+1))</f>
        <v/>
      </c>
      <c r="C381" s="274">
        <v>373</v>
      </c>
      <c r="D381" s="154" t="str">
        <f>IF(Plan!$T379="","",Plan!$T379)</f>
        <v/>
      </c>
      <c r="E381" s="155" t="str">
        <f>IF(Plan!$U379="","",Plan!$U379)</f>
        <v/>
      </c>
      <c r="F381" s="175" t="str">
        <f>Plan!$Q379</f>
        <v/>
      </c>
      <c r="G381" s="176" t="s">
        <v>4</v>
      </c>
      <c r="H381" s="175" t="str">
        <f>Plan!$S379</f>
        <v/>
      </c>
      <c r="I381" s="177"/>
      <c r="J381" s="178" t="str">
        <f>Language!$E$65</f>
        <v xml:space="preserve"> : </v>
      </c>
      <c r="K381" s="179"/>
      <c r="L381" s="383"/>
      <c r="M381" s="384"/>
    </row>
    <row r="382" spans="2:13" ht="15.75" x14ac:dyDescent="0.2">
      <c r="B382" s="278" t="str">
        <f>IF(Calc!$F$26=0,"",IF(OR($C382&gt;Calc!$B$24,MOD($C382-1,Calc!$F$26)&gt;0),"",QUOTIENT($C382-1,Calc!$F$26)+1))</f>
        <v/>
      </c>
      <c r="C382" s="274">
        <v>374</v>
      </c>
      <c r="D382" s="154" t="str">
        <f>IF(Plan!$T380="","",Plan!$T380)</f>
        <v/>
      </c>
      <c r="E382" s="155" t="str">
        <f>IF(Plan!$U380="","",Plan!$U380)</f>
        <v/>
      </c>
      <c r="F382" s="175" t="str">
        <f>Plan!$Q380</f>
        <v/>
      </c>
      <c r="G382" s="176" t="s">
        <v>4</v>
      </c>
      <c r="H382" s="175" t="str">
        <f>Plan!$S380</f>
        <v/>
      </c>
      <c r="I382" s="177"/>
      <c r="J382" s="178" t="str">
        <f>Language!$E$65</f>
        <v xml:space="preserve"> : </v>
      </c>
      <c r="K382" s="179"/>
      <c r="L382" s="383"/>
      <c r="M382" s="384"/>
    </row>
    <row r="383" spans="2:13" ht="15.75" x14ac:dyDescent="0.2">
      <c r="B383" s="278" t="str">
        <f>IF(Calc!$F$26=0,"",IF(OR($C383&gt;Calc!$B$24,MOD($C383-1,Calc!$F$26)&gt;0),"",QUOTIENT($C383-1,Calc!$F$26)+1))</f>
        <v/>
      </c>
      <c r="C383" s="274">
        <v>375</v>
      </c>
      <c r="D383" s="154" t="str">
        <f>IF(Plan!$T381="","",Plan!$T381)</f>
        <v/>
      </c>
      <c r="E383" s="155" t="str">
        <f>IF(Plan!$U381="","",Plan!$U381)</f>
        <v/>
      </c>
      <c r="F383" s="175" t="str">
        <f>Plan!$Q381</f>
        <v/>
      </c>
      <c r="G383" s="176" t="s">
        <v>4</v>
      </c>
      <c r="H383" s="175" t="str">
        <f>Plan!$S381</f>
        <v/>
      </c>
      <c r="I383" s="177"/>
      <c r="J383" s="178" t="str">
        <f>Language!$E$65</f>
        <v xml:space="preserve"> : </v>
      </c>
      <c r="K383" s="179"/>
      <c r="L383" s="383"/>
      <c r="M383" s="384"/>
    </row>
    <row r="384" spans="2:13" ht="15.75" x14ac:dyDescent="0.2">
      <c r="B384" s="278" t="str">
        <f>IF(Calc!$F$26=0,"",IF(OR($C384&gt;Calc!$B$24,MOD($C384-1,Calc!$F$26)&gt;0),"",QUOTIENT($C384-1,Calc!$F$26)+1))</f>
        <v/>
      </c>
      <c r="C384" s="274">
        <v>376</v>
      </c>
      <c r="D384" s="154" t="str">
        <f>IF(Plan!$T382="","",Plan!$T382)</f>
        <v/>
      </c>
      <c r="E384" s="155" t="str">
        <f>IF(Plan!$U382="","",Plan!$U382)</f>
        <v/>
      </c>
      <c r="F384" s="175" t="str">
        <f>Plan!$Q382</f>
        <v/>
      </c>
      <c r="G384" s="176" t="s">
        <v>4</v>
      </c>
      <c r="H384" s="175" t="str">
        <f>Plan!$S382</f>
        <v/>
      </c>
      <c r="I384" s="177"/>
      <c r="J384" s="178" t="str">
        <f>Language!$E$65</f>
        <v xml:space="preserve"> : </v>
      </c>
      <c r="K384" s="179"/>
      <c r="L384" s="383"/>
      <c r="M384" s="384"/>
    </row>
    <row r="385" spans="2:13" ht="15.75" x14ac:dyDescent="0.2">
      <c r="B385" s="278" t="str">
        <f>IF(Calc!$F$26=0,"",IF(OR($C385&gt;Calc!$B$24,MOD($C385-1,Calc!$F$26)&gt;0),"",QUOTIENT($C385-1,Calc!$F$26)+1))</f>
        <v/>
      </c>
      <c r="C385" s="274">
        <v>377</v>
      </c>
      <c r="D385" s="154" t="str">
        <f>IF(Plan!$T383="","",Plan!$T383)</f>
        <v/>
      </c>
      <c r="E385" s="155" t="str">
        <f>IF(Plan!$U383="","",Plan!$U383)</f>
        <v/>
      </c>
      <c r="F385" s="175" t="str">
        <f>Plan!$Q383</f>
        <v/>
      </c>
      <c r="G385" s="176" t="s">
        <v>4</v>
      </c>
      <c r="H385" s="175" t="str">
        <f>Plan!$S383</f>
        <v/>
      </c>
      <c r="I385" s="177"/>
      <c r="J385" s="178" t="str">
        <f>Language!$E$65</f>
        <v xml:space="preserve"> : </v>
      </c>
      <c r="K385" s="179"/>
      <c r="L385" s="383"/>
      <c r="M385" s="384"/>
    </row>
    <row r="386" spans="2:13" ht="15.75" x14ac:dyDescent="0.2">
      <c r="B386" s="278" t="str">
        <f>IF(Calc!$F$26=0,"",IF(OR($C386&gt;Calc!$B$24,MOD($C386-1,Calc!$F$26)&gt;0),"",QUOTIENT($C386-1,Calc!$F$26)+1))</f>
        <v/>
      </c>
      <c r="C386" s="274">
        <v>378</v>
      </c>
      <c r="D386" s="154" t="str">
        <f>IF(Plan!$T384="","",Plan!$T384)</f>
        <v/>
      </c>
      <c r="E386" s="155" t="str">
        <f>IF(Plan!$U384="","",Plan!$U384)</f>
        <v/>
      </c>
      <c r="F386" s="175" t="str">
        <f>Plan!$Q384</f>
        <v/>
      </c>
      <c r="G386" s="176" t="s">
        <v>4</v>
      </c>
      <c r="H386" s="175" t="str">
        <f>Plan!$S384</f>
        <v/>
      </c>
      <c r="I386" s="177"/>
      <c r="J386" s="178" t="str">
        <f>Language!$E$65</f>
        <v xml:space="preserve"> : </v>
      </c>
      <c r="K386" s="179"/>
      <c r="L386" s="383"/>
      <c r="M386" s="384"/>
    </row>
    <row r="387" spans="2:13" ht="15.75" x14ac:dyDescent="0.2">
      <c r="B387" s="278" t="str">
        <f>IF(Calc!$F$26=0,"",IF(OR($C387&gt;Calc!$B$24,MOD($C387-1,Calc!$F$26)&gt;0),"",QUOTIENT($C387-1,Calc!$F$26)+1))</f>
        <v/>
      </c>
      <c r="C387" s="274">
        <v>379</v>
      </c>
      <c r="D387" s="154" t="str">
        <f>IF(Plan!$T385="","",Plan!$T385)</f>
        <v/>
      </c>
      <c r="E387" s="155" t="str">
        <f>IF(Plan!$U385="","",Plan!$U385)</f>
        <v/>
      </c>
      <c r="F387" s="175" t="str">
        <f>Plan!$Q385</f>
        <v/>
      </c>
      <c r="G387" s="176" t="s">
        <v>4</v>
      </c>
      <c r="H387" s="175" t="str">
        <f>Plan!$S385</f>
        <v/>
      </c>
      <c r="I387" s="177"/>
      <c r="J387" s="178" t="str">
        <f>Language!$E$65</f>
        <v xml:space="preserve"> : </v>
      </c>
      <c r="K387" s="179"/>
      <c r="L387" s="383"/>
      <c r="M387" s="384"/>
    </row>
    <row r="388" spans="2:13" ht="16.5" thickBot="1" x14ac:dyDescent="0.25">
      <c r="B388" s="279"/>
      <c r="C388" s="276">
        <v>380</v>
      </c>
      <c r="D388" s="156" t="str">
        <f>IF(Plan!$T386="","",Plan!$T386)</f>
        <v/>
      </c>
      <c r="E388" s="157" t="str">
        <f>IF(Plan!$U386="","",Plan!$U386)</f>
        <v/>
      </c>
      <c r="F388" s="180" t="str">
        <f>Plan!$Q386</f>
        <v/>
      </c>
      <c r="G388" s="181" t="s">
        <v>4</v>
      </c>
      <c r="H388" s="180" t="str">
        <f>Plan!$S386</f>
        <v/>
      </c>
      <c r="I388" s="182"/>
      <c r="J388" s="183" t="str">
        <f>Language!$E$65</f>
        <v xml:space="preserve"> : </v>
      </c>
      <c r="K388" s="184"/>
      <c r="L388" s="385"/>
      <c r="M388" s="386"/>
    </row>
    <row r="389" spans="2:13" x14ac:dyDescent="0.2"/>
    <row r="390" spans="2:13" x14ac:dyDescent="0.2"/>
    <row r="391" spans="2:13" x14ac:dyDescent="0.2"/>
    <row r="392" spans="2:13" x14ac:dyDescent="0.2"/>
  </sheetData>
  <sheetProtection sheet="1" selectLockedCells="1"/>
  <mergeCells count="17">
    <mergeCell ref="P33:Q33"/>
    <mergeCell ref="R33:S33"/>
    <mergeCell ref="X34:Y34"/>
    <mergeCell ref="P31:Z32"/>
    <mergeCell ref="AH31:BA32"/>
    <mergeCell ref="F8:H8"/>
    <mergeCell ref="I8:K8"/>
    <mergeCell ref="C7:K7"/>
    <mergeCell ref="V8:X8"/>
    <mergeCell ref="P8:Q8"/>
    <mergeCell ref="L8:M8"/>
    <mergeCell ref="AH6:BA6"/>
    <mergeCell ref="P6:Q6"/>
    <mergeCell ref="G3:R3"/>
    <mergeCell ref="G4:R4"/>
    <mergeCell ref="S6:Z6"/>
    <mergeCell ref="K6:N6"/>
  </mergeCells>
  <conditionalFormatting sqref="BB57">
    <cfRule type="expression" dxfId="132" priority="237">
      <formula>$Q$9=""</formula>
    </cfRule>
    <cfRule type="expression" dxfId="131" priority="252">
      <formula>AND($P$9=$P$10,$Q$10&lt;&gt;"")</formula>
    </cfRule>
  </conditionalFormatting>
  <conditionalFormatting sqref="P58 BB34 AQ58:BB58">
    <cfRule type="expression" dxfId="130" priority="296">
      <formula>$Q$10=""</formula>
    </cfRule>
    <cfRule type="expression" dxfId="129" priority="311">
      <formula>OR(AND($P$10=$P$9,$Q$9&lt;&gt;""),AND($P$10=$P$11,$Q$11&lt;&gt;""))</formula>
    </cfRule>
  </conditionalFormatting>
  <conditionalFormatting sqref="P59 BB35 AQ59:BB59">
    <cfRule type="expression" dxfId="128" priority="297">
      <formula>$Q$11=""</formula>
    </cfRule>
    <cfRule type="expression" dxfId="127" priority="310">
      <formula>OR(AND($P$11=$P$10,$Q$10&lt;&gt;""),AND($P$11=$P$12,$Q$12&lt;&gt;""))</formula>
    </cfRule>
  </conditionalFormatting>
  <conditionalFormatting sqref="P60 BB36 AQ60:BB60">
    <cfRule type="expression" dxfId="126" priority="298">
      <formula>$Q$12=""</formula>
    </cfRule>
    <cfRule type="expression" dxfId="125" priority="309">
      <formula>OR(AND($P$12=$P$11,$Q$11&lt;&gt;""),AND($P$12=$P$13,$Q$13&lt;&gt;""))</formula>
    </cfRule>
  </conditionalFormatting>
  <conditionalFormatting sqref="P61 BB37 AQ61:BB61">
    <cfRule type="expression" dxfId="124" priority="299">
      <formula>$Q$13=""</formula>
    </cfRule>
    <cfRule type="expression" dxfId="123" priority="308">
      <formula>OR(AND($P$13=$P$12,$Q$12&lt;&gt;""),AND($P$13=$P$14,$Q$14&lt;&gt;""))</formula>
    </cfRule>
  </conditionalFormatting>
  <conditionalFormatting sqref="P38 P62 BB38 AQ62:BB62">
    <cfRule type="expression" dxfId="122" priority="300">
      <formula>$Q$14=""</formula>
    </cfRule>
    <cfRule type="expression" dxfId="121" priority="307">
      <formula>OR(AND($P$14=$P$13,$Q$13&lt;&gt;""),AND($P$14=$P$15,$Q$15&lt;&gt;""))</formula>
    </cfRule>
  </conditionalFormatting>
  <conditionalFormatting sqref="P39 P63 BB39 AQ63:BB63">
    <cfRule type="expression" dxfId="120" priority="301">
      <formula>$Q$15=""</formula>
    </cfRule>
    <cfRule type="expression" dxfId="119" priority="306">
      <formula>OR(AND($P$15=$P$14,$Q$14&lt;&gt;""),AND($P$15=$P$16,$Q$16&lt;&gt;""))</formula>
    </cfRule>
  </conditionalFormatting>
  <conditionalFormatting sqref="P40 P64 BB40 AQ64:BB64">
    <cfRule type="expression" dxfId="118" priority="302">
      <formula>$Q$16=""</formula>
    </cfRule>
    <cfRule type="expression" dxfId="117" priority="305">
      <formula>OR(AND($P$16=$P$15,$Q$15&lt;&gt;""),AND($P$16=$P$17,$Q$17&lt;&gt;""))</formula>
    </cfRule>
  </conditionalFormatting>
  <conditionalFormatting sqref="P41 P65 BB41 AQ65:BB65">
    <cfRule type="expression" dxfId="116" priority="271">
      <formula>$Q$17=""</formula>
    </cfRule>
    <cfRule type="expression" dxfId="115" priority="272">
      <formula>AND($P$17=$P$16,$Q$16&lt;&gt;"")</formula>
    </cfRule>
  </conditionalFormatting>
  <conditionalFormatting sqref="AC9:AC28">
    <cfRule type="expression" dxfId="114" priority="124">
      <formula>$Q$9=""</formula>
    </cfRule>
    <cfRule type="expression" dxfId="113" priority="171">
      <formula>AND($P$9=$P$10,$Q$10&lt;&gt;"")</formula>
    </cfRule>
  </conditionalFormatting>
  <conditionalFormatting sqref="O9:O28">
    <cfRule type="expression" dxfId="112" priority="8">
      <formula>Q9=""</formula>
    </cfRule>
    <cfRule type="expression" dxfId="111" priority="9">
      <formula>AD9=0</formula>
    </cfRule>
    <cfRule type="expression" dxfId="110" priority="11">
      <formula>AD9&lt;0</formula>
    </cfRule>
    <cfRule type="expression" dxfId="109" priority="12">
      <formula>AD9&gt;0</formula>
    </cfRule>
  </conditionalFormatting>
  <conditionalFormatting sqref="AE9:AE28">
    <cfRule type="expression" dxfId="108" priority="7">
      <formula>R9=""</formula>
    </cfRule>
  </conditionalFormatting>
  <conditionalFormatting sqref="AB9:AB28">
    <cfRule type="expression" dxfId="107" priority="6">
      <formula>Q9=""</formula>
    </cfRule>
  </conditionalFormatting>
  <conditionalFormatting sqref="P9:Z28 AF9:AG28">
    <cfRule type="expression" dxfId="106" priority="5">
      <formula>OR(AND($P9=$P8,$Q8&lt;&gt;""),AND($P9=$P10,$Q10&lt;&gt;""))</formula>
    </cfRule>
  </conditionalFormatting>
  <conditionalFormatting sqref="AF35:AG54">
    <cfRule type="expression" dxfId="105" priority="2">
      <formula>$AG35=""</formula>
    </cfRule>
    <cfRule type="expression" dxfId="104" priority="4">
      <formula>OR(AND($AF35=$AF34,$AG34&lt;&gt;""),AND($AF35=$AF36,$AG36&lt;&gt;""))</formula>
    </cfRule>
  </conditionalFormatting>
  <conditionalFormatting sqref="P9:AG28">
    <cfRule type="expression" dxfId="103" priority="3">
      <formula>$Q9=""</formula>
    </cfRule>
  </conditionalFormatting>
  <conditionalFormatting sqref="Y9:Y28">
    <cfRule type="expression" dxfId="102" priority="1">
      <formula>$Y9=0</formula>
    </cfRule>
  </conditionalFormatting>
  <dataValidations count="5">
    <dataValidation type="whole" allowBlank="1" showErrorMessage="1" errorTitle="Error" error="Maximal 999 !" sqref="I9:I388 K9:K388" xr:uid="{D9E07FCF-67B7-4BAF-9BC8-AE233331B860}">
      <formula1>0</formula1>
      <formula2>999</formula2>
    </dataValidation>
    <dataValidation type="list" allowBlank="1" showInputMessage="1" showErrorMessage="1" sqref="R6" xr:uid="{675BDB18-3536-4E7A-985D-7C143E7F954C}">
      <formula1>"1,2,3,4,5,6,7,8,9,10,11,12,13,14,15,16,17,18,19,20,21,22,23,24,25,26,27,28,29,30,31,32,33,34,35,36,37,38"</formula1>
    </dataValidation>
    <dataValidation type="custom" allowBlank="1" showInputMessage="1" showErrorMessage="1" errorTitle="Unzulässiger Wert" sqref="S35" xr:uid="{B2454843-4D2E-45D3-BD5A-4AD2C9A087B5}">
      <formula1>AND(S35&gt;0,S35&lt;39,S35&gt;=R35)</formula1>
    </dataValidation>
    <dataValidation type="custom" allowBlank="1" showInputMessage="1" showErrorMessage="1" errorTitle="Unzulässiger Wert" sqref="R35" xr:uid="{E2E873E9-DABC-47F7-B4FC-9BF48EEE9F4A}">
      <formula1>AND(R35&gt;0,R35&lt;39,S35&gt;=R35)</formula1>
    </dataValidation>
    <dataValidation type="whole" allowBlank="1" showErrorMessage="1" errorTitle="Error" error="Maximal 999 !" sqref="L9:M388" xr:uid="{EA401F38-5847-4F3B-9B8B-0E0D6C9DA926}">
      <formula1>-999</formula1>
      <formula2>999</formula2>
    </dataValidation>
  </dataValidations>
  <pageMargins left="0.7" right="0.7" top="0.78740157499999996" bottom="0.78740157499999996" header="0.3" footer="0.3"/>
  <pageSetup paperSize="9" orientation="portrait" horizontalDpi="4294967293" verticalDpi="200" r:id="rId1"/>
  <drawing r:id="rId2"/>
  <extLst>
    <ext xmlns:x14="http://schemas.microsoft.com/office/spreadsheetml/2009/9/main" uri="{78C0D931-6437-407d-A8EE-F0AAD7539E65}">
      <x14:conditionalFormattings>
        <x14:conditionalFormatting xmlns:xm="http://schemas.microsoft.com/office/excel/2006/main">
          <x14:cfRule type="expression" priority="355" id="{242813DE-F3F3-44A7-9A94-97985788F385}">
            <xm:f>Plan!$F$6=2</xm:f>
            <x14:dxf>
              <font>
                <color rgb="FF00B050"/>
              </font>
              <numFmt numFmtId="30" formatCode="@"/>
            </x14:dxf>
          </x14:cfRule>
          <xm:sqref>AH29:BB29</xm:sqref>
        </x14:conditionalFormatting>
        <x14:conditionalFormatting xmlns:xm="http://schemas.microsoft.com/office/excel/2006/main">
          <x14:cfRule type="expression" priority="354" id="{F4F10527-B686-4CA2-80FD-18E51A3B22D2}">
            <xm:f>OR(Plan!$F$6&gt;2,Plan!$B$6&gt;1)</xm:f>
            <x14:dxf>
              <numFmt numFmtId="30" formatCode="@"/>
            </x14:dxf>
          </x14:cfRule>
          <xm:sqref>S6 AC4:AG4</xm:sqref>
        </x14:conditionalFormatting>
        <x14:conditionalFormatting xmlns:xm="http://schemas.microsoft.com/office/excel/2006/main">
          <x14:cfRule type="expression" priority="353" id="{70B7D07B-DC74-4408-9A69-A88E0A4FE863}">
            <xm:f>OR(Plan!$F$6&gt;2,Plan!$B$6&gt;1)</xm:f>
            <x14:dxf>
              <numFmt numFmtId="30" formatCode="@"/>
            </x14:dxf>
          </x14:cfRule>
          <xm:sqref>BB42</xm:sqref>
        </x14:conditionalFormatting>
        <x14:conditionalFormatting xmlns:xm="http://schemas.microsoft.com/office/excel/2006/main">
          <x14:cfRule type="expression" priority="334" id="{4DC0B623-6FE4-4822-B278-ECB53158C363}">
            <xm:f>Plan!$F$6=2</xm:f>
            <x14:dxf>
              <font>
                <color rgb="FF00B050"/>
              </font>
              <numFmt numFmtId="30" formatCode="@"/>
            </x14:dxf>
          </x14:cfRule>
          <xm:sqref>BB53</xm:sqref>
        </x14:conditionalFormatting>
        <x14:conditionalFormatting xmlns:xm="http://schemas.microsoft.com/office/excel/2006/main">
          <x14:cfRule type="expression" priority="333" id="{D61927F1-072E-4B54-9191-2BD855D0BD51}">
            <xm:f>OR(Plan!$F$6&gt;2,Plan!$B$6&gt;1)</xm:f>
            <x14:dxf>
              <numFmt numFmtId="30" formatCode="@"/>
            </x14:dxf>
          </x14:cfRule>
          <xm:sqref>AQ66:BB66</xm:sqref>
        </x14:conditionalFormatting>
        <x14:conditionalFormatting xmlns:xm="http://schemas.microsoft.com/office/excel/2006/main">
          <x14:cfRule type="expression" priority="173" id="{53B520CA-9173-4CE5-AAB8-807CC57F70AD}">
            <xm:f>Plan!$F$6=2</xm:f>
            <x14:dxf>
              <font>
                <color rgb="FF00B050"/>
              </font>
              <numFmt numFmtId="30" formatCode="@"/>
            </x14:dxf>
          </x14:cfRule>
          <xm:sqref>AG32</xm:sqref>
        </x14:conditionalFormatting>
        <x14:conditionalFormatting xmlns:xm="http://schemas.microsoft.com/office/excel/2006/main">
          <x14:cfRule type="expression" priority="14" id="{0256E546-3D79-4898-A80B-8F8D2A60B084}">
            <xm:f>$C9=Calc!$B$24/2</xm:f>
            <x14:dxf>
              <border>
                <bottom style="dashDot">
                  <color rgb="FFDA0000"/>
                </bottom>
                <vertical/>
                <horizontal/>
              </border>
            </x14:dxf>
          </x14:cfRule>
          <x14:cfRule type="expression" priority="15" id="{D7D268B8-91DE-426E-91ED-22689BEDC870}">
            <xm:f>$C9=Calc!$B$24</xm:f>
            <x14:dxf>
              <border>
                <bottom style="thin">
                  <color rgb="FFDA0000"/>
                </bottom>
                <vertical/>
                <horizontal/>
              </border>
            </x14:dxf>
          </x14:cfRule>
          <x14:cfRule type="expression" priority="16" id="{564E11D0-4D64-40C3-A980-8CBFE77FDE63}">
            <xm:f>AND($C9&lt;Calc!$B$24,Calc!$F$24&gt;1,MOD($C9,Calc!$F$26)=0,$C9&lt;&gt;Calc!$B$24/2)</xm:f>
            <x14:dxf>
              <border>
                <bottom style="thin">
                  <color theme="4"/>
                </bottom>
                <vertical/>
                <horizontal/>
              </border>
            </x14:dxf>
          </x14:cfRule>
          <xm:sqref>B9:M387</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39714-F874-4C09-9365-1A65CF6691FF}">
  <sheetPr codeName="Tabelle10"/>
  <dimension ref="A1:E24"/>
  <sheetViews>
    <sheetView showGridLines="0" showRowColHeaders="0" workbookViewId="0">
      <selection activeCell="C3" sqref="C3"/>
    </sheetView>
  </sheetViews>
  <sheetFormatPr baseColWidth="10" defaultColWidth="0" defaultRowHeight="12.75" zeroHeight="1" x14ac:dyDescent="0.2"/>
  <cols>
    <col min="1" max="1" width="11.42578125" customWidth="1"/>
    <col min="2" max="2" width="31.28515625" customWidth="1"/>
    <col min="3" max="3" width="6.28515625" customWidth="1"/>
    <col min="4" max="5" width="11.42578125" customWidth="1"/>
    <col min="6" max="16384" width="11.42578125" hidden="1"/>
  </cols>
  <sheetData>
    <row r="1" spans="2:3" ht="30" x14ac:dyDescent="0.4">
      <c r="B1" s="352" t="str">
        <f>Language!$E$7</f>
        <v>Einstellungen</v>
      </c>
    </row>
    <row r="2" spans="2:3" x14ac:dyDescent="0.2"/>
    <row r="3" spans="2:3" x14ac:dyDescent="0.2">
      <c r="B3" t="str">
        <f>Language!$E$39</f>
        <v>Anzahl der Punkte für einen Sieg:</v>
      </c>
      <c r="C3" s="353">
        <v>3</v>
      </c>
    </row>
    <row r="4" spans="2:3" x14ac:dyDescent="0.2"/>
    <row r="5" spans="2:3" x14ac:dyDescent="0.2"/>
    <row r="6" spans="2:3" x14ac:dyDescent="0.2"/>
    <row r="7" spans="2:3" x14ac:dyDescent="0.2"/>
    <row r="8" spans="2:3" x14ac:dyDescent="0.2"/>
    <row r="9" spans="2:3" x14ac:dyDescent="0.2"/>
    <row r="10" spans="2:3" x14ac:dyDescent="0.2"/>
    <row r="11" spans="2:3" x14ac:dyDescent="0.2"/>
    <row r="12" spans="2:3" x14ac:dyDescent="0.2"/>
    <row r="13" spans="2:3" x14ac:dyDescent="0.2"/>
    <row r="14" spans="2:3" x14ac:dyDescent="0.2"/>
    <row r="15" spans="2:3" x14ac:dyDescent="0.2"/>
    <row r="16" spans="2:3" x14ac:dyDescent="0.2"/>
    <row r="17" x14ac:dyDescent="0.2"/>
    <row r="18" x14ac:dyDescent="0.2"/>
    <row r="19" x14ac:dyDescent="0.2"/>
    <row r="20" x14ac:dyDescent="0.2"/>
    <row r="21" x14ac:dyDescent="0.2"/>
    <row r="22" x14ac:dyDescent="0.2"/>
    <row r="23" x14ac:dyDescent="0.2"/>
    <row r="24" x14ac:dyDescent="0.2"/>
  </sheetData>
  <sheetProtection sheet="1" objects="1" scenarios="1" selectLockedCells="1"/>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E3DB7-6B6F-46F7-B164-6CD921FF526B}">
  <sheetPr codeName="Tabelle1"/>
  <dimension ref="A1:S58"/>
  <sheetViews>
    <sheetView showGridLines="0" showRowColHeaders="0" zoomScaleNormal="100" workbookViewId="0"/>
  </sheetViews>
  <sheetFormatPr baseColWidth="10" defaultColWidth="0" defaultRowHeight="12.75" zeroHeight="1" x14ac:dyDescent="0.2"/>
  <cols>
    <col min="1" max="1" width="8.28515625" style="43" customWidth="1"/>
    <col min="2" max="8" width="11.42578125" style="43" customWidth="1"/>
    <col min="9" max="9" width="4" style="43" customWidth="1"/>
    <col min="10" max="18" width="11.42578125" style="43" customWidth="1"/>
    <col min="19" max="19" width="0" hidden="1" customWidth="1"/>
    <col min="20" max="16384" width="11.42578125" hidden="1"/>
  </cols>
  <sheetData>
    <row r="1" spans="1:10" x14ac:dyDescent="0.2">
      <c r="A1" s="354"/>
    </row>
    <row r="2" spans="1:10" x14ac:dyDescent="0.2">
      <c r="B2" s="248" t="s">
        <v>117</v>
      </c>
      <c r="J2" s="248" t="s">
        <v>118</v>
      </c>
    </row>
    <row r="3" spans="1:10" x14ac:dyDescent="0.2"/>
    <row r="4" spans="1:10" x14ac:dyDescent="0.2"/>
    <row r="5" spans="1:10" x14ac:dyDescent="0.2"/>
    <row r="6" spans="1:10" x14ac:dyDescent="0.2"/>
    <row r="7" spans="1:10" x14ac:dyDescent="0.2"/>
    <row r="8" spans="1:10" x14ac:dyDescent="0.2"/>
    <row r="9" spans="1:10" x14ac:dyDescent="0.2"/>
    <row r="10" spans="1:10" x14ac:dyDescent="0.2"/>
    <row r="11" spans="1:10" x14ac:dyDescent="0.2"/>
    <row r="12" spans="1:10" x14ac:dyDescent="0.2"/>
    <row r="13" spans="1:10" x14ac:dyDescent="0.2"/>
    <row r="14" spans="1:10" x14ac:dyDescent="0.2"/>
    <row r="15" spans="1:10" x14ac:dyDescent="0.2"/>
    <row r="16" spans="1:10"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spans="2:19" x14ac:dyDescent="0.2"/>
    <row r="50" spans="2:19" x14ac:dyDescent="0.2"/>
    <row r="51" spans="2:19" x14ac:dyDescent="0.2"/>
    <row r="52" spans="2:19" x14ac:dyDescent="0.2">
      <c r="P52" s="249"/>
      <c r="Q52" s="119"/>
      <c r="S52" s="43"/>
    </row>
    <row r="53" spans="2:19" x14ac:dyDescent="0.2">
      <c r="B53" s="100"/>
      <c r="C53" s="101"/>
      <c r="D53" s="101"/>
      <c r="E53" s="101"/>
      <c r="F53" s="101"/>
      <c r="G53" s="101"/>
      <c r="H53" s="101"/>
      <c r="I53" s="102"/>
      <c r="J53" s="100"/>
      <c r="K53" s="101"/>
      <c r="L53" s="101"/>
      <c r="M53" s="101"/>
      <c r="N53" s="101"/>
      <c r="O53" s="101"/>
      <c r="P53" s="117"/>
    </row>
    <row r="54" spans="2:19" x14ac:dyDescent="0.2">
      <c r="B54" s="490" t="s">
        <v>120</v>
      </c>
      <c r="C54" s="491"/>
      <c r="D54" s="491"/>
      <c r="E54" s="491"/>
      <c r="F54" s="491"/>
      <c r="G54" s="491"/>
      <c r="H54" s="491"/>
      <c r="I54" s="103"/>
      <c r="J54" s="490" t="s">
        <v>52</v>
      </c>
      <c r="K54" s="491"/>
      <c r="L54" s="491"/>
      <c r="M54" s="491"/>
      <c r="N54" s="491"/>
      <c r="O54" s="491"/>
      <c r="P54" s="494"/>
    </row>
    <row r="55" spans="2:19" x14ac:dyDescent="0.2">
      <c r="B55" s="492" t="s">
        <v>51</v>
      </c>
      <c r="C55" s="493"/>
      <c r="D55" s="493"/>
      <c r="E55" s="493"/>
      <c r="F55" s="493"/>
      <c r="G55" s="493"/>
      <c r="H55" s="493"/>
      <c r="I55" s="104"/>
      <c r="J55" s="492" t="s">
        <v>51</v>
      </c>
      <c r="K55" s="493"/>
      <c r="L55" s="493"/>
      <c r="M55" s="493"/>
      <c r="N55" s="493"/>
      <c r="O55" s="493"/>
      <c r="P55" s="495"/>
    </row>
    <row r="56" spans="2:19" x14ac:dyDescent="0.2">
      <c r="B56" s="105"/>
      <c r="C56" s="106"/>
      <c r="D56" s="106"/>
      <c r="E56" s="106"/>
      <c r="F56" s="106"/>
      <c r="G56" s="106"/>
      <c r="H56" s="106"/>
      <c r="I56" s="102"/>
      <c r="J56" s="105"/>
      <c r="K56" s="106"/>
      <c r="L56" s="106"/>
      <c r="M56" s="106"/>
      <c r="N56" s="106"/>
      <c r="O56" s="106"/>
      <c r="P56" s="118"/>
    </row>
    <row r="57" spans="2:19" x14ac:dyDescent="0.2"/>
    <row r="58" spans="2:19" x14ac:dyDescent="0.2"/>
  </sheetData>
  <sheetProtection sheet="1" selectLockedCells="1"/>
  <mergeCells count="4">
    <mergeCell ref="B54:H54"/>
    <mergeCell ref="B55:H55"/>
    <mergeCell ref="J54:P54"/>
    <mergeCell ref="J55:P55"/>
  </mergeCells>
  <hyperlinks>
    <hyperlink ref="J55:P55" r:id="rId1" display="mail@hermann-baum.de" xr:uid="{0C9E8BEC-DB10-42CC-99F9-43EAE383F78B}"/>
    <hyperlink ref="B55:H55" r:id="rId2" display="mail@hermann-baum.de" xr:uid="{12B13CC7-860E-467B-B648-00509A1259C4}"/>
  </hyperlinks>
  <pageMargins left="0.7" right="0.7" top="0.78740157499999996" bottom="0.78740157499999996"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2EE18-8AAF-4160-B6E1-C239DA8A48C6}">
  <sheetPr codeName="Tabelle4"/>
  <dimension ref="A1:W390"/>
  <sheetViews>
    <sheetView showGridLines="0" showRowColHeaders="0" zoomScaleNormal="100" workbookViewId="0">
      <selection activeCell="D7" sqref="D7"/>
    </sheetView>
  </sheetViews>
  <sheetFormatPr baseColWidth="10" defaultColWidth="0" defaultRowHeight="15" zeroHeight="1" x14ac:dyDescent="0.25"/>
  <cols>
    <col min="1" max="1" width="11.42578125" style="26" customWidth="1"/>
    <col min="2" max="2" width="11.42578125" style="26" hidden="1" customWidth="1"/>
    <col min="3" max="3" width="8" style="26" customWidth="1"/>
    <col min="4" max="4" width="29.85546875" style="26" customWidth="1"/>
    <col min="5" max="5" width="13" style="26" customWidth="1"/>
    <col min="6" max="9" width="11.42578125" style="26" hidden="1" customWidth="1"/>
    <col min="10" max="10" width="3.140625" style="268" customWidth="1"/>
    <col min="11" max="11" width="9.28515625" style="268" customWidth="1"/>
    <col min="12" max="12" width="11.42578125" style="266" customWidth="1"/>
    <col min="13" max="13" width="9.85546875" style="26" customWidth="1"/>
    <col min="14" max="14" width="4.7109375" style="393" customWidth="1"/>
    <col min="15" max="15" width="3" style="26" customWidth="1"/>
    <col min="16" max="16" width="4.7109375" style="393" customWidth="1"/>
    <col min="17" max="17" width="26.7109375" style="26" customWidth="1"/>
    <col min="18" max="18" width="3.85546875" style="26" customWidth="1"/>
    <col min="19" max="19" width="26.7109375" style="26" customWidth="1"/>
    <col min="20" max="20" width="14.42578125" style="26" customWidth="1"/>
    <col min="21" max="22" width="11.42578125" style="26" customWidth="1"/>
    <col min="23" max="16384" width="11.42578125" style="26" hidden="1"/>
  </cols>
  <sheetData>
    <row r="1" spans="2:23" x14ac:dyDescent="0.25">
      <c r="B1" s="95"/>
    </row>
    <row r="2" spans="2:23" ht="37.5" customHeight="1" x14ac:dyDescent="0.5">
      <c r="B2" s="94"/>
      <c r="C2" s="131" t="str">
        <f>Language!$E$30</f>
        <v>Teilnehmer und Ablaufplan</v>
      </c>
      <c r="D2" s="131"/>
      <c r="E2" s="131"/>
      <c r="F2" s="131"/>
      <c r="G2" s="131"/>
      <c r="H2" s="131"/>
      <c r="I2" s="131"/>
      <c r="J2" s="269"/>
      <c r="K2" s="269"/>
      <c r="L2" s="267"/>
      <c r="Q2" s="460" t="str">
        <f>Language!$E$55</f>
        <v>Doppelte Spielpaarungen und Spiele gegen sich selbst
führen in der Gesamttabelle zu falschen Werten!</v>
      </c>
      <c r="R2" s="460"/>
      <c r="S2" s="460"/>
      <c r="T2" s="460"/>
      <c r="U2" s="247"/>
      <c r="V2" s="247"/>
      <c r="W2" s="247"/>
    </row>
    <row r="3" spans="2:23" ht="18.75" customHeight="1" x14ac:dyDescent="0.25"/>
    <row r="4" spans="2:23" ht="19.5" customHeight="1" x14ac:dyDescent="0.4">
      <c r="C4" s="23" t="str">
        <f>Language!$E$31</f>
        <v>Teilnehmer</v>
      </c>
      <c r="M4" s="23" t="str">
        <f>Language!$E$32</f>
        <v>Ablaufplan</v>
      </c>
      <c r="Q4" s="150"/>
      <c r="R4" s="150"/>
      <c r="S4" s="150"/>
      <c r="T4" s="268"/>
      <c r="U4" s="268"/>
    </row>
    <row r="5" spans="2:23" ht="19.5" customHeight="1" thickBot="1" x14ac:dyDescent="0.3">
      <c r="C5" s="457" t="str">
        <f>Language!$E$59</f>
        <v>Doppelte Namen</v>
      </c>
      <c r="D5" s="457"/>
      <c r="E5" s="263"/>
      <c r="F5" s="39"/>
    </row>
    <row r="6" spans="2:23" ht="21" customHeight="1" thickTop="1" x14ac:dyDescent="0.25">
      <c r="B6" s="88">
        <f>MAX($B$7:$B$26)</f>
        <v>1</v>
      </c>
      <c r="C6" s="286" t="str">
        <f>Language!$E$9</f>
        <v>Nr.</v>
      </c>
      <c r="D6" s="291" t="str">
        <f>Language!$E$10</f>
        <v>Teilnehmer bzw. Mannschaft</v>
      </c>
      <c r="E6" s="287" t="str">
        <f>Language!$E$42</f>
        <v>Abkürzung</v>
      </c>
      <c r="F6" s="89">
        <f>MAX($F$7:$F$386)</f>
        <v>2</v>
      </c>
      <c r="G6" s="39"/>
      <c r="H6" s="39"/>
      <c r="I6" s="39" t="s">
        <v>149</v>
      </c>
      <c r="J6" s="39"/>
      <c r="K6" s="39"/>
      <c r="L6" s="273" t="str">
        <f>Language!$E$17</f>
        <v>Spieltag</v>
      </c>
      <c r="M6" s="292" t="str">
        <f>Language!$E$33</f>
        <v>Spiel-Nr.</v>
      </c>
      <c r="N6" s="458" t="str">
        <f>Language!$E$34</f>
        <v>Paarungen</v>
      </c>
      <c r="O6" s="458"/>
      <c r="P6" s="458"/>
      <c r="Q6" s="458" t="str">
        <f>Language!$E$31</f>
        <v>Teilnehmer</v>
      </c>
      <c r="R6" s="458"/>
      <c r="S6" s="459"/>
      <c r="T6" s="292" t="str">
        <f>Language!$E$45</f>
        <v>Datum</v>
      </c>
      <c r="U6" s="293" t="str">
        <f>Language!$E$48</f>
        <v>Zeit</v>
      </c>
    </row>
    <row r="7" spans="2:23" ht="15.95" customHeight="1" x14ac:dyDescent="0.2">
      <c r="B7" s="88">
        <f t="shared" ref="B7:B14" si="0">COUNTIF($D$7:$D$26,$D7)</f>
        <v>1</v>
      </c>
      <c r="C7" s="390">
        <v>199</v>
      </c>
      <c r="D7" s="288" t="s">
        <v>542</v>
      </c>
      <c r="E7" s="237" t="s">
        <v>543</v>
      </c>
      <c r="F7" s="88">
        <f>IF($G7="",0,IF(LEFT($G7,4)=RIGHT($G7,4),100,IF(COUNTIF($G$7:$G$386,$G7)&gt;1,101,COUNTIF($G$7:$G$386,$G7)+COUNTIF($H$7:$H$386,$G7))))</f>
        <v>2</v>
      </c>
      <c r="G7" s="88" t="str">
        <f>IF(OR($N7="",$P7=""),"",TEXT($N7,"0000")&amp;TEXT($P7,"0000"))</f>
        <v>00401635</v>
      </c>
      <c r="H7" s="88" t="str">
        <f>IF(OR($N7="",$P7=""),"",TEXT($P7,"0000")&amp;TEXT($N7,"0000"))</f>
        <v>16350040</v>
      </c>
      <c r="I7" s="88">
        <f>IF($G7="",0,COUNTIF($G$7:$G7,$H7))</f>
        <v>0</v>
      </c>
      <c r="J7" s="265"/>
      <c r="K7" s="296" t="str">
        <f>Language!$E$57</f>
        <v>doppelt</v>
      </c>
      <c r="L7" s="270">
        <f>IF(Calc!$F$26=0,"",IF(OR($M7&gt;Calc!$B$24,MOD($M7-1,Calc!$F$26)&gt;0),"",QUOTIENT($M7-1,Calc!$F$26)+1))</f>
        <v>1</v>
      </c>
      <c r="M7" s="112">
        <v>1</v>
      </c>
      <c r="N7" s="394">
        <v>40</v>
      </c>
      <c r="O7" s="113" t="s">
        <v>4</v>
      </c>
      <c r="P7" s="397">
        <v>1635</v>
      </c>
      <c r="Q7" s="114" t="str">
        <f t="shared" ref="Q7:Q70" si="1">IF(ISBLANK($N7),"",IF(ISBLANK(VLOOKUP($N7,$C$7:$D$26,2,0)),"",VLOOKUP($N7,$C$7:$D$26,2,0)))</f>
        <v>FC Bayern München</v>
      </c>
      <c r="R7" s="115" t="s">
        <v>4</v>
      </c>
      <c r="S7" s="116" t="str">
        <f t="shared" ref="S7:S70" si="2">IF(ISBLANK($P7),"",IF(ISBLANK(VLOOKUP($P7,$C$7:$D$26,2,0)),"",VLOOKUP($P7,$C$7:$D$26,2,0)))</f>
        <v>RB Leipzig</v>
      </c>
      <c r="T7" s="231">
        <v>45891</v>
      </c>
      <c r="U7" s="232">
        <v>0.85416666666666663</v>
      </c>
    </row>
    <row r="8" spans="2:23" ht="15.95" customHeight="1" x14ac:dyDescent="0.2">
      <c r="B8" s="88">
        <f t="shared" si="0"/>
        <v>1</v>
      </c>
      <c r="C8" s="391">
        <v>65</v>
      </c>
      <c r="D8" s="289" t="s">
        <v>538</v>
      </c>
      <c r="E8" s="238" t="s">
        <v>539</v>
      </c>
      <c r="F8" s="88">
        <f t="shared" ref="F8:F71" si="3">IF($G8="",0,IF(LEFT($G8,4)=RIGHT($G8,4),100,IF(COUNTIF($G$7:$G$386,$G8)&gt;1,101,COUNTIF($G$7:$G$386,$G8)+COUNTIF($H$7:$H$386,$G8))))</f>
        <v>2</v>
      </c>
      <c r="G8" s="88" t="str">
        <f t="shared" ref="G8:G71" si="4">IF(OR($N8="",$P8=""),"",TEXT($N8,"0000")&amp;TEXT($P8,"0000"))</f>
        <v>00800016</v>
      </c>
      <c r="H8" s="88" t="str">
        <f t="shared" ref="H8:H71" si="5">IF(OR($N8="",$P8=""),"",TEXT($P8,"0000")&amp;TEXT($N8,"0000"))</f>
        <v>00160080</v>
      </c>
      <c r="I8" s="88">
        <f>IF($G8="",0,COUNTIF($G$7:$G8,$H8))</f>
        <v>0</v>
      </c>
      <c r="J8" s="265"/>
      <c r="K8" s="296" t="str">
        <f>Language!$E$57</f>
        <v>doppelt</v>
      </c>
      <c r="L8" s="270" t="str">
        <f>IF(Calc!$F$26=0,"",IF(OR($M8&gt;Calc!$B$24,MOD($M8-1,Calc!$F$26)&gt;0),"",QUOTIENT($M8-1,Calc!$F$26)+1))</f>
        <v/>
      </c>
      <c r="M8" s="107">
        <v>2</v>
      </c>
      <c r="N8" s="394">
        <v>80</v>
      </c>
      <c r="O8" s="113" t="s">
        <v>4</v>
      </c>
      <c r="P8" s="397">
        <v>16</v>
      </c>
      <c r="Q8" s="114" t="str">
        <f t="shared" si="1"/>
        <v>1. FC Union Berlin</v>
      </c>
      <c r="R8" s="115" t="s">
        <v>4</v>
      </c>
      <c r="S8" s="116" t="str">
        <f t="shared" si="2"/>
        <v>VfB Stuttgart</v>
      </c>
      <c r="T8" s="233">
        <v>45892</v>
      </c>
      <c r="U8" s="234">
        <v>0.64583333333333337</v>
      </c>
    </row>
    <row r="9" spans="2:23" ht="15.95" customHeight="1" x14ac:dyDescent="0.2">
      <c r="B9" s="88">
        <f t="shared" si="0"/>
        <v>1</v>
      </c>
      <c r="C9" s="391">
        <v>80</v>
      </c>
      <c r="D9" s="289" t="s">
        <v>544</v>
      </c>
      <c r="E9" s="238" t="s">
        <v>545</v>
      </c>
      <c r="F9" s="88">
        <f t="shared" si="3"/>
        <v>2</v>
      </c>
      <c r="G9" s="88" t="str">
        <f t="shared" si="4"/>
        <v>01990131</v>
      </c>
      <c r="H9" s="88" t="str">
        <f t="shared" si="5"/>
        <v>01310199</v>
      </c>
      <c r="I9" s="88">
        <f>IF($G9="",0,COUNTIF($G$7:$G9,$H9))</f>
        <v>0</v>
      </c>
      <c r="J9" s="265"/>
      <c r="K9" s="296">
        <v>7</v>
      </c>
      <c r="L9" s="270" t="str">
        <f>IF(Calc!$F$26=0,"",IF(OR($M9&gt;Calc!$B$24,MOD($M9-1,Calc!$F$26)&gt;0),"",QUOTIENT($M9-1,Calc!$F$26)+1))</f>
        <v/>
      </c>
      <c r="M9" s="107">
        <v>3</v>
      </c>
      <c r="N9" s="394">
        <v>199</v>
      </c>
      <c r="O9" s="113" t="s">
        <v>4</v>
      </c>
      <c r="P9" s="397">
        <v>131</v>
      </c>
      <c r="Q9" s="114" t="str">
        <f t="shared" si="1"/>
        <v>1. FC Heidenheim 1846</v>
      </c>
      <c r="R9" s="115" t="s">
        <v>4</v>
      </c>
      <c r="S9" s="116" t="str">
        <f t="shared" si="2"/>
        <v>VfL Wolfsburg</v>
      </c>
      <c r="T9" s="233">
        <v>45892</v>
      </c>
      <c r="U9" s="234">
        <v>0.64583333333333337</v>
      </c>
    </row>
    <row r="10" spans="2:23" ht="15.95" customHeight="1" x14ac:dyDescent="0.2">
      <c r="B10" s="88">
        <f t="shared" si="0"/>
        <v>1</v>
      </c>
      <c r="C10" s="391">
        <v>81</v>
      </c>
      <c r="D10" s="289" t="s">
        <v>546</v>
      </c>
      <c r="E10" s="238" t="s">
        <v>547</v>
      </c>
      <c r="F10" s="88">
        <f t="shared" si="3"/>
        <v>2</v>
      </c>
      <c r="G10" s="88" t="str">
        <f t="shared" si="4"/>
        <v>01120095</v>
      </c>
      <c r="H10" s="88" t="str">
        <f t="shared" si="5"/>
        <v>00950112</v>
      </c>
      <c r="I10" s="88">
        <f>IF($G10="",0,COUNTIF($G$7:$G10,$H10))</f>
        <v>0</v>
      </c>
      <c r="J10" s="265"/>
      <c r="K10" s="296" t="str">
        <f>Language!$E$57</f>
        <v>doppelt</v>
      </c>
      <c r="L10" s="270" t="str">
        <f>IF(Calc!$F$26=0,"",IF(OR($M10&gt;Calc!$B$24,MOD($M10-1,Calc!$F$26)&gt;0),"",QUOTIENT($M10-1,Calc!$F$26)+1))</f>
        <v/>
      </c>
      <c r="M10" s="107">
        <v>4</v>
      </c>
      <c r="N10" s="394">
        <v>112</v>
      </c>
      <c r="O10" s="113" t="s">
        <v>4</v>
      </c>
      <c r="P10" s="397">
        <v>95</v>
      </c>
      <c r="Q10" s="114" t="str">
        <f t="shared" si="1"/>
        <v>SC Freiburg</v>
      </c>
      <c r="R10" s="115" t="s">
        <v>4</v>
      </c>
      <c r="S10" s="116" t="str">
        <f t="shared" si="2"/>
        <v>FC Augsburg</v>
      </c>
      <c r="T10" s="233">
        <v>45892</v>
      </c>
      <c r="U10" s="234">
        <v>0.64583333333333337</v>
      </c>
    </row>
    <row r="11" spans="2:23" ht="15.95" customHeight="1" x14ac:dyDescent="0.2">
      <c r="B11" s="88">
        <f t="shared" si="0"/>
        <v>1</v>
      </c>
      <c r="C11" s="391">
        <v>6</v>
      </c>
      <c r="D11" s="289" t="s">
        <v>548</v>
      </c>
      <c r="E11" s="238" t="s">
        <v>549</v>
      </c>
      <c r="F11" s="88">
        <f t="shared" si="3"/>
        <v>2</v>
      </c>
      <c r="G11" s="88" t="str">
        <f t="shared" si="4"/>
        <v>00060175</v>
      </c>
      <c r="H11" s="88" t="str">
        <f t="shared" si="5"/>
        <v>01750006</v>
      </c>
      <c r="I11" s="88">
        <f>IF($G11="",0,COUNTIF($G$7:$G11,$H11))</f>
        <v>0</v>
      </c>
      <c r="J11" s="265"/>
      <c r="K11" s="296" t="str">
        <f>Language!$E$57</f>
        <v>doppelt</v>
      </c>
      <c r="L11" s="270" t="str">
        <f>IF(Calc!$F$26=0,"",IF(OR($M11&gt;Calc!$B$24,MOD($M11-1,Calc!$F$26)&gt;0),"",QUOTIENT($M11-1,Calc!$F$26)+1))</f>
        <v/>
      </c>
      <c r="M11" s="107">
        <v>5</v>
      </c>
      <c r="N11" s="394">
        <v>6</v>
      </c>
      <c r="O11" s="113" t="s">
        <v>4</v>
      </c>
      <c r="P11" s="397">
        <v>175</v>
      </c>
      <c r="Q11" s="114" t="str">
        <f t="shared" si="1"/>
        <v>Bayer 04 Leverkusen</v>
      </c>
      <c r="R11" s="115" t="s">
        <v>4</v>
      </c>
      <c r="S11" s="116" t="str">
        <f t="shared" si="2"/>
        <v>TSG Hoffenheim</v>
      </c>
      <c r="T11" s="233">
        <v>45892</v>
      </c>
      <c r="U11" s="234">
        <v>0.64583333333333337</v>
      </c>
    </row>
    <row r="12" spans="2:23" ht="15.95" customHeight="1" x14ac:dyDescent="0.2">
      <c r="B12" s="88">
        <f t="shared" si="0"/>
        <v>1</v>
      </c>
      <c r="C12" s="391">
        <v>7</v>
      </c>
      <c r="D12" s="289" t="s">
        <v>550</v>
      </c>
      <c r="E12" s="238" t="s">
        <v>551</v>
      </c>
      <c r="F12" s="88">
        <f t="shared" si="3"/>
        <v>2</v>
      </c>
      <c r="G12" s="88" t="str">
        <f t="shared" si="4"/>
        <v>00910134</v>
      </c>
      <c r="H12" s="88" t="str">
        <f t="shared" si="5"/>
        <v>01340091</v>
      </c>
      <c r="I12" s="88">
        <f>IF($G12="",0,COUNTIF($G$7:$G12,$H12))</f>
        <v>0</v>
      </c>
      <c r="J12" s="265"/>
      <c r="K12" s="296" t="str">
        <f>Language!$E$57</f>
        <v>doppelt</v>
      </c>
      <c r="L12" s="270" t="str">
        <f>IF(Calc!$F$26=0,"",IF(OR($M12&gt;Calc!$B$24,MOD($M12-1,Calc!$F$26)&gt;0),"",QUOTIENT($M12-1,Calc!$F$26)+1))</f>
        <v/>
      </c>
      <c r="M12" s="107">
        <v>6</v>
      </c>
      <c r="N12" s="394">
        <v>91</v>
      </c>
      <c r="O12" s="113" t="s">
        <v>4</v>
      </c>
      <c r="P12" s="397">
        <v>134</v>
      </c>
      <c r="Q12" s="114" t="str">
        <f t="shared" si="1"/>
        <v>Eintracht Frankfurt</v>
      </c>
      <c r="R12" s="115" t="s">
        <v>4</v>
      </c>
      <c r="S12" s="116" t="str">
        <f t="shared" si="2"/>
        <v>SV Werder Bremen</v>
      </c>
      <c r="T12" s="233">
        <v>45892</v>
      </c>
      <c r="U12" s="234">
        <v>0.64583333333333337</v>
      </c>
    </row>
    <row r="13" spans="2:23" ht="15.95" customHeight="1" x14ac:dyDescent="0.2">
      <c r="B13" s="88">
        <f t="shared" si="0"/>
        <v>1</v>
      </c>
      <c r="C13" s="391">
        <v>87</v>
      </c>
      <c r="D13" s="289" t="s">
        <v>552</v>
      </c>
      <c r="E13" s="238" t="s">
        <v>553</v>
      </c>
      <c r="F13" s="88">
        <f t="shared" si="3"/>
        <v>2</v>
      </c>
      <c r="G13" s="88" t="str">
        <f t="shared" si="4"/>
        <v>00980007</v>
      </c>
      <c r="H13" s="88" t="str">
        <f t="shared" si="5"/>
        <v>00070098</v>
      </c>
      <c r="I13" s="88">
        <f>IF($G13="",0,COUNTIF($G$7:$G13,$H13))</f>
        <v>0</v>
      </c>
      <c r="J13" s="265"/>
      <c r="K13" s="296" t="str">
        <f>Language!$E$57</f>
        <v>doppelt</v>
      </c>
      <c r="L13" s="270" t="str">
        <f>IF(Calc!$F$26=0,"",IF(OR($M13&gt;Calc!$B$24,MOD($M13-1,Calc!$F$26)&gt;0),"",QUOTIENT($M13-1,Calc!$F$26)+1))</f>
        <v/>
      </c>
      <c r="M13" s="107">
        <v>7</v>
      </c>
      <c r="N13" s="394">
        <v>98</v>
      </c>
      <c r="O13" s="113" t="s">
        <v>4</v>
      </c>
      <c r="P13" s="397">
        <v>7</v>
      </c>
      <c r="Q13" s="114" t="str">
        <f t="shared" si="1"/>
        <v>FC St. Pauli</v>
      </c>
      <c r="R13" s="115" t="s">
        <v>4</v>
      </c>
      <c r="S13" s="116" t="str">
        <f t="shared" si="2"/>
        <v>Borussia Dortmund</v>
      </c>
      <c r="T13" s="233">
        <v>45892</v>
      </c>
      <c r="U13" s="234">
        <v>0.77083333333333337</v>
      </c>
    </row>
    <row r="14" spans="2:23" ht="15.95" customHeight="1" x14ac:dyDescent="0.2">
      <c r="B14" s="88">
        <f t="shared" si="0"/>
        <v>1</v>
      </c>
      <c r="C14" s="391">
        <v>91</v>
      </c>
      <c r="D14" s="289" t="s">
        <v>554</v>
      </c>
      <c r="E14" s="238" t="s">
        <v>555</v>
      </c>
      <c r="F14" s="88">
        <f t="shared" si="3"/>
        <v>2</v>
      </c>
      <c r="G14" s="88" t="str">
        <f t="shared" si="4"/>
        <v>00810065</v>
      </c>
      <c r="H14" s="88" t="str">
        <f t="shared" si="5"/>
        <v>00650081</v>
      </c>
      <c r="I14" s="88">
        <f>IF($G14="",0,COUNTIF($G$7:$G14,$H14))</f>
        <v>0</v>
      </c>
      <c r="J14" s="265"/>
      <c r="K14" s="296" t="str">
        <f>Language!$E$57</f>
        <v>doppelt</v>
      </c>
      <c r="L14" s="270" t="str">
        <f>IF(Calc!$F$26=0,"",IF(OR($M14&gt;Calc!$B$24,MOD($M14-1,Calc!$F$26)&gt;0),"",QUOTIENT($M14-1,Calc!$F$26)+1))</f>
        <v/>
      </c>
      <c r="M14" s="107">
        <v>8</v>
      </c>
      <c r="N14" s="394">
        <v>81</v>
      </c>
      <c r="O14" s="113" t="s">
        <v>4</v>
      </c>
      <c r="P14" s="397">
        <v>65</v>
      </c>
      <c r="Q14" s="114" t="str">
        <f t="shared" si="1"/>
        <v>1. FSV Mainz 05</v>
      </c>
      <c r="R14" s="115" t="s">
        <v>4</v>
      </c>
      <c r="S14" s="116" t="str">
        <f t="shared" si="2"/>
        <v>1. FC Köln</v>
      </c>
      <c r="T14" s="233">
        <v>45893</v>
      </c>
      <c r="U14" s="234">
        <v>0.64583333333333337</v>
      </c>
    </row>
    <row r="15" spans="2:23" ht="15.95" customHeight="1" x14ac:dyDescent="0.2">
      <c r="B15" s="88">
        <f t="shared" ref="B15:B26" si="6">COUNTIF($D$7:$D$26,$D15)</f>
        <v>1</v>
      </c>
      <c r="C15" s="391">
        <v>95</v>
      </c>
      <c r="D15" s="289" t="s">
        <v>556</v>
      </c>
      <c r="E15" s="238" t="s">
        <v>557</v>
      </c>
      <c r="F15" s="88">
        <f t="shared" si="3"/>
        <v>2</v>
      </c>
      <c r="G15" s="88" t="str">
        <f t="shared" si="4"/>
        <v>00870100</v>
      </c>
      <c r="H15" s="88" t="str">
        <f t="shared" si="5"/>
        <v>01000087</v>
      </c>
      <c r="I15" s="88">
        <f>IF($G15="",0,COUNTIF($G$7:$G15,$H15))</f>
        <v>0</v>
      </c>
      <c r="J15" s="265"/>
      <c r="K15" s="296" t="str">
        <f>Language!$E$57</f>
        <v>doppelt</v>
      </c>
      <c r="L15" s="270" t="str">
        <f>IF(Calc!$F$26=0,"",IF(OR($M15&gt;Calc!$B$24,MOD($M15-1,Calc!$F$26)&gt;0),"",QUOTIENT($M15-1,Calc!$F$26)+1))</f>
        <v/>
      </c>
      <c r="M15" s="107">
        <v>9</v>
      </c>
      <c r="N15" s="394">
        <v>87</v>
      </c>
      <c r="O15" s="113" t="s">
        <v>4</v>
      </c>
      <c r="P15" s="397">
        <v>100</v>
      </c>
      <c r="Q15" s="114" t="str">
        <f t="shared" si="1"/>
        <v>Borussia Mönchengladbach</v>
      </c>
      <c r="R15" s="115" t="s">
        <v>4</v>
      </c>
      <c r="S15" s="116" t="str">
        <f t="shared" si="2"/>
        <v>Hamburger SV</v>
      </c>
      <c r="T15" s="233">
        <v>45893</v>
      </c>
      <c r="U15" s="234">
        <v>0.72916666666666663</v>
      </c>
    </row>
    <row r="16" spans="2:23" ht="15.95" customHeight="1" x14ac:dyDescent="0.2">
      <c r="B16" s="88">
        <f t="shared" si="6"/>
        <v>1</v>
      </c>
      <c r="C16" s="391">
        <v>40</v>
      </c>
      <c r="D16" s="289" t="s">
        <v>558</v>
      </c>
      <c r="E16" s="238" t="s">
        <v>559</v>
      </c>
      <c r="F16" s="88">
        <f t="shared" si="3"/>
        <v>2</v>
      </c>
      <c r="G16" s="88" t="str">
        <f t="shared" si="4"/>
        <v>01000098</v>
      </c>
      <c r="H16" s="88" t="str">
        <f t="shared" si="5"/>
        <v>00980100</v>
      </c>
      <c r="I16" s="88">
        <f>IF($G16="",0,COUNTIF($G$7:$G16,$H16))</f>
        <v>0</v>
      </c>
      <c r="J16" s="88"/>
      <c r="K16" s="296" t="str">
        <f>Language!$E$57</f>
        <v>doppelt</v>
      </c>
      <c r="L16" s="270">
        <f>IF(Calc!$F$26=0,"",IF(OR($M16&gt;Calc!$B$24,MOD($M16-1,Calc!$F$26)&gt;0),"",QUOTIENT($M16-1,Calc!$F$26)+1))</f>
        <v>2</v>
      </c>
      <c r="M16" s="107">
        <v>10</v>
      </c>
      <c r="N16" s="394">
        <v>100</v>
      </c>
      <c r="O16" s="113" t="s">
        <v>4</v>
      </c>
      <c r="P16" s="397">
        <v>98</v>
      </c>
      <c r="Q16" s="114" t="str">
        <f t="shared" si="1"/>
        <v>Hamburger SV</v>
      </c>
      <c r="R16" s="115" t="s">
        <v>4</v>
      </c>
      <c r="S16" s="116" t="str">
        <f t="shared" si="2"/>
        <v>FC St. Pauli</v>
      </c>
      <c r="T16" s="233">
        <v>45898</v>
      </c>
      <c r="U16" s="234">
        <v>0.85416666666666663</v>
      </c>
    </row>
    <row r="17" spans="2:21" ht="15.95" customHeight="1" x14ac:dyDescent="0.2">
      <c r="B17" s="88">
        <f t="shared" si="6"/>
        <v>1</v>
      </c>
      <c r="C17" s="391">
        <v>98</v>
      </c>
      <c r="D17" s="289" t="s">
        <v>560</v>
      </c>
      <c r="E17" s="238" t="s">
        <v>561</v>
      </c>
      <c r="F17" s="88">
        <f t="shared" si="3"/>
        <v>2</v>
      </c>
      <c r="G17" s="88" t="str">
        <f t="shared" si="4"/>
        <v>00160087</v>
      </c>
      <c r="H17" s="88" t="str">
        <f t="shared" si="5"/>
        <v>00870016</v>
      </c>
      <c r="I17" s="88">
        <f>IF($G17="",0,COUNTIF($G$7:$G17,$H17))</f>
        <v>0</v>
      </c>
      <c r="J17" s="88"/>
      <c r="K17" s="296" t="str">
        <f>Language!$E$57</f>
        <v>doppelt</v>
      </c>
      <c r="L17" s="270" t="str">
        <f>IF(Calc!$F$26=0,"",IF(OR($M17&gt;Calc!$B$24,MOD($M17-1,Calc!$F$26)&gt;0),"",QUOTIENT($M17-1,Calc!$F$26)+1))</f>
        <v/>
      </c>
      <c r="M17" s="107">
        <v>11</v>
      </c>
      <c r="N17" s="394">
        <v>16</v>
      </c>
      <c r="O17" s="113" t="s">
        <v>4</v>
      </c>
      <c r="P17" s="397">
        <v>87</v>
      </c>
      <c r="Q17" s="114" t="str">
        <f t="shared" si="1"/>
        <v>VfB Stuttgart</v>
      </c>
      <c r="R17" s="115" t="s">
        <v>4</v>
      </c>
      <c r="S17" s="116" t="str">
        <f t="shared" si="2"/>
        <v>Borussia Mönchengladbach</v>
      </c>
      <c r="T17" s="233">
        <v>45899</v>
      </c>
      <c r="U17" s="234">
        <v>0.64583333333333337</v>
      </c>
    </row>
    <row r="18" spans="2:21" ht="15.95" customHeight="1" x14ac:dyDescent="0.2">
      <c r="B18" s="88">
        <f t="shared" si="6"/>
        <v>1</v>
      </c>
      <c r="C18" s="391">
        <v>100</v>
      </c>
      <c r="D18" s="289" t="s">
        <v>540</v>
      </c>
      <c r="E18" s="238" t="s">
        <v>541</v>
      </c>
      <c r="F18" s="88">
        <f t="shared" si="3"/>
        <v>2</v>
      </c>
      <c r="G18" s="88" t="str">
        <f t="shared" si="4"/>
        <v>01750091</v>
      </c>
      <c r="H18" s="88" t="str">
        <f t="shared" si="5"/>
        <v>00910175</v>
      </c>
      <c r="I18" s="88">
        <f>IF($G18="",0,COUNTIF($G$7:$G18,$H18))</f>
        <v>0</v>
      </c>
      <c r="J18" s="88"/>
      <c r="K18" s="296" t="str">
        <f>Language!$E$57</f>
        <v>doppelt</v>
      </c>
      <c r="L18" s="270" t="str">
        <f>IF(Calc!$F$26=0,"",IF(OR($M18&gt;Calc!$B$24,MOD($M18-1,Calc!$F$26)&gt;0),"",QUOTIENT($M18-1,Calc!$F$26)+1))</f>
        <v/>
      </c>
      <c r="M18" s="107">
        <v>12</v>
      </c>
      <c r="N18" s="394">
        <v>175</v>
      </c>
      <c r="O18" s="113" t="s">
        <v>4</v>
      </c>
      <c r="P18" s="397">
        <v>91</v>
      </c>
      <c r="Q18" s="114" t="str">
        <f t="shared" si="1"/>
        <v>TSG Hoffenheim</v>
      </c>
      <c r="R18" s="115" t="s">
        <v>4</v>
      </c>
      <c r="S18" s="116" t="str">
        <f t="shared" si="2"/>
        <v>Eintracht Frankfurt</v>
      </c>
      <c r="T18" s="233">
        <v>45899</v>
      </c>
      <c r="U18" s="234">
        <v>0.64583333333333337</v>
      </c>
    </row>
    <row r="19" spans="2:21" ht="15.95" customHeight="1" x14ac:dyDescent="0.2">
      <c r="B19" s="88">
        <f t="shared" si="6"/>
        <v>1</v>
      </c>
      <c r="C19" s="391">
        <v>1635</v>
      </c>
      <c r="D19" s="289" t="s">
        <v>562</v>
      </c>
      <c r="E19" s="238" t="s">
        <v>563</v>
      </c>
      <c r="F19" s="88">
        <f t="shared" si="3"/>
        <v>2</v>
      </c>
      <c r="G19" s="88" t="str">
        <f t="shared" si="4"/>
        <v>16350199</v>
      </c>
      <c r="H19" s="88" t="str">
        <f t="shared" si="5"/>
        <v>01991635</v>
      </c>
      <c r="I19" s="88">
        <f>IF($G19="",0,COUNTIF($G$7:$G19,$H19))</f>
        <v>0</v>
      </c>
      <c r="J19" s="88"/>
      <c r="K19" s="296" t="str">
        <f>Language!$E$57</f>
        <v>doppelt</v>
      </c>
      <c r="L19" s="270" t="str">
        <f>IF(Calc!$F$26=0,"",IF(OR($M19&gt;Calc!$B$24,MOD($M19-1,Calc!$F$26)&gt;0),"",QUOTIENT($M19-1,Calc!$F$26)+1))</f>
        <v/>
      </c>
      <c r="M19" s="107">
        <v>13</v>
      </c>
      <c r="N19" s="394">
        <v>1635</v>
      </c>
      <c r="O19" s="113" t="s">
        <v>4</v>
      </c>
      <c r="P19" s="397">
        <v>199</v>
      </c>
      <c r="Q19" s="114" t="str">
        <f t="shared" si="1"/>
        <v>RB Leipzig</v>
      </c>
      <c r="R19" s="115" t="s">
        <v>4</v>
      </c>
      <c r="S19" s="116" t="str">
        <f t="shared" si="2"/>
        <v>1. FC Heidenheim 1846</v>
      </c>
      <c r="T19" s="233">
        <v>45899</v>
      </c>
      <c r="U19" s="234">
        <v>0.64583333333333337</v>
      </c>
    </row>
    <row r="20" spans="2:21" ht="15.95" customHeight="1" x14ac:dyDescent="0.2">
      <c r="B20" s="88">
        <f t="shared" si="6"/>
        <v>1</v>
      </c>
      <c r="C20" s="391">
        <v>112</v>
      </c>
      <c r="D20" s="289" t="s">
        <v>564</v>
      </c>
      <c r="E20" s="238" t="s">
        <v>565</v>
      </c>
      <c r="F20" s="88">
        <f t="shared" si="3"/>
        <v>2</v>
      </c>
      <c r="G20" s="88" t="str">
        <f t="shared" si="4"/>
        <v>01340006</v>
      </c>
      <c r="H20" s="88" t="str">
        <f t="shared" si="5"/>
        <v>00060134</v>
      </c>
      <c r="I20" s="88">
        <f>IF($G20="",0,COUNTIF($G$7:$G20,$H20))</f>
        <v>0</v>
      </c>
      <c r="J20" s="88"/>
      <c r="K20" s="296" t="str">
        <f>Language!$E$57</f>
        <v>doppelt</v>
      </c>
      <c r="L20" s="270" t="str">
        <f>IF(Calc!$F$26=0,"",IF(OR($M20&gt;Calc!$B$24,MOD($M20-1,Calc!$F$26)&gt;0),"",QUOTIENT($M20-1,Calc!$F$26)+1))</f>
        <v/>
      </c>
      <c r="M20" s="107">
        <v>14</v>
      </c>
      <c r="N20" s="394">
        <v>134</v>
      </c>
      <c r="O20" s="113" t="s">
        <v>4</v>
      </c>
      <c r="P20" s="397">
        <v>6</v>
      </c>
      <c r="Q20" s="114" t="str">
        <f t="shared" si="1"/>
        <v>SV Werder Bremen</v>
      </c>
      <c r="R20" s="115" t="s">
        <v>4</v>
      </c>
      <c r="S20" s="116" t="str">
        <f t="shared" si="2"/>
        <v>Bayer 04 Leverkusen</v>
      </c>
      <c r="T20" s="233">
        <v>45899</v>
      </c>
      <c r="U20" s="234">
        <v>0.64583333333333337</v>
      </c>
    </row>
    <row r="21" spans="2:21" ht="15.95" customHeight="1" x14ac:dyDescent="0.2">
      <c r="B21" s="88">
        <f t="shared" si="6"/>
        <v>1</v>
      </c>
      <c r="C21" s="391">
        <v>134</v>
      </c>
      <c r="D21" s="289" t="s">
        <v>566</v>
      </c>
      <c r="E21" s="238" t="s">
        <v>567</v>
      </c>
      <c r="F21" s="88">
        <f t="shared" si="3"/>
        <v>2</v>
      </c>
      <c r="G21" s="88" t="str">
        <f t="shared" si="4"/>
        <v>00950040</v>
      </c>
      <c r="H21" s="88" t="str">
        <f t="shared" si="5"/>
        <v>00400095</v>
      </c>
      <c r="I21" s="88">
        <f>IF($G21="",0,COUNTIF($G$7:$G21,$H21))</f>
        <v>0</v>
      </c>
      <c r="J21" s="88"/>
      <c r="K21" s="296" t="str">
        <f>Language!$E$57</f>
        <v>doppelt</v>
      </c>
      <c r="L21" s="270" t="str">
        <f>IF(Calc!$F$26=0,"",IF(OR($M21&gt;Calc!$B$24,MOD($M21-1,Calc!$F$26)&gt;0),"",QUOTIENT($M21-1,Calc!$F$26)+1))</f>
        <v/>
      </c>
      <c r="M21" s="107">
        <v>15</v>
      </c>
      <c r="N21" s="394">
        <v>95</v>
      </c>
      <c r="O21" s="113" t="s">
        <v>4</v>
      </c>
      <c r="P21" s="397">
        <v>40</v>
      </c>
      <c r="Q21" s="114" t="str">
        <f t="shared" si="1"/>
        <v>FC Augsburg</v>
      </c>
      <c r="R21" s="115" t="s">
        <v>4</v>
      </c>
      <c r="S21" s="116" t="str">
        <f t="shared" si="2"/>
        <v>FC Bayern München</v>
      </c>
      <c r="T21" s="233">
        <v>45899</v>
      </c>
      <c r="U21" s="234">
        <v>0.77083333333333337</v>
      </c>
    </row>
    <row r="22" spans="2:21" ht="15.95" customHeight="1" x14ac:dyDescent="0.2">
      <c r="B22" s="88">
        <f t="shared" si="6"/>
        <v>1</v>
      </c>
      <c r="C22" s="391">
        <v>175</v>
      </c>
      <c r="D22" s="289" t="s">
        <v>568</v>
      </c>
      <c r="E22" s="238" t="s">
        <v>569</v>
      </c>
      <c r="F22" s="88">
        <f t="shared" si="3"/>
        <v>2</v>
      </c>
      <c r="G22" s="88" t="str">
        <f t="shared" si="4"/>
        <v>01310081</v>
      </c>
      <c r="H22" s="88" t="str">
        <f t="shared" si="5"/>
        <v>00810131</v>
      </c>
      <c r="I22" s="88">
        <f>IF($G22="",0,COUNTIF($G$7:$G22,$H22))</f>
        <v>0</v>
      </c>
      <c r="J22" s="88"/>
      <c r="K22" s="296" t="str">
        <f>Language!$E$57</f>
        <v>doppelt</v>
      </c>
      <c r="L22" s="270" t="str">
        <f>IF(Calc!$F$26=0,"",IF(OR($M22&gt;Calc!$B$24,MOD($M22-1,Calc!$F$26)&gt;0),"",QUOTIENT($M22-1,Calc!$F$26)+1))</f>
        <v/>
      </c>
      <c r="M22" s="107">
        <v>16</v>
      </c>
      <c r="N22" s="394">
        <v>131</v>
      </c>
      <c r="O22" s="113" t="s">
        <v>4</v>
      </c>
      <c r="P22" s="397">
        <v>81</v>
      </c>
      <c r="Q22" s="114" t="str">
        <f t="shared" si="1"/>
        <v>VfL Wolfsburg</v>
      </c>
      <c r="R22" s="115" t="s">
        <v>4</v>
      </c>
      <c r="S22" s="116" t="str">
        <f t="shared" si="2"/>
        <v>1. FSV Mainz 05</v>
      </c>
      <c r="T22" s="233">
        <v>45900</v>
      </c>
      <c r="U22" s="234">
        <v>0.64583333333333337</v>
      </c>
    </row>
    <row r="23" spans="2:21" ht="15.95" customHeight="1" x14ac:dyDescent="0.2">
      <c r="B23" s="88">
        <f t="shared" si="6"/>
        <v>1</v>
      </c>
      <c r="C23" s="391">
        <v>16</v>
      </c>
      <c r="D23" s="289" t="s">
        <v>570</v>
      </c>
      <c r="E23" s="238" t="s">
        <v>571</v>
      </c>
      <c r="F23" s="88">
        <f t="shared" si="3"/>
        <v>2</v>
      </c>
      <c r="G23" s="88" t="str">
        <f t="shared" si="4"/>
        <v>00070080</v>
      </c>
      <c r="H23" s="88" t="str">
        <f t="shared" si="5"/>
        <v>00800007</v>
      </c>
      <c r="I23" s="88">
        <f>IF($G23="",0,COUNTIF($G$7:$G23,$H23))</f>
        <v>0</v>
      </c>
      <c r="J23" s="88"/>
      <c r="K23" s="296" t="str">
        <f>Language!$E$57</f>
        <v>doppelt</v>
      </c>
      <c r="L23" s="270" t="str">
        <f>IF(Calc!$F$26=0,"",IF(OR($M23&gt;Calc!$B$24,MOD($M23-1,Calc!$F$26)&gt;0),"",QUOTIENT($M23-1,Calc!$F$26)+1))</f>
        <v/>
      </c>
      <c r="M23" s="107">
        <v>17</v>
      </c>
      <c r="N23" s="394">
        <v>7</v>
      </c>
      <c r="O23" s="113" t="s">
        <v>4</v>
      </c>
      <c r="P23" s="397">
        <v>80</v>
      </c>
      <c r="Q23" s="114" t="str">
        <f t="shared" si="1"/>
        <v>Borussia Dortmund</v>
      </c>
      <c r="R23" s="115" t="s">
        <v>4</v>
      </c>
      <c r="S23" s="116" t="str">
        <f t="shared" si="2"/>
        <v>1. FC Union Berlin</v>
      </c>
      <c r="T23" s="233">
        <v>45900</v>
      </c>
      <c r="U23" s="234">
        <v>0.72916666666666663</v>
      </c>
    </row>
    <row r="24" spans="2:21" ht="15.95" customHeight="1" x14ac:dyDescent="0.2">
      <c r="B24" s="88">
        <f t="shared" si="6"/>
        <v>1</v>
      </c>
      <c r="C24" s="391">
        <v>131</v>
      </c>
      <c r="D24" s="289" t="s">
        <v>572</v>
      </c>
      <c r="E24" s="238" t="s">
        <v>573</v>
      </c>
      <c r="F24" s="88">
        <f t="shared" si="3"/>
        <v>2</v>
      </c>
      <c r="G24" s="88" t="str">
        <f t="shared" si="4"/>
        <v>00650112</v>
      </c>
      <c r="H24" s="88" t="str">
        <f t="shared" si="5"/>
        <v>01120065</v>
      </c>
      <c r="I24" s="88">
        <f>IF($G24="",0,COUNTIF($G$7:$G24,$H24))</f>
        <v>0</v>
      </c>
      <c r="J24" s="88"/>
      <c r="K24" s="296" t="str">
        <f>Language!$E$57</f>
        <v>doppelt</v>
      </c>
      <c r="L24" s="270" t="str">
        <f>IF(Calc!$F$26=0,"",IF(OR($M24&gt;Calc!$B$24,MOD($M24-1,Calc!$F$26)&gt;0),"",QUOTIENT($M24-1,Calc!$F$26)+1))</f>
        <v/>
      </c>
      <c r="M24" s="107">
        <v>18</v>
      </c>
      <c r="N24" s="394">
        <v>65</v>
      </c>
      <c r="O24" s="113" t="s">
        <v>4</v>
      </c>
      <c r="P24" s="397">
        <v>112</v>
      </c>
      <c r="Q24" s="114" t="str">
        <f t="shared" si="1"/>
        <v>1. FC Köln</v>
      </c>
      <c r="R24" s="115" t="s">
        <v>4</v>
      </c>
      <c r="S24" s="116" t="str">
        <f t="shared" si="2"/>
        <v>SC Freiburg</v>
      </c>
      <c r="T24" s="233">
        <v>45900</v>
      </c>
      <c r="U24" s="234">
        <v>0.8125</v>
      </c>
    </row>
    <row r="25" spans="2:21" ht="15.95" customHeight="1" x14ac:dyDescent="0.2">
      <c r="B25" s="88">
        <f t="shared" si="6"/>
        <v>0</v>
      </c>
      <c r="C25" s="391"/>
      <c r="D25" s="289"/>
      <c r="E25" s="238"/>
      <c r="F25" s="88">
        <f t="shared" si="3"/>
        <v>2</v>
      </c>
      <c r="G25" s="88" t="str">
        <f t="shared" si="4"/>
        <v>00060091</v>
      </c>
      <c r="H25" s="88" t="str">
        <f t="shared" si="5"/>
        <v>00910006</v>
      </c>
      <c r="I25" s="88">
        <f>IF($G25="",0,COUNTIF($G$7:$G25,$H25))</f>
        <v>0</v>
      </c>
      <c r="J25" s="88"/>
      <c r="K25" s="296" t="str">
        <f>Language!$E$57</f>
        <v>doppelt</v>
      </c>
      <c r="L25" s="270">
        <f>IF(Calc!$F$26=0,"",IF(OR($M25&gt;Calc!$B$24,MOD($M25-1,Calc!$F$26)&gt;0),"",QUOTIENT($M25-1,Calc!$F$26)+1))</f>
        <v>3</v>
      </c>
      <c r="M25" s="107">
        <v>19</v>
      </c>
      <c r="N25" s="394">
        <v>6</v>
      </c>
      <c r="O25" s="113" t="s">
        <v>4</v>
      </c>
      <c r="P25" s="397">
        <v>91</v>
      </c>
      <c r="Q25" s="114" t="str">
        <f t="shared" si="1"/>
        <v>Bayer 04 Leverkusen</v>
      </c>
      <c r="R25" s="115" t="s">
        <v>4</v>
      </c>
      <c r="S25" s="116" t="str">
        <f t="shared" si="2"/>
        <v>Eintracht Frankfurt</v>
      </c>
      <c r="T25" s="233">
        <v>45912</v>
      </c>
      <c r="U25" s="234">
        <v>0.85416666666666663</v>
      </c>
    </row>
    <row r="26" spans="2:21" ht="15.95" customHeight="1" thickBot="1" x14ac:dyDescent="0.25">
      <c r="B26" s="88">
        <f t="shared" si="6"/>
        <v>0</v>
      </c>
      <c r="C26" s="392"/>
      <c r="D26" s="290"/>
      <c r="E26" s="239"/>
      <c r="F26" s="88">
        <f t="shared" si="3"/>
        <v>2</v>
      </c>
      <c r="G26" s="88" t="str">
        <f t="shared" si="4"/>
        <v>00800175</v>
      </c>
      <c r="H26" s="88" t="str">
        <f t="shared" si="5"/>
        <v>01750080</v>
      </c>
      <c r="I26" s="88">
        <f>IF($G26="",0,COUNTIF($G$7:$G26,$H26))</f>
        <v>0</v>
      </c>
      <c r="J26" s="88"/>
      <c r="K26" s="296" t="str">
        <f>Language!$E$57</f>
        <v>doppelt</v>
      </c>
      <c r="L26" s="270" t="str">
        <f>IF(Calc!$F$26=0,"",IF(OR($M26&gt;Calc!$B$24,MOD($M26-1,Calc!$F$26)&gt;0),"",QUOTIENT($M26-1,Calc!$F$26)+1))</f>
        <v/>
      </c>
      <c r="M26" s="107">
        <v>20</v>
      </c>
      <c r="N26" s="394">
        <v>80</v>
      </c>
      <c r="O26" s="113" t="s">
        <v>4</v>
      </c>
      <c r="P26" s="397">
        <v>175</v>
      </c>
      <c r="Q26" s="114" t="str">
        <f t="shared" si="1"/>
        <v>1. FC Union Berlin</v>
      </c>
      <c r="R26" s="115" t="s">
        <v>4</v>
      </c>
      <c r="S26" s="116" t="str">
        <f t="shared" si="2"/>
        <v>TSG Hoffenheim</v>
      </c>
      <c r="T26" s="233">
        <v>45913</v>
      </c>
      <c r="U26" s="234">
        <v>0.64583333333333337</v>
      </c>
    </row>
    <row r="27" spans="2:21" ht="15.95" customHeight="1" thickTop="1" x14ac:dyDescent="0.2">
      <c r="C27" s="136"/>
      <c r="D27" s="136"/>
      <c r="E27" s="136"/>
      <c r="F27" s="88">
        <f t="shared" si="3"/>
        <v>2</v>
      </c>
      <c r="G27" s="88" t="str">
        <f t="shared" si="4"/>
        <v>01990007</v>
      </c>
      <c r="H27" s="88" t="str">
        <f t="shared" si="5"/>
        <v>00070199</v>
      </c>
      <c r="I27" s="88">
        <f>IF($G27="",0,COUNTIF($G$7:$G27,$H27))</f>
        <v>0</v>
      </c>
      <c r="J27" s="88"/>
      <c r="K27" s="296" t="str">
        <f>Language!$E$57</f>
        <v>doppelt</v>
      </c>
      <c r="L27" s="270" t="str">
        <f>IF(Calc!$F$26=0,"",IF(OR($M27&gt;Calc!$B$24,MOD($M27-1,Calc!$F$26)&gt;0),"",QUOTIENT($M27-1,Calc!$F$26)+1))</f>
        <v/>
      </c>
      <c r="M27" s="107">
        <v>21</v>
      </c>
      <c r="N27" s="394">
        <v>199</v>
      </c>
      <c r="O27" s="113" t="s">
        <v>4</v>
      </c>
      <c r="P27" s="397">
        <v>7</v>
      </c>
      <c r="Q27" s="114" t="str">
        <f t="shared" si="1"/>
        <v>1. FC Heidenheim 1846</v>
      </c>
      <c r="R27" s="115" t="s">
        <v>4</v>
      </c>
      <c r="S27" s="116" t="str">
        <f t="shared" si="2"/>
        <v>Borussia Dortmund</v>
      </c>
      <c r="T27" s="233">
        <v>45913</v>
      </c>
      <c r="U27" s="234">
        <v>0.64583333333333337</v>
      </c>
    </row>
    <row r="28" spans="2:21" ht="15.95" customHeight="1" x14ac:dyDescent="0.2">
      <c r="C28" s="136"/>
      <c r="D28" s="136"/>
      <c r="E28" s="136"/>
      <c r="F28" s="88">
        <f t="shared" si="3"/>
        <v>2</v>
      </c>
      <c r="G28" s="88" t="str">
        <f t="shared" si="4"/>
        <v>01310065</v>
      </c>
      <c r="H28" s="88" t="str">
        <f t="shared" si="5"/>
        <v>00650131</v>
      </c>
      <c r="I28" s="88">
        <f>IF($G28="",0,COUNTIF($G$7:$G28,$H28))</f>
        <v>0</v>
      </c>
      <c r="J28" s="88"/>
      <c r="K28" s="296" t="str">
        <f>Language!$E$57</f>
        <v>doppelt</v>
      </c>
      <c r="L28" s="270" t="str">
        <f>IF(Calc!$F$26=0,"",IF(OR($M28&gt;Calc!$B$24,MOD($M28-1,Calc!$F$26)&gt;0),"",QUOTIENT($M28-1,Calc!$F$26)+1))</f>
        <v/>
      </c>
      <c r="M28" s="107">
        <v>22</v>
      </c>
      <c r="N28" s="394">
        <v>131</v>
      </c>
      <c r="O28" s="113" t="s">
        <v>4</v>
      </c>
      <c r="P28" s="397">
        <v>65</v>
      </c>
      <c r="Q28" s="114" t="str">
        <f t="shared" si="1"/>
        <v>VfL Wolfsburg</v>
      </c>
      <c r="R28" s="115" t="s">
        <v>4</v>
      </c>
      <c r="S28" s="116" t="str">
        <f t="shared" si="2"/>
        <v>1. FC Köln</v>
      </c>
      <c r="T28" s="233">
        <v>45913</v>
      </c>
      <c r="U28" s="234">
        <v>0.64583333333333337</v>
      </c>
    </row>
    <row r="29" spans="2:21" ht="15.95" customHeight="1" x14ac:dyDescent="0.2">
      <c r="C29" s="136"/>
      <c r="D29" s="136"/>
      <c r="E29" s="136"/>
      <c r="F29" s="88">
        <f t="shared" si="3"/>
        <v>2</v>
      </c>
      <c r="G29" s="88" t="str">
        <f t="shared" si="4"/>
        <v>01120016</v>
      </c>
      <c r="H29" s="88" t="str">
        <f t="shared" si="5"/>
        <v>00160112</v>
      </c>
      <c r="I29" s="88">
        <f>IF($G29="",0,COUNTIF($G$7:$G29,$H29))</f>
        <v>0</v>
      </c>
      <c r="J29" s="88"/>
      <c r="K29" s="296" t="str">
        <f>Language!$E$57</f>
        <v>doppelt</v>
      </c>
      <c r="L29" s="270" t="str">
        <f>IF(Calc!$F$26=0,"",IF(OR($M29&gt;Calc!$B$24,MOD($M29-1,Calc!$F$26)&gt;0),"",QUOTIENT($M29-1,Calc!$F$26)+1))</f>
        <v/>
      </c>
      <c r="M29" s="107">
        <v>23</v>
      </c>
      <c r="N29" s="394">
        <v>112</v>
      </c>
      <c r="O29" s="113" t="s">
        <v>4</v>
      </c>
      <c r="P29" s="397">
        <v>16</v>
      </c>
      <c r="Q29" s="114" t="str">
        <f t="shared" si="1"/>
        <v>SC Freiburg</v>
      </c>
      <c r="R29" s="115" t="s">
        <v>4</v>
      </c>
      <c r="S29" s="116" t="str">
        <f t="shared" si="2"/>
        <v>VfB Stuttgart</v>
      </c>
      <c r="T29" s="233">
        <v>45913</v>
      </c>
      <c r="U29" s="234">
        <v>0.64583333333333337</v>
      </c>
    </row>
    <row r="30" spans="2:21" ht="15.95" customHeight="1" x14ac:dyDescent="0.2">
      <c r="F30" s="88">
        <f t="shared" si="3"/>
        <v>2</v>
      </c>
      <c r="G30" s="88" t="str">
        <f t="shared" si="4"/>
        <v>00811635</v>
      </c>
      <c r="H30" s="88" t="str">
        <f t="shared" si="5"/>
        <v>16350081</v>
      </c>
      <c r="I30" s="88">
        <f>IF($G30="",0,COUNTIF($G$7:$G30,$H30))</f>
        <v>0</v>
      </c>
      <c r="J30" s="88"/>
      <c r="K30" s="296" t="str">
        <f>Language!$E$57</f>
        <v>doppelt</v>
      </c>
      <c r="L30" s="270" t="str">
        <f>IF(Calc!$F$26=0,"",IF(OR($M30&gt;Calc!$B$24,MOD($M30-1,Calc!$F$26)&gt;0),"",QUOTIENT($M30-1,Calc!$F$26)+1))</f>
        <v/>
      </c>
      <c r="M30" s="107">
        <v>24</v>
      </c>
      <c r="N30" s="394">
        <v>81</v>
      </c>
      <c r="O30" s="113" t="s">
        <v>4</v>
      </c>
      <c r="P30" s="397">
        <v>1635</v>
      </c>
      <c r="Q30" s="114" t="str">
        <f t="shared" si="1"/>
        <v>1. FSV Mainz 05</v>
      </c>
      <c r="R30" s="115" t="s">
        <v>4</v>
      </c>
      <c r="S30" s="116" t="str">
        <f t="shared" si="2"/>
        <v>RB Leipzig</v>
      </c>
      <c r="T30" s="233">
        <v>45913</v>
      </c>
      <c r="U30" s="234">
        <v>0.64583333333333337</v>
      </c>
    </row>
    <row r="31" spans="2:21" ht="15.95" customHeight="1" x14ac:dyDescent="0.2">
      <c r="F31" s="88">
        <f t="shared" si="3"/>
        <v>2</v>
      </c>
      <c r="G31" s="88" t="str">
        <f t="shared" si="4"/>
        <v>00400100</v>
      </c>
      <c r="H31" s="88" t="str">
        <f t="shared" si="5"/>
        <v>01000040</v>
      </c>
      <c r="I31" s="88">
        <f>IF($G31="",0,COUNTIF($G$7:$G31,$H31))</f>
        <v>0</v>
      </c>
      <c r="J31" s="88"/>
      <c r="K31" s="296" t="str">
        <f>Language!$E$57</f>
        <v>doppelt</v>
      </c>
      <c r="L31" s="270" t="str">
        <f>IF(Calc!$F$26=0,"",IF(OR($M31&gt;Calc!$B$24,MOD($M31-1,Calc!$F$26)&gt;0),"",QUOTIENT($M31-1,Calc!$F$26)+1))</f>
        <v/>
      </c>
      <c r="M31" s="107">
        <v>25</v>
      </c>
      <c r="N31" s="394">
        <v>40</v>
      </c>
      <c r="O31" s="113" t="s">
        <v>4</v>
      </c>
      <c r="P31" s="397">
        <v>100</v>
      </c>
      <c r="Q31" s="114" t="str">
        <f t="shared" si="1"/>
        <v>FC Bayern München</v>
      </c>
      <c r="R31" s="115" t="s">
        <v>4</v>
      </c>
      <c r="S31" s="116" t="str">
        <f t="shared" si="2"/>
        <v>Hamburger SV</v>
      </c>
      <c r="T31" s="233">
        <v>45913</v>
      </c>
      <c r="U31" s="234">
        <v>0.77083333333333337</v>
      </c>
    </row>
    <row r="32" spans="2:21" ht="15.95" customHeight="1" x14ac:dyDescent="0.2">
      <c r="F32" s="88">
        <f t="shared" si="3"/>
        <v>2</v>
      </c>
      <c r="G32" s="88" t="str">
        <f t="shared" si="4"/>
        <v>00980095</v>
      </c>
      <c r="H32" s="88" t="str">
        <f t="shared" si="5"/>
        <v>00950098</v>
      </c>
      <c r="I32" s="88">
        <f>IF($G32="",0,COUNTIF($G$7:$G32,$H32))</f>
        <v>0</v>
      </c>
      <c r="J32" s="88"/>
      <c r="K32" s="296" t="str">
        <f>Language!$E$57</f>
        <v>doppelt</v>
      </c>
      <c r="L32" s="270" t="str">
        <f>IF(Calc!$F$26=0,"",IF(OR($M32&gt;Calc!$B$24,MOD($M32-1,Calc!$F$26)&gt;0),"",QUOTIENT($M32-1,Calc!$F$26)+1))</f>
        <v/>
      </c>
      <c r="M32" s="107">
        <v>26</v>
      </c>
      <c r="N32" s="394">
        <v>98</v>
      </c>
      <c r="O32" s="113" t="s">
        <v>4</v>
      </c>
      <c r="P32" s="397">
        <v>95</v>
      </c>
      <c r="Q32" s="114" t="str">
        <f t="shared" si="1"/>
        <v>FC St. Pauli</v>
      </c>
      <c r="R32" s="115" t="s">
        <v>4</v>
      </c>
      <c r="S32" s="116" t="str">
        <f t="shared" si="2"/>
        <v>FC Augsburg</v>
      </c>
      <c r="T32" s="233">
        <v>45914</v>
      </c>
      <c r="U32" s="234">
        <v>0.64583333333333337</v>
      </c>
    </row>
    <row r="33" spans="6:21" ht="15.95" customHeight="1" x14ac:dyDescent="0.2">
      <c r="F33" s="88">
        <f t="shared" si="3"/>
        <v>2</v>
      </c>
      <c r="G33" s="88" t="str">
        <f t="shared" si="4"/>
        <v>00870134</v>
      </c>
      <c r="H33" s="88" t="str">
        <f t="shared" si="5"/>
        <v>01340087</v>
      </c>
      <c r="I33" s="88">
        <f>IF($G33="",0,COUNTIF($G$7:$G33,$H33))</f>
        <v>0</v>
      </c>
      <c r="J33" s="88"/>
      <c r="K33" s="296" t="str">
        <f>Language!$E$57</f>
        <v>doppelt</v>
      </c>
      <c r="L33" s="270" t="str">
        <f>IF(Calc!$F$26=0,"",IF(OR($M33&gt;Calc!$B$24,MOD($M33-1,Calc!$F$26)&gt;0),"",QUOTIENT($M33-1,Calc!$F$26)+1))</f>
        <v/>
      </c>
      <c r="M33" s="107">
        <v>27</v>
      </c>
      <c r="N33" s="394">
        <v>87</v>
      </c>
      <c r="O33" s="113" t="s">
        <v>4</v>
      </c>
      <c r="P33" s="397">
        <v>134</v>
      </c>
      <c r="Q33" s="114" t="str">
        <f t="shared" si="1"/>
        <v>Borussia Mönchengladbach</v>
      </c>
      <c r="R33" s="115" t="s">
        <v>4</v>
      </c>
      <c r="S33" s="116" t="str">
        <f t="shared" si="2"/>
        <v>SV Werder Bremen</v>
      </c>
      <c r="T33" s="233">
        <v>45914</v>
      </c>
      <c r="U33" s="234">
        <v>0.72916666666666663</v>
      </c>
    </row>
    <row r="34" spans="6:21" ht="15.95" customHeight="1" x14ac:dyDescent="0.2">
      <c r="F34" s="88">
        <f t="shared" si="3"/>
        <v>2</v>
      </c>
      <c r="G34" s="88" t="str">
        <f t="shared" si="4"/>
        <v>00160098</v>
      </c>
      <c r="H34" s="88" t="str">
        <f t="shared" si="5"/>
        <v>00980016</v>
      </c>
      <c r="I34" s="88">
        <f>IF($G34="",0,COUNTIF($G$7:$G34,$H34))</f>
        <v>0</v>
      </c>
      <c r="J34" s="88"/>
      <c r="K34" s="296" t="str">
        <f>Language!$E$57</f>
        <v>doppelt</v>
      </c>
      <c r="L34" s="270">
        <f>IF(Calc!$F$26=0,"",IF(OR($M34&gt;Calc!$B$24,MOD($M34-1,Calc!$F$26)&gt;0),"",QUOTIENT($M34-1,Calc!$F$26)+1))</f>
        <v>4</v>
      </c>
      <c r="M34" s="107">
        <v>28</v>
      </c>
      <c r="N34" s="394">
        <v>16</v>
      </c>
      <c r="O34" s="113" t="s">
        <v>4</v>
      </c>
      <c r="P34" s="397">
        <v>98</v>
      </c>
      <c r="Q34" s="114" t="str">
        <f t="shared" si="1"/>
        <v>VfB Stuttgart</v>
      </c>
      <c r="R34" s="115" t="s">
        <v>4</v>
      </c>
      <c r="S34" s="116" t="str">
        <f t="shared" si="2"/>
        <v>FC St. Pauli</v>
      </c>
      <c r="T34" s="233">
        <v>45919</v>
      </c>
      <c r="U34" s="234">
        <v>0.85416666666666663</v>
      </c>
    </row>
    <row r="35" spans="6:21" ht="15.95" customHeight="1" x14ac:dyDescent="0.2">
      <c r="F35" s="88">
        <f t="shared" si="3"/>
        <v>2</v>
      </c>
      <c r="G35" s="88" t="str">
        <f t="shared" si="4"/>
        <v>01750040</v>
      </c>
      <c r="H35" s="88" t="str">
        <f t="shared" si="5"/>
        <v>00400175</v>
      </c>
      <c r="I35" s="88">
        <f>IF($G35="",0,COUNTIF($G$7:$G35,$H35))</f>
        <v>0</v>
      </c>
      <c r="J35" s="88"/>
      <c r="K35" s="296" t="str">
        <f>Language!$E$57</f>
        <v>doppelt</v>
      </c>
      <c r="L35" s="270" t="str">
        <f>IF(Calc!$F$26=0,"",IF(OR($M35&gt;Calc!$B$24,MOD($M35-1,Calc!$F$26)&gt;0),"",QUOTIENT($M35-1,Calc!$F$26)+1))</f>
        <v/>
      </c>
      <c r="M35" s="107">
        <v>29</v>
      </c>
      <c r="N35" s="394">
        <v>175</v>
      </c>
      <c r="O35" s="113" t="s">
        <v>4</v>
      </c>
      <c r="P35" s="397">
        <v>40</v>
      </c>
      <c r="Q35" s="114" t="str">
        <f t="shared" si="1"/>
        <v>TSG Hoffenheim</v>
      </c>
      <c r="R35" s="115" t="s">
        <v>4</v>
      </c>
      <c r="S35" s="116" t="str">
        <f t="shared" si="2"/>
        <v>FC Bayern München</v>
      </c>
      <c r="T35" s="233">
        <v>45920</v>
      </c>
      <c r="U35" s="234">
        <v>0.64583333333333337</v>
      </c>
    </row>
    <row r="36" spans="6:21" ht="15.95" customHeight="1" x14ac:dyDescent="0.2">
      <c r="F36" s="88">
        <f t="shared" si="3"/>
        <v>2</v>
      </c>
      <c r="G36" s="88" t="str">
        <f t="shared" si="4"/>
        <v>01000199</v>
      </c>
      <c r="H36" s="88" t="str">
        <f t="shared" si="5"/>
        <v>01990100</v>
      </c>
      <c r="I36" s="88">
        <f>IF($G36="",0,COUNTIF($G$7:$G36,$H36))</f>
        <v>0</v>
      </c>
      <c r="J36" s="88"/>
      <c r="K36" s="296" t="str">
        <f>Language!$E$57</f>
        <v>doppelt</v>
      </c>
      <c r="L36" s="270" t="str">
        <f>IF(Calc!$F$26=0,"",IF(OR($M36&gt;Calc!$B$24,MOD($M36-1,Calc!$F$26)&gt;0),"",QUOTIENT($M36-1,Calc!$F$26)+1))</f>
        <v/>
      </c>
      <c r="M36" s="107">
        <v>30</v>
      </c>
      <c r="N36" s="394">
        <v>100</v>
      </c>
      <c r="O36" s="113" t="s">
        <v>4</v>
      </c>
      <c r="P36" s="397">
        <v>199</v>
      </c>
      <c r="Q36" s="114" t="str">
        <f t="shared" si="1"/>
        <v>Hamburger SV</v>
      </c>
      <c r="R36" s="115" t="s">
        <v>4</v>
      </c>
      <c r="S36" s="116" t="str">
        <f t="shared" si="2"/>
        <v>1. FC Heidenheim 1846</v>
      </c>
      <c r="T36" s="233">
        <v>45920</v>
      </c>
      <c r="U36" s="234">
        <v>0.64583333333333337</v>
      </c>
    </row>
    <row r="37" spans="6:21" ht="15.95" customHeight="1" x14ac:dyDescent="0.2">
      <c r="F37" s="88">
        <f t="shared" si="3"/>
        <v>2</v>
      </c>
      <c r="G37" s="88" t="str">
        <f t="shared" si="4"/>
        <v>01340112</v>
      </c>
      <c r="H37" s="88" t="str">
        <f t="shared" si="5"/>
        <v>01120134</v>
      </c>
      <c r="I37" s="88">
        <f>IF($G37="",0,COUNTIF($G$7:$G37,$H37))</f>
        <v>0</v>
      </c>
      <c r="J37" s="88"/>
      <c r="K37" s="296" t="str">
        <f>Language!$E$57</f>
        <v>doppelt</v>
      </c>
      <c r="L37" s="270" t="str">
        <f>IF(Calc!$F$26=0,"",IF(OR($M37&gt;Calc!$B$24,MOD($M37-1,Calc!$F$26)&gt;0),"",QUOTIENT($M37-1,Calc!$F$26)+1))</f>
        <v/>
      </c>
      <c r="M37" s="107">
        <v>31</v>
      </c>
      <c r="N37" s="394">
        <v>134</v>
      </c>
      <c r="O37" s="113" t="s">
        <v>4</v>
      </c>
      <c r="P37" s="397">
        <v>112</v>
      </c>
      <c r="Q37" s="114" t="str">
        <f t="shared" si="1"/>
        <v>SV Werder Bremen</v>
      </c>
      <c r="R37" s="115" t="s">
        <v>4</v>
      </c>
      <c r="S37" s="116" t="str">
        <f t="shared" si="2"/>
        <v>SC Freiburg</v>
      </c>
      <c r="T37" s="233">
        <v>45920</v>
      </c>
      <c r="U37" s="234">
        <v>0.64583333333333337</v>
      </c>
    </row>
    <row r="38" spans="6:21" ht="15.95" customHeight="1" x14ac:dyDescent="0.2">
      <c r="F38" s="88">
        <f t="shared" si="3"/>
        <v>2</v>
      </c>
      <c r="G38" s="88" t="str">
        <f t="shared" si="4"/>
        <v>00950081</v>
      </c>
      <c r="H38" s="88" t="str">
        <f t="shared" si="5"/>
        <v>00810095</v>
      </c>
      <c r="I38" s="88">
        <f>IF($G38="",0,COUNTIF($G$7:$G38,$H38))</f>
        <v>0</v>
      </c>
      <c r="J38" s="88"/>
      <c r="K38" s="296" t="str">
        <f>Language!$E$57</f>
        <v>doppelt</v>
      </c>
      <c r="L38" s="270" t="str">
        <f>IF(Calc!$F$26=0,"",IF(OR($M38&gt;Calc!$B$24,MOD($M38-1,Calc!$F$26)&gt;0),"",QUOTIENT($M38-1,Calc!$F$26)+1))</f>
        <v/>
      </c>
      <c r="M38" s="107">
        <v>32</v>
      </c>
      <c r="N38" s="394">
        <v>95</v>
      </c>
      <c r="O38" s="113" t="s">
        <v>4</v>
      </c>
      <c r="P38" s="397">
        <v>81</v>
      </c>
      <c r="Q38" s="114" t="str">
        <f t="shared" si="1"/>
        <v>FC Augsburg</v>
      </c>
      <c r="R38" s="115" t="s">
        <v>4</v>
      </c>
      <c r="S38" s="116" t="str">
        <f t="shared" si="2"/>
        <v>1. FSV Mainz 05</v>
      </c>
      <c r="T38" s="233">
        <v>45920</v>
      </c>
      <c r="U38" s="234">
        <v>0.64583333333333337</v>
      </c>
    </row>
    <row r="39" spans="6:21" ht="15.95" customHeight="1" x14ac:dyDescent="0.2">
      <c r="F39" s="88">
        <f t="shared" si="3"/>
        <v>2</v>
      </c>
      <c r="G39" s="88" t="str">
        <f t="shared" si="4"/>
        <v>16350065</v>
      </c>
      <c r="H39" s="88" t="str">
        <f t="shared" si="5"/>
        <v>00651635</v>
      </c>
      <c r="I39" s="88">
        <f>IF($G39="",0,COUNTIF($G$7:$G39,$H39))</f>
        <v>0</v>
      </c>
      <c r="J39" s="88"/>
      <c r="K39" s="296" t="str">
        <f>Language!$E$57</f>
        <v>doppelt</v>
      </c>
      <c r="L39" s="270" t="str">
        <f>IF(Calc!$F$26=0,"",IF(OR($M39&gt;Calc!$B$24,MOD($M39-1,Calc!$F$26)&gt;0),"",QUOTIENT($M39-1,Calc!$F$26)+1))</f>
        <v/>
      </c>
      <c r="M39" s="107">
        <v>33</v>
      </c>
      <c r="N39" s="394">
        <v>1635</v>
      </c>
      <c r="O39" s="113" t="s">
        <v>4</v>
      </c>
      <c r="P39" s="397">
        <v>65</v>
      </c>
      <c r="Q39" s="114" t="str">
        <f t="shared" si="1"/>
        <v>RB Leipzig</v>
      </c>
      <c r="R39" s="115" t="s">
        <v>4</v>
      </c>
      <c r="S39" s="116" t="str">
        <f t="shared" si="2"/>
        <v>1. FC Köln</v>
      </c>
      <c r="T39" s="233">
        <v>45920</v>
      </c>
      <c r="U39" s="234">
        <v>0.77083333333333337</v>
      </c>
    </row>
    <row r="40" spans="6:21" ht="15.95" customHeight="1" x14ac:dyDescent="0.2">
      <c r="F40" s="88">
        <f t="shared" si="3"/>
        <v>2</v>
      </c>
      <c r="G40" s="88" t="str">
        <f t="shared" si="4"/>
        <v>00910080</v>
      </c>
      <c r="H40" s="88" t="str">
        <f t="shared" si="5"/>
        <v>00800091</v>
      </c>
      <c r="I40" s="88">
        <f>IF($G40="",0,COUNTIF($G$7:$G40,$H40))</f>
        <v>0</v>
      </c>
      <c r="J40" s="88"/>
      <c r="K40" s="296" t="str">
        <f>Language!$E$57</f>
        <v>doppelt</v>
      </c>
      <c r="L40" s="270" t="str">
        <f>IF(Calc!$F$26=0,"",IF(OR($M40&gt;Calc!$B$24,MOD($M40-1,Calc!$F$26)&gt;0),"",QUOTIENT($M40-1,Calc!$F$26)+1))</f>
        <v/>
      </c>
      <c r="M40" s="107">
        <v>34</v>
      </c>
      <c r="N40" s="394">
        <v>91</v>
      </c>
      <c r="O40" s="113" t="s">
        <v>4</v>
      </c>
      <c r="P40" s="397">
        <v>80</v>
      </c>
      <c r="Q40" s="114" t="str">
        <f t="shared" si="1"/>
        <v>Eintracht Frankfurt</v>
      </c>
      <c r="R40" s="115" t="s">
        <v>4</v>
      </c>
      <c r="S40" s="116" t="str">
        <f t="shared" si="2"/>
        <v>1. FC Union Berlin</v>
      </c>
      <c r="T40" s="233">
        <v>45921</v>
      </c>
      <c r="U40" s="234">
        <v>0.64583333333333337</v>
      </c>
    </row>
    <row r="41" spans="6:21" ht="15.95" customHeight="1" x14ac:dyDescent="0.2">
      <c r="F41" s="88">
        <f t="shared" si="3"/>
        <v>2</v>
      </c>
      <c r="G41" s="88" t="str">
        <f t="shared" si="4"/>
        <v>00060087</v>
      </c>
      <c r="H41" s="88" t="str">
        <f t="shared" si="5"/>
        <v>00870006</v>
      </c>
      <c r="I41" s="88">
        <f>IF($G41="",0,COUNTIF($G$7:$G41,$H41))</f>
        <v>0</v>
      </c>
      <c r="J41" s="88"/>
      <c r="K41" s="296" t="str">
        <f>Language!$E$57</f>
        <v>doppelt</v>
      </c>
      <c r="L41" s="270" t="str">
        <f>IF(Calc!$F$26=0,"",IF(OR($M41&gt;Calc!$B$24,MOD($M41-1,Calc!$F$26)&gt;0),"",QUOTIENT($M41-1,Calc!$F$26)+1))</f>
        <v/>
      </c>
      <c r="M41" s="107">
        <v>35</v>
      </c>
      <c r="N41" s="394">
        <v>6</v>
      </c>
      <c r="O41" s="113" t="s">
        <v>4</v>
      </c>
      <c r="P41" s="397">
        <v>87</v>
      </c>
      <c r="Q41" s="114" t="str">
        <f t="shared" si="1"/>
        <v>Bayer 04 Leverkusen</v>
      </c>
      <c r="R41" s="115" t="s">
        <v>4</v>
      </c>
      <c r="S41" s="116" t="str">
        <f t="shared" si="2"/>
        <v>Borussia Mönchengladbach</v>
      </c>
      <c r="T41" s="233">
        <v>45921</v>
      </c>
      <c r="U41" s="234">
        <v>0.72916666666666663</v>
      </c>
    </row>
    <row r="42" spans="6:21" ht="15.95" customHeight="1" x14ac:dyDescent="0.2">
      <c r="F42" s="88">
        <f t="shared" si="3"/>
        <v>2</v>
      </c>
      <c r="G42" s="88" t="str">
        <f t="shared" si="4"/>
        <v>00070131</v>
      </c>
      <c r="H42" s="88" t="str">
        <f t="shared" si="5"/>
        <v>01310007</v>
      </c>
      <c r="I42" s="88">
        <f>IF($G42="",0,COUNTIF($G$7:$G42,$H42))</f>
        <v>0</v>
      </c>
      <c r="J42" s="88"/>
      <c r="K42" s="296" t="str">
        <f>Language!$E$57</f>
        <v>doppelt</v>
      </c>
      <c r="L42" s="270" t="str">
        <f>IF(Calc!$F$26=0,"",IF(OR($M42&gt;Calc!$B$24,MOD($M42-1,Calc!$F$26)&gt;0),"",QUOTIENT($M42-1,Calc!$F$26)+1))</f>
        <v/>
      </c>
      <c r="M42" s="107">
        <v>36</v>
      </c>
      <c r="N42" s="394">
        <v>7</v>
      </c>
      <c r="O42" s="113" t="s">
        <v>4</v>
      </c>
      <c r="P42" s="397">
        <v>131</v>
      </c>
      <c r="Q42" s="114" t="str">
        <f t="shared" si="1"/>
        <v>Borussia Dortmund</v>
      </c>
      <c r="R42" s="115" t="s">
        <v>4</v>
      </c>
      <c r="S42" s="116" t="str">
        <f t="shared" si="2"/>
        <v>VfL Wolfsburg</v>
      </c>
      <c r="T42" s="233">
        <v>45921</v>
      </c>
      <c r="U42" s="234">
        <v>0.8125</v>
      </c>
    </row>
    <row r="43" spans="6:21" ht="17.25" x14ac:dyDescent="0.2">
      <c r="F43" s="88">
        <f t="shared" si="3"/>
        <v>2</v>
      </c>
      <c r="G43" s="88" t="str">
        <f t="shared" si="4"/>
        <v>00400134</v>
      </c>
      <c r="H43" s="88" t="str">
        <f t="shared" si="5"/>
        <v>01340040</v>
      </c>
      <c r="I43" s="88">
        <f>IF($G43="",0,COUNTIF($G$7:$G43,$H43))</f>
        <v>0</v>
      </c>
      <c r="J43" s="88"/>
      <c r="K43" s="296" t="str">
        <f>Language!$E$57</f>
        <v>doppelt</v>
      </c>
      <c r="L43" s="270">
        <f>IF(Calc!$F$26=0,"",IF(OR($M43&gt;Calc!$B$24,MOD($M43-1,Calc!$F$26)&gt;0),"",QUOTIENT($M43-1,Calc!$F$26)+1))</f>
        <v>5</v>
      </c>
      <c r="M43" s="107">
        <v>37</v>
      </c>
      <c r="N43" s="394">
        <v>40</v>
      </c>
      <c r="O43" s="113" t="s">
        <v>4</v>
      </c>
      <c r="P43" s="397">
        <v>134</v>
      </c>
      <c r="Q43" s="114" t="str">
        <f t="shared" si="1"/>
        <v>FC Bayern München</v>
      </c>
      <c r="R43" s="115" t="s">
        <v>4</v>
      </c>
      <c r="S43" s="116" t="str">
        <f t="shared" si="2"/>
        <v>SV Werder Bremen</v>
      </c>
      <c r="T43" s="233">
        <v>45926</v>
      </c>
      <c r="U43" s="234">
        <v>0.85416666666666663</v>
      </c>
    </row>
    <row r="44" spans="6:21" ht="17.25" x14ac:dyDescent="0.2">
      <c r="F44" s="88">
        <f t="shared" si="3"/>
        <v>2</v>
      </c>
      <c r="G44" s="88" t="str">
        <f t="shared" si="4"/>
        <v>00980006</v>
      </c>
      <c r="H44" s="88" t="str">
        <f t="shared" si="5"/>
        <v>00060098</v>
      </c>
      <c r="I44" s="88">
        <f>IF($G44="",0,COUNTIF($G$7:$G44,$H44))</f>
        <v>0</v>
      </c>
      <c r="J44" s="88"/>
      <c r="K44" s="296" t="str">
        <f>Language!$E$57</f>
        <v>doppelt</v>
      </c>
      <c r="L44" s="270" t="str">
        <f>IF(Calc!$F$26=0,"",IF(OR($M44&gt;Calc!$B$24,MOD($M44-1,Calc!$F$26)&gt;0),"",QUOTIENT($M44-1,Calc!$F$26)+1))</f>
        <v/>
      </c>
      <c r="M44" s="107">
        <v>38</v>
      </c>
      <c r="N44" s="394">
        <v>98</v>
      </c>
      <c r="O44" s="113" t="s">
        <v>4</v>
      </c>
      <c r="P44" s="397">
        <v>6</v>
      </c>
      <c r="Q44" s="114" t="str">
        <f t="shared" si="1"/>
        <v>FC St. Pauli</v>
      </c>
      <c r="R44" s="115" t="s">
        <v>4</v>
      </c>
      <c r="S44" s="116" t="str">
        <f t="shared" si="2"/>
        <v>Bayer 04 Leverkusen</v>
      </c>
      <c r="T44" s="233">
        <v>45927</v>
      </c>
      <c r="U44" s="234">
        <v>0.64583333333333337</v>
      </c>
    </row>
    <row r="45" spans="6:21" ht="17.25" x14ac:dyDescent="0.2">
      <c r="F45" s="88">
        <f t="shared" si="3"/>
        <v>2</v>
      </c>
      <c r="G45" s="88" t="str">
        <f t="shared" si="4"/>
        <v>01990095</v>
      </c>
      <c r="H45" s="88" t="str">
        <f t="shared" si="5"/>
        <v>00950199</v>
      </c>
      <c r="I45" s="88">
        <f>IF($G45="",0,COUNTIF($G$7:$G45,$H45))</f>
        <v>0</v>
      </c>
      <c r="J45" s="88"/>
      <c r="K45" s="296" t="str">
        <f>Language!$E$57</f>
        <v>doppelt</v>
      </c>
      <c r="L45" s="270" t="str">
        <f>IF(Calc!$F$26=0,"",IF(OR($M45&gt;Calc!$B$24,MOD($M45-1,Calc!$F$26)&gt;0),"",QUOTIENT($M45-1,Calc!$F$26)+1))</f>
        <v/>
      </c>
      <c r="M45" s="107">
        <v>39</v>
      </c>
      <c r="N45" s="394">
        <v>199</v>
      </c>
      <c r="O45" s="113" t="s">
        <v>4</v>
      </c>
      <c r="P45" s="397">
        <v>95</v>
      </c>
      <c r="Q45" s="114" t="str">
        <f t="shared" si="1"/>
        <v>1. FC Heidenheim 1846</v>
      </c>
      <c r="R45" s="115" t="s">
        <v>4</v>
      </c>
      <c r="S45" s="116" t="str">
        <f t="shared" si="2"/>
        <v>FC Augsburg</v>
      </c>
      <c r="T45" s="233">
        <v>45927</v>
      </c>
      <c r="U45" s="234">
        <v>0.64583333333333337</v>
      </c>
    </row>
    <row r="46" spans="6:21" ht="17.25" x14ac:dyDescent="0.2">
      <c r="F46" s="88">
        <f t="shared" si="3"/>
        <v>2</v>
      </c>
      <c r="G46" s="88" t="str">
        <f t="shared" si="4"/>
        <v>00810007</v>
      </c>
      <c r="H46" s="88" t="str">
        <f t="shared" si="5"/>
        <v>00070081</v>
      </c>
      <c r="I46" s="88">
        <f>IF($G46="",0,COUNTIF($G$7:$G46,$H46))</f>
        <v>0</v>
      </c>
      <c r="J46" s="88"/>
      <c r="K46" s="296" t="str">
        <f>Language!$E$57</f>
        <v>doppelt</v>
      </c>
      <c r="L46" s="270" t="str">
        <f>IF(Calc!$F$26=0,"",IF(OR($M46&gt;Calc!$B$24,MOD($M46-1,Calc!$F$26)&gt;0),"",QUOTIENT($M46-1,Calc!$F$26)+1))</f>
        <v/>
      </c>
      <c r="M46" s="107">
        <v>40</v>
      </c>
      <c r="N46" s="394">
        <v>81</v>
      </c>
      <c r="O46" s="113" t="s">
        <v>4</v>
      </c>
      <c r="P46" s="397">
        <v>7</v>
      </c>
      <c r="Q46" s="114" t="str">
        <f t="shared" si="1"/>
        <v>1. FSV Mainz 05</v>
      </c>
      <c r="R46" s="115" t="s">
        <v>4</v>
      </c>
      <c r="S46" s="116" t="str">
        <f t="shared" si="2"/>
        <v>Borussia Dortmund</v>
      </c>
      <c r="T46" s="233">
        <v>45927</v>
      </c>
      <c r="U46" s="234">
        <v>0.64583333333333337</v>
      </c>
    </row>
    <row r="47" spans="6:21" ht="17.25" x14ac:dyDescent="0.2">
      <c r="F47" s="88">
        <f t="shared" si="3"/>
        <v>2</v>
      </c>
      <c r="G47" s="88" t="str">
        <f t="shared" si="4"/>
        <v>01311635</v>
      </c>
      <c r="H47" s="88" t="str">
        <f t="shared" si="5"/>
        <v>16350131</v>
      </c>
      <c r="I47" s="88">
        <f>IF($G47="",0,COUNTIF($G$7:$G47,$H47))</f>
        <v>0</v>
      </c>
      <c r="J47" s="88"/>
      <c r="K47" s="296" t="str">
        <f>Language!$E$57</f>
        <v>doppelt</v>
      </c>
      <c r="L47" s="270" t="str">
        <f>IF(Calc!$F$26=0,"",IF(OR($M47&gt;Calc!$B$24,MOD($M47-1,Calc!$F$26)&gt;0),"",QUOTIENT($M47-1,Calc!$F$26)+1))</f>
        <v/>
      </c>
      <c r="M47" s="107">
        <v>41</v>
      </c>
      <c r="N47" s="394">
        <v>131</v>
      </c>
      <c r="O47" s="113" t="s">
        <v>4</v>
      </c>
      <c r="P47" s="397">
        <v>1635</v>
      </c>
      <c r="Q47" s="114" t="str">
        <f t="shared" si="1"/>
        <v>VfL Wolfsburg</v>
      </c>
      <c r="R47" s="115" t="s">
        <v>4</v>
      </c>
      <c r="S47" s="116" t="str">
        <f t="shared" si="2"/>
        <v>RB Leipzig</v>
      </c>
      <c r="T47" s="233">
        <v>45927</v>
      </c>
      <c r="U47" s="234">
        <v>0.64583333333333337</v>
      </c>
    </row>
    <row r="48" spans="6:21" ht="17.25" x14ac:dyDescent="0.2">
      <c r="F48" s="88">
        <f t="shared" si="3"/>
        <v>2</v>
      </c>
      <c r="G48" s="88" t="str">
        <f t="shared" si="4"/>
        <v>00870091</v>
      </c>
      <c r="H48" s="88" t="str">
        <f t="shared" si="5"/>
        <v>00910087</v>
      </c>
      <c r="I48" s="88">
        <f>IF($G48="",0,COUNTIF($G$7:$G48,$H48))</f>
        <v>0</v>
      </c>
      <c r="J48" s="88"/>
      <c r="K48" s="296" t="str">
        <f>Language!$E$57</f>
        <v>doppelt</v>
      </c>
      <c r="L48" s="270" t="str">
        <f>IF(Calc!$F$26=0,"",IF(OR($M48&gt;Calc!$B$24,MOD($M48-1,Calc!$F$26)&gt;0),"",QUOTIENT($M48-1,Calc!$F$26)+1))</f>
        <v/>
      </c>
      <c r="M48" s="107">
        <v>42</v>
      </c>
      <c r="N48" s="394">
        <v>87</v>
      </c>
      <c r="O48" s="113" t="s">
        <v>4</v>
      </c>
      <c r="P48" s="397">
        <v>91</v>
      </c>
      <c r="Q48" s="114" t="str">
        <f t="shared" si="1"/>
        <v>Borussia Mönchengladbach</v>
      </c>
      <c r="R48" s="115" t="s">
        <v>4</v>
      </c>
      <c r="S48" s="116" t="str">
        <f t="shared" si="2"/>
        <v>Eintracht Frankfurt</v>
      </c>
      <c r="T48" s="233">
        <v>45927</v>
      </c>
      <c r="U48" s="234">
        <v>0.77083333333333337</v>
      </c>
    </row>
    <row r="49" spans="6:21" ht="17.25" x14ac:dyDescent="0.2">
      <c r="F49" s="88">
        <f t="shared" si="3"/>
        <v>2</v>
      </c>
      <c r="G49" s="88" t="str">
        <f t="shared" si="4"/>
        <v>01120175</v>
      </c>
      <c r="H49" s="88" t="str">
        <f t="shared" si="5"/>
        <v>01750112</v>
      </c>
      <c r="I49" s="88">
        <f>IF($G49="",0,COUNTIF($G$7:$G49,$H49))</f>
        <v>0</v>
      </c>
      <c r="J49" s="88"/>
      <c r="K49" s="296" t="str">
        <f>Language!$E$57</f>
        <v>doppelt</v>
      </c>
      <c r="L49" s="270" t="str">
        <f>IF(Calc!$F$26=0,"",IF(OR($M49&gt;Calc!$B$24,MOD($M49-1,Calc!$F$26)&gt;0),"",QUOTIENT($M49-1,Calc!$F$26)+1))</f>
        <v/>
      </c>
      <c r="M49" s="107">
        <v>43</v>
      </c>
      <c r="N49" s="394">
        <v>112</v>
      </c>
      <c r="O49" s="113" t="s">
        <v>4</v>
      </c>
      <c r="P49" s="397">
        <v>175</v>
      </c>
      <c r="Q49" s="114" t="str">
        <f t="shared" si="1"/>
        <v>SC Freiburg</v>
      </c>
      <c r="R49" s="115" t="s">
        <v>4</v>
      </c>
      <c r="S49" s="116" t="str">
        <f t="shared" si="2"/>
        <v>TSG Hoffenheim</v>
      </c>
      <c r="T49" s="233">
        <v>45928</v>
      </c>
      <c r="U49" s="234">
        <v>0.64583333333333337</v>
      </c>
    </row>
    <row r="50" spans="6:21" ht="17.25" x14ac:dyDescent="0.2">
      <c r="F50" s="88">
        <f t="shared" si="3"/>
        <v>2</v>
      </c>
      <c r="G50" s="88" t="str">
        <f t="shared" si="4"/>
        <v>00650016</v>
      </c>
      <c r="H50" s="88" t="str">
        <f t="shared" si="5"/>
        <v>00160065</v>
      </c>
      <c r="I50" s="88">
        <f>IF($G50="",0,COUNTIF($G$7:$G50,$H50))</f>
        <v>0</v>
      </c>
      <c r="J50" s="88"/>
      <c r="K50" s="296" t="str">
        <f>Language!$E$57</f>
        <v>doppelt</v>
      </c>
      <c r="L50" s="270" t="str">
        <f>IF(Calc!$F$26=0,"",IF(OR($M50&gt;Calc!$B$24,MOD($M50-1,Calc!$F$26)&gt;0),"",QUOTIENT($M50-1,Calc!$F$26)+1))</f>
        <v/>
      </c>
      <c r="M50" s="107">
        <v>44</v>
      </c>
      <c r="N50" s="394">
        <v>65</v>
      </c>
      <c r="O50" s="113" t="s">
        <v>4</v>
      </c>
      <c r="P50" s="397">
        <v>16</v>
      </c>
      <c r="Q50" s="114" t="str">
        <f t="shared" si="1"/>
        <v>1. FC Köln</v>
      </c>
      <c r="R50" s="115" t="s">
        <v>4</v>
      </c>
      <c r="S50" s="116" t="str">
        <f t="shared" si="2"/>
        <v>VfB Stuttgart</v>
      </c>
      <c r="T50" s="233">
        <v>45928</v>
      </c>
      <c r="U50" s="234">
        <v>0.72916666666666663</v>
      </c>
    </row>
    <row r="51" spans="6:21" ht="17.25" x14ac:dyDescent="0.2">
      <c r="F51" s="88">
        <f t="shared" si="3"/>
        <v>2</v>
      </c>
      <c r="G51" s="88" t="str">
        <f t="shared" si="4"/>
        <v>00800100</v>
      </c>
      <c r="H51" s="88" t="str">
        <f t="shared" si="5"/>
        <v>01000080</v>
      </c>
      <c r="I51" s="88">
        <f>IF($G51="",0,COUNTIF($G$7:$G51,$H51))</f>
        <v>0</v>
      </c>
      <c r="J51" s="88"/>
      <c r="K51" s="296" t="str">
        <f>Language!$E$57</f>
        <v>doppelt</v>
      </c>
      <c r="L51" s="270" t="str">
        <f>IF(Calc!$F$26=0,"",IF(OR($M51&gt;Calc!$B$24,MOD($M51-1,Calc!$F$26)&gt;0),"",QUOTIENT($M51-1,Calc!$F$26)+1))</f>
        <v/>
      </c>
      <c r="M51" s="107">
        <v>45</v>
      </c>
      <c r="N51" s="394">
        <v>80</v>
      </c>
      <c r="O51" s="113" t="s">
        <v>4</v>
      </c>
      <c r="P51" s="397">
        <v>100</v>
      </c>
      <c r="Q51" s="114" t="str">
        <f t="shared" si="1"/>
        <v>1. FC Union Berlin</v>
      </c>
      <c r="R51" s="115" t="s">
        <v>4</v>
      </c>
      <c r="S51" s="116" t="str">
        <f t="shared" si="2"/>
        <v>Hamburger SV</v>
      </c>
      <c r="T51" s="233">
        <v>45928</v>
      </c>
      <c r="U51" s="234">
        <v>0.8125</v>
      </c>
    </row>
    <row r="52" spans="6:21" ht="17.25" x14ac:dyDescent="0.2">
      <c r="F52" s="88">
        <f t="shared" si="3"/>
        <v>2</v>
      </c>
      <c r="G52" s="88" t="str">
        <f t="shared" si="4"/>
        <v>01750065</v>
      </c>
      <c r="H52" s="88" t="str">
        <f t="shared" si="5"/>
        <v>00650175</v>
      </c>
      <c r="I52" s="88">
        <f>IF($G52="",0,COUNTIF($G$7:$G52,$H52))</f>
        <v>0</v>
      </c>
      <c r="J52" s="88"/>
      <c r="K52" s="296" t="str">
        <f>Language!$E$57</f>
        <v>doppelt</v>
      </c>
      <c r="L52" s="270">
        <f>IF(Calc!$F$26=0,"",IF(OR($M52&gt;Calc!$B$24,MOD($M52-1,Calc!$F$26)&gt;0),"",QUOTIENT($M52-1,Calc!$F$26)+1))</f>
        <v>6</v>
      </c>
      <c r="M52" s="107">
        <v>46</v>
      </c>
      <c r="N52" s="394">
        <v>175</v>
      </c>
      <c r="O52" s="113" t="s">
        <v>4</v>
      </c>
      <c r="P52" s="397">
        <v>65</v>
      </c>
      <c r="Q52" s="114" t="str">
        <f t="shared" si="1"/>
        <v>TSG Hoffenheim</v>
      </c>
      <c r="R52" s="115" t="s">
        <v>4</v>
      </c>
      <c r="S52" s="116" t="str">
        <f t="shared" si="2"/>
        <v>1. FC Köln</v>
      </c>
      <c r="T52" s="233">
        <v>45933</v>
      </c>
      <c r="U52" s="234">
        <v>0.85416666666666663</v>
      </c>
    </row>
    <row r="53" spans="6:21" ht="17.25" x14ac:dyDescent="0.2">
      <c r="F53" s="88">
        <f t="shared" si="3"/>
        <v>2</v>
      </c>
      <c r="G53" s="88" t="str">
        <f t="shared" si="4"/>
        <v>01340098</v>
      </c>
      <c r="H53" s="88" t="str">
        <f t="shared" si="5"/>
        <v>00980134</v>
      </c>
      <c r="I53" s="88">
        <f>IF($G53="",0,COUNTIF($G$7:$G53,$H53))</f>
        <v>0</v>
      </c>
      <c r="J53" s="88"/>
      <c r="K53" s="296" t="str">
        <f>Language!$E$57</f>
        <v>doppelt</v>
      </c>
      <c r="L53" s="270" t="str">
        <f>IF(Calc!$F$26=0,"",IF(OR($M53&gt;Calc!$B$24,MOD($M53-1,Calc!$F$26)&gt;0),"",QUOTIENT($M53-1,Calc!$F$26)+1))</f>
        <v/>
      </c>
      <c r="M53" s="107">
        <v>47</v>
      </c>
      <c r="N53" s="394">
        <v>134</v>
      </c>
      <c r="O53" s="113" t="s">
        <v>4</v>
      </c>
      <c r="P53" s="397">
        <v>98</v>
      </c>
      <c r="Q53" s="114" t="str">
        <f t="shared" si="1"/>
        <v>SV Werder Bremen</v>
      </c>
      <c r="R53" s="115" t="s">
        <v>4</v>
      </c>
      <c r="S53" s="116" t="str">
        <f t="shared" si="2"/>
        <v>FC St. Pauli</v>
      </c>
      <c r="T53" s="233">
        <v>45934</v>
      </c>
      <c r="U53" s="234">
        <v>0.64583333333333337</v>
      </c>
    </row>
    <row r="54" spans="6:21" ht="17.25" x14ac:dyDescent="0.2">
      <c r="F54" s="88">
        <f t="shared" si="3"/>
        <v>2</v>
      </c>
      <c r="G54" s="88" t="str">
        <f t="shared" si="4"/>
        <v>00950131</v>
      </c>
      <c r="H54" s="88" t="str">
        <f t="shared" si="5"/>
        <v>01310095</v>
      </c>
      <c r="I54" s="88">
        <f>IF($G54="",0,COUNTIF($G$7:$G54,$H54))</f>
        <v>0</v>
      </c>
      <c r="J54" s="88"/>
      <c r="K54" s="296" t="str">
        <f>Language!$E$57</f>
        <v>doppelt</v>
      </c>
      <c r="L54" s="270" t="str">
        <f>IF(Calc!$F$26=0,"",IF(OR($M54&gt;Calc!$B$24,MOD($M54-1,Calc!$F$26)&gt;0),"",QUOTIENT($M54-1,Calc!$F$26)+1))</f>
        <v/>
      </c>
      <c r="M54" s="107">
        <v>48</v>
      </c>
      <c r="N54" s="394">
        <v>95</v>
      </c>
      <c r="O54" s="113" t="s">
        <v>4</v>
      </c>
      <c r="P54" s="397">
        <v>131</v>
      </c>
      <c r="Q54" s="114" t="str">
        <f t="shared" si="1"/>
        <v>FC Augsburg</v>
      </c>
      <c r="R54" s="115" t="s">
        <v>4</v>
      </c>
      <c r="S54" s="116" t="str">
        <f t="shared" si="2"/>
        <v>VfL Wolfsburg</v>
      </c>
      <c r="T54" s="233">
        <v>45934</v>
      </c>
      <c r="U54" s="234">
        <v>0.64583333333333337</v>
      </c>
    </row>
    <row r="55" spans="6:21" ht="17.25" x14ac:dyDescent="0.2">
      <c r="F55" s="88">
        <f t="shared" si="3"/>
        <v>2</v>
      </c>
      <c r="G55" s="88" t="str">
        <f t="shared" si="4"/>
        <v>00060080</v>
      </c>
      <c r="H55" s="88" t="str">
        <f t="shared" si="5"/>
        <v>00800006</v>
      </c>
      <c r="I55" s="88">
        <f>IF($G55="",0,COUNTIF($G$7:$G55,$H55))</f>
        <v>0</v>
      </c>
      <c r="J55" s="88"/>
      <c r="K55" s="296" t="str">
        <f>Language!$E$57</f>
        <v>doppelt</v>
      </c>
      <c r="L55" s="270" t="str">
        <f>IF(Calc!$F$26=0,"",IF(OR($M55&gt;Calc!$B$24,MOD($M55-1,Calc!$F$26)&gt;0),"",QUOTIENT($M55-1,Calc!$F$26)+1))</f>
        <v/>
      </c>
      <c r="M55" s="107">
        <v>49</v>
      </c>
      <c r="N55" s="394">
        <v>6</v>
      </c>
      <c r="O55" s="113" t="s">
        <v>4</v>
      </c>
      <c r="P55" s="397">
        <v>80</v>
      </c>
      <c r="Q55" s="114" t="str">
        <f t="shared" si="1"/>
        <v>Bayer 04 Leverkusen</v>
      </c>
      <c r="R55" s="115" t="s">
        <v>4</v>
      </c>
      <c r="S55" s="116" t="str">
        <f t="shared" si="2"/>
        <v>1. FC Union Berlin</v>
      </c>
      <c r="T55" s="233">
        <v>45934</v>
      </c>
      <c r="U55" s="234">
        <v>0.64583333333333337</v>
      </c>
    </row>
    <row r="56" spans="6:21" ht="17.25" x14ac:dyDescent="0.2">
      <c r="F56" s="88">
        <f t="shared" si="3"/>
        <v>2</v>
      </c>
      <c r="G56" s="88" t="str">
        <f t="shared" si="4"/>
        <v>00071635</v>
      </c>
      <c r="H56" s="88" t="str">
        <f t="shared" si="5"/>
        <v>16350007</v>
      </c>
      <c r="I56" s="88">
        <f>IF($G56="",0,COUNTIF($G$7:$G56,$H56))</f>
        <v>0</v>
      </c>
      <c r="J56" s="88"/>
      <c r="K56" s="296" t="str">
        <f>Language!$E$57</f>
        <v>doppelt</v>
      </c>
      <c r="L56" s="270" t="str">
        <f>IF(Calc!$F$26=0,"",IF(OR($M56&gt;Calc!$B$24,MOD($M56-1,Calc!$F$26)&gt;0),"",QUOTIENT($M56-1,Calc!$F$26)+1))</f>
        <v/>
      </c>
      <c r="M56" s="107">
        <v>50</v>
      </c>
      <c r="N56" s="394">
        <v>7</v>
      </c>
      <c r="O56" s="113" t="s">
        <v>4</v>
      </c>
      <c r="P56" s="397">
        <v>1635</v>
      </c>
      <c r="Q56" s="114" t="str">
        <f t="shared" si="1"/>
        <v>Borussia Dortmund</v>
      </c>
      <c r="R56" s="115" t="s">
        <v>4</v>
      </c>
      <c r="S56" s="116" t="str">
        <f t="shared" si="2"/>
        <v>RB Leipzig</v>
      </c>
      <c r="T56" s="233">
        <v>45934</v>
      </c>
      <c r="U56" s="234">
        <v>0.64583333333333337</v>
      </c>
    </row>
    <row r="57" spans="6:21" ht="17.25" x14ac:dyDescent="0.2">
      <c r="F57" s="88">
        <f t="shared" si="3"/>
        <v>2</v>
      </c>
      <c r="G57" s="88" t="str">
        <f t="shared" si="4"/>
        <v>00910040</v>
      </c>
      <c r="H57" s="88" t="str">
        <f t="shared" si="5"/>
        <v>00400091</v>
      </c>
      <c r="I57" s="88">
        <f>IF($G57="",0,COUNTIF($G$7:$G57,$H57))</f>
        <v>0</v>
      </c>
      <c r="J57" s="88"/>
      <c r="K57" s="296" t="str">
        <f>Language!$E$57</f>
        <v>doppelt</v>
      </c>
      <c r="L57" s="270" t="str">
        <f>IF(Calc!$F$26=0,"",IF(OR($M57&gt;Calc!$B$24,MOD($M57-1,Calc!$F$26)&gt;0),"",QUOTIENT($M57-1,Calc!$F$26)+1))</f>
        <v/>
      </c>
      <c r="M57" s="107">
        <v>51</v>
      </c>
      <c r="N57" s="394">
        <v>91</v>
      </c>
      <c r="O57" s="113" t="s">
        <v>4</v>
      </c>
      <c r="P57" s="397">
        <v>40</v>
      </c>
      <c r="Q57" s="114" t="str">
        <f t="shared" si="1"/>
        <v>Eintracht Frankfurt</v>
      </c>
      <c r="R57" s="115" t="s">
        <v>4</v>
      </c>
      <c r="S57" s="116" t="str">
        <f t="shared" si="2"/>
        <v>FC Bayern München</v>
      </c>
      <c r="T57" s="233">
        <v>45934</v>
      </c>
      <c r="U57" s="234">
        <v>0.77083333333333337</v>
      </c>
    </row>
    <row r="58" spans="6:21" ht="17.25" x14ac:dyDescent="0.2">
      <c r="F58" s="88">
        <f t="shared" si="3"/>
        <v>2</v>
      </c>
      <c r="G58" s="88" t="str">
        <f t="shared" si="4"/>
        <v>00160199</v>
      </c>
      <c r="H58" s="88" t="str">
        <f t="shared" si="5"/>
        <v>01990016</v>
      </c>
      <c r="I58" s="88">
        <f>IF($G58="",0,COUNTIF($G$7:$G58,$H58))</f>
        <v>0</v>
      </c>
      <c r="J58" s="88"/>
      <c r="K58" s="296" t="str">
        <f>Language!$E$57</f>
        <v>doppelt</v>
      </c>
      <c r="L58" s="270" t="str">
        <f>IF(Calc!$F$26=0,"",IF(OR($M58&gt;Calc!$B$24,MOD($M58-1,Calc!$F$26)&gt;0),"",QUOTIENT($M58-1,Calc!$F$26)+1))</f>
        <v/>
      </c>
      <c r="M58" s="107">
        <v>52</v>
      </c>
      <c r="N58" s="394">
        <v>16</v>
      </c>
      <c r="O58" s="113" t="s">
        <v>4</v>
      </c>
      <c r="P58" s="397">
        <v>199</v>
      </c>
      <c r="Q58" s="114" t="str">
        <f t="shared" si="1"/>
        <v>VfB Stuttgart</v>
      </c>
      <c r="R58" s="115" t="s">
        <v>4</v>
      </c>
      <c r="S58" s="116" t="str">
        <f t="shared" si="2"/>
        <v>1. FC Heidenheim 1846</v>
      </c>
      <c r="T58" s="233">
        <v>45935</v>
      </c>
      <c r="U58" s="234">
        <v>0.64583333333333337</v>
      </c>
    </row>
    <row r="59" spans="6:21" ht="17.25" x14ac:dyDescent="0.2">
      <c r="F59" s="88">
        <f t="shared" si="3"/>
        <v>2</v>
      </c>
      <c r="G59" s="88" t="str">
        <f t="shared" si="4"/>
        <v>01000081</v>
      </c>
      <c r="H59" s="88" t="str">
        <f t="shared" si="5"/>
        <v>00810100</v>
      </c>
      <c r="I59" s="88">
        <f>IF($G59="",0,COUNTIF($G$7:$G59,$H59))</f>
        <v>0</v>
      </c>
      <c r="J59" s="88"/>
      <c r="K59" s="296" t="str">
        <f>Language!$E$57</f>
        <v>doppelt</v>
      </c>
      <c r="L59" s="270" t="str">
        <f>IF(Calc!$F$26=0,"",IF(OR($M59&gt;Calc!$B$24,MOD($M59-1,Calc!$F$26)&gt;0),"",QUOTIENT($M59-1,Calc!$F$26)+1))</f>
        <v/>
      </c>
      <c r="M59" s="107">
        <v>53</v>
      </c>
      <c r="N59" s="394">
        <v>100</v>
      </c>
      <c r="O59" s="113" t="s">
        <v>4</v>
      </c>
      <c r="P59" s="397">
        <v>81</v>
      </c>
      <c r="Q59" s="114" t="str">
        <f t="shared" si="1"/>
        <v>Hamburger SV</v>
      </c>
      <c r="R59" s="115" t="s">
        <v>4</v>
      </c>
      <c r="S59" s="116" t="str">
        <f t="shared" si="2"/>
        <v>1. FSV Mainz 05</v>
      </c>
      <c r="T59" s="233">
        <v>45935</v>
      </c>
      <c r="U59" s="234">
        <v>0.72916666666666663</v>
      </c>
    </row>
    <row r="60" spans="6:21" ht="17.25" x14ac:dyDescent="0.2">
      <c r="F60" s="88">
        <f t="shared" si="3"/>
        <v>2</v>
      </c>
      <c r="G60" s="88" t="str">
        <f t="shared" si="4"/>
        <v>00870112</v>
      </c>
      <c r="H60" s="88" t="str">
        <f t="shared" si="5"/>
        <v>01120087</v>
      </c>
      <c r="I60" s="88">
        <f>IF($G60="",0,COUNTIF($G$7:$G60,$H60))</f>
        <v>0</v>
      </c>
      <c r="J60" s="88"/>
      <c r="K60" s="296" t="str">
        <f>Language!$E$57</f>
        <v>doppelt</v>
      </c>
      <c r="L60" s="270" t="str">
        <f>IF(Calc!$F$26=0,"",IF(OR($M60&gt;Calc!$B$24,MOD($M60-1,Calc!$F$26)&gt;0),"",QUOTIENT($M60-1,Calc!$F$26)+1))</f>
        <v/>
      </c>
      <c r="M60" s="107">
        <v>54</v>
      </c>
      <c r="N60" s="394">
        <v>87</v>
      </c>
      <c r="O60" s="113" t="s">
        <v>4</v>
      </c>
      <c r="P60" s="397">
        <v>112</v>
      </c>
      <c r="Q60" s="114" t="str">
        <f t="shared" si="1"/>
        <v>Borussia Mönchengladbach</v>
      </c>
      <c r="R60" s="115" t="s">
        <v>4</v>
      </c>
      <c r="S60" s="116" t="str">
        <f t="shared" si="2"/>
        <v>SC Freiburg</v>
      </c>
      <c r="T60" s="233">
        <v>45935</v>
      </c>
      <c r="U60" s="234">
        <v>0.8125</v>
      </c>
    </row>
    <row r="61" spans="6:21" ht="17.25" x14ac:dyDescent="0.2">
      <c r="F61" s="88">
        <f t="shared" si="3"/>
        <v>2</v>
      </c>
      <c r="G61" s="88" t="str">
        <f t="shared" si="4"/>
        <v>00800087</v>
      </c>
      <c r="H61" s="88" t="str">
        <f t="shared" si="5"/>
        <v>00870080</v>
      </c>
      <c r="I61" s="88">
        <f>IF($G61="",0,COUNTIF($G$7:$G61,$H61))</f>
        <v>0</v>
      </c>
      <c r="J61" s="88"/>
      <c r="K61" s="296" t="str">
        <f>Language!$E$57</f>
        <v>doppelt</v>
      </c>
      <c r="L61" s="270">
        <f>IF(Calc!$F$26=0,"",IF(OR($M61&gt;Calc!$B$24,MOD($M61-1,Calc!$F$26)&gt;0),"",QUOTIENT($M61-1,Calc!$F$26)+1))</f>
        <v>7</v>
      </c>
      <c r="M61" s="107">
        <v>55</v>
      </c>
      <c r="N61" s="394">
        <v>80</v>
      </c>
      <c r="O61" s="113" t="s">
        <v>4</v>
      </c>
      <c r="P61" s="397">
        <v>87</v>
      </c>
      <c r="Q61" s="114" t="str">
        <f t="shared" si="1"/>
        <v>1. FC Union Berlin</v>
      </c>
      <c r="R61" s="115" t="s">
        <v>4</v>
      </c>
      <c r="S61" s="116" t="str">
        <f t="shared" si="2"/>
        <v>Borussia Mönchengladbach</v>
      </c>
      <c r="T61" s="233">
        <v>45947</v>
      </c>
      <c r="U61" s="234">
        <v>0.85416666666666663</v>
      </c>
    </row>
    <row r="62" spans="6:21" ht="17.25" x14ac:dyDescent="0.2">
      <c r="F62" s="88">
        <f t="shared" si="3"/>
        <v>2</v>
      </c>
      <c r="G62" s="88" t="str">
        <f t="shared" si="4"/>
        <v>01990134</v>
      </c>
      <c r="H62" s="88" t="str">
        <f t="shared" si="5"/>
        <v>01340199</v>
      </c>
      <c r="I62" s="88">
        <f>IF($G62="",0,COUNTIF($G$7:$G62,$H62))</f>
        <v>0</v>
      </c>
      <c r="J62" s="88"/>
      <c r="K62" s="296" t="str">
        <f>Language!$E$57</f>
        <v>doppelt</v>
      </c>
      <c r="L62" s="270" t="str">
        <f>IF(Calc!$F$26=0,"",IF(OR($M62&gt;Calc!$B$24,MOD($M62-1,Calc!$F$26)&gt;0),"",QUOTIENT($M62-1,Calc!$F$26)+1))</f>
        <v/>
      </c>
      <c r="M62" s="107">
        <v>56</v>
      </c>
      <c r="N62" s="394">
        <v>199</v>
      </c>
      <c r="O62" s="113" t="s">
        <v>4</v>
      </c>
      <c r="P62" s="397">
        <v>134</v>
      </c>
      <c r="Q62" s="114" t="str">
        <f t="shared" si="1"/>
        <v>1. FC Heidenheim 1846</v>
      </c>
      <c r="R62" s="115" t="s">
        <v>4</v>
      </c>
      <c r="S62" s="116" t="str">
        <f t="shared" si="2"/>
        <v>SV Werder Bremen</v>
      </c>
      <c r="T62" s="233">
        <v>45948</v>
      </c>
      <c r="U62" s="234">
        <v>0.64583333333333337</v>
      </c>
    </row>
    <row r="63" spans="6:21" ht="17.25" x14ac:dyDescent="0.2">
      <c r="F63" s="88">
        <f t="shared" si="3"/>
        <v>2</v>
      </c>
      <c r="G63" s="88" t="str">
        <f t="shared" si="4"/>
        <v>00650095</v>
      </c>
      <c r="H63" s="88" t="str">
        <f t="shared" si="5"/>
        <v>00950065</v>
      </c>
      <c r="I63" s="88">
        <f>IF($G63="",0,COUNTIF($G$7:$G63,$H63))</f>
        <v>0</v>
      </c>
      <c r="J63" s="88"/>
      <c r="K63" s="296" t="str">
        <f>Language!$E$57</f>
        <v>doppelt</v>
      </c>
      <c r="L63" s="270" t="str">
        <f>IF(Calc!$F$26=0,"",IF(OR($M63&gt;Calc!$B$24,MOD($M63-1,Calc!$F$26)&gt;0),"",QUOTIENT($M63-1,Calc!$F$26)+1))</f>
        <v/>
      </c>
      <c r="M63" s="107">
        <v>57</v>
      </c>
      <c r="N63" s="394">
        <v>65</v>
      </c>
      <c r="O63" s="113" t="s">
        <v>4</v>
      </c>
      <c r="P63" s="397">
        <v>95</v>
      </c>
      <c r="Q63" s="114" t="str">
        <f t="shared" si="1"/>
        <v>1. FC Köln</v>
      </c>
      <c r="R63" s="115" t="s">
        <v>4</v>
      </c>
      <c r="S63" s="116" t="str">
        <f t="shared" si="2"/>
        <v>FC Augsburg</v>
      </c>
      <c r="T63" s="233">
        <v>45948</v>
      </c>
      <c r="U63" s="234">
        <v>0.64583333333333337</v>
      </c>
    </row>
    <row r="64" spans="6:21" ht="17.25" x14ac:dyDescent="0.2">
      <c r="F64" s="88">
        <f t="shared" si="3"/>
        <v>2</v>
      </c>
      <c r="G64" s="88" t="str">
        <f t="shared" si="4"/>
        <v>01310016</v>
      </c>
      <c r="H64" s="88" t="str">
        <f t="shared" si="5"/>
        <v>00160131</v>
      </c>
      <c r="I64" s="88">
        <f>IF($G64="",0,COUNTIF($G$7:$G64,$H64))</f>
        <v>0</v>
      </c>
      <c r="J64" s="88"/>
      <c r="K64" s="296" t="str">
        <f>Language!$E$57</f>
        <v>doppelt</v>
      </c>
      <c r="L64" s="270" t="str">
        <f>IF(Calc!$F$26=0,"",IF(OR($M64&gt;Calc!$B$24,MOD($M64-1,Calc!$F$26)&gt;0),"",QUOTIENT($M64-1,Calc!$F$26)+1))</f>
        <v/>
      </c>
      <c r="M64" s="107">
        <v>58</v>
      </c>
      <c r="N64" s="394">
        <v>131</v>
      </c>
      <c r="O64" s="113" t="s">
        <v>4</v>
      </c>
      <c r="P64" s="397">
        <v>16</v>
      </c>
      <c r="Q64" s="114" t="str">
        <f t="shared" si="1"/>
        <v>VfL Wolfsburg</v>
      </c>
      <c r="R64" s="115" t="s">
        <v>4</v>
      </c>
      <c r="S64" s="116" t="str">
        <f t="shared" si="2"/>
        <v>VfB Stuttgart</v>
      </c>
      <c r="T64" s="233">
        <v>45948</v>
      </c>
      <c r="U64" s="234">
        <v>0.64583333333333337</v>
      </c>
    </row>
    <row r="65" spans="6:21" ht="17.25" x14ac:dyDescent="0.2">
      <c r="F65" s="88">
        <f t="shared" si="3"/>
        <v>2</v>
      </c>
      <c r="G65" s="88" t="str">
        <f t="shared" si="4"/>
        <v>00810006</v>
      </c>
      <c r="H65" s="88" t="str">
        <f t="shared" si="5"/>
        <v>00060081</v>
      </c>
      <c r="I65" s="88">
        <f>IF($G65="",0,COUNTIF($G$7:$G65,$H65))</f>
        <v>0</v>
      </c>
      <c r="J65" s="88"/>
      <c r="K65" s="296" t="str">
        <f>Language!$E$57</f>
        <v>doppelt</v>
      </c>
      <c r="L65" s="270" t="str">
        <f>IF(Calc!$F$26=0,"",IF(OR($M65&gt;Calc!$B$24,MOD($M65-1,Calc!$F$26)&gt;0),"",QUOTIENT($M65-1,Calc!$F$26)+1))</f>
        <v/>
      </c>
      <c r="M65" s="107">
        <v>59</v>
      </c>
      <c r="N65" s="394">
        <v>81</v>
      </c>
      <c r="O65" s="113" t="s">
        <v>4</v>
      </c>
      <c r="P65" s="397">
        <v>6</v>
      </c>
      <c r="Q65" s="114" t="str">
        <f t="shared" si="1"/>
        <v>1. FSV Mainz 05</v>
      </c>
      <c r="R65" s="115" t="s">
        <v>4</v>
      </c>
      <c r="S65" s="116" t="str">
        <f t="shared" si="2"/>
        <v>Bayer 04 Leverkusen</v>
      </c>
      <c r="T65" s="233">
        <v>45948</v>
      </c>
      <c r="U65" s="234">
        <v>0.64583333333333337</v>
      </c>
    </row>
    <row r="66" spans="6:21" ht="17.25" x14ac:dyDescent="0.2">
      <c r="F66" s="88">
        <f t="shared" si="3"/>
        <v>2</v>
      </c>
      <c r="G66" s="88" t="str">
        <f t="shared" si="4"/>
        <v>16350100</v>
      </c>
      <c r="H66" s="88" t="str">
        <f t="shared" si="5"/>
        <v>01001635</v>
      </c>
      <c r="I66" s="88">
        <f>IF($G66="",0,COUNTIF($G$7:$G66,$H66))</f>
        <v>0</v>
      </c>
      <c r="J66" s="88"/>
      <c r="K66" s="296" t="str">
        <f>Language!$E$57</f>
        <v>doppelt</v>
      </c>
      <c r="L66" s="270" t="str">
        <f>IF(Calc!$F$26=0,"",IF(OR($M66&gt;Calc!$B$24,MOD($M66-1,Calc!$F$26)&gt;0),"",QUOTIENT($M66-1,Calc!$F$26)+1))</f>
        <v/>
      </c>
      <c r="M66" s="107">
        <v>60</v>
      </c>
      <c r="N66" s="394">
        <v>1635</v>
      </c>
      <c r="O66" s="113" t="s">
        <v>4</v>
      </c>
      <c r="P66" s="397">
        <v>100</v>
      </c>
      <c r="Q66" s="114" t="str">
        <f t="shared" si="1"/>
        <v>RB Leipzig</v>
      </c>
      <c r="R66" s="115" t="s">
        <v>4</v>
      </c>
      <c r="S66" s="116" t="str">
        <f t="shared" si="2"/>
        <v>Hamburger SV</v>
      </c>
      <c r="T66" s="233">
        <v>45948</v>
      </c>
      <c r="U66" s="234">
        <v>0.64583333333333337</v>
      </c>
    </row>
    <row r="67" spans="6:21" ht="17.25" x14ac:dyDescent="0.2">
      <c r="F67" s="88">
        <f t="shared" si="3"/>
        <v>2</v>
      </c>
      <c r="G67" s="88" t="str">
        <f t="shared" si="4"/>
        <v>00400007</v>
      </c>
      <c r="H67" s="88" t="str">
        <f t="shared" si="5"/>
        <v>00070040</v>
      </c>
      <c r="I67" s="88">
        <f>IF($G67="",0,COUNTIF($G$7:$G67,$H67))</f>
        <v>0</v>
      </c>
      <c r="J67" s="88"/>
      <c r="K67" s="296" t="str">
        <f>Language!$E$57</f>
        <v>doppelt</v>
      </c>
      <c r="L67" s="270" t="str">
        <f>IF(Calc!$F$26=0,"",IF(OR($M67&gt;Calc!$B$24,MOD($M67-1,Calc!$F$26)&gt;0),"",QUOTIENT($M67-1,Calc!$F$26)+1))</f>
        <v/>
      </c>
      <c r="M67" s="107">
        <v>61</v>
      </c>
      <c r="N67" s="394">
        <v>40</v>
      </c>
      <c r="O67" s="113" t="s">
        <v>4</v>
      </c>
      <c r="P67" s="397">
        <v>7</v>
      </c>
      <c r="Q67" s="114" t="str">
        <f t="shared" si="1"/>
        <v>FC Bayern München</v>
      </c>
      <c r="R67" s="115" t="s">
        <v>4</v>
      </c>
      <c r="S67" s="116" t="str">
        <f t="shared" si="2"/>
        <v>Borussia Dortmund</v>
      </c>
      <c r="T67" s="233">
        <v>45948</v>
      </c>
      <c r="U67" s="234">
        <v>0.77083333333333337</v>
      </c>
    </row>
    <row r="68" spans="6:21" ht="17.25" x14ac:dyDescent="0.2">
      <c r="F68" s="88">
        <f t="shared" si="3"/>
        <v>2</v>
      </c>
      <c r="G68" s="88" t="str">
        <f t="shared" si="4"/>
        <v>01120091</v>
      </c>
      <c r="H68" s="88" t="str">
        <f t="shared" si="5"/>
        <v>00910112</v>
      </c>
      <c r="I68" s="88">
        <f>IF($G68="",0,COUNTIF($G$7:$G68,$H68))</f>
        <v>0</v>
      </c>
      <c r="J68" s="88"/>
      <c r="K68" s="296" t="str">
        <f>Language!$E$57</f>
        <v>doppelt</v>
      </c>
      <c r="L68" s="270" t="str">
        <f>IF(Calc!$F$26=0,"",IF(OR($M68&gt;Calc!$B$24,MOD($M68-1,Calc!$F$26)&gt;0),"",QUOTIENT($M68-1,Calc!$F$26)+1))</f>
        <v/>
      </c>
      <c r="M68" s="107">
        <v>62</v>
      </c>
      <c r="N68" s="394">
        <v>112</v>
      </c>
      <c r="O68" s="113" t="s">
        <v>4</v>
      </c>
      <c r="P68" s="397">
        <v>91</v>
      </c>
      <c r="Q68" s="114" t="str">
        <f t="shared" si="1"/>
        <v>SC Freiburg</v>
      </c>
      <c r="R68" s="115" t="s">
        <v>4</v>
      </c>
      <c r="S68" s="116" t="str">
        <f t="shared" si="2"/>
        <v>Eintracht Frankfurt</v>
      </c>
      <c r="T68" s="233">
        <v>45949</v>
      </c>
      <c r="U68" s="234">
        <v>0.64583333333333337</v>
      </c>
    </row>
    <row r="69" spans="6:21" ht="17.25" x14ac:dyDescent="0.2">
      <c r="F69" s="88">
        <f t="shared" si="3"/>
        <v>2</v>
      </c>
      <c r="G69" s="88" t="str">
        <f t="shared" si="4"/>
        <v>00980175</v>
      </c>
      <c r="H69" s="88" t="str">
        <f t="shared" si="5"/>
        <v>01750098</v>
      </c>
      <c r="I69" s="88">
        <f>IF($G69="",0,COUNTIF($G$7:$G69,$H69))</f>
        <v>0</v>
      </c>
      <c r="J69" s="88"/>
      <c r="K69" s="296" t="str">
        <f>Language!$E$57</f>
        <v>doppelt</v>
      </c>
      <c r="L69" s="270" t="str">
        <f>IF(Calc!$F$26=0,"",IF(OR($M69&gt;Calc!$B$24,MOD($M69-1,Calc!$F$26)&gt;0),"",QUOTIENT($M69-1,Calc!$F$26)+1))</f>
        <v/>
      </c>
      <c r="M69" s="107">
        <v>63</v>
      </c>
      <c r="N69" s="394">
        <v>98</v>
      </c>
      <c r="O69" s="113" t="s">
        <v>4</v>
      </c>
      <c r="P69" s="397">
        <v>175</v>
      </c>
      <c r="Q69" s="114" t="str">
        <f t="shared" si="1"/>
        <v>FC St. Pauli</v>
      </c>
      <c r="R69" s="115" t="s">
        <v>4</v>
      </c>
      <c r="S69" s="116" t="str">
        <f t="shared" si="2"/>
        <v>TSG Hoffenheim</v>
      </c>
      <c r="T69" s="233">
        <v>45949</v>
      </c>
      <c r="U69" s="234">
        <v>0.72916666666666663</v>
      </c>
    </row>
    <row r="70" spans="6:21" ht="17.25" x14ac:dyDescent="0.2">
      <c r="F70" s="88">
        <f t="shared" si="3"/>
        <v>2</v>
      </c>
      <c r="G70" s="88" t="str">
        <f t="shared" si="4"/>
        <v>01340080</v>
      </c>
      <c r="H70" s="88" t="str">
        <f t="shared" si="5"/>
        <v>00800134</v>
      </c>
      <c r="I70" s="88">
        <f>IF($G70="",0,COUNTIF($G$7:$G70,$H70))</f>
        <v>0</v>
      </c>
      <c r="J70" s="88"/>
      <c r="K70" s="296" t="str">
        <f>Language!$E$57</f>
        <v>doppelt</v>
      </c>
      <c r="L70" s="270">
        <f>IF(Calc!$F$26=0,"",IF(OR($M70&gt;Calc!$B$24,MOD($M70-1,Calc!$F$26)&gt;0),"",QUOTIENT($M70-1,Calc!$F$26)+1))</f>
        <v>8</v>
      </c>
      <c r="M70" s="107">
        <v>64</v>
      </c>
      <c r="N70" s="394">
        <v>134</v>
      </c>
      <c r="O70" s="113" t="s">
        <v>4</v>
      </c>
      <c r="P70" s="397">
        <v>80</v>
      </c>
      <c r="Q70" s="114" t="str">
        <f t="shared" si="1"/>
        <v>SV Werder Bremen</v>
      </c>
      <c r="R70" s="115" t="s">
        <v>4</v>
      </c>
      <c r="S70" s="116" t="str">
        <f t="shared" si="2"/>
        <v>1. FC Union Berlin</v>
      </c>
      <c r="T70" s="233">
        <v>45954</v>
      </c>
      <c r="U70" s="234">
        <v>0.85416666666666663</v>
      </c>
    </row>
    <row r="71" spans="6:21" ht="17.25" x14ac:dyDescent="0.2">
      <c r="F71" s="88">
        <f t="shared" si="3"/>
        <v>2</v>
      </c>
      <c r="G71" s="88" t="str">
        <f t="shared" si="4"/>
        <v>01750199</v>
      </c>
      <c r="H71" s="88" t="str">
        <f t="shared" si="5"/>
        <v>01990175</v>
      </c>
      <c r="I71" s="88">
        <f>IF($G71="",0,COUNTIF($G$7:$G71,$H71))</f>
        <v>0</v>
      </c>
      <c r="J71" s="88"/>
      <c r="K71" s="296" t="str">
        <f>Language!$E$57</f>
        <v>doppelt</v>
      </c>
      <c r="L71" s="270" t="str">
        <f>IF(Calc!$F$26=0,"",IF(OR($M71&gt;Calc!$B$24,MOD($M71-1,Calc!$F$26)&gt;0),"",QUOTIENT($M71-1,Calc!$F$26)+1))</f>
        <v/>
      </c>
      <c r="M71" s="107">
        <v>65</v>
      </c>
      <c r="N71" s="394">
        <v>175</v>
      </c>
      <c r="O71" s="113" t="s">
        <v>4</v>
      </c>
      <c r="P71" s="397">
        <v>199</v>
      </c>
      <c r="Q71" s="114" t="str">
        <f t="shared" ref="Q71:Q134" si="7">IF(ISBLANK($N71),"",IF(ISBLANK(VLOOKUP($N71,$C$7:$D$26,2,0)),"",VLOOKUP($N71,$C$7:$D$26,2,0)))</f>
        <v>TSG Hoffenheim</v>
      </c>
      <c r="R71" s="115" t="s">
        <v>4</v>
      </c>
      <c r="S71" s="116" t="str">
        <f t="shared" ref="S71:S134" si="8">IF(ISBLANK($P71),"",IF(ISBLANK(VLOOKUP($P71,$C$7:$D$26,2,0)),"",VLOOKUP($P71,$C$7:$D$26,2,0)))</f>
        <v>1. FC Heidenheim 1846</v>
      </c>
      <c r="T71" s="233">
        <v>45955</v>
      </c>
      <c r="U71" s="234">
        <v>0.64583333333333337</v>
      </c>
    </row>
    <row r="72" spans="6:21" ht="17.25" x14ac:dyDescent="0.2">
      <c r="F72" s="88">
        <f t="shared" ref="F72:F135" si="9">IF($G72="",0,IF(LEFT($G72,4)=RIGHT($G72,4),100,IF(COUNTIF($G$7:$G$386,$G72)&gt;1,101,COUNTIF($G$7:$G$386,$G72)+COUNTIF($H$7:$H$386,$G72))))</f>
        <v>2</v>
      </c>
      <c r="G72" s="88" t="str">
        <f t="shared" ref="G72:G135" si="10">IF(OR($N72="",$P72=""),"",TEXT($N72,"0000")&amp;TEXT($P72,"0000"))</f>
        <v>01000131</v>
      </c>
      <c r="H72" s="88" t="str">
        <f t="shared" ref="H72:H135" si="11">IF(OR($N72="",$P72=""),"",TEXT($P72,"0000")&amp;TEXT($N72,"0000"))</f>
        <v>01310100</v>
      </c>
      <c r="I72" s="88">
        <f>IF($G72="",0,COUNTIF($G$7:$G72,$H72))</f>
        <v>0</v>
      </c>
      <c r="J72" s="88"/>
      <c r="K72" s="296" t="str">
        <f>Language!$E$57</f>
        <v>doppelt</v>
      </c>
      <c r="L72" s="270" t="str">
        <f>IF(Calc!$F$26=0,"",IF(OR($M72&gt;Calc!$B$24,MOD($M72-1,Calc!$F$26)&gt;0),"",QUOTIENT($M72-1,Calc!$F$26)+1))</f>
        <v/>
      </c>
      <c r="M72" s="107">
        <v>66</v>
      </c>
      <c r="N72" s="394">
        <v>100</v>
      </c>
      <c r="O72" s="113" t="s">
        <v>4</v>
      </c>
      <c r="P72" s="397">
        <v>131</v>
      </c>
      <c r="Q72" s="114" t="str">
        <f t="shared" si="7"/>
        <v>Hamburger SV</v>
      </c>
      <c r="R72" s="115" t="s">
        <v>4</v>
      </c>
      <c r="S72" s="116" t="str">
        <f t="shared" si="8"/>
        <v>VfL Wolfsburg</v>
      </c>
      <c r="T72" s="233">
        <v>45955</v>
      </c>
      <c r="U72" s="234">
        <v>0.64583333333333337</v>
      </c>
    </row>
    <row r="73" spans="6:21" ht="17.25" x14ac:dyDescent="0.2">
      <c r="F73" s="88">
        <f t="shared" si="9"/>
        <v>2</v>
      </c>
      <c r="G73" s="88" t="str">
        <f t="shared" si="10"/>
        <v>00951635</v>
      </c>
      <c r="H73" s="88" t="str">
        <f t="shared" si="11"/>
        <v>16350095</v>
      </c>
      <c r="I73" s="88">
        <f>IF($G73="",0,COUNTIF($G$7:$G73,$H73))</f>
        <v>0</v>
      </c>
      <c r="J73" s="88"/>
      <c r="K73" s="296" t="str">
        <f>Language!$E$57</f>
        <v>doppelt</v>
      </c>
      <c r="L73" s="270" t="str">
        <f>IF(Calc!$F$26=0,"",IF(OR($M73&gt;Calc!$B$24,MOD($M73-1,Calc!$F$26)&gt;0),"",QUOTIENT($M73-1,Calc!$F$26)+1))</f>
        <v/>
      </c>
      <c r="M73" s="107">
        <v>67</v>
      </c>
      <c r="N73" s="394">
        <v>95</v>
      </c>
      <c r="O73" s="113" t="s">
        <v>4</v>
      </c>
      <c r="P73" s="397">
        <v>1635</v>
      </c>
      <c r="Q73" s="114" t="str">
        <f t="shared" si="7"/>
        <v>FC Augsburg</v>
      </c>
      <c r="R73" s="115" t="s">
        <v>4</v>
      </c>
      <c r="S73" s="116" t="str">
        <f t="shared" si="8"/>
        <v>RB Leipzig</v>
      </c>
      <c r="T73" s="233">
        <v>45955</v>
      </c>
      <c r="U73" s="234">
        <v>0.64583333333333337</v>
      </c>
    </row>
    <row r="74" spans="6:21" ht="17.25" x14ac:dyDescent="0.2">
      <c r="F74" s="88">
        <f t="shared" si="9"/>
        <v>2</v>
      </c>
      <c r="G74" s="88" t="str">
        <f t="shared" si="10"/>
        <v>00910098</v>
      </c>
      <c r="H74" s="88" t="str">
        <f t="shared" si="11"/>
        <v>00980091</v>
      </c>
      <c r="I74" s="88">
        <f>IF($G74="",0,COUNTIF($G$7:$G74,$H74))</f>
        <v>0</v>
      </c>
      <c r="J74" s="88"/>
      <c r="K74" s="296" t="str">
        <f>Language!$E$57</f>
        <v>doppelt</v>
      </c>
      <c r="L74" s="270" t="str">
        <f>IF(Calc!$F$26=0,"",IF(OR($M74&gt;Calc!$B$24,MOD($M74-1,Calc!$F$26)&gt;0),"",QUOTIENT($M74-1,Calc!$F$26)+1))</f>
        <v/>
      </c>
      <c r="M74" s="107">
        <v>68</v>
      </c>
      <c r="N74" s="394">
        <v>91</v>
      </c>
      <c r="O74" s="113" t="s">
        <v>4</v>
      </c>
      <c r="P74" s="397">
        <v>98</v>
      </c>
      <c r="Q74" s="114" t="str">
        <f t="shared" si="7"/>
        <v>Eintracht Frankfurt</v>
      </c>
      <c r="R74" s="115" t="s">
        <v>4</v>
      </c>
      <c r="S74" s="116" t="str">
        <f t="shared" si="8"/>
        <v>FC St. Pauli</v>
      </c>
      <c r="T74" s="233">
        <v>45955</v>
      </c>
      <c r="U74" s="234">
        <v>0.64583333333333337</v>
      </c>
    </row>
    <row r="75" spans="6:21" ht="17.25" x14ac:dyDescent="0.2">
      <c r="F75" s="88">
        <f t="shared" si="9"/>
        <v>2</v>
      </c>
      <c r="G75" s="88" t="str">
        <f t="shared" si="10"/>
        <v>00870040</v>
      </c>
      <c r="H75" s="88" t="str">
        <f t="shared" si="11"/>
        <v>00400087</v>
      </c>
      <c r="I75" s="88">
        <f>IF($G75="",0,COUNTIF($G$7:$G75,$H75))</f>
        <v>0</v>
      </c>
      <c r="J75" s="88"/>
      <c r="K75" s="296" t="str">
        <f>Language!$E$57</f>
        <v>doppelt</v>
      </c>
      <c r="L75" s="270" t="str">
        <f>IF(Calc!$F$26=0,"",IF(OR($M75&gt;Calc!$B$24,MOD($M75-1,Calc!$F$26)&gt;0),"",QUOTIENT($M75-1,Calc!$F$26)+1))</f>
        <v/>
      </c>
      <c r="M75" s="107">
        <v>69</v>
      </c>
      <c r="N75" s="394">
        <v>87</v>
      </c>
      <c r="O75" s="113" t="s">
        <v>4</v>
      </c>
      <c r="P75" s="397">
        <v>40</v>
      </c>
      <c r="Q75" s="114" t="str">
        <f t="shared" si="7"/>
        <v>Borussia Mönchengladbach</v>
      </c>
      <c r="R75" s="115" t="s">
        <v>4</v>
      </c>
      <c r="S75" s="116" t="str">
        <f t="shared" si="8"/>
        <v>FC Bayern München</v>
      </c>
      <c r="T75" s="233">
        <v>45955</v>
      </c>
      <c r="U75" s="234">
        <v>0.64583333333333337</v>
      </c>
    </row>
    <row r="76" spans="6:21" ht="17.25" x14ac:dyDescent="0.2">
      <c r="F76" s="88">
        <f t="shared" si="9"/>
        <v>2</v>
      </c>
      <c r="G76" s="88" t="str">
        <f t="shared" si="10"/>
        <v>00070065</v>
      </c>
      <c r="H76" s="88" t="str">
        <f t="shared" si="11"/>
        <v>00650007</v>
      </c>
      <c r="I76" s="88">
        <f>IF($G76="",0,COUNTIF($G$7:$G76,$H76))</f>
        <v>0</v>
      </c>
      <c r="J76" s="88"/>
      <c r="K76" s="296" t="str">
        <f>Language!$E$57</f>
        <v>doppelt</v>
      </c>
      <c r="L76" s="270" t="str">
        <f>IF(Calc!$F$26=0,"",IF(OR($M76&gt;Calc!$B$24,MOD($M76-1,Calc!$F$26)&gt;0),"",QUOTIENT($M76-1,Calc!$F$26)+1))</f>
        <v/>
      </c>
      <c r="M76" s="107">
        <v>70</v>
      </c>
      <c r="N76" s="394">
        <v>7</v>
      </c>
      <c r="O76" s="113" t="s">
        <v>4</v>
      </c>
      <c r="P76" s="397">
        <v>65</v>
      </c>
      <c r="Q76" s="114" t="str">
        <f t="shared" si="7"/>
        <v>Borussia Dortmund</v>
      </c>
      <c r="R76" s="115" t="s">
        <v>4</v>
      </c>
      <c r="S76" s="116" t="str">
        <f t="shared" si="8"/>
        <v>1. FC Köln</v>
      </c>
      <c r="T76" s="233">
        <v>45955</v>
      </c>
      <c r="U76" s="234">
        <v>0.77083333333333337</v>
      </c>
    </row>
    <row r="77" spans="6:21" ht="17.25" x14ac:dyDescent="0.2">
      <c r="F77" s="88">
        <f t="shared" si="9"/>
        <v>2</v>
      </c>
      <c r="G77" s="88" t="str">
        <f t="shared" si="10"/>
        <v>00060112</v>
      </c>
      <c r="H77" s="88" t="str">
        <f t="shared" si="11"/>
        <v>01120006</v>
      </c>
      <c r="I77" s="88">
        <f>IF($G77="",0,COUNTIF($G$7:$G77,$H77))</f>
        <v>0</v>
      </c>
      <c r="J77" s="88"/>
      <c r="K77" s="296" t="str">
        <f>Language!$E$57</f>
        <v>doppelt</v>
      </c>
      <c r="L77" s="270" t="str">
        <f>IF(Calc!$F$26=0,"",IF(OR($M77&gt;Calc!$B$24,MOD($M77-1,Calc!$F$26)&gt;0),"",QUOTIENT($M77-1,Calc!$F$26)+1))</f>
        <v/>
      </c>
      <c r="M77" s="107">
        <v>71</v>
      </c>
      <c r="N77" s="394">
        <v>6</v>
      </c>
      <c r="O77" s="113" t="s">
        <v>4</v>
      </c>
      <c r="P77" s="397">
        <v>112</v>
      </c>
      <c r="Q77" s="114" t="str">
        <f t="shared" si="7"/>
        <v>Bayer 04 Leverkusen</v>
      </c>
      <c r="R77" s="115" t="s">
        <v>4</v>
      </c>
      <c r="S77" s="116" t="str">
        <f t="shared" si="8"/>
        <v>SC Freiburg</v>
      </c>
      <c r="T77" s="233">
        <v>45956</v>
      </c>
      <c r="U77" s="234">
        <v>0.64583333333333337</v>
      </c>
    </row>
    <row r="78" spans="6:21" ht="17.25" x14ac:dyDescent="0.2">
      <c r="F78" s="88">
        <f t="shared" si="9"/>
        <v>2</v>
      </c>
      <c r="G78" s="88" t="str">
        <f t="shared" si="10"/>
        <v>00160081</v>
      </c>
      <c r="H78" s="88" t="str">
        <f t="shared" si="11"/>
        <v>00810016</v>
      </c>
      <c r="I78" s="88">
        <f>IF($G78="",0,COUNTIF($G$7:$G78,$H78))</f>
        <v>0</v>
      </c>
      <c r="J78" s="88"/>
      <c r="K78" s="296" t="str">
        <f>Language!$E$57</f>
        <v>doppelt</v>
      </c>
      <c r="L78" s="270" t="str">
        <f>IF(Calc!$F$26=0,"",IF(OR($M78&gt;Calc!$B$24,MOD($M78-1,Calc!$F$26)&gt;0),"",QUOTIENT($M78-1,Calc!$F$26)+1))</f>
        <v/>
      </c>
      <c r="M78" s="107">
        <v>72</v>
      </c>
      <c r="N78" s="394">
        <v>16</v>
      </c>
      <c r="O78" s="113" t="s">
        <v>4</v>
      </c>
      <c r="P78" s="397">
        <v>81</v>
      </c>
      <c r="Q78" s="114" t="str">
        <f t="shared" si="7"/>
        <v>VfB Stuttgart</v>
      </c>
      <c r="R78" s="115" t="s">
        <v>4</v>
      </c>
      <c r="S78" s="116" t="str">
        <f t="shared" si="8"/>
        <v>1. FSV Mainz 05</v>
      </c>
      <c r="T78" s="233">
        <v>45956</v>
      </c>
      <c r="U78" s="234">
        <v>0.72916666666666663</v>
      </c>
    </row>
    <row r="79" spans="6:21" ht="17.25" x14ac:dyDescent="0.2">
      <c r="F79" s="88">
        <f t="shared" si="9"/>
        <v>2</v>
      </c>
      <c r="G79" s="88" t="str">
        <f t="shared" si="10"/>
        <v>00950007</v>
      </c>
      <c r="H79" s="88" t="str">
        <f t="shared" si="11"/>
        <v>00070095</v>
      </c>
      <c r="I79" s="88">
        <f>IF($G79="",0,COUNTIF($G$7:$G79,$H79))</f>
        <v>0</v>
      </c>
      <c r="J79" s="88"/>
      <c r="K79" s="296" t="str">
        <f>Language!$E$57</f>
        <v>doppelt</v>
      </c>
      <c r="L79" s="270">
        <f>IF(Calc!$F$26=0,"",IF(OR($M79&gt;Calc!$B$24,MOD($M79-1,Calc!$F$26)&gt;0),"",QUOTIENT($M79-1,Calc!$F$26)+1))</f>
        <v>9</v>
      </c>
      <c r="M79" s="107">
        <v>73</v>
      </c>
      <c r="N79" s="394">
        <v>95</v>
      </c>
      <c r="O79" s="113" t="s">
        <v>4</v>
      </c>
      <c r="P79" s="397">
        <v>7</v>
      </c>
      <c r="Q79" s="114" t="str">
        <f t="shared" si="7"/>
        <v>FC Augsburg</v>
      </c>
      <c r="R79" s="115" t="s">
        <v>4</v>
      </c>
      <c r="S79" s="116" t="str">
        <f t="shared" si="8"/>
        <v>Borussia Dortmund</v>
      </c>
      <c r="T79" s="233">
        <v>45961</v>
      </c>
      <c r="U79" s="234">
        <v>0.85416666666666663</v>
      </c>
    </row>
    <row r="80" spans="6:21" ht="17.25" x14ac:dyDescent="0.2">
      <c r="F80" s="88">
        <f t="shared" si="9"/>
        <v>2</v>
      </c>
      <c r="G80" s="88" t="str">
        <f t="shared" si="10"/>
        <v>00980087</v>
      </c>
      <c r="H80" s="88" t="str">
        <f t="shared" si="11"/>
        <v>00870098</v>
      </c>
      <c r="I80" s="88">
        <f>IF($G80="",0,COUNTIF($G$7:$G80,$H80))</f>
        <v>0</v>
      </c>
      <c r="J80" s="88"/>
      <c r="K80" s="296" t="str">
        <f>Language!$E$57</f>
        <v>doppelt</v>
      </c>
      <c r="L80" s="270" t="str">
        <f>IF(Calc!$F$26=0,"",IF(OR($M80&gt;Calc!$B$24,MOD($M80-1,Calc!$F$26)&gt;0),"",QUOTIENT($M80-1,Calc!$F$26)+1))</f>
        <v/>
      </c>
      <c r="M80" s="107">
        <v>74</v>
      </c>
      <c r="N80" s="394">
        <v>98</v>
      </c>
      <c r="O80" s="113" t="s">
        <v>4</v>
      </c>
      <c r="P80" s="397">
        <v>87</v>
      </c>
      <c r="Q80" s="114" t="str">
        <f t="shared" si="7"/>
        <v>FC St. Pauli</v>
      </c>
      <c r="R80" s="115" t="s">
        <v>4</v>
      </c>
      <c r="S80" s="116" t="str">
        <f t="shared" si="8"/>
        <v>Borussia Mönchengladbach</v>
      </c>
      <c r="T80" s="233">
        <v>45962</v>
      </c>
      <c r="U80" s="234">
        <v>0.64583333333333337</v>
      </c>
    </row>
    <row r="81" spans="6:21" ht="17.25" x14ac:dyDescent="0.2">
      <c r="F81" s="88">
        <f t="shared" si="9"/>
        <v>2</v>
      </c>
      <c r="G81" s="88" t="str">
        <f t="shared" si="10"/>
        <v>01990091</v>
      </c>
      <c r="H81" s="88" t="str">
        <f t="shared" si="11"/>
        <v>00910199</v>
      </c>
      <c r="I81" s="88">
        <f>IF($G81="",0,COUNTIF($G$7:$G81,$H81))</f>
        <v>0</v>
      </c>
      <c r="J81" s="88"/>
      <c r="K81" s="296" t="str">
        <f>Language!$E$57</f>
        <v>doppelt</v>
      </c>
      <c r="L81" s="270" t="str">
        <f>IF(Calc!$F$26=0,"",IF(OR($M81&gt;Calc!$B$24,MOD($M81-1,Calc!$F$26)&gt;0),"",QUOTIENT($M81-1,Calc!$F$26)+1))</f>
        <v/>
      </c>
      <c r="M81" s="107">
        <v>75</v>
      </c>
      <c r="N81" s="394">
        <v>199</v>
      </c>
      <c r="O81" s="113" t="s">
        <v>4</v>
      </c>
      <c r="P81" s="397">
        <v>91</v>
      </c>
      <c r="Q81" s="114" t="str">
        <f t="shared" si="7"/>
        <v>1. FC Heidenheim 1846</v>
      </c>
      <c r="R81" s="115" t="s">
        <v>4</v>
      </c>
      <c r="S81" s="116" t="str">
        <f t="shared" si="8"/>
        <v>Eintracht Frankfurt</v>
      </c>
      <c r="T81" s="233">
        <v>45962</v>
      </c>
      <c r="U81" s="234">
        <v>0.64583333333333337</v>
      </c>
    </row>
    <row r="82" spans="6:21" ht="17.25" x14ac:dyDescent="0.2">
      <c r="F82" s="88">
        <f t="shared" si="9"/>
        <v>2</v>
      </c>
      <c r="G82" s="88" t="str">
        <f t="shared" si="10"/>
        <v>00800112</v>
      </c>
      <c r="H82" s="88" t="str">
        <f t="shared" si="11"/>
        <v>01120080</v>
      </c>
      <c r="I82" s="88">
        <f>IF($G82="",0,COUNTIF($G$7:$G82,$H82))</f>
        <v>0</v>
      </c>
      <c r="J82" s="88"/>
      <c r="K82" s="296" t="str">
        <f>Language!$E$57</f>
        <v>doppelt</v>
      </c>
      <c r="L82" s="270" t="str">
        <f>IF(Calc!$F$26=0,"",IF(OR($M82&gt;Calc!$B$24,MOD($M82-1,Calc!$F$26)&gt;0),"",QUOTIENT($M82-1,Calc!$F$26)+1))</f>
        <v/>
      </c>
      <c r="M82" s="107">
        <v>76</v>
      </c>
      <c r="N82" s="394">
        <v>80</v>
      </c>
      <c r="O82" s="113" t="s">
        <v>4</v>
      </c>
      <c r="P82" s="397">
        <v>112</v>
      </c>
      <c r="Q82" s="114" t="str">
        <f t="shared" si="7"/>
        <v>1. FC Union Berlin</v>
      </c>
      <c r="R82" s="115" t="s">
        <v>4</v>
      </c>
      <c r="S82" s="116" t="str">
        <f t="shared" si="8"/>
        <v>SC Freiburg</v>
      </c>
      <c r="T82" s="233">
        <v>45962</v>
      </c>
      <c r="U82" s="234">
        <v>0.64583333333333337</v>
      </c>
    </row>
    <row r="83" spans="6:21" ht="17.25" x14ac:dyDescent="0.2">
      <c r="F83" s="88">
        <f t="shared" si="9"/>
        <v>2</v>
      </c>
      <c r="G83" s="88" t="str">
        <f t="shared" si="10"/>
        <v>00810134</v>
      </c>
      <c r="H83" s="88" t="str">
        <f t="shared" si="11"/>
        <v>01340081</v>
      </c>
      <c r="I83" s="88">
        <f>IF($G83="",0,COUNTIF($G$7:$G83,$H83))</f>
        <v>0</v>
      </c>
      <c r="J83" s="88"/>
      <c r="K83" s="296" t="str">
        <f>Language!$E$57</f>
        <v>doppelt</v>
      </c>
      <c r="L83" s="270" t="str">
        <f>IF(Calc!$F$26=0,"",IF(OR($M83&gt;Calc!$B$24,MOD($M83-1,Calc!$F$26)&gt;0),"",QUOTIENT($M83-1,Calc!$F$26)+1))</f>
        <v/>
      </c>
      <c r="M83" s="107">
        <v>77</v>
      </c>
      <c r="N83" s="394">
        <v>81</v>
      </c>
      <c r="O83" s="113" t="s">
        <v>4</v>
      </c>
      <c r="P83" s="397">
        <v>134</v>
      </c>
      <c r="Q83" s="114" t="str">
        <f t="shared" si="7"/>
        <v>1. FSV Mainz 05</v>
      </c>
      <c r="R83" s="115" t="s">
        <v>4</v>
      </c>
      <c r="S83" s="116" t="str">
        <f t="shared" si="8"/>
        <v>SV Werder Bremen</v>
      </c>
      <c r="T83" s="233">
        <v>45962</v>
      </c>
      <c r="U83" s="234">
        <v>0.64583333333333337</v>
      </c>
    </row>
    <row r="84" spans="6:21" ht="17.25" x14ac:dyDescent="0.2">
      <c r="F84" s="88">
        <f t="shared" si="9"/>
        <v>2</v>
      </c>
      <c r="G84" s="88" t="str">
        <f t="shared" si="10"/>
        <v>16350016</v>
      </c>
      <c r="H84" s="88" t="str">
        <f t="shared" si="11"/>
        <v>00161635</v>
      </c>
      <c r="I84" s="88">
        <f>IF($G84="",0,COUNTIF($G$7:$G84,$H84))</f>
        <v>0</v>
      </c>
      <c r="J84" s="88"/>
      <c r="K84" s="296" t="str">
        <f>Language!$E$57</f>
        <v>doppelt</v>
      </c>
      <c r="L84" s="270" t="str">
        <f>IF(Calc!$F$26=0,"",IF(OR($M84&gt;Calc!$B$24,MOD($M84-1,Calc!$F$26)&gt;0),"",QUOTIENT($M84-1,Calc!$F$26)+1))</f>
        <v/>
      </c>
      <c r="M84" s="107">
        <v>78</v>
      </c>
      <c r="N84" s="394">
        <v>1635</v>
      </c>
      <c r="O84" s="113" t="s">
        <v>4</v>
      </c>
      <c r="P84" s="397">
        <v>16</v>
      </c>
      <c r="Q84" s="114" t="str">
        <f t="shared" si="7"/>
        <v>RB Leipzig</v>
      </c>
      <c r="R84" s="115" t="s">
        <v>4</v>
      </c>
      <c r="S84" s="116" t="str">
        <f t="shared" si="8"/>
        <v>VfB Stuttgart</v>
      </c>
      <c r="T84" s="233">
        <v>45962</v>
      </c>
      <c r="U84" s="234">
        <v>0.64583333333333337</v>
      </c>
    </row>
    <row r="85" spans="6:21" ht="17.25" x14ac:dyDescent="0.2">
      <c r="F85" s="88">
        <f t="shared" si="9"/>
        <v>2</v>
      </c>
      <c r="G85" s="88" t="str">
        <f t="shared" si="10"/>
        <v>00400006</v>
      </c>
      <c r="H85" s="88" t="str">
        <f t="shared" si="11"/>
        <v>00060040</v>
      </c>
      <c r="I85" s="88">
        <f>IF($G85="",0,COUNTIF($G$7:$G85,$H85))</f>
        <v>0</v>
      </c>
      <c r="J85" s="88"/>
      <c r="K85" s="296" t="str">
        <f>Language!$E$57</f>
        <v>doppelt</v>
      </c>
      <c r="L85" s="270" t="str">
        <f>IF(Calc!$F$26=0,"",IF(OR($M85&gt;Calc!$B$24,MOD($M85-1,Calc!$F$26)&gt;0),"",QUOTIENT($M85-1,Calc!$F$26)+1))</f>
        <v/>
      </c>
      <c r="M85" s="107">
        <v>79</v>
      </c>
      <c r="N85" s="394">
        <v>40</v>
      </c>
      <c r="O85" s="113" t="s">
        <v>4</v>
      </c>
      <c r="P85" s="397">
        <v>6</v>
      </c>
      <c r="Q85" s="114" t="str">
        <f t="shared" si="7"/>
        <v>FC Bayern München</v>
      </c>
      <c r="R85" s="115" t="s">
        <v>4</v>
      </c>
      <c r="S85" s="116" t="str">
        <f t="shared" si="8"/>
        <v>Bayer 04 Leverkusen</v>
      </c>
      <c r="T85" s="233">
        <v>45962</v>
      </c>
      <c r="U85" s="234">
        <v>0.77083333333333337</v>
      </c>
    </row>
    <row r="86" spans="6:21" ht="17.25" x14ac:dyDescent="0.2">
      <c r="F86" s="88">
        <f t="shared" si="9"/>
        <v>2</v>
      </c>
      <c r="G86" s="88" t="str">
        <f t="shared" si="10"/>
        <v>00650100</v>
      </c>
      <c r="H86" s="88" t="str">
        <f t="shared" si="11"/>
        <v>01000065</v>
      </c>
      <c r="I86" s="88">
        <f>IF($G86="",0,COUNTIF($G$7:$G86,$H86))</f>
        <v>0</v>
      </c>
      <c r="J86" s="88"/>
      <c r="K86" s="296" t="str">
        <f>Language!$E$57</f>
        <v>doppelt</v>
      </c>
      <c r="L86" s="270" t="str">
        <f>IF(Calc!$F$26=0,"",IF(OR($M86&gt;Calc!$B$24,MOD($M86-1,Calc!$F$26)&gt;0),"",QUOTIENT($M86-1,Calc!$F$26)+1))</f>
        <v/>
      </c>
      <c r="M86" s="107">
        <v>80</v>
      </c>
      <c r="N86" s="394">
        <v>65</v>
      </c>
      <c r="O86" s="113" t="s">
        <v>4</v>
      </c>
      <c r="P86" s="397">
        <v>100</v>
      </c>
      <c r="Q86" s="114" t="str">
        <f t="shared" si="7"/>
        <v>1. FC Köln</v>
      </c>
      <c r="R86" s="115" t="s">
        <v>4</v>
      </c>
      <c r="S86" s="116" t="str">
        <f t="shared" si="8"/>
        <v>Hamburger SV</v>
      </c>
      <c r="T86" s="233">
        <v>45963</v>
      </c>
      <c r="U86" s="234">
        <v>0.64583333333333337</v>
      </c>
    </row>
    <row r="87" spans="6:21" ht="17.25" x14ac:dyDescent="0.2">
      <c r="F87" s="88">
        <f t="shared" si="9"/>
        <v>2</v>
      </c>
      <c r="G87" s="88" t="str">
        <f t="shared" si="10"/>
        <v>01310175</v>
      </c>
      <c r="H87" s="88" t="str">
        <f t="shared" si="11"/>
        <v>01750131</v>
      </c>
      <c r="I87" s="88">
        <f>IF($G87="",0,COUNTIF($G$7:$G87,$H87))</f>
        <v>0</v>
      </c>
      <c r="J87" s="88"/>
      <c r="K87" s="296" t="str">
        <f>Language!$E$57</f>
        <v>doppelt</v>
      </c>
      <c r="L87" s="270" t="str">
        <f>IF(Calc!$F$26=0,"",IF(OR($M87&gt;Calc!$B$24,MOD($M87-1,Calc!$F$26)&gt;0),"",QUOTIENT($M87-1,Calc!$F$26)+1))</f>
        <v/>
      </c>
      <c r="M87" s="107">
        <v>81</v>
      </c>
      <c r="N87" s="394">
        <v>131</v>
      </c>
      <c r="O87" s="113" t="s">
        <v>4</v>
      </c>
      <c r="P87" s="397">
        <v>175</v>
      </c>
      <c r="Q87" s="114" t="str">
        <f t="shared" si="7"/>
        <v>VfL Wolfsburg</v>
      </c>
      <c r="R87" s="115" t="s">
        <v>4</v>
      </c>
      <c r="S87" s="116" t="str">
        <f t="shared" si="8"/>
        <v>TSG Hoffenheim</v>
      </c>
      <c r="T87" s="233">
        <v>45963</v>
      </c>
      <c r="U87" s="234">
        <v>0.72916666666666663</v>
      </c>
    </row>
    <row r="88" spans="6:21" ht="17.25" x14ac:dyDescent="0.2">
      <c r="F88" s="88">
        <f t="shared" si="9"/>
        <v>2</v>
      </c>
      <c r="G88" s="88" t="str">
        <f t="shared" si="10"/>
        <v>01340131</v>
      </c>
      <c r="H88" s="88" t="str">
        <f t="shared" si="11"/>
        <v>01310134</v>
      </c>
      <c r="I88" s="88">
        <f>IF($G88="",0,COUNTIF($G$7:$G88,$H88))</f>
        <v>0</v>
      </c>
      <c r="J88" s="88"/>
      <c r="K88" s="296" t="str">
        <f>Language!$E$57</f>
        <v>doppelt</v>
      </c>
      <c r="L88" s="270">
        <f>IF(Calc!$F$26=0,"",IF(OR($M88&gt;Calc!$B$24,MOD($M88-1,Calc!$F$26)&gt;0),"",QUOTIENT($M88-1,Calc!$F$26)+1))</f>
        <v>10</v>
      </c>
      <c r="M88" s="107">
        <v>82</v>
      </c>
      <c r="N88" s="394">
        <v>134</v>
      </c>
      <c r="O88" s="113" t="s">
        <v>4</v>
      </c>
      <c r="P88" s="397">
        <v>131</v>
      </c>
      <c r="Q88" s="114" t="str">
        <f t="shared" si="7"/>
        <v>SV Werder Bremen</v>
      </c>
      <c r="R88" s="115" t="s">
        <v>4</v>
      </c>
      <c r="S88" s="116" t="str">
        <f t="shared" si="8"/>
        <v>VfL Wolfsburg</v>
      </c>
      <c r="T88" s="233">
        <v>45968</v>
      </c>
      <c r="U88" s="234">
        <v>0.85416666666666663</v>
      </c>
    </row>
    <row r="89" spans="6:21" ht="17.25" x14ac:dyDescent="0.2">
      <c r="F89" s="88">
        <f t="shared" si="9"/>
        <v>2</v>
      </c>
      <c r="G89" s="88" t="str">
        <f t="shared" si="10"/>
        <v>01751635</v>
      </c>
      <c r="H89" s="88" t="str">
        <f t="shared" si="11"/>
        <v>16350175</v>
      </c>
      <c r="I89" s="88">
        <f>IF($G89="",0,COUNTIF($G$7:$G89,$H89))</f>
        <v>0</v>
      </c>
      <c r="J89" s="88"/>
      <c r="K89" s="296" t="str">
        <f>Language!$E$57</f>
        <v>doppelt</v>
      </c>
      <c r="L89" s="270" t="str">
        <f>IF(Calc!$F$26=0,"",IF(OR($M89&gt;Calc!$B$24,MOD($M89-1,Calc!$F$26)&gt;0),"",QUOTIENT($M89-1,Calc!$F$26)+1))</f>
        <v/>
      </c>
      <c r="M89" s="107">
        <v>83</v>
      </c>
      <c r="N89" s="394">
        <v>175</v>
      </c>
      <c r="O89" s="113" t="s">
        <v>4</v>
      </c>
      <c r="P89" s="397">
        <v>1635</v>
      </c>
      <c r="Q89" s="114" t="str">
        <f t="shared" si="7"/>
        <v>TSG Hoffenheim</v>
      </c>
      <c r="R89" s="115" t="s">
        <v>4</v>
      </c>
      <c r="S89" s="116" t="str">
        <f t="shared" si="8"/>
        <v>RB Leipzig</v>
      </c>
      <c r="T89" s="233">
        <v>45969</v>
      </c>
      <c r="U89" s="234">
        <v>0.64583333333333337</v>
      </c>
    </row>
    <row r="90" spans="6:21" ht="17.25" x14ac:dyDescent="0.2">
      <c r="F90" s="88">
        <f t="shared" si="9"/>
        <v>2</v>
      </c>
      <c r="G90" s="88" t="str">
        <f t="shared" si="10"/>
        <v>01000007</v>
      </c>
      <c r="H90" s="88" t="str">
        <f t="shared" si="11"/>
        <v>00070100</v>
      </c>
      <c r="I90" s="88">
        <f>IF($G90="",0,COUNTIF($G$7:$G90,$H90))</f>
        <v>0</v>
      </c>
      <c r="J90" s="88"/>
      <c r="K90" s="296" t="str">
        <f>Language!$E$57</f>
        <v>doppelt</v>
      </c>
      <c r="L90" s="270" t="str">
        <f>IF(Calc!$F$26=0,"",IF(OR($M90&gt;Calc!$B$24,MOD($M90-1,Calc!$F$26)&gt;0),"",QUOTIENT($M90-1,Calc!$F$26)+1))</f>
        <v/>
      </c>
      <c r="M90" s="107">
        <v>84</v>
      </c>
      <c r="N90" s="394">
        <v>100</v>
      </c>
      <c r="O90" s="113" t="s">
        <v>4</v>
      </c>
      <c r="P90" s="397">
        <v>7</v>
      </c>
      <c r="Q90" s="114" t="str">
        <f t="shared" si="7"/>
        <v>Hamburger SV</v>
      </c>
      <c r="R90" s="115" t="s">
        <v>4</v>
      </c>
      <c r="S90" s="116" t="str">
        <f t="shared" si="8"/>
        <v>Borussia Dortmund</v>
      </c>
      <c r="T90" s="233">
        <v>45969</v>
      </c>
      <c r="U90" s="234">
        <v>0.64583333333333337</v>
      </c>
    </row>
    <row r="91" spans="6:21" ht="17.25" x14ac:dyDescent="0.2">
      <c r="F91" s="88">
        <f t="shared" si="9"/>
        <v>2</v>
      </c>
      <c r="G91" s="88" t="str">
        <f t="shared" si="10"/>
        <v>00060199</v>
      </c>
      <c r="H91" s="88" t="str">
        <f t="shared" si="11"/>
        <v>01990006</v>
      </c>
      <c r="I91" s="88">
        <f>IF($G91="",0,COUNTIF($G$7:$G91,$H91))</f>
        <v>0</v>
      </c>
      <c r="J91" s="88"/>
      <c r="K91" s="296" t="str">
        <f>Language!$E$57</f>
        <v>doppelt</v>
      </c>
      <c r="L91" s="270" t="str">
        <f>IF(Calc!$F$26=0,"",IF(OR($M91&gt;Calc!$B$24,MOD($M91-1,Calc!$F$26)&gt;0),"",QUOTIENT($M91-1,Calc!$F$26)+1))</f>
        <v/>
      </c>
      <c r="M91" s="107">
        <v>85</v>
      </c>
      <c r="N91" s="394">
        <v>6</v>
      </c>
      <c r="O91" s="113" t="s">
        <v>4</v>
      </c>
      <c r="P91" s="397">
        <v>199</v>
      </c>
      <c r="Q91" s="114" t="str">
        <f t="shared" si="7"/>
        <v>Bayer 04 Leverkusen</v>
      </c>
      <c r="R91" s="115" t="s">
        <v>4</v>
      </c>
      <c r="S91" s="116" t="str">
        <f t="shared" si="8"/>
        <v>1. FC Heidenheim 1846</v>
      </c>
      <c r="T91" s="233">
        <v>45969</v>
      </c>
      <c r="U91" s="234">
        <v>0.64583333333333337</v>
      </c>
    </row>
    <row r="92" spans="6:21" ht="17.25" x14ac:dyDescent="0.2">
      <c r="F92" s="88">
        <f t="shared" si="9"/>
        <v>2</v>
      </c>
      <c r="G92" s="88" t="str">
        <f t="shared" si="10"/>
        <v>00800040</v>
      </c>
      <c r="H92" s="88" t="str">
        <f t="shared" si="11"/>
        <v>00400080</v>
      </c>
      <c r="I92" s="88">
        <f>IF($G92="",0,COUNTIF($G$7:$G92,$H92))</f>
        <v>0</v>
      </c>
      <c r="J92" s="88"/>
      <c r="K92" s="296" t="str">
        <f>Language!$E$57</f>
        <v>doppelt</v>
      </c>
      <c r="L92" s="270" t="str">
        <f>IF(Calc!$F$26=0,"",IF(OR($M92&gt;Calc!$B$24,MOD($M92-1,Calc!$F$26)&gt;0),"",QUOTIENT($M92-1,Calc!$F$26)+1))</f>
        <v/>
      </c>
      <c r="M92" s="107">
        <v>86</v>
      </c>
      <c r="N92" s="394">
        <v>80</v>
      </c>
      <c r="O92" s="113" t="s">
        <v>4</v>
      </c>
      <c r="P92" s="397">
        <v>40</v>
      </c>
      <c r="Q92" s="114" t="str">
        <f t="shared" si="7"/>
        <v>1. FC Union Berlin</v>
      </c>
      <c r="R92" s="115" t="s">
        <v>4</v>
      </c>
      <c r="S92" s="116" t="str">
        <f t="shared" si="8"/>
        <v>FC Bayern München</v>
      </c>
      <c r="T92" s="233">
        <v>45969</v>
      </c>
      <c r="U92" s="234">
        <v>0.64583333333333337</v>
      </c>
    </row>
    <row r="93" spans="6:21" ht="17.25" x14ac:dyDescent="0.2">
      <c r="F93" s="88">
        <f t="shared" si="9"/>
        <v>2</v>
      </c>
      <c r="G93" s="88" t="str">
        <f t="shared" si="10"/>
        <v>00870065</v>
      </c>
      <c r="H93" s="88" t="str">
        <f t="shared" si="11"/>
        <v>00650087</v>
      </c>
      <c r="I93" s="88">
        <f>IF($G93="",0,COUNTIF($G$7:$G93,$H93))</f>
        <v>0</v>
      </c>
      <c r="J93" s="88"/>
      <c r="K93" s="296" t="str">
        <f>Language!$E$57</f>
        <v>doppelt</v>
      </c>
      <c r="L93" s="270" t="str">
        <f>IF(Calc!$F$26=0,"",IF(OR($M93&gt;Calc!$B$24,MOD($M93-1,Calc!$F$26)&gt;0),"",QUOTIENT($M93-1,Calc!$F$26)+1))</f>
        <v/>
      </c>
      <c r="M93" s="107">
        <v>87</v>
      </c>
      <c r="N93" s="394">
        <v>87</v>
      </c>
      <c r="O93" s="113" t="s">
        <v>4</v>
      </c>
      <c r="P93" s="397">
        <v>65</v>
      </c>
      <c r="Q93" s="114" t="str">
        <f t="shared" si="7"/>
        <v>Borussia Mönchengladbach</v>
      </c>
      <c r="R93" s="115" t="s">
        <v>4</v>
      </c>
      <c r="S93" s="116" t="str">
        <f t="shared" si="8"/>
        <v>1. FC Köln</v>
      </c>
      <c r="T93" s="233">
        <v>45969</v>
      </c>
      <c r="U93" s="234">
        <v>0.77083333333333337</v>
      </c>
    </row>
    <row r="94" spans="6:21" ht="17.25" x14ac:dyDescent="0.2">
      <c r="F94" s="88">
        <f t="shared" si="9"/>
        <v>2</v>
      </c>
      <c r="G94" s="88" t="str">
        <f t="shared" si="10"/>
        <v>01120098</v>
      </c>
      <c r="H94" s="88" t="str">
        <f t="shared" si="11"/>
        <v>00980112</v>
      </c>
      <c r="I94" s="88">
        <f>IF($G94="",0,COUNTIF($G$7:$G94,$H94))</f>
        <v>0</v>
      </c>
      <c r="J94" s="88"/>
      <c r="K94" s="296" t="str">
        <f>Language!$E$57</f>
        <v>doppelt</v>
      </c>
      <c r="L94" s="270" t="str">
        <f>IF(Calc!$F$26=0,"",IF(OR($M94&gt;Calc!$B$24,MOD($M94-1,Calc!$F$26)&gt;0),"",QUOTIENT($M94-1,Calc!$F$26)+1))</f>
        <v/>
      </c>
      <c r="M94" s="107">
        <v>88</v>
      </c>
      <c r="N94" s="394">
        <v>112</v>
      </c>
      <c r="O94" s="113" t="s">
        <v>4</v>
      </c>
      <c r="P94" s="397">
        <v>98</v>
      </c>
      <c r="Q94" s="114" t="str">
        <f t="shared" si="7"/>
        <v>SC Freiburg</v>
      </c>
      <c r="R94" s="115" t="s">
        <v>4</v>
      </c>
      <c r="S94" s="116" t="str">
        <f t="shared" si="8"/>
        <v>FC St. Pauli</v>
      </c>
      <c r="T94" s="233">
        <v>45970</v>
      </c>
      <c r="U94" s="234">
        <v>0.64583333333333337</v>
      </c>
    </row>
    <row r="95" spans="6:21" ht="17.25" x14ac:dyDescent="0.2">
      <c r="F95" s="88">
        <f t="shared" si="9"/>
        <v>2</v>
      </c>
      <c r="G95" s="88" t="str">
        <f t="shared" si="10"/>
        <v>00160095</v>
      </c>
      <c r="H95" s="88" t="str">
        <f t="shared" si="11"/>
        <v>00950016</v>
      </c>
      <c r="I95" s="88">
        <f>IF($G95="",0,COUNTIF($G$7:$G95,$H95))</f>
        <v>0</v>
      </c>
      <c r="J95" s="88"/>
      <c r="K95" s="296" t="str">
        <f>Language!$E$57</f>
        <v>doppelt</v>
      </c>
      <c r="L95" s="270" t="str">
        <f>IF(Calc!$F$26=0,"",IF(OR($M95&gt;Calc!$B$24,MOD($M95-1,Calc!$F$26)&gt;0),"",QUOTIENT($M95-1,Calc!$F$26)+1))</f>
        <v/>
      </c>
      <c r="M95" s="107">
        <v>89</v>
      </c>
      <c r="N95" s="394">
        <v>16</v>
      </c>
      <c r="O95" s="113" t="s">
        <v>4</v>
      </c>
      <c r="P95" s="397">
        <v>95</v>
      </c>
      <c r="Q95" s="114" t="str">
        <f t="shared" si="7"/>
        <v>VfB Stuttgart</v>
      </c>
      <c r="R95" s="115" t="s">
        <v>4</v>
      </c>
      <c r="S95" s="116" t="str">
        <f t="shared" si="8"/>
        <v>FC Augsburg</v>
      </c>
      <c r="T95" s="233">
        <v>45970</v>
      </c>
      <c r="U95" s="234">
        <v>0.72916666666666663</v>
      </c>
    </row>
    <row r="96" spans="6:21" ht="17.25" x14ac:dyDescent="0.2">
      <c r="F96" s="88">
        <f t="shared" si="9"/>
        <v>2</v>
      </c>
      <c r="G96" s="88" t="str">
        <f t="shared" si="10"/>
        <v>00910081</v>
      </c>
      <c r="H96" s="88" t="str">
        <f t="shared" si="11"/>
        <v>00810091</v>
      </c>
      <c r="I96" s="88">
        <f>IF($G96="",0,COUNTIF($G$7:$G96,$H96))</f>
        <v>0</v>
      </c>
      <c r="J96" s="88"/>
      <c r="K96" s="296" t="str">
        <f>Language!$E$57</f>
        <v>doppelt</v>
      </c>
      <c r="L96" s="270" t="str">
        <f>IF(Calc!$F$26=0,"",IF(OR($M96&gt;Calc!$B$24,MOD($M96-1,Calc!$F$26)&gt;0),"",QUOTIENT($M96-1,Calc!$F$26)+1))</f>
        <v/>
      </c>
      <c r="M96" s="107">
        <v>90</v>
      </c>
      <c r="N96" s="394">
        <v>91</v>
      </c>
      <c r="O96" s="113" t="s">
        <v>4</v>
      </c>
      <c r="P96" s="397">
        <v>81</v>
      </c>
      <c r="Q96" s="114" t="str">
        <f t="shared" si="7"/>
        <v>Eintracht Frankfurt</v>
      </c>
      <c r="R96" s="115" t="s">
        <v>4</v>
      </c>
      <c r="S96" s="116" t="str">
        <f t="shared" si="8"/>
        <v>1. FSV Mainz 05</v>
      </c>
      <c r="T96" s="233">
        <v>45970</v>
      </c>
      <c r="U96" s="234">
        <v>0.8125</v>
      </c>
    </row>
    <row r="97" spans="6:21" ht="17.25" x14ac:dyDescent="0.2">
      <c r="F97" s="88">
        <f t="shared" si="9"/>
        <v>2</v>
      </c>
      <c r="G97" s="88" t="str">
        <f t="shared" si="10"/>
        <v>00810175</v>
      </c>
      <c r="H97" s="88" t="str">
        <f t="shared" si="11"/>
        <v>01750081</v>
      </c>
      <c r="I97" s="88">
        <f>IF($G97="",0,COUNTIF($G$7:$G97,$H97))</f>
        <v>0</v>
      </c>
      <c r="J97" s="88"/>
      <c r="K97" s="296" t="str">
        <f>Language!$E$57</f>
        <v>doppelt</v>
      </c>
      <c r="L97" s="270">
        <f>IF(Calc!$F$26=0,"",IF(OR($M97&gt;Calc!$B$24,MOD($M97-1,Calc!$F$26)&gt;0),"",QUOTIENT($M97-1,Calc!$F$26)+1))</f>
        <v>11</v>
      </c>
      <c r="M97" s="107">
        <v>91</v>
      </c>
      <c r="N97" s="394">
        <v>81</v>
      </c>
      <c r="O97" s="113" t="s">
        <v>4</v>
      </c>
      <c r="P97" s="397">
        <v>175</v>
      </c>
      <c r="Q97" s="114" t="str">
        <f t="shared" si="7"/>
        <v>1. FSV Mainz 05</v>
      </c>
      <c r="R97" s="115" t="s">
        <v>4</v>
      </c>
      <c r="S97" s="116" t="str">
        <f t="shared" si="8"/>
        <v>TSG Hoffenheim</v>
      </c>
      <c r="T97" s="233">
        <v>45982</v>
      </c>
      <c r="U97" s="234">
        <v>0.85416666666666663</v>
      </c>
    </row>
    <row r="98" spans="6:21" ht="17.25" x14ac:dyDescent="0.2">
      <c r="F98" s="88">
        <f t="shared" si="9"/>
        <v>2</v>
      </c>
      <c r="G98" s="88" t="str">
        <f t="shared" si="10"/>
        <v>00950100</v>
      </c>
      <c r="H98" s="88" t="str">
        <f t="shared" si="11"/>
        <v>01000095</v>
      </c>
      <c r="I98" s="88">
        <f>IF($G98="",0,COUNTIF($G$7:$G98,$H98))</f>
        <v>0</v>
      </c>
      <c r="J98" s="88"/>
      <c r="K98" s="296" t="str">
        <f>Language!$E$57</f>
        <v>doppelt</v>
      </c>
      <c r="L98" s="270" t="str">
        <f>IF(Calc!$F$26=0,"",IF(OR($M98&gt;Calc!$B$24,MOD($M98-1,Calc!$F$26)&gt;0),"",QUOTIENT($M98-1,Calc!$F$26)+1))</f>
        <v/>
      </c>
      <c r="M98" s="107">
        <v>92</v>
      </c>
      <c r="N98" s="394">
        <v>95</v>
      </c>
      <c r="O98" s="113" t="s">
        <v>4</v>
      </c>
      <c r="P98" s="397">
        <v>100</v>
      </c>
      <c r="Q98" s="114" t="str">
        <f t="shared" si="7"/>
        <v>FC Augsburg</v>
      </c>
      <c r="R98" s="115" t="s">
        <v>4</v>
      </c>
      <c r="S98" s="116" t="str">
        <f t="shared" si="8"/>
        <v>Hamburger SV</v>
      </c>
      <c r="T98" s="233">
        <v>45983</v>
      </c>
      <c r="U98" s="234">
        <v>0.64583333333333337</v>
      </c>
    </row>
    <row r="99" spans="6:21" ht="17.25" x14ac:dyDescent="0.2">
      <c r="F99" s="88">
        <f t="shared" si="9"/>
        <v>2</v>
      </c>
      <c r="G99" s="88" t="str">
        <f t="shared" si="10"/>
        <v>01990087</v>
      </c>
      <c r="H99" s="88" t="str">
        <f t="shared" si="11"/>
        <v>00870199</v>
      </c>
      <c r="I99" s="88">
        <f>IF($G99="",0,COUNTIF($G$7:$G99,$H99))</f>
        <v>0</v>
      </c>
      <c r="J99" s="88"/>
      <c r="K99" s="296" t="str">
        <f>Language!$E$57</f>
        <v>doppelt</v>
      </c>
      <c r="L99" s="270" t="str">
        <f>IF(Calc!$F$26=0,"",IF(OR($M99&gt;Calc!$B$24,MOD($M99-1,Calc!$F$26)&gt;0),"",QUOTIENT($M99-1,Calc!$F$26)+1))</f>
        <v/>
      </c>
      <c r="M99" s="107">
        <v>93</v>
      </c>
      <c r="N99" s="394">
        <v>199</v>
      </c>
      <c r="O99" s="113" t="s">
        <v>4</v>
      </c>
      <c r="P99" s="397">
        <v>87</v>
      </c>
      <c r="Q99" s="114" t="str">
        <f t="shared" si="7"/>
        <v>1. FC Heidenheim 1846</v>
      </c>
      <c r="R99" s="115" t="s">
        <v>4</v>
      </c>
      <c r="S99" s="116" t="str">
        <f t="shared" si="8"/>
        <v>Borussia Mönchengladbach</v>
      </c>
      <c r="T99" s="233">
        <v>45983</v>
      </c>
      <c r="U99" s="234">
        <v>0.64583333333333337</v>
      </c>
    </row>
    <row r="100" spans="6:21" ht="17.25" x14ac:dyDescent="0.2">
      <c r="F100" s="88">
        <f t="shared" si="9"/>
        <v>2</v>
      </c>
      <c r="G100" s="88" t="str">
        <f t="shared" si="10"/>
        <v>01310006</v>
      </c>
      <c r="H100" s="88" t="str">
        <f t="shared" si="11"/>
        <v>00060131</v>
      </c>
      <c r="I100" s="88">
        <f>IF($G100="",0,COUNTIF($G$7:$G100,$H100))</f>
        <v>0</v>
      </c>
      <c r="J100" s="88"/>
      <c r="K100" s="296" t="str">
        <f>Language!$E$57</f>
        <v>doppelt</v>
      </c>
      <c r="L100" s="270" t="str">
        <f>IF(Calc!$F$26=0,"",IF(OR($M100&gt;Calc!$B$24,MOD($M100-1,Calc!$F$26)&gt;0),"",QUOTIENT($M100-1,Calc!$F$26)+1))</f>
        <v/>
      </c>
      <c r="M100" s="107">
        <v>94</v>
      </c>
      <c r="N100" s="394">
        <v>131</v>
      </c>
      <c r="O100" s="113" t="s">
        <v>4</v>
      </c>
      <c r="P100" s="397">
        <v>6</v>
      </c>
      <c r="Q100" s="114" t="str">
        <f t="shared" si="7"/>
        <v>VfL Wolfsburg</v>
      </c>
      <c r="R100" s="115" t="s">
        <v>4</v>
      </c>
      <c r="S100" s="116" t="str">
        <f t="shared" si="8"/>
        <v>Bayer 04 Leverkusen</v>
      </c>
      <c r="T100" s="233">
        <v>45983</v>
      </c>
      <c r="U100" s="234">
        <v>0.64583333333333337</v>
      </c>
    </row>
    <row r="101" spans="6:21" ht="17.25" x14ac:dyDescent="0.2">
      <c r="F101" s="88">
        <f t="shared" si="9"/>
        <v>2</v>
      </c>
      <c r="G101" s="88" t="str">
        <f t="shared" si="10"/>
        <v>00400112</v>
      </c>
      <c r="H101" s="88" t="str">
        <f t="shared" si="11"/>
        <v>01120040</v>
      </c>
      <c r="I101" s="88">
        <f>IF($G101="",0,COUNTIF($G$7:$G101,$H101))</f>
        <v>0</v>
      </c>
      <c r="J101" s="88"/>
      <c r="K101" s="296" t="str">
        <f>Language!$E$57</f>
        <v>doppelt</v>
      </c>
      <c r="L101" s="270" t="str">
        <f>IF(Calc!$F$26=0,"",IF(OR($M101&gt;Calc!$B$24,MOD($M101-1,Calc!$F$26)&gt;0),"",QUOTIENT($M101-1,Calc!$F$26)+1))</f>
        <v/>
      </c>
      <c r="M101" s="107">
        <v>95</v>
      </c>
      <c r="N101" s="394">
        <v>40</v>
      </c>
      <c r="O101" s="113" t="s">
        <v>4</v>
      </c>
      <c r="P101" s="397">
        <v>112</v>
      </c>
      <c r="Q101" s="114" t="str">
        <f t="shared" si="7"/>
        <v>FC Bayern München</v>
      </c>
      <c r="R101" s="115" t="s">
        <v>4</v>
      </c>
      <c r="S101" s="116" t="str">
        <f t="shared" si="8"/>
        <v>SC Freiburg</v>
      </c>
      <c r="T101" s="233">
        <v>45983</v>
      </c>
      <c r="U101" s="234">
        <v>0.64583333333333337</v>
      </c>
    </row>
    <row r="102" spans="6:21" ht="17.25" x14ac:dyDescent="0.2">
      <c r="F102" s="88">
        <f t="shared" si="9"/>
        <v>2</v>
      </c>
      <c r="G102" s="88" t="str">
        <f t="shared" si="10"/>
        <v>00070016</v>
      </c>
      <c r="H102" s="88" t="str">
        <f t="shared" si="11"/>
        <v>00160007</v>
      </c>
      <c r="I102" s="88">
        <f>IF($G102="",0,COUNTIF($G$7:$G102,$H102))</f>
        <v>0</v>
      </c>
      <c r="J102" s="88"/>
      <c r="K102" s="296" t="str">
        <f>Language!$E$57</f>
        <v>doppelt</v>
      </c>
      <c r="L102" s="270" t="str">
        <f>IF(Calc!$F$26=0,"",IF(OR($M102&gt;Calc!$B$24,MOD($M102-1,Calc!$F$26)&gt;0),"",QUOTIENT($M102-1,Calc!$F$26)+1))</f>
        <v/>
      </c>
      <c r="M102" s="107">
        <v>96</v>
      </c>
      <c r="N102" s="394">
        <v>7</v>
      </c>
      <c r="O102" s="113" t="s">
        <v>4</v>
      </c>
      <c r="P102" s="397">
        <v>16</v>
      </c>
      <c r="Q102" s="114" t="str">
        <f t="shared" si="7"/>
        <v>Borussia Dortmund</v>
      </c>
      <c r="R102" s="115" t="s">
        <v>4</v>
      </c>
      <c r="S102" s="116" t="str">
        <f t="shared" si="8"/>
        <v>VfB Stuttgart</v>
      </c>
      <c r="T102" s="233">
        <v>45983</v>
      </c>
      <c r="U102" s="234">
        <v>0.64583333333333337</v>
      </c>
    </row>
    <row r="103" spans="6:21" ht="17.25" x14ac:dyDescent="0.2">
      <c r="F103" s="88">
        <f t="shared" si="9"/>
        <v>2</v>
      </c>
      <c r="G103" s="88" t="str">
        <f t="shared" si="10"/>
        <v>00650091</v>
      </c>
      <c r="H103" s="88" t="str">
        <f t="shared" si="11"/>
        <v>00910065</v>
      </c>
      <c r="I103" s="88">
        <f>IF($G103="",0,COUNTIF($G$7:$G103,$H103))</f>
        <v>0</v>
      </c>
      <c r="J103" s="88"/>
      <c r="K103" s="296" t="str">
        <f>Language!$E$57</f>
        <v>doppelt</v>
      </c>
      <c r="L103" s="270" t="str">
        <f>IF(Calc!$F$26=0,"",IF(OR($M103&gt;Calc!$B$24,MOD($M103-1,Calc!$F$26)&gt;0),"",QUOTIENT($M103-1,Calc!$F$26)+1))</f>
        <v/>
      </c>
      <c r="M103" s="107">
        <v>97</v>
      </c>
      <c r="N103" s="394">
        <v>65</v>
      </c>
      <c r="O103" s="113" t="s">
        <v>4</v>
      </c>
      <c r="P103" s="397">
        <v>91</v>
      </c>
      <c r="Q103" s="114" t="str">
        <f t="shared" si="7"/>
        <v>1. FC Köln</v>
      </c>
      <c r="R103" s="115" t="s">
        <v>4</v>
      </c>
      <c r="S103" s="116" t="str">
        <f t="shared" si="8"/>
        <v>Eintracht Frankfurt</v>
      </c>
      <c r="T103" s="233">
        <v>45983</v>
      </c>
      <c r="U103" s="234">
        <v>0.77083333333333337</v>
      </c>
    </row>
    <row r="104" spans="6:21" ht="17.25" x14ac:dyDescent="0.2">
      <c r="F104" s="88">
        <f t="shared" si="9"/>
        <v>2</v>
      </c>
      <c r="G104" s="88" t="str">
        <f t="shared" si="10"/>
        <v>16350134</v>
      </c>
      <c r="H104" s="88" t="str">
        <f t="shared" si="11"/>
        <v>01341635</v>
      </c>
      <c r="I104" s="88">
        <f>IF($G104="",0,COUNTIF($G$7:$G104,$H104))</f>
        <v>0</v>
      </c>
      <c r="J104" s="88"/>
      <c r="K104" s="296" t="str">
        <f>Language!$E$57</f>
        <v>doppelt</v>
      </c>
      <c r="L104" s="270" t="str">
        <f>IF(Calc!$F$26=0,"",IF(OR($M104&gt;Calc!$B$24,MOD($M104-1,Calc!$F$26)&gt;0),"",QUOTIENT($M104-1,Calc!$F$26)+1))</f>
        <v/>
      </c>
      <c r="M104" s="107">
        <v>98</v>
      </c>
      <c r="N104" s="394">
        <v>1635</v>
      </c>
      <c r="O104" s="113" t="s">
        <v>4</v>
      </c>
      <c r="P104" s="397">
        <v>134</v>
      </c>
      <c r="Q104" s="114" t="str">
        <f t="shared" si="7"/>
        <v>RB Leipzig</v>
      </c>
      <c r="R104" s="115" t="s">
        <v>4</v>
      </c>
      <c r="S104" s="116" t="str">
        <f t="shared" si="8"/>
        <v>SV Werder Bremen</v>
      </c>
      <c r="T104" s="233">
        <v>45984</v>
      </c>
      <c r="U104" s="234">
        <v>0.64583333333333337</v>
      </c>
    </row>
    <row r="105" spans="6:21" ht="17.25" x14ac:dyDescent="0.2">
      <c r="F105" s="88">
        <f t="shared" si="9"/>
        <v>2</v>
      </c>
      <c r="G105" s="88" t="str">
        <f t="shared" si="10"/>
        <v>00980080</v>
      </c>
      <c r="H105" s="88" t="str">
        <f t="shared" si="11"/>
        <v>00800098</v>
      </c>
      <c r="I105" s="88">
        <f>IF($G105="",0,COUNTIF($G$7:$G105,$H105))</f>
        <v>0</v>
      </c>
      <c r="J105" s="88"/>
      <c r="K105" s="296" t="str">
        <f>Language!$E$57</f>
        <v>doppelt</v>
      </c>
      <c r="L105" s="270" t="str">
        <f>IF(Calc!$F$26=0,"",IF(OR($M105&gt;Calc!$B$24,MOD($M105-1,Calc!$F$26)&gt;0),"",QUOTIENT($M105-1,Calc!$F$26)+1))</f>
        <v/>
      </c>
      <c r="M105" s="107">
        <v>99</v>
      </c>
      <c r="N105" s="394">
        <v>98</v>
      </c>
      <c r="O105" s="113" t="s">
        <v>4</v>
      </c>
      <c r="P105" s="397">
        <v>80</v>
      </c>
      <c r="Q105" s="114" t="str">
        <f t="shared" si="7"/>
        <v>FC St. Pauli</v>
      </c>
      <c r="R105" s="115" t="s">
        <v>4</v>
      </c>
      <c r="S105" s="116" t="str">
        <f t="shared" si="8"/>
        <v>1. FC Union Berlin</v>
      </c>
      <c r="T105" s="233">
        <v>45984</v>
      </c>
      <c r="U105" s="234">
        <v>0.72916666666666663</v>
      </c>
    </row>
    <row r="106" spans="6:21" ht="17.25" x14ac:dyDescent="0.2">
      <c r="F106" s="88">
        <f t="shared" si="9"/>
        <v>2</v>
      </c>
      <c r="G106" s="88" t="str">
        <f t="shared" si="10"/>
        <v>00871635</v>
      </c>
      <c r="H106" s="88" t="str">
        <f t="shared" si="11"/>
        <v>16350087</v>
      </c>
      <c r="I106" s="88">
        <f>IF($G106="",0,COUNTIF($G$7:$G106,$H106))</f>
        <v>0</v>
      </c>
      <c r="J106" s="88"/>
      <c r="K106" s="296" t="str">
        <f>Language!$E$57</f>
        <v>doppelt</v>
      </c>
      <c r="L106" s="270">
        <f>IF(Calc!$F$26=0,"",IF(OR($M106&gt;Calc!$B$24,MOD($M106-1,Calc!$F$26)&gt;0),"",QUOTIENT($M106-1,Calc!$F$26)+1))</f>
        <v>12</v>
      </c>
      <c r="M106" s="107">
        <v>100</v>
      </c>
      <c r="N106" s="394">
        <v>87</v>
      </c>
      <c r="O106" s="113" t="s">
        <v>4</v>
      </c>
      <c r="P106" s="397">
        <v>1635</v>
      </c>
      <c r="Q106" s="114" t="str">
        <f t="shared" si="7"/>
        <v>Borussia Mönchengladbach</v>
      </c>
      <c r="R106" s="115" t="s">
        <v>4</v>
      </c>
      <c r="S106" s="116" t="str">
        <f t="shared" si="8"/>
        <v>RB Leipzig</v>
      </c>
      <c r="T106" s="233">
        <v>45989</v>
      </c>
      <c r="U106" s="234">
        <v>0.85416666666666663</v>
      </c>
    </row>
    <row r="107" spans="6:21" ht="17.25" x14ac:dyDescent="0.2">
      <c r="F107" s="88">
        <f t="shared" si="9"/>
        <v>2</v>
      </c>
      <c r="G107" s="88" t="str">
        <f t="shared" si="10"/>
        <v>00800199</v>
      </c>
      <c r="H107" s="88" t="str">
        <f t="shared" si="11"/>
        <v>01990080</v>
      </c>
      <c r="I107" s="88">
        <f>IF($G107="",0,COUNTIF($G$7:$G107,$H107))</f>
        <v>0</v>
      </c>
      <c r="J107" s="88"/>
      <c r="K107" s="296" t="str">
        <f>Language!$E$57</f>
        <v>doppelt</v>
      </c>
      <c r="L107" s="270" t="str">
        <f>IF(Calc!$F$26=0,"",IF(OR($M107&gt;Calc!$B$24,MOD($M107-1,Calc!$F$26)&gt;0),"",QUOTIENT($M107-1,Calc!$F$26)+1))</f>
        <v/>
      </c>
      <c r="M107" s="107">
        <v>101</v>
      </c>
      <c r="N107" s="394">
        <v>80</v>
      </c>
      <c r="O107" s="113" t="s">
        <v>4</v>
      </c>
      <c r="P107" s="397">
        <v>199</v>
      </c>
      <c r="Q107" s="114" t="str">
        <f t="shared" si="7"/>
        <v>1. FC Union Berlin</v>
      </c>
      <c r="R107" s="115" t="s">
        <v>4</v>
      </c>
      <c r="S107" s="116" t="str">
        <f t="shared" si="8"/>
        <v>1. FC Heidenheim 1846</v>
      </c>
      <c r="T107" s="233">
        <v>45990</v>
      </c>
      <c r="U107" s="234">
        <v>0.64583333333333337</v>
      </c>
    </row>
    <row r="108" spans="6:21" ht="17.25" x14ac:dyDescent="0.2">
      <c r="F108" s="88">
        <f t="shared" si="9"/>
        <v>2</v>
      </c>
      <c r="G108" s="88" t="str">
        <f t="shared" si="10"/>
        <v>01750095</v>
      </c>
      <c r="H108" s="88" t="str">
        <f t="shared" si="11"/>
        <v>00950175</v>
      </c>
      <c r="I108" s="88">
        <f>IF($G108="",0,COUNTIF($G$7:$G108,$H108))</f>
        <v>0</v>
      </c>
      <c r="J108" s="88"/>
      <c r="K108" s="296" t="str">
        <f>Language!$E$57</f>
        <v>doppelt</v>
      </c>
      <c r="L108" s="270" t="str">
        <f>IF(Calc!$F$26=0,"",IF(OR($M108&gt;Calc!$B$24,MOD($M108-1,Calc!$F$26)&gt;0),"",QUOTIENT($M108-1,Calc!$F$26)+1))</f>
        <v/>
      </c>
      <c r="M108" s="107">
        <v>102</v>
      </c>
      <c r="N108" s="394">
        <v>175</v>
      </c>
      <c r="O108" s="113" t="s">
        <v>4</v>
      </c>
      <c r="P108" s="397">
        <v>95</v>
      </c>
      <c r="Q108" s="114" t="str">
        <f t="shared" si="7"/>
        <v>TSG Hoffenheim</v>
      </c>
      <c r="R108" s="115" t="s">
        <v>4</v>
      </c>
      <c r="S108" s="116" t="str">
        <f t="shared" si="8"/>
        <v>FC Augsburg</v>
      </c>
      <c r="T108" s="233">
        <v>45990</v>
      </c>
      <c r="U108" s="234">
        <v>0.64583333333333337</v>
      </c>
    </row>
    <row r="109" spans="6:21" ht="17.25" x14ac:dyDescent="0.2">
      <c r="F109" s="88">
        <f t="shared" si="9"/>
        <v>2</v>
      </c>
      <c r="G109" s="88" t="str">
        <f t="shared" si="10"/>
        <v>00400098</v>
      </c>
      <c r="H109" s="88" t="str">
        <f t="shared" si="11"/>
        <v>00980040</v>
      </c>
      <c r="I109" s="88">
        <f>IF($G109="",0,COUNTIF($G$7:$G109,$H109))</f>
        <v>0</v>
      </c>
      <c r="J109" s="88"/>
      <c r="K109" s="296" t="str">
        <f>Language!$E$57</f>
        <v>doppelt</v>
      </c>
      <c r="L109" s="270" t="str">
        <f>IF(Calc!$F$26=0,"",IF(OR($M109&gt;Calc!$B$24,MOD($M109-1,Calc!$F$26)&gt;0),"",QUOTIENT($M109-1,Calc!$F$26)+1))</f>
        <v/>
      </c>
      <c r="M109" s="107">
        <v>103</v>
      </c>
      <c r="N109" s="394">
        <v>40</v>
      </c>
      <c r="O109" s="113" t="s">
        <v>4</v>
      </c>
      <c r="P109" s="397">
        <v>98</v>
      </c>
      <c r="Q109" s="114" t="str">
        <f t="shared" si="7"/>
        <v>FC Bayern München</v>
      </c>
      <c r="R109" s="115" t="s">
        <v>4</v>
      </c>
      <c r="S109" s="116" t="str">
        <f t="shared" si="8"/>
        <v>FC St. Pauli</v>
      </c>
      <c r="T109" s="233">
        <v>45990</v>
      </c>
      <c r="U109" s="234">
        <v>0.64583333333333337</v>
      </c>
    </row>
    <row r="110" spans="6:21" ht="17.25" x14ac:dyDescent="0.2">
      <c r="F110" s="88">
        <f t="shared" si="9"/>
        <v>2</v>
      </c>
      <c r="G110" s="88" t="str">
        <f t="shared" si="10"/>
        <v>01340065</v>
      </c>
      <c r="H110" s="88" t="str">
        <f t="shared" si="11"/>
        <v>00650134</v>
      </c>
      <c r="I110" s="88">
        <f>IF($G110="",0,COUNTIF($G$7:$G110,$H110))</f>
        <v>0</v>
      </c>
      <c r="J110" s="88"/>
      <c r="K110" s="296" t="str">
        <f>Language!$E$57</f>
        <v>doppelt</v>
      </c>
      <c r="L110" s="270" t="str">
        <f>IF(Calc!$F$26=0,"",IF(OR($M110&gt;Calc!$B$24,MOD($M110-1,Calc!$F$26)&gt;0),"",QUOTIENT($M110-1,Calc!$F$26)+1))</f>
        <v/>
      </c>
      <c r="M110" s="107">
        <v>104</v>
      </c>
      <c r="N110" s="394">
        <v>134</v>
      </c>
      <c r="O110" s="113" t="s">
        <v>4</v>
      </c>
      <c r="P110" s="397">
        <v>65</v>
      </c>
      <c r="Q110" s="114" t="str">
        <f t="shared" si="7"/>
        <v>SV Werder Bremen</v>
      </c>
      <c r="R110" s="115" t="s">
        <v>4</v>
      </c>
      <c r="S110" s="116" t="str">
        <f t="shared" si="8"/>
        <v>1. FC Köln</v>
      </c>
      <c r="T110" s="233">
        <v>45990</v>
      </c>
      <c r="U110" s="234">
        <v>0.64583333333333337</v>
      </c>
    </row>
    <row r="111" spans="6:21" ht="17.25" x14ac:dyDescent="0.2">
      <c r="F111" s="88">
        <f t="shared" si="9"/>
        <v>2</v>
      </c>
      <c r="G111" s="88" t="str">
        <f t="shared" si="10"/>
        <v>00060007</v>
      </c>
      <c r="H111" s="88" t="str">
        <f t="shared" si="11"/>
        <v>00070006</v>
      </c>
      <c r="I111" s="88">
        <f>IF($G111="",0,COUNTIF($G$7:$G111,$H111))</f>
        <v>0</v>
      </c>
      <c r="J111" s="88"/>
      <c r="K111" s="296" t="str">
        <f>Language!$E$57</f>
        <v>doppelt</v>
      </c>
      <c r="L111" s="270" t="str">
        <f>IF(Calc!$F$26=0,"",IF(OR($M111&gt;Calc!$B$24,MOD($M111-1,Calc!$F$26)&gt;0),"",QUOTIENT($M111-1,Calc!$F$26)+1))</f>
        <v/>
      </c>
      <c r="M111" s="107">
        <v>105</v>
      </c>
      <c r="N111" s="394">
        <v>6</v>
      </c>
      <c r="O111" s="113" t="s">
        <v>4</v>
      </c>
      <c r="P111" s="397">
        <v>7</v>
      </c>
      <c r="Q111" s="114" t="str">
        <f t="shared" si="7"/>
        <v>Bayer 04 Leverkusen</v>
      </c>
      <c r="R111" s="115" t="s">
        <v>4</v>
      </c>
      <c r="S111" s="116" t="str">
        <f t="shared" si="8"/>
        <v>Borussia Dortmund</v>
      </c>
      <c r="T111" s="233">
        <v>45990</v>
      </c>
      <c r="U111" s="234">
        <v>0.77083333333333337</v>
      </c>
    </row>
    <row r="112" spans="6:21" ht="17.25" x14ac:dyDescent="0.2">
      <c r="F112" s="88">
        <f t="shared" si="9"/>
        <v>2</v>
      </c>
      <c r="G112" s="88" t="str">
        <f t="shared" si="10"/>
        <v>01000016</v>
      </c>
      <c r="H112" s="88" t="str">
        <f t="shared" si="11"/>
        <v>00160100</v>
      </c>
      <c r="I112" s="88">
        <f>IF($G112="",0,COUNTIF($G$7:$G112,$H112))</f>
        <v>0</v>
      </c>
      <c r="J112" s="88"/>
      <c r="K112" s="296" t="str">
        <f>Language!$E$57</f>
        <v>doppelt</v>
      </c>
      <c r="L112" s="270" t="str">
        <f>IF(Calc!$F$26=0,"",IF(OR($M112&gt;Calc!$B$24,MOD($M112-1,Calc!$F$26)&gt;0),"",QUOTIENT($M112-1,Calc!$F$26)+1))</f>
        <v/>
      </c>
      <c r="M112" s="107">
        <v>106</v>
      </c>
      <c r="N112" s="394">
        <v>100</v>
      </c>
      <c r="O112" s="113" t="s">
        <v>4</v>
      </c>
      <c r="P112" s="397">
        <v>16</v>
      </c>
      <c r="Q112" s="114" t="str">
        <f t="shared" si="7"/>
        <v>Hamburger SV</v>
      </c>
      <c r="R112" s="115" t="s">
        <v>4</v>
      </c>
      <c r="S112" s="116" t="str">
        <f t="shared" si="8"/>
        <v>VfB Stuttgart</v>
      </c>
      <c r="T112" s="233">
        <v>45991</v>
      </c>
      <c r="U112" s="234">
        <v>0.64583333333333337</v>
      </c>
    </row>
    <row r="113" spans="6:21" ht="17.25" x14ac:dyDescent="0.2">
      <c r="F113" s="88">
        <f t="shared" si="9"/>
        <v>2</v>
      </c>
      <c r="G113" s="88" t="str">
        <f t="shared" si="10"/>
        <v>00910131</v>
      </c>
      <c r="H113" s="88" t="str">
        <f t="shared" si="11"/>
        <v>01310091</v>
      </c>
      <c r="I113" s="88">
        <f>IF($G113="",0,COUNTIF($G$7:$G113,$H113))</f>
        <v>0</v>
      </c>
      <c r="J113" s="88"/>
      <c r="K113" s="296" t="str">
        <f>Language!$E$57</f>
        <v>doppelt</v>
      </c>
      <c r="L113" s="270" t="str">
        <f>IF(Calc!$F$26=0,"",IF(OR($M113&gt;Calc!$B$24,MOD($M113-1,Calc!$F$26)&gt;0),"",QUOTIENT($M113-1,Calc!$F$26)+1))</f>
        <v/>
      </c>
      <c r="M113" s="107">
        <v>107</v>
      </c>
      <c r="N113" s="394">
        <v>91</v>
      </c>
      <c r="O113" s="113" t="s">
        <v>4</v>
      </c>
      <c r="P113" s="397">
        <v>131</v>
      </c>
      <c r="Q113" s="114" t="str">
        <f t="shared" si="7"/>
        <v>Eintracht Frankfurt</v>
      </c>
      <c r="R113" s="115" t="s">
        <v>4</v>
      </c>
      <c r="S113" s="116" t="str">
        <f t="shared" si="8"/>
        <v>VfL Wolfsburg</v>
      </c>
      <c r="T113" s="233">
        <v>45991</v>
      </c>
      <c r="U113" s="234">
        <v>0.72916666666666663</v>
      </c>
    </row>
    <row r="114" spans="6:21" ht="17.25" x14ac:dyDescent="0.2">
      <c r="F114" s="88">
        <f t="shared" si="9"/>
        <v>2</v>
      </c>
      <c r="G114" s="88" t="str">
        <f t="shared" si="10"/>
        <v>01120081</v>
      </c>
      <c r="H114" s="88" t="str">
        <f t="shared" si="11"/>
        <v>00810112</v>
      </c>
      <c r="I114" s="88">
        <f>IF($G114="",0,COUNTIF($G$7:$G114,$H114))</f>
        <v>0</v>
      </c>
      <c r="J114" s="88"/>
      <c r="K114" s="296" t="str">
        <f>Language!$E$57</f>
        <v>doppelt</v>
      </c>
      <c r="L114" s="270" t="str">
        <f>IF(Calc!$F$26=0,"",IF(OR($M114&gt;Calc!$B$24,MOD($M114-1,Calc!$F$26)&gt;0),"",QUOTIENT($M114-1,Calc!$F$26)+1))</f>
        <v/>
      </c>
      <c r="M114" s="107">
        <v>108</v>
      </c>
      <c r="N114" s="394">
        <v>112</v>
      </c>
      <c r="O114" s="113" t="s">
        <v>4</v>
      </c>
      <c r="P114" s="397">
        <v>81</v>
      </c>
      <c r="Q114" s="114" t="str">
        <f t="shared" si="7"/>
        <v>SC Freiburg</v>
      </c>
      <c r="R114" s="115" t="s">
        <v>4</v>
      </c>
      <c r="S114" s="116" t="str">
        <f t="shared" si="8"/>
        <v>1. FSV Mainz 05</v>
      </c>
      <c r="T114" s="233">
        <v>45991</v>
      </c>
      <c r="U114" s="234">
        <v>0.8125</v>
      </c>
    </row>
    <row r="115" spans="6:21" ht="17.25" x14ac:dyDescent="0.2">
      <c r="F115" s="88">
        <f t="shared" si="9"/>
        <v>2</v>
      </c>
      <c r="G115" s="88" t="str">
        <f t="shared" si="10"/>
        <v>00810087</v>
      </c>
      <c r="H115" s="88" t="str">
        <f t="shared" si="11"/>
        <v>00870081</v>
      </c>
      <c r="I115" s="88">
        <f>IF($G115="",0,COUNTIF($G$7:$G115,$H115))</f>
        <v>0</v>
      </c>
      <c r="J115" s="88"/>
      <c r="K115" s="296" t="str">
        <f>Language!$E$57</f>
        <v>doppelt</v>
      </c>
      <c r="L115" s="270">
        <f>IF(Calc!$F$26=0,"",IF(OR($M115&gt;Calc!$B$24,MOD($M115-1,Calc!$F$26)&gt;0),"",QUOTIENT($M115-1,Calc!$F$26)+1))</f>
        <v>13</v>
      </c>
      <c r="M115" s="107">
        <v>109</v>
      </c>
      <c r="N115" s="394">
        <v>81</v>
      </c>
      <c r="O115" s="113" t="s">
        <v>4</v>
      </c>
      <c r="P115" s="397">
        <v>87</v>
      </c>
      <c r="Q115" s="114" t="str">
        <f t="shared" si="7"/>
        <v>1. FSV Mainz 05</v>
      </c>
      <c r="R115" s="115" t="s">
        <v>4</v>
      </c>
      <c r="S115" s="116" t="str">
        <f t="shared" si="8"/>
        <v>Borussia Mönchengladbach</v>
      </c>
      <c r="T115" s="233">
        <v>45996</v>
      </c>
      <c r="U115" s="234">
        <v>0.85416666666666663</v>
      </c>
    </row>
    <row r="116" spans="6:21" ht="17.25" x14ac:dyDescent="0.2">
      <c r="F116" s="88">
        <f t="shared" si="9"/>
        <v>2</v>
      </c>
      <c r="G116" s="88" t="str">
        <f t="shared" si="10"/>
        <v>01990112</v>
      </c>
      <c r="H116" s="88" t="str">
        <f t="shared" si="11"/>
        <v>01120199</v>
      </c>
      <c r="I116" s="88">
        <f>IF($G116="",0,COUNTIF($G$7:$G116,$H116))</f>
        <v>0</v>
      </c>
      <c r="J116" s="88"/>
      <c r="K116" s="296" t="str">
        <f>Language!$E$57</f>
        <v>doppelt</v>
      </c>
      <c r="L116" s="270" t="str">
        <f>IF(Calc!$F$26=0,"",IF(OR($M116&gt;Calc!$B$24,MOD($M116-1,Calc!$F$26)&gt;0),"",QUOTIENT($M116-1,Calc!$F$26)+1))</f>
        <v/>
      </c>
      <c r="M116" s="107">
        <v>110</v>
      </c>
      <c r="N116" s="394">
        <v>199</v>
      </c>
      <c r="O116" s="113" t="s">
        <v>4</v>
      </c>
      <c r="P116" s="397">
        <v>112</v>
      </c>
      <c r="Q116" s="114" t="str">
        <f t="shared" si="7"/>
        <v>1. FC Heidenheim 1846</v>
      </c>
      <c r="R116" s="115" t="s">
        <v>4</v>
      </c>
      <c r="S116" s="116" t="str">
        <f t="shared" si="8"/>
        <v>SC Freiburg</v>
      </c>
      <c r="T116" s="233">
        <v>45997</v>
      </c>
      <c r="U116" s="234">
        <v>0.64583333333333337</v>
      </c>
    </row>
    <row r="117" spans="6:21" ht="17.25" x14ac:dyDescent="0.2">
      <c r="F117" s="88">
        <f t="shared" si="9"/>
        <v>2</v>
      </c>
      <c r="G117" s="88" t="str">
        <f t="shared" si="10"/>
        <v>00650098</v>
      </c>
      <c r="H117" s="88" t="str">
        <f t="shared" si="11"/>
        <v>00980065</v>
      </c>
      <c r="I117" s="88">
        <f>IF($G117="",0,COUNTIF($G$7:$G117,$H117))</f>
        <v>0</v>
      </c>
      <c r="J117" s="88"/>
      <c r="K117" s="296" t="str">
        <f>Language!$E$57</f>
        <v>doppelt</v>
      </c>
      <c r="L117" s="270" t="str">
        <f>IF(Calc!$F$26=0,"",IF(OR($M117&gt;Calc!$B$24,MOD($M117-1,Calc!$F$26)&gt;0),"",QUOTIENT($M117-1,Calc!$F$26)+1))</f>
        <v/>
      </c>
      <c r="M117" s="107">
        <v>111</v>
      </c>
      <c r="N117" s="394">
        <v>65</v>
      </c>
      <c r="O117" s="113" t="s">
        <v>4</v>
      </c>
      <c r="P117" s="397">
        <v>98</v>
      </c>
      <c r="Q117" s="114" t="str">
        <f t="shared" si="7"/>
        <v>1. FC Köln</v>
      </c>
      <c r="R117" s="115" t="s">
        <v>4</v>
      </c>
      <c r="S117" s="116" t="str">
        <f t="shared" si="8"/>
        <v>FC St. Pauli</v>
      </c>
      <c r="T117" s="233">
        <v>45997</v>
      </c>
      <c r="U117" s="234">
        <v>0.64583333333333337</v>
      </c>
    </row>
    <row r="118" spans="6:21" ht="17.25" x14ac:dyDescent="0.2">
      <c r="F118" s="88">
        <f t="shared" si="9"/>
        <v>2</v>
      </c>
      <c r="G118" s="88" t="str">
        <f t="shared" si="10"/>
        <v>00950006</v>
      </c>
      <c r="H118" s="88" t="str">
        <f t="shared" si="11"/>
        <v>00060095</v>
      </c>
      <c r="I118" s="88">
        <f>IF($G118="",0,COUNTIF($G$7:$G118,$H118))</f>
        <v>0</v>
      </c>
      <c r="J118" s="88"/>
      <c r="K118" s="296" t="str">
        <f>Language!$E$57</f>
        <v>doppelt</v>
      </c>
      <c r="L118" s="270" t="str">
        <f>IF(Calc!$F$26=0,"",IF(OR($M118&gt;Calc!$B$24,MOD($M118-1,Calc!$F$26)&gt;0),"",QUOTIENT($M118-1,Calc!$F$26)+1))</f>
        <v/>
      </c>
      <c r="M118" s="107">
        <v>112</v>
      </c>
      <c r="N118" s="394">
        <v>95</v>
      </c>
      <c r="O118" s="113" t="s">
        <v>4</v>
      </c>
      <c r="P118" s="397">
        <v>6</v>
      </c>
      <c r="Q118" s="114" t="str">
        <f t="shared" si="7"/>
        <v>FC Augsburg</v>
      </c>
      <c r="R118" s="115" t="s">
        <v>4</v>
      </c>
      <c r="S118" s="116" t="str">
        <f t="shared" si="8"/>
        <v>Bayer 04 Leverkusen</v>
      </c>
      <c r="T118" s="233">
        <v>45997</v>
      </c>
      <c r="U118" s="234">
        <v>0.64583333333333337</v>
      </c>
    </row>
    <row r="119" spans="6:21" ht="17.25" x14ac:dyDescent="0.2">
      <c r="F119" s="88">
        <f t="shared" si="9"/>
        <v>2</v>
      </c>
      <c r="G119" s="88" t="str">
        <f t="shared" si="10"/>
        <v>00160040</v>
      </c>
      <c r="H119" s="88" t="str">
        <f t="shared" si="11"/>
        <v>00400016</v>
      </c>
      <c r="I119" s="88">
        <f>IF($G119="",0,COUNTIF($G$7:$G119,$H119))</f>
        <v>0</v>
      </c>
      <c r="J119" s="88"/>
      <c r="K119" s="296" t="str">
        <f>Language!$E$57</f>
        <v>doppelt</v>
      </c>
      <c r="L119" s="270" t="str">
        <f>IF(Calc!$F$26=0,"",IF(OR($M119&gt;Calc!$B$24,MOD($M119-1,Calc!$F$26)&gt;0),"",QUOTIENT($M119-1,Calc!$F$26)+1))</f>
        <v/>
      </c>
      <c r="M119" s="107">
        <v>113</v>
      </c>
      <c r="N119" s="394">
        <v>16</v>
      </c>
      <c r="O119" s="113" t="s">
        <v>4</v>
      </c>
      <c r="P119" s="397">
        <v>40</v>
      </c>
      <c r="Q119" s="114" t="str">
        <f t="shared" si="7"/>
        <v>VfB Stuttgart</v>
      </c>
      <c r="R119" s="115" t="s">
        <v>4</v>
      </c>
      <c r="S119" s="116" t="str">
        <f t="shared" si="8"/>
        <v>FC Bayern München</v>
      </c>
      <c r="T119" s="233">
        <v>45997</v>
      </c>
      <c r="U119" s="234">
        <v>0.64583333333333337</v>
      </c>
    </row>
    <row r="120" spans="6:21" ht="17.25" x14ac:dyDescent="0.2">
      <c r="F120" s="88">
        <f t="shared" si="9"/>
        <v>2</v>
      </c>
      <c r="G120" s="88" t="str">
        <f t="shared" si="10"/>
        <v>01310080</v>
      </c>
      <c r="H120" s="88" t="str">
        <f t="shared" si="11"/>
        <v>00800131</v>
      </c>
      <c r="I120" s="88">
        <f>IF($G120="",0,COUNTIF($G$7:$G120,$H120))</f>
        <v>0</v>
      </c>
      <c r="J120" s="88"/>
      <c r="K120" s="296" t="str">
        <f>Language!$E$57</f>
        <v>doppelt</v>
      </c>
      <c r="L120" s="270" t="str">
        <f>IF(Calc!$F$26=0,"",IF(OR($M120&gt;Calc!$B$24,MOD($M120-1,Calc!$F$26)&gt;0),"",QUOTIENT($M120-1,Calc!$F$26)+1))</f>
        <v/>
      </c>
      <c r="M120" s="107">
        <v>114</v>
      </c>
      <c r="N120" s="394">
        <v>131</v>
      </c>
      <c r="O120" s="113" t="s">
        <v>4</v>
      </c>
      <c r="P120" s="397">
        <v>80</v>
      </c>
      <c r="Q120" s="114" t="str">
        <f t="shared" si="7"/>
        <v>VfL Wolfsburg</v>
      </c>
      <c r="R120" s="115" t="s">
        <v>4</v>
      </c>
      <c r="S120" s="116" t="str">
        <f t="shared" si="8"/>
        <v>1. FC Union Berlin</v>
      </c>
      <c r="T120" s="233">
        <v>45997</v>
      </c>
      <c r="U120" s="234">
        <v>0.64583333333333337</v>
      </c>
    </row>
    <row r="121" spans="6:21" ht="17.25" x14ac:dyDescent="0.2">
      <c r="F121" s="88">
        <f t="shared" si="9"/>
        <v>2</v>
      </c>
      <c r="G121" s="88" t="str">
        <f t="shared" si="10"/>
        <v>16350091</v>
      </c>
      <c r="H121" s="88" t="str">
        <f t="shared" si="11"/>
        <v>00911635</v>
      </c>
      <c r="I121" s="88">
        <f>IF($G121="",0,COUNTIF($G$7:$G121,$H121))</f>
        <v>0</v>
      </c>
      <c r="J121" s="88"/>
      <c r="K121" s="296" t="str">
        <f>Language!$E$57</f>
        <v>doppelt</v>
      </c>
      <c r="L121" s="270" t="str">
        <f>IF(Calc!$F$26=0,"",IF(OR($M121&gt;Calc!$B$24,MOD($M121-1,Calc!$F$26)&gt;0),"",QUOTIENT($M121-1,Calc!$F$26)+1))</f>
        <v/>
      </c>
      <c r="M121" s="107">
        <v>115</v>
      </c>
      <c r="N121" s="394">
        <v>1635</v>
      </c>
      <c r="O121" s="113" t="s">
        <v>4</v>
      </c>
      <c r="P121" s="397">
        <v>91</v>
      </c>
      <c r="Q121" s="114" t="str">
        <f t="shared" si="7"/>
        <v>RB Leipzig</v>
      </c>
      <c r="R121" s="115" t="s">
        <v>4</v>
      </c>
      <c r="S121" s="116" t="str">
        <f t="shared" si="8"/>
        <v>Eintracht Frankfurt</v>
      </c>
      <c r="T121" s="233">
        <v>45997</v>
      </c>
      <c r="U121" s="234">
        <v>0.77083333333333337</v>
      </c>
    </row>
    <row r="122" spans="6:21" ht="17.25" x14ac:dyDescent="0.2">
      <c r="F122" s="88">
        <f t="shared" si="9"/>
        <v>2</v>
      </c>
      <c r="G122" s="88" t="str">
        <f t="shared" si="10"/>
        <v>01000134</v>
      </c>
      <c r="H122" s="88" t="str">
        <f t="shared" si="11"/>
        <v>01340100</v>
      </c>
      <c r="I122" s="88">
        <f>IF($G122="",0,COUNTIF($G$7:$G122,$H122))</f>
        <v>0</v>
      </c>
      <c r="J122" s="88"/>
      <c r="K122" s="296" t="str">
        <f>Language!$E$57</f>
        <v>doppelt</v>
      </c>
      <c r="L122" s="270" t="str">
        <f>IF(Calc!$F$26=0,"",IF(OR($M122&gt;Calc!$B$24,MOD($M122-1,Calc!$F$26)&gt;0),"",QUOTIENT($M122-1,Calc!$F$26)+1))</f>
        <v/>
      </c>
      <c r="M122" s="107">
        <v>116</v>
      </c>
      <c r="N122" s="394">
        <v>100</v>
      </c>
      <c r="O122" s="113" t="s">
        <v>4</v>
      </c>
      <c r="P122" s="397">
        <v>134</v>
      </c>
      <c r="Q122" s="114" t="str">
        <f t="shared" si="7"/>
        <v>Hamburger SV</v>
      </c>
      <c r="R122" s="115" t="s">
        <v>4</v>
      </c>
      <c r="S122" s="116" t="str">
        <f t="shared" si="8"/>
        <v>SV Werder Bremen</v>
      </c>
      <c r="T122" s="233">
        <v>45998</v>
      </c>
      <c r="U122" s="234">
        <v>0.64583333333333337</v>
      </c>
    </row>
    <row r="123" spans="6:21" ht="17.25" x14ac:dyDescent="0.2">
      <c r="F123" s="88">
        <f t="shared" si="9"/>
        <v>2</v>
      </c>
      <c r="G123" s="88" t="str">
        <f t="shared" si="10"/>
        <v>00070175</v>
      </c>
      <c r="H123" s="88" t="str">
        <f t="shared" si="11"/>
        <v>01750007</v>
      </c>
      <c r="I123" s="88">
        <f>IF($G123="",0,COUNTIF($G$7:$G123,$H123))</f>
        <v>0</v>
      </c>
      <c r="J123" s="88"/>
      <c r="K123" s="296" t="str">
        <f>Language!$E$57</f>
        <v>doppelt</v>
      </c>
      <c r="L123" s="270" t="str">
        <f>IF(Calc!$F$26=0,"",IF(OR($M123&gt;Calc!$B$24,MOD($M123-1,Calc!$F$26)&gt;0),"",QUOTIENT($M123-1,Calc!$F$26)+1))</f>
        <v/>
      </c>
      <c r="M123" s="107">
        <v>117</v>
      </c>
      <c r="N123" s="394">
        <v>7</v>
      </c>
      <c r="O123" s="113" t="s">
        <v>4</v>
      </c>
      <c r="P123" s="397">
        <v>175</v>
      </c>
      <c r="Q123" s="114" t="str">
        <f t="shared" si="7"/>
        <v>Borussia Dortmund</v>
      </c>
      <c r="R123" s="115" t="s">
        <v>4</v>
      </c>
      <c r="S123" s="116" t="str">
        <f t="shared" si="8"/>
        <v>TSG Hoffenheim</v>
      </c>
      <c r="T123" s="233">
        <v>45998</v>
      </c>
      <c r="U123" s="234">
        <v>0.72916666666666663</v>
      </c>
    </row>
    <row r="124" spans="6:21" ht="17.25" x14ac:dyDescent="0.2">
      <c r="F124" s="88">
        <f t="shared" si="9"/>
        <v>2</v>
      </c>
      <c r="G124" s="88" t="str">
        <f t="shared" si="10"/>
        <v>00801635</v>
      </c>
      <c r="H124" s="88" t="str">
        <f t="shared" si="11"/>
        <v>16350080</v>
      </c>
      <c r="I124" s="88">
        <f>IF($G124="",0,COUNTIF($G$7:$G124,$H124))</f>
        <v>0</v>
      </c>
      <c r="J124" s="88"/>
      <c r="K124" s="296" t="str">
        <f>Language!$E$57</f>
        <v>doppelt</v>
      </c>
      <c r="L124" s="270">
        <f>IF(Calc!$F$26=0,"",IF(OR($M124&gt;Calc!$B$24,MOD($M124-1,Calc!$F$26)&gt;0),"",QUOTIENT($M124-1,Calc!$F$26)+1))</f>
        <v>14</v>
      </c>
      <c r="M124" s="107">
        <v>118</v>
      </c>
      <c r="N124" s="394">
        <v>80</v>
      </c>
      <c r="O124" s="113" t="s">
        <v>4</v>
      </c>
      <c r="P124" s="397">
        <v>1635</v>
      </c>
      <c r="Q124" s="114" t="str">
        <f t="shared" si="7"/>
        <v>1. FC Union Berlin</v>
      </c>
      <c r="R124" s="115" t="s">
        <v>4</v>
      </c>
      <c r="S124" s="116" t="str">
        <f t="shared" si="8"/>
        <v>RB Leipzig</v>
      </c>
      <c r="T124" s="233">
        <v>46003</v>
      </c>
      <c r="U124" s="234">
        <v>0.85416666666666663</v>
      </c>
    </row>
    <row r="125" spans="6:21" ht="17.25" x14ac:dyDescent="0.2">
      <c r="F125" s="88">
        <f t="shared" si="9"/>
        <v>2</v>
      </c>
      <c r="G125" s="88" t="str">
        <f t="shared" si="10"/>
        <v>00980199</v>
      </c>
      <c r="H125" s="88" t="str">
        <f t="shared" si="11"/>
        <v>01990098</v>
      </c>
      <c r="I125" s="88">
        <f>IF($G125="",0,COUNTIF($G$7:$G125,$H125))</f>
        <v>0</v>
      </c>
      <c r="J125" s="88"/>
      <c r="K125" s="296" t="str">
        <f>Language!$E$57</f>
        <v>doppelt</v>
      </c>
      <c r="L125" s="270" t="str">
        <f>IF(Calc!$F$26=0,"",IF(OR($M125&gt;Calc!$B$24,MOD($M125-1,Calc!$F$26)&gt;0),"",QUOTIENT($M125-1,Calc!$F$26)+1))</f>
        <v/>
      </c>
      <c r="M125" s="107">
        <v>119</v>
      </c>
      <c r="N125" s="394">
        <v>98</v>
      </c>
      <c r="O125" s="113" t="s">
        <v>4</v>
      </c>
      <c r="P125" s="397">
        <v>199</v>
      </c>
      <c r="Q125" s="114" t="str">
        <f t="shared" si="7"/>
        <v>FC St. Pauli</v>
      </c>
      <c r="R125" s="115" t="s">
        <v>4</v>
      </c>
      <c r="S125" s="116" t="str">
        <f t="shared" si="8"/>
        <v>1. FC Heidenheim 1846</v>
      </c>
      <c r="T125" s="233">
        <v>46004</v>
      </c>
      <c r="U125" s="234">
        <v>0.64583333333333337</v>
      </c>
    </row>
    <row r="126" spans="6:21" ht="17.25" x14ac:dyDescent="0.2">
      <c r="F126" s="88">
        <f t="shared" si="9"/>
        <v>2</v>
      </c>
      <c r="G126" s="88" t="str">
        <f t="shared" si="10"/>
        <v>01750100</v>
      </c>
      <c r="H126" s="88" t="str">
        <f t="shared" si="11"/>
        <v>01000175</v>
      </c>
      <c r="I126" s="88">
        <f>IF($G126="",0,COUNTIF($G$7:$G126,$H126))</f>
        <v>0</v>
      </c>
      <c r="J126" s="88"/>
      <c r="K126" s="296" t="str">
        <f>Language!$E$57</f>
        <v>doppelt</v>
      </c>
      <c r="L126" s="270" t="str">
        <f>IF(Calc!$F$26=0,"",IF(OR($M126&gt;Calc!$B$24,MOD($M126-1,Calc!$F$26)&gt;0),"",QUOTIENT($M126-1,Calc!$F$26)+1))</f>
        <v/>
      </c>
      <c r="M126" s="107">
        <v>120</v>
      </c>
      <c r="N126" s="394">
        <v>175</v>
      </c>
      <c r="O126" s="113" t="s">
        <v>4</v>
      </c>
      <c r="P126" s="397">
        <v>100</v>
      </c>
      <c r="Q126" s="114" t="str">
        <f t="shared" si="7"/>
        <v>TSG Hoffenheim</v>
      </c>
      <c r="R126" s="115" t="s">
        <v>4</v>
      </c>
      <c r="S126" s="116" t="str">
        <f t="shared" si="8"/>
        <v>Hamburger SV</v>
      </c>
      <c r="T126" s="233">
        <v>46004</v>
      </c>
      <c r="U126" s="234">
        <v>0.64583333333333337</v>
      </c>
    </row>
    <row r="127" spans="6:21" ht="17.25" x14ac:dyDescent="0.2">
      <c r="F127" s="88">
        <f t="shared" si="9"/>
        <v>2</v>
      </c>
      <c r="G127" s="88" t="str">
        <f t="shared" si="10"/>
        <v>00910095</v>
      </c>
      <c r="H127" s="88" t="str">
        <f t="shared" si="11"/>
        <v>00950091</v>
      </c>
      <c r="I127" s="88">
        <f>IF($G127="",0,COUNTIF($G$7:$G127,$H127))</f>
        <v>0</v>
      </c>
      <c r="J127" s="88"/>
      <c r="K127" s="296" t="str">
        <f>Language!$E$57</f>
        <v>doppelt</v>
      </c>
      <c r="L127" s="270" t="str">
        <f>IF(Calc!$F$26=0,"",IF(OR($M127&gt;Calc!$B$24,MOD($M127-1,Calc!$F$26)&gt;0),"",QUOTIENT($M127-1,Calc!$F$26)+1))</f>
        <v/>
      </c>
      <c r="M127" s="107">
        <v>121</v>
      </c>
      <c r="N127" s="394">
        <v>91</v>
      </c>
      <c r="O127" s="113" t="s">
        <v>4</v>
      </c>
      <c r="P127" s="397">
        <v>95</v>
      </c>
      <c r="Q127" s="114" t="str">
        <f t="shared" si="7"/>
        <v>Eintracht Frankfurt</v>
      </c>
      <c r="R127" s="115" t="s">
        <v>4</v>
      </c>
      <c r="S127" s="116" t="str">
        <f t="shared" si="8"/>
        <v>FC Augsburg</v>
      </c>
      <c r="T127" s="233">
        <v>46004</v>
      </c>
      <c r="U127" s="234">
        <v>0.64583333333333337</v>
      </c>
    </row>
    <row r="128" spans="6:21" ht="17.25" x14ac:dyDescent="0.2">
      <c r="F128" s="88">
        <f t="shared" si="9"/>
        <v>2</v>
      </c>
      <c r="G128" s="88" t="str">
        <f t="shared" si="10"/>
        <v>00870131</v>
      </c>
      <c r="H128" s="88" t="str">
        <f t="shared" si="11"/>
        <v>01310087</v>
      </c>
      <c r="I128" s="88">
        <f>IF($G128="",0,COUNTIF($G$7:$G128,$H128))</f>
        <v>0</v>
      </c>
      <c r="J128" s="88"/>
      <c r="K128" s="296" t="str">
        <f>Language!$E$57</f>
        <v>doppelt</v>
      </c>
      <c r="L128" s="270" t="str">
        <f>IF(Calc!$F$26=0,"",IF(OR($M128&gt;Calc!$B$24,MOD($M128-1,Calc!$F$26)&gt;0),"",QUOTIENT($M128-1,Calc!$F$26)+1))</f>
        <v/>
      </c>
      <c r="M128" s="107">
        <v>122</v>
      </c>
      <c r="N128" s="394">
        <v>87</v>
      </c>
      <c r="O128" s="113" t="s">
        <v>4</v>
      </c>
      <c r="P128" s="397">
        <v>131</v>
      </c>
      <c r="Q128" s="114" t="str">
        <f t="shared" si="7"/>
        <v>Borussia Mönchengladbach</v>
      </c>
      <c r="R128" s="115" t="s">
        <v>4</v>
      </c>
      <c r="S128" s="116" t="str">
        <f t="shared" si="8"/>
        <v>VfL Wolfsburg</v>
      </c>
      <c r="T128" s="233">
        <v>46004</v>
      </c>
      <c r="U128" s="234">
        <v>0.64583333333333337</v>
      </c>
    </row>
    <row r="129" spans="6:21" ht="17.25" x14ac:dyDescent="0.2">
      <c r="F129" s="88">
        <f t="shared" si="9"/>
        <v>2</v>
      </c>
      <c r="G129" s="88" t="str">
        <f t="shared" si="10"/>
        <v>00060065</v>
      </c>
      <c r="H129" s="88" t="str">
        <f t="shared" si="11"/>
        <v>00650006</v>
      </c>
      <c r="I129" s="88">
        <f>IF($G129="",0,COUNTIF($G$7:$G129,$H129))</f>
        <v>0</v>
      </c>
      <c r="J129" s="88"/>
      <c r="K129" s="296" t="str">
        <f>Language!$E$57</f>
        <v>doppelt</v>
      </c>
      <c r="L129" s="270" t="str">
        <f>IF(Calc!$F$26=0,"",IF(OR($M129&gt;Calc!$B$24,MOD($M129-1,Calc!$F$26)&gt;0),"",QUOTIENT($M129-1,Calc!$F$26)+1))</f>
        <v/>
      </c>
      <c r="M129" s="107">
        <v>123</v>
      </c>
      <c r="N129" s="394">
        <v>6</v>
      </c>
      <c r="O129" s="113" t="s">
        <v>4</v>
      </c>
      <c r="P129" s="397">
        <v>65</v>
      </c>
      <c r="Q129" s="114" t="str">
        <f t="shared" si="7"/>
        <v>Bayer 04 Leverkusen</v>
      </c>
      <c r="R129" s="115" t="s">
        <v>4</v>
      </c>
      <c r="S129" s="116" t="str">
        <f t="shared" si="8"/>
        <v>1. FC Köln</v>
      </c>
      <c r="T129" s="233">
        <v>46004</v>
      </c>
      <c r="U129" s="234">
        <v>0.77083333333333337</v>
      </c>
    </row>
    <row r="130" spans="6:21" ht="17.25" x14ac:dyDescent="0.2">
      <c r="F130" s="88">
        <f t="shared" si="9"/>
        <v>2</v>
      </c>
      <c r="G130" s="88" t="str">
        <f t="shared" si="10"/>
        <v>01120007</v>
      </c>
      <c r="H130" s="88" t="str">
        <f t="shared" si="11"/>
        <v>00070112</v>
      </c>
      <c r="I130" s="88">
        <f>IF($G130="",0,COUNTIF($G$7:$G130,$H130))</f>
        <v>0</v>
      </c>
      <c r="J130" s="88"/>
      <c r="K130" s="296" t="str">
        <f>Language!$E$57</f>
        <v>doppelt</v>
      </c>
      <c r="L130" s="270" t="str">
        <f>IF(Calc!$F$26=0,"",IF(OR($M130&gt;Calc!$B$24,MOD($M130-1,Calc!$F$26)&gt;0),"",QUOTIENT($M130-1,Calc!$F$26)+1))</f>
        <v/>
      </c>
      <c r="M130" s="107">
        <v>124</v>
      </c>
      <c r="N130" s="394">
        <v>112</v>
      </c>
      <c r="O130" s="113" t="s">
        <v>4</v>
      </c>
      <c r="P130" s="397">
        <v>7</v>
      </c>
      <c r="Q130" s="114" t="str">
        <f t="shared" si="7"/>
        <v>SC Freiburg</v>
      </c>
      <c r="R130" s="115" t="s">
        <v>4</v>
      </c>
      <c r="S130" s="116" t="str">
        <f t="shared" si="8"/>
        <v>Borussia Dortmund</v>
      </c>
      <c r="T130" s="233">
        <v>46005</v>
      </c>
      <c r="U130" s="234">
        <v>0.64583333333333337</v>
      </c>
    </row>
    <row r="131" spans="6:21" ht="17.25" x14ac:dyDescent="0.2">
      <c r="F131" s="88">
        <f t="shared" si="9"/>
        <v>2</v>
      </c>
      <c r="G131" s="88" t="str">
        <f t="shared" si="10"/>
        <v>00400081</v>
      </c>
      <c r="H131" s="88" t="str">
        <f t="shared" si="11"/>
        <v>00810040</v>
      </c>
      <c r="I131" s="88">
        <f>IF($G131="",0,COUNTIF($G$7:$G131,$H131))</f>
        <v>0</v>
      </c>
      <c r="J131" s="88"/>
      <c r="K131" s="296" t="str">
        <f>Language!$E$57</f>
        <v>doppelt</v>
      </c>
      <c r="L131" s="270" t="str">
        <f>IF(Calc!$F$26=0,"",IF(OR($M131&gt;Calc!$B$24,MOD($M131-1,Calc!$F$26)&gt;0),"",QUOTIENT($M131-1,Calc!$F$26)+1))</f>
        <v/>
      </c>
      <c r="M131" s="107">
        <v>125</v>
      </c>
      <c r="N131" s="394">
        <v>40</v>
      </c>
      <c r="O131" s="113" t="s">
        <v>4</v>
      </c>
      <c r="P131" s="397">
        <v>81</v>
      </c>
      <c r="Q131" s="114" t="str">
        <f t="shared" si="7"/>
        <v>FC Bayern München</v>
      </c>
      <c r="R131" s="115" t="s">
        <v>4</v>
      </c>
      <c r="S131" s="116" t="str">
        <f t="shared" si="8"/>
        <v>1. FSV Mainz 05</v>
      </c>
      <c r="T131" s="233">
        <v>46005</v>
      </c>
      <c r="U131" s="234">
        <v>0.72916666666666663</v>
      </c>
    </row>
    <row r="132" spans="6:21" ht="17.25" x14ac:dyDescent="0.2">
      <c r="F132" s="88">
        <f t="shared" si="9"/>
        <v>2</v>
      </c>
      <c r="G132" s="88" t="str">
        <f t="shared" si="10"/>
        <v>01340016</v>
      </c>
      <c r="H132" s="88" t="str">
        <f t="shared" si="11"/>
        <v>00160134</v>
      </c>
      <c r="I132" s="88">
        <f>IF($G132="",0,COUNTIF($G$7:$G132,$H132))</f>
        <v>0</v>
      </c>
      <c r="J132" s="88"/>
      <c r="K132" s="296" t="str">
        <f>Language!$E$57</f>
        <v>doppelt</v>
      </c>
      <c r="L132" s="270" t="str">
        <f>IF(Calc!$F$26=0,"",IF(OR($M132&gt;Calc!$B$24,MOD($M132-1,Calc!$F$26)&gt;0),"",QUOTIENT($M132-1,Calc!$F$26)+1))</f>
        <v/>
      </c>
      <c r="M132" s="107">
        <v>126</v>
      </c>
      <c r="N132" s="394">
        <v>134</v>
      </c>
      <c r="O132" s="113" t="s">
        <v>4</v>
      </c>
      <c r="P132" s="397">
        <v>16</v>
      </c>
      <c r="Q132" s="114" t="str">
        <f t="shared" si="7"/>
        <v>SV Werder Bremen</v>
      </c>
      <c r="R132" s="115" t="s">
        <v>4</v>
      </c>
      <c r="S132" s="116" t="str">
        <f t="shared" si="8"/>
        <v>VfB Stuttgart</v>
      </c>
      <c r="T132" s="233">
        <v>46005</v>
      </c>
      <c r="U132" s="234">
        <v>0.8125</v>
      </c>
    </row>
    <row r="133" spans="6:21" ht="17.25" x14ac:dyDescent="0.2">
      <c r="F133" s="88">
        <f t="shared" si="9"/>
        <v>2</v>
      </c>
      <c r="G133" s="88" t="str">
        <f t="shared" si="10"/>
        <v>00070087</v>
      </c>
      <c r="H133" s="88" t="str">
        <f t="shared" si="11"/>
        <v>00870007</v>
      </c>
      <c r="I133" s="88">
        <f>IF($G133="",0,COUNTIF($G$7:$G133,$H133))</f>
        <v>0</v>
      </c>
      <c r="J133" s="88"/>
      <c r="K133" s="296" t="str">
        <f>Language!$E$57</f>
        <v>doppelt</v>
      </c>
      <c r="L133" s="270">
        <f>IF(Calc!$F$26=0,"",IF(OR($M133&gt;Calc!$B$24,MOD($M133-1,Calc!$F$26)&gt;0),"",QUOTIENT($M133-1,Calc!$F$26)+1))</f>
        <v>15</v>
      </c>
      <c r="M133" s="107">
        <v>127</v>
      </c>
      <c r="N133" s="394">
        <v>7</v>
      </c>
      <c r="O133" s="113" t="s">
        <v>4</v>
      </c>
      <c r="P133" s="397">
        <v>87</v>
      </c>
      <c r="Q133" s="114" t="str">
        <f t="shared" si="7"/>
        <v>Borussia Dortmund</v>
      </c>
      <c r="R133" s="115" t="s">
        <v>4</v>
      </c>
      <c r="S133" s="116" t="str">
        <f t="shared" si="8"/>
        <v>Borussia Mönchengladbach</v>
      </c>
      <c r="T133" s="233">
        <v>46010</v>
      </c>
      <c r="U133" s="234">
        <v>0.85416666666666663</v>
      </c>
    </row>
    <row r="134" spans="6:21" ht="17.25" x14ac:dyDescent="0.2">
      <c r="F134" s="88">
        <f t="shared" si="9"/>
        <v>2</v>
      </c>
      <c r="G134" s="88" t="str">
        <f t="shared" si="10"/>
        <v>00650080</v>
      </c>
      <c r="H134" s="88" t="str">
        <f t="shared" si="11"/>
        <v>00800065</v>
      </c>
      <c r="I134" s="88">
        <f>IF($G134="",0,COUNTIF($G$7:$G134,$H134))</f>
        <v>0</v>
      </c>
      <c r="J134" s="88"/>
      <c r="K134" s="296" t="str">
        <f>Language!$E$57</f>
        <v>doppelt</v>
      </c>
      <c r="L134" s="270" t="str">
        <f>IF(Calc!$F$26=0,"",IF(OR($M134&gt;Calc!$B$24,MOD($M134-1,Calc!$F$26)&gt;0),"",QUOTIENT($M134-1,Calc!$F$26)+1))</f>
        <v/>
      </c>
      <c r="M134" s="107">
        <v>128</v>
      </c>
      <c r="N134" s="394">
        <v>65</v>
      </c>
      <c r="O134" s="113" t="s">
        <v>4</v>
      </c>
      <c r="P134" s="397">
        <v>80</v>
      </c>
      <c r="Q134" s="114" t="str">
        <f t="shared" si="7"/>
        <v>1. FC Köln</v>
      </c>
      <c r="R134" s="115" t="s">
        <v>4</v>
      </c>
      <c r="S134" s="116" t="str">
        <f t="shared" si="8"/>
        <v>1. FC Union Berlin</v>
      </c>
      <c r="T134" s="233">
        <v>46011</v>
      </c>
      <c r="U134" s="234">
        <v>0.64583333333333337</v>
      </c>
    </row>
    <row r="135" spans="6:21" ht="17.25" x14ac:dyDescent="0.2">
      <c r="F135" s="88">
        <f t="shared" si="9"/>
        <v>2</v>
      </c>
      <c r="G135" s="88" t="str">
        <f t="shared" si="10"/>
        <v>01000091</v>
      </c>
      <c r="H135" s="88" t="str">
        <f t="shared" si="11"/>
        <v>00910100</v>
      </c>
      <c r="I135" s="88">
        <f>IF($G135="",0,COUNTIF($G$7:$G135,$H135))</f>
        <v>0</v>
      </c>
      <c r="J135" s="88"/>
      <c r="K135" s="296" t="str">
        <f>Language!$E$57</f>
        <v>doppelt</v>
      </c>
      <c r="L135" s="270" t="str">
        <f>IF(Calc!$F$26=0,"",IF(OR($M135&gt;Calc!$B$24,MOD($M135-1,Calc!$F$26)&gt;0),"",QUOTIENT($M135-1,Calc!$F$26)+1))</f>
        <v/>
      </c>
      <c r="M135" s="107">
        <v>129</v>
      </c>
      <c r="N135" s="394">
        <v>100</v>
      </c>
      <c r="O135" s="113" t="s">
        <v>4</v>
      </c>
      <c r="P135" s="397">
        <v>91</v>
      </c>
      <c r="Q135" s="114" t="str">
        <f t="shared" ref="Q135:Q198" si="12">IF(ISBLANK($N135),"",IF(ISBLANK(VLOOKUP($N135,$C$7:$D$26,2,0)),"",VLOOKUP($N135,$C$7:$D$26,2,0)))</f>
        <v>Hamburger SV</v>
      </c>
      <c r="R135" s="115" t="s">
        <v>4</v>
      </c>
      <c r="S135" s="116" t="str">
        <f t="shared" ref="S135:S198" si="13">IF(ISBLANK($P135),"",IF(ISBLANK(VLOOKUP($P135,$C$7:$D$26,2,0)),"",VLOOKUP($P135,$C$7:$D$26,2,0)))</f>
        <v>Eintracht Frankfurt</v>
      </c>
      <c r="T135" s="233">
        <v>46011</v>
      </c>
      <c r="U135" s="234">
        <v>0.64583333333333337</v>
      </c>
    </row>
    <row r="136" spans="6:21" ht="17.25" x14ac:dyDescent="0.2">
      <c r="F136" s="88">
        <f t="shared" ref="F136:F199" si="14">IF($G136="",0,IF(LEFT($G136,4)=RIGHT($G136,4),100,IF(COUNTIF($G$7:$G$386,$G136)&gt;1,101,COUNTIF($G$7:$G$386,$G136)+COUNTIF($H$7:$H$386,$G136))))</f>
        <v>2</v>
      </c>
      <c r="G136" s="88" t="str">
        <f t="shared" ref="G136:G199" si="15">IF(OR($N136="",$P136=""),"",TEXT($N136,"0000")&amp;TEXT($P136,"0000"))</f>
        <v>00950134</v>
      </c>
      <c r="H136" s="88" t="str">
        <f t="shared" ref="H136:H199" si="16">IF(OR($N136="",$P136=""),"",TEXT($P136,"0000")&amp;TEXT($N136,"0000"))</f>
        <v>01340095</v>
      </c>
      <c r="I136" s="88">
        <f>IF($G136="",0,COUNTIF($G$7:$G136,$H136))</f>
        <v>0</v>
      </c>
      <c r="J136" s="88"/>
      <c r="K136" s="296" t="str">
        <f>Language!$E$57</f>
        <v>doppelt</v>
      </c>
      <c r="L136" s="270" t="str">
        <f>IF(Calc!$F$26=0,"",IF(OR($M136&gt;Calc!$B$24,MOD($M136-1,Calc!$F$26)&gt;0),"",QUOTIENT($M136-1,Calc!$F$26)+1))</f>
        <v/>
      </c>
      <c r="M136" s="107">
        <v>130</v>
      </c>
      <c r="N136" s="394">
        <v>95</v>
      </c>
      <c r="O136" s="113" t="s">
        <v>4</v>
      </c>
      <c r="P136" s="397">
        <v>134</v>
      </c>
      <c r="Q136" s="114" t="str">
        <f t="shared" si="12"/>
        <v>FC Augsburg</v>
      </c>
      <c r="R136" s="115" t="s">
        <v>4</v>
      </c>
      <c r="S136" s="116" t="str">
        <f t="shared" si="13"/>
        <v>SV Werder Bremen</v>
      </c>
      <c r="T136" s="233">
        <v>46011</v>
      </c>
      <c r="U136" s="234">
        <v>0.64583333333333337</v>
      </c>
    </row>
    <row r="137" spans="6:21" ht="17.25" x14ac:dyDescent="0.2">
      <c r="F137" s="88">
        <f t="shared" si="14"/>
        <v>2</v>
      </c>
      <c r="G137" s="88" t="str">
        <f t="shared" si="15"/>
        <v>00160175</v>
      </c>
      <c r="H137" s="88" t="str">
        <f t="shared" si="16"/>
        <v>01750016</v>
      </c>
      <c r="I137" s="88">
        <f>IF($G137="",0,COUNTIF($G$7:$G137,$H137))</f>
        <v>0</v>
      </c>
      <c r="J137" s="88"/>
      <c r="K137" s="296" t="str">
        <f>Language!$E$57</f>
        <v>doppelt</v>
      </c>
      <c r="L137" s="270" t="str">
        <f>IF(Calc!$F$26=0,"",IF(OR($M137&gt;Calc!$B$24,MOD($M137-1,Calc!$F$26)&gt;0),"",QUOTIENT($M137-1,Calc!$F$26)+1))</f>
        <v/>
      </c>
      <c r="M137" s="107">
        <v>131</v>
      </c>
      <c r="N137" s="394">
        <v>16</v>
      </c>
      <c r="O137" s="113" t="s">
        <v>4</v>
      </c>
      <c r="P137" s="397">
        <v>175</v>
      </c>
      <c r="Q137" s="114" t="str">
        <f t="shared" si="12"/>
        <v>VfB Stuttgart</v>
      </c>
      <c r="R137" s="115" t="s">
        <v>4</v>
      </c>
      <c r="S137" s="116" t="str">
        <f t="shared" si="13"/>
        <v>TSG Hoffenheim</v>
      </c>
      <c r="T137" s="233">
        <v>46011</v>
      </c>
      <c r="U137" s="234">
        <v>0.64583333333333337</v>
      </c>
    </row>
    <row r="138" spans="6:21" ht="17.25" x14ac:dyDescent="0.2">
      <c r="F138" s="88">
        <f t="shared" si="14"/>
        <v>2</v>
      </c>
      <c r="G138" s="88" t="str">
        <f t="shared" si="15"/>
        <v>01310112</v>
      </c>
      <c r="H138" s="88" t="str">
        <f t="shared" si="16"/>
        <v>01120131</v>
      </c>
      <c r="I138" s="88">
        <f>IF($G138="",0,COUNTIF($G$7:$G138,$H138))</f>
        <v>0</v>
      </c>
      <c r="J138" s="88"/>
      <c r="K138" s="296" t="str">
        <f>Language!$E$57</f>
        <v>doppelt</v>
      </c>
      <c r="L138" s="270" t="str">
        <f>IF(Calc!$F$26=0,"",IF(OR($M138&gt;Calc!$B$24,MOD($M138-1,Calc!$F$26)&gt;0),"",QUOTIENT($M138-1,Calc!$F$26)+1))</f>
        <v/>
      </c>
      <c r="M138" s="107">
        <v>132</v>
      </c>
      <c r="N138" s="394">
        <v>131</v>
      </c>
      <c r="O138" s="113" t="s">
        <v>4</v>
      </c>
      <c r="P138" s="397">
        <v>112</v>
      </c>
      <c r="Q138" s="114" t="str">
        <f t="shared" si="12"/>
        <v>VfL Wolfsburg</v>
      </c>
      <c r="R138" s="115" t="s">
        <v>4</v>
      </c>
      <c r="S138" s="116" t="str">
        <f t="shared" si="13"/>
        <v>SC Freiburg</v>
      </c>
      <c r="T138" s="233">
        <v>46011</v>
      </c>
      <c r="U138" s="234">
        <v>0.64583333333333337</v>
      </c>
    </row>
    <row r="139" spans="6:21" ht="17.25" x14ac:dyDescent="0.2">
      <c r="F139" s="88">
        <f t="shared" si="14"/>
        <v>2</v>
      </c>
      <c r="G139" s="88" t="str">
        <f t="shared" si="15"/>
        <v>16350006</v>
      </c>
      <c r="H139" s="88" t="str">
        <f t="shared" si="16"/>
        <v>00061635</v>
      </c>
      <c r="I139" s="88">
        <f>IF($G139="",0,COUNTIF($G$7:$G139,$H139))</f>
        <v>0</v>
      </c>
      <c r="J139" s="88"/>
      <c r="K139" s="296" t="str">
        <f>Language!$E$57</f>
        <v>doppelt</v>
      </c>
      <c r="L139" s="270" t="str">
        <f>IF(Calc!$F$26=0,"",IF(OR($M139&gt;Calc!$B$24,MOD($M139-1,Calc!$F$26)&gt;0),"",QUOTIENT($M139-1,Calc!$F$26)+1))</f>
        <v/>
      </c>
      <c r="M139" s="107">
        <v>133</v>
      </c>
      <c r="N139" s="394">
        <v>1635</v>
      </c>
      <c r="O139" s="113" t="s">
        <v>4</v>
      </c>
      <c r="P139" s="397">
        <v>6</v>
      </c>
      <c r="Q139" s="114" t="str">
        <f t="shared" si="12"/>
        <v>RB Leipzig</v>
      </c>
      <c r="R139" s="115" t="s">
        <v>4</v>
      </c>
      <c r="S139" s="116" t="str">
        <f t="shared" si="13"/>
        <v>Bayer 04 Leverkusen</v>
      </c>
      <c r="T139" s="233">
        <v>46011</v>
      </c>
      <c r="U139" s="234">
        <v>0.77083333333333337</v>
      </c>
    </row>
    <row r="140" spans="6:21" ht="17.25" x14ac:dyDescent="0.2">
      <c r="F140" s="88">
        <f t="shared" si="14"/>
        <v>2</v>
      </c>
      <c r="G140" s="88" t="str">
        <f t="shared" si="15"/>
        <v>00810098</v>
      </c>
      <c r="H140" s="88" t="str">
        <f t="shared" si="16"/>
        <v>00980081</v>
      </c>
      <c r="I140" s="88">
        <f>IF($G140="",0,COUNTIF($G$7:$G140,$H140))</f>
        <v>0</v>
      </c>
      <c r="J140" s="88"/>
      <c r="K140" s="296" t="str">
        <f>Language!$E$57</f>
        <v>doppelt</v>
      </c>
      <c r="L140" s="270" t="str">
        <f>IF(Calc!$F$26=0,"",IF(OR($M140&gt;Calc!$B$24,MOD($M140-1,Calc!$F$26)&gt;0),"",QUOTIENT($M140-1,Calc!$F$26)+1))</f>
        <v/>
      </c>
      <c r="M140" s="107">
        <v>134</v>
      </c>
      <c r="N140" s="394">
        <v>81</v>
      </c>
      <c r="O140" s="113" t="s">
        <v>4</v>
      </c>
      <c r="P140" s="397">
        <v>98</v>
      </c>
      <c r="Q140" s="114" t="str">
        <f t="shared" si="12"/>
        <v>1. FSV Mainz 05</v>
      </c>
      <c r="R140" s="115" t="s">
        <v>4</v>
      </c>
      <c r="S140" s="116" t="str">
        <f t="shared" si="13"/>
        <v>FC St. Pauli</v>
      </c>
      <c r="T140" s="233">
        <v>46012</v>
      </c>
      <c r="U140" s="234">
        <v>0.64583333333333337</v>
      </c>
    </row>
    <row r="141" spans="6:21" ht="17.25" x14ac:dyDescent="0.2">
      <c r="F141" s="88">
        <f t="shared" si="14"/>
        <v>2</v>
      </c>
      <c r="G141" s="88" t="str">
        <f t="shared" si="15"/>
        <v>01990040</v>
      </c>
      <c r="H141" s="88" t="str">
        <f t="shared" si="16"/>
        <v>00400199</v>
      </c>
      <c r="I141" s="88">
        <f>IF($G141="",0,COUNTIF($G$7:$G141,$H141))</f>
        <v>0</v>
      </c>
      <c r="J141" s="88"/>
      <c r="K141" s="296" t="str">
        <f>Language!$E$57</f>
        <v>doppelt</v>
      </c>
      <c r="L141" s="270" t="str">
        <f>IF(Calc!$F$26=0,"",IF(OR($M141&gt;Calc!$B$24,MOD($M141-1,Calc!$F$26)&gt;0),"",QUOTIENT($M141-1,Calc!$F$26)+1))</f>
        <v/>
      </c>
      <c r="M141" s="107">
        <v>135</v>
      </c>
      <c r="N141" s="394">
        <v>199</v>
      </c>
      <c r="O141" s="113" t="s">
        <v>4</v>
      </c>
      <c r="P141" s="397">
        <v>40</v>
      </c>
      <c r="Q141" s="114" t="str">
        <f t="shared" si="12"/>
        <v>1. FC Heidenheim 1846</v>
      </c>
      <c r="R141" s="115" t="s">
        <v>4</v>
      </c>
      <c r="S141" s="116" t="str">
        <f t="shared" si="13"/>
        <v>FC Bayern München</v>
      </c>
      <c r="T141" s="233">
        <v>46012</v>
      </c>
      <c r="U141" s="234">
        <v>0.72916666666666663</v>
      </c>
    </row>
    <row r="142" spans="6:21" ht="17.25" x14ac:dyDescent="0.2">
      <c r="F142" s="88">
        <f t="shared" si="14"/>
        <v>2</v>
      </c>
      <c r="G142" s="88" t="str">
        <f t="shared" si="15"/>
        <v>00910007</v>
      </c>
      <c r="H142" s="88" t="str">
        <f t="shared" si="16"/>
        <v>00070091</v>
      </c>
      <c r="I142" s="88">
        <f>IF($G142="",0,COUNTIF($G$7:$G142,$H142))</f>
        <v>0</v>
      </c>
      <c r="J142" s="88"/>
      <c r="K142" s="296" t="str">
        <f>Language!$E$57</f>
        <v>doppelt</v>
      </c>
      <c r="L142" s="270">
        <f>IF(Calc!$F$26=0,"",IF(OR($M142&gt;Calc!$B$24,MOD($M142-1,Calc!$F$26)&gt;0),"",QUOTIENT($M142-1,Calc!$F$26)+1))</f>
        <v>16</v>
      </c>
      <c r="M142" s="107">
        <v>136</v>
      </c>
      <c r="N142" s="394">
        <v>91</v>
      </c>
      <c r="O142" s="113" t="s">
        <v>4</v>
      </c>
      <c r="P142" s="397">
        <v>7</v>
      </c>
      <c r="Q142" s="114" t="str">
        <f t="shared" si="12"/>
        <v>Eintracht Frankfurt</v>
      </c>
      <c r="R142" s="115" t="s">
        <v>4</v>
      </c>
      <c r="S142" s="116" t="str">
        <f t="shared" si="13"/>
        <v>Borussia Dortmund</v>
      </c>
      <c r="T142" s="233">
        <v>46031</v>
      </c>
      <c r="U142" s="234">
        <v>0.85416666666666663</v>
      </c>
    </row>
    <row r="143" spans="6:21" ht="17.25" x14ac:dyDescent="0.2">
      <c r="F143" s="88">
        <f t="shared" si="14"/>
        <v>2</v>
      </c>
      <c r="G143" s="88" t="str">
        <f t="shared" si="15"/>
        <v>01990065</v>
      </c>
      <c r="H143" s="88" t="str">
        <f t="shared" si="16"/>
        <v>00650199</v>
      </c>
      <c r="I143" s="88">
        <f>IF($G143="",0,COUNTIF($G$7:$G143,$H143))</f>
        <v>0</v>
      </c>
      <c r="J143" s="88"/>
      <c r="K143" s="296" t="str">
        <f>Language!$E$57</f>
        <v>doppelt</v>
      </c>
      <c r="L143" s="270" t="str">
        <f>IF(Calc!$F$26=0,"",IF(OR($M143&gt;Calc!$B$24,MOD($M143-1,Calc!$F$26)&gt;0),"",QUOTIENT($M143-1,Calc!$F$26)+1))</f>
        <v/>
      </c>
      <c r="M143" s="107">
        <v>137</v>
      </c>
      <c r="N143" s="394">
        <v>199</v>
      </c>
      <c r="O143" s="113" t="s">
        <v>4</v>
      </c>
      <c r="P143" s="397">
        <v>65</v>
      </c>
      <c r="Q143" s="114" t="str">
        <f t="shared" si="12"/>
        <v>1. FC Heidenheim 1846</v>
      </c>
      <c r="R143" s="115" t="s">
        <v>4</v>
      </c>
      <c r="S143" s="116" t="str">
        <f t="shared" si="13"/>
        <v>1. FC Köln</v>
      </c>
      <c r="T143" s="233">
        <v>46032</v>
      </c>
      <c r="U143" s="234">
        <v>0.64583333333333337</v>
      </c>
    </row>
    <row r="144" spans="6:21" ht="17.25" x14ac:dyDescent="0.2">
      <c r="F144" s="88">
        <f t="shared" si="14"/>
        <v>2</v>
      </c>
      <c r="G144" s="88" t="str">
        <f t="shared" si="15"/>
        <v>00800081</v>
      </c>
      <c r="H144" s="88" t="str">
        <f t="shared" si="16"/>
        <v>00810080</v>
      </c>
      <c r="I144" s="88">
        <f>IF($G144="",0,COUNTIF($G$7:$G144,$H144))</f>
        <v>0</v>
      </c>
      <c r="J144" s="88"/>
      <c r="K144" s="296" t="str">
        <f>Language!$E$57</f>
        <v>doppelt</v>
      </c>
      <c r="L144" s="270" t="str">
        <f>IF(Calc!$F$26=0,"",IF(OR($M144&gt;Calc!$B$24,MOD($M144-1,Calc!$F$26)&gt;0),"",QUOTIENT($M144-1,Calc!$F$26)+1))</f>
        <v/>
      </c>
      <c r="M144" s="107">
        <v>138</v>
      </c>
      <c r="N144" s="394">
        <v>80</v>
      </c>
      <c r="O144" s="113" t="s">
        <v>4</v>
      </c>
      <c r="P144" s="397">
        <v>81</v>
      </c>
      <c r="Q144" s="114" t="str">
        <f t="shared" si="12"/>
        <v>1. FC Union Berlin</v>
      </c>
      <c r="R144" s="115" t="s">
        <v>4</v>
      </c>
      <c r="S144" s="116" t="str">
        <f t="shared" si="13"/>
        <v>1. FSV Mainz 05</v>
      </c>
      <c r="T144" s="233">
        <v>46032</v>
      </c>
      <c r="U144" s="234">
        <v>0.64583333333333337</v>
      </c>
    </row>
    <row r="145" spans="6:21" ht="17.25" x14ac:dyDescent="0.2">
      <c r="F145" s="88">
        <f t="shared" si="14"/>
        <v>2</v>
      </c>
      <c r="G145" s="88" t="str">
        <f t="shared" si="15"/>
        <v>01120100</v>
      </c>
      <c r="H145" s="88" t="str">
        <f t="shared" si="16"/>
        <v>01000112</v>
      </c>
      <c r="I145" s="88">
        <f>IF($G145="",0,COUNTIF($G$7:$G145,$H145))</f>
        <v>0</v>
      </c>
      <c r="J145" s="88"/>
      <c r="K145" s="296" t="str">
        <f>Language!$E$57</f>
        <v>doppelt</v>
      </c>
      <c r="L145" s="270" t="str">
        <f>IF(Calc!$F$26=0,"",IF(OR($M145&gt;Calc!$B$24,MOD($M145-1,Calc!$F$26)&gt;0),"",QUOTIENT($M145-1,Calc!$F$26)+1))</f>
        <v/>
      </c>
      <c r="M145" s="107">
        <v>139</v>
      </c>
      <c r="N145" s="394">
        <v>112</v>
      </c>
      <c r="O145" s="113" t="s">
        <v>4</v>
      </c>
      <c r="P145" s="397">
        <v>100</v>
      </c>
      <c r="Q145" s="114" t="str">
        <f t="shared" si="12"/>
        <v>SC Freiburg</v>
      </c>
      <c r="R145" s="115" t="s">
        <v>4</v>
      </c>
      <c r="S145" s="116" t="str">
        <f t="shared" si="13"/>
        <v>Hamburger SV</v>
      </c>
      <c r="T145" s="233">
        <v>46032</v>
      </c>
      <c r="U145" s="234">
        <v>0.64583333333333337</v>
      </c>
    </row>
    <row r="146" spans="6:21" ht="17.25" x14ac:dyDescent="0.2">
      <c r="F146" s="88">
        <f t="shared" si="14"/>
        <v>2</v>
      </c>
      <c r="G146" s="88" t="str">
        <f t="shared" si="15"/>
        <v>00060016</v>
      </c>
      <c r="H146" s="88" t="str">
        <f t="shared" si="16"/>
        <v>00160006</v>
      </c>
      <c r="I146" s="88">
        <f>IF($G146="",0,COUNTIF($G$7:$G146,$H146))</f>
        <v>0</v>
      </c>
      <c r="J146" s="88"/>
      <c r="K146" s="296" t="str">
        <f>Language!$E$57</f>
        <v>doppelt</v>
      </c>
      <c r="L146" s="270" t="str">
        <f>IF(Calc!$F$26=0,"",IF(OR($M146&gt;Calc!$B$24,MOD($M146-1,Calc!$F$26)&gt;0),"",QUOTIENT($M146-1,Calc!$F$26)+1))</f>
        <v/>
      </c>
      <c r="M146" s="107">
        <v>140</v>
      </c>
      <c r="N146" s="394">
        <v>6</v>
      </c>
      <c r="O146" s="113" t="s">
        <v>4</v>
      </c>
      <c r="P146" s="397">
        <v>16</v>
      </c>
      <c r="Q146" s="114" t="str">
        <f t="shared" si="12"/>
        <v>Bayer 04 Leverkusen</v>
      </c>
      <c r="R146" s="115" t="s">
        <v>4</v>
      </c>
      <c r="S146" s="116" t="str">
        <f t="shared" si="13"/>
        <v>VfB Stuttgart</v>
      </c>
      <c r="T146" s="233">
        <v>46032</v>
      </c>
      <c r="U146" s="234">
        <v>0.77083333333333337</v>
      </c>
    </row>
    <row r="147" spans="6:21" ht="17.25" x14ac:dyDescent="0.2">
      <c r="F147" s="88">
        <f t="shared" si="14"/>
        <v>2</v>
      </c>
      <c r="G147" s="88" t="str">
        <f t="shared" si="15"/>
        <v>00870095</v>
      </c>
      <c r="H147" s="88" t="str">
        <f t="shared" si="16"/>
        <v>00950087</v>
      </c>
      <c r="I147" s="88">
        <f>IF($G147="",0,COUNTIF($G$7:$G147,$H147))</f>
        <v>0</v>
      </c>
      <c r="J147" s="88"/>
      <c r="K147" s="296" t="str">
        <f>Language!$E$57</f>
        <v>doppelt</v>
      </c>
      <c r="L147" s="270" t="str">
        <f>IF(Calc!$F$26=0,"",IF(OR($M147&gt;Calc!$B$24,MOD($M147-1,Calc!$F$26)&gt;0),"",QUOTIENT($M147-1,Calc!$F$26)+1))</f>
        <v/>
      </c>
      <c r="M147" s="107">
        <v>141</v>
      </c>
      <c r="N147" s="394">
        <v>87</v>
      </c>
      <c r="O147" s="113" t="s">
        <v>4</v>
      </c>
      <c r="P147" s="397">
        <v>95</v>
      </c>
      <c r="Q147" s="114" t="str">
        <f t="shared" si="12"/>
        <v>Borussia Mönchengladbach</v>
      </c>
      <c r="R147" s="115" t="s">
        <v>4</v>
      </c>
      <c r="S147" s="116" t="str">
        <f t="shared" si="13"/>
        <v>FC Augsburg</v>
      </c>
      <c r="T147" s="233">
        <v>46033</v>
      </c>
      <c r="U147" s="234">
        <v>0.64583333333333337</v>
      </c>
    </row>
    <row r="148" spans="6:21" ht="17.25" x14ac:dyDescent="0.2">
      <c r="F148" s="88">
        <f t="shared" si="14"/>
        <v>2</v>
      </c>
      <c r="G148" s="88" t="str">
        <f t="shared" si="15"/>
        <v>00400131</v>
      </c>
      <c r="H148" s="88" t="str">
        <f t="shared" si="16"/>
        <v>01310040</v>
      </c>
      <c r="I148" s="88">
        <f>IF($G148="",0,COUNTIF($G$7:$G148,$H148))</f>
        <v>0</v>
      </c>
      <c r="J148" s="88"/>
      <c r="K148" s="296" t="str">
        <f>Language!$E$57</f>
        <v>doppelt</v>
      </c>
      <c r="L148" s="270" t="str">
        <f>IF(Calc!$F$26=0,"",IF(OR($M148&gt;Calc!$B$24,MOD($M148-1,Calc!$F$26)&gt;0),"",QUOTIENT($M148-1,Calc!$F$26)+1))</f>
        <v/>
      </c>
      <c r="M148" s="107">
        <v>142</v>
      </c>
      <c r="N148" s="394">
        <v>40</v>
      </c>
      <c r="O148" s="113" t="s">
        <v>4</v>
      </c>
      <c r="P148" s="397">
        <v>131</v>
      </c>
      <c r="Q148" s="114" t="str">
        <f t="shared" si="12"/>
        <v>FC Bayern München</v>
      </c>
      <c r="R148" s="115" t="s">
        <v>4</v>
      </c>
      <c r="S148" s="116" t="str">
        <f t="shared" si="13"/>
        <v>VfL Wolfsburg</v>
      </c>
      <c r="T148" s="233">
        <v>46033</v>
      </c>
      <c r="U148" s="234">
        <v>0.72916666666666663</v>
      </c>
    </row>
    <row r="149" spans="6:21" ht="17.25" x14ac:dyDescent="0.2">
      <c r="F149" s="88">
        <f t="shared" si="14"/>
        <v>2</v>
      </c>
      <c r="G149" s="88" t="str">
        <f t="shared" si="15"/>
        <v>01340175</v>
      </c>
      <c r="H149" s="88" t="str">
        <f t="shared" si="16"/>
        <v>01750134</v>
      </c>
      <c r="I149" s="88">
        <f>IF($G149="",0,COUNTIF($G$7:$G149,$H149))</f>
        <v>0</v>
      </c>
      <c r="J149" s="88"/>
      <c r="K149" s="296" t="str">
        <f>Language!$E$57</f>
        <v>doppelt</v>
      </c>
      <c r="L149" s="270" t="str">
        <f>IF(Calc!$F$26=0,"",IF(OR($M149&gt;Calc!$B$24,MOD($M149-1,Calc!$F$26)&gt;0),"",QUOTIENT($M149-1,Calc!$F$26)+1))</f>
        <v/>
      </c>
      <c r="M149" s="107">
        <v>143</v>
      </c>
      <c r="N149" s="394">
        <v>134</v>
      </c>
      <c r="O149" s="113" t="s">
        <v>4</v>
      </c>
      <c r="P149" s="397">
        <v>175</v>
      </c>
      <c r="Q149" s="114" t="str">
        <f t="shared" si="12"/>
        <v>SV Werder Bremen</v>
      </c>
      <c r="R149" s="115" t="s">
        <v>4</v>
      </c>
      <c r="S149" s="116" t="str">
        <f t="shared" si="13"/>
        <v>TSG Hoffenheim</v>
      </c>
      <c r="T149" s="233">
        <v>46049</v>
      </c>
      <c r="U149" s="234">
        <v>0.85416666666666663</v>
      </c>
    </row>
    <row r="150" spans="6:21" ht="17.25" x14ac:dyDescent="0.2">
      <c r="F150" s="88">
        <f t="shared" si="14"/>
        <v>2</v>
      </c>
      <c r="G150" s="88" t="str">
        <f t="shared" si="15"/>
        <v>00981635</v>
      </c>
      <c r="H150" s="88" t="str">
        <f t="shared" si="16"/>
        <v>16350098</v>
      </c>
      <c r="I150" s="88">
        <f>IF($G150="",0,COUNTIF($G$7:$G150,$H150))</f>
        <v>0</v>
      </c>
      <c r="J150" s="88"/>
      <c r="K150" s="296" t="str">
        <f>Language!$E$57</f>
        <v>doppelt</v>
      </c>
      <c r="L150" s="270" t="str">
        <f>IF(Calc!$F$26=0,"",IF(OR($M150&gt;Calc!$B$24,MOD($M150-1,Calc!$F$26)&gt;0),"",QUOTIENT($M150-1,Calc!$F$26)+1))</f>
        <v/>
      </c>
      <c r="M150" s="107">
        <v>144</v>
      </c>
      <c r="N150" s="394">
        <v>98</v>
      </c>
      <c r="O150" s="113" t="s">
        <v>4</v>
      </c>
      <c r="P150" s="397">
        <v>1635</v>
      </c>
      <c r="Q150" s="114" t="str">
        <f t="shared" si="12"/>
        <v>FC St. Pauli</v>
      </c>
      <c r="R150" s="115" t="s">
        <v>4</v>
      </c>
      <c r="S150" s="116" t="str">
        <f t="shared" si="13"/>
        <v>RB Leipzig</v>
      </c>
      <c r="T150" s="233">
        <v>46049</v>
      </c>
      <c r="U150" s="234">
        <v>0.85416666666666663</v>
      </c>
    </row>
    <row r="151" spans="6:21" ht="17.25" x14ac:dyDescent="0.2">
      <c r="F151" s="88">
        <f t="shared" si="14"/>
        <v>2</v>
      </c>
      <c r="G151" s="88" t="str">
        <f t="shared" si="15"/>
        <v>00160091</v>
      </c>
      <c r="H151" s="88" t="str">
        <f t="shared" si="16"/>
        <v>00910016</v>
      </c>
      <c r="I151" s="88">
        <f>IF($G151="",0,COUNTIF($G$7:$G151,$H151))</f>
        <v>0</v>
      </c>
      <c r="J151" s="88"/>
      <c r="K151" s="296" t="str">
        <f>Language!$E$57</f>
        <v>doppelt</v>
      </c>
      <c r="L151" s="270">
        <f>IF(Calc!$F$26=0,"",IF(OR($M151&gt;Calc!$B$24,MOD($M151-1,Calc!$F$26)&gt;0),"",QUOTIENT($M151-1,Calc!$F$26)+1))</f>
        <v>17</v>
      </c>
      <c r="M151" s="107">
        <v>145</v>
      </c>
      <c r="N151" s="394">
        <v>16</v>
      </c>
      <c r="O151" s="113" t="s">
        <v>4</v>
      </c>
      <c r="P151" s="397">
        <v>91</v>
      </c>
      <c r="Q151" s="114" t="str">
        <f t="shared" si="12"/>
        <v>VfB Stuttgart</v>
      </c>
      <c r="R151" s="115" t="s">
        <v>4</v>
      </c>
      <c r="S151" s="116" t="str">
        <f t="shared" si="13"/>
        <v>Eintracht Frankfurt</v>
      </c>
      <c r="T151" s="233">
        <v>46035</v>
      </c>
      <c r="U151" s="234">
        <v>0.77083333333333337</v>
      </c>
    </row>
    <row r="152" spans="6:21" ht="17.25" x14ac:dyDescent="0.2">
      <c r="F152" s="88">
        <f t="shared" si="14"/>
        <v>2</v>
      </c>
      <c r="G152" s="88" t="str">
        <f t="shared" si="15"/>
        <v>00070134</v>
      </c>
      <c r="H152" s="88" t="str">
        <f t="shared" si="16"/>
        <v>01340007</v>
      </c>
      <c r="I152" s="88">
        <f>IF($G152="",0,COUNTIF($G$7:$G152,$H152))</f>
        <v>0</v>
      </c>
      <c r="J152" s="88"/>
      <c r="K152" s="296" t="str">
        <f>Language!$E$57</f>
        <v>doppelt</v>
      </c>
      <c r="L152" s="270" t="str">
        <f>IF(Calc!$F$26=0,"",IF(OR($M152&gt;Calc!$B$24,MOD($M152-1,Calc!$F$26)&gt;0),"",QUOTIENT($M152-1,Calc!$F$26)+1))</f>
        <v/>
      </c>
      <c r="M152" s="107">
        <v>146</v>
      </c>
      <c r="N152" s="394">
        <v>7</v>
      </c>
      <c r="O152" s="113" t="s">
        <v>4</v>
      </c>
      <c r="P152" s="397">
        <v>134</v>
      </c>
      <c r="Q152" s="114" t="str">
        <f t="shared" si="12"/>
        <v>Borussia Dortmund</v>
      </c>
      <c r="R152" s="115" t="s">
        <v>4</v>
      </c>
      <c r="S152" s="116" t="str">
        <f t="shared" si="13"/>
        <v>SV Werder Bremen</v>
      </c>
      <c r="T152" s="233">
        <v>46035</v>
      </c>
      <c r="U152" s="234">
        <v>0.85416666666666663</v>
      </c>
    </row>
    <row r="153" spans="6:21" ht="17.25" x14ac:dyDescent="0.2">
      <c r="F153" s="88">
        <f t="shared" si="14"/>
        <v>2</v>
      </c>
      <c r="G153" s="88" t="str">
        <f t="shared" si="15"/>
        <v>00810199</v>
      </c>
      <c r="H153" s="88" t="str">
        <f t="shared" si="16"/>
        <v>01990081</v>
      </c>
      <c r="I153" s="88">
        <f>IF($G153="",0,COUNTIF($G$7:$G153,$H153))</f>
        <v>0</v>
      </c>
      <c r="J153" s="88"/>
      <c r="K153" s="296" t="str">
        <f>Language!$E$57</f>
        <v>doppelt</v>
      </c>
      <c r="L153" s="270" t="str">
        <f>IF(Calc!$F$26=0,"",IF(OR($M153&gt;Calc!$B$24,MOD($M153-1,Calc!$F$26)&gt;0),"",QUOTIENT($M153-1,Calc!$F$26)+1))</f>
        <v/>
      </c>
      <c r="M153" s="107">
        <v>147</v>
      </c>
      <c r="N153" s="394">
        <v>81</v>
      </c>
      <c r="O153" s="113" t="s">
        <v>4</v>
      </c>
      <c r="P153" s="397">
        <v>199</v>
      </c>
      <c r="Q153" s="114" t="str">
        <f t="shared" si="12"/>
        <v>1. FSV Mainz 05</v>
      </c>
      <c r="R153" s="115" t="s">
        <v>4</v>
      </c>
      <c r="S153" s="116" t="str">
        <f t="shared" si="13"/>
        <v>1. FC Heidenheim 1846</v>
      </c>
      <c r="T153" s="233">
        <v>46035</v>
      </c>
      <c r="U153" s="234">
        <v>0.85416666666666663</v>
      </c>
    </row>
    <row r="154" spans="6:21" ht="17.25" x14ac:dyDescent="0.2">
      <c r="F154" s="88">
        <f t="shared" si="14"/>
        <v>2</v>
      </c>
      <c r="G154" s="88" t="str">
        <f t="shared" si="15"/>
        <v>01310098</v>
      </c>
      <c r="H154" s="88" t="str">
        <f t="shared" si="16"/>
        <v>00980131</v>
      </c>
      <c r="I154" s="88">
        <f>IF($G154="",0,COUNTIF($G$7:$G154,$H154))</f>
        <v>0</v>
      </c>
      <c r="J154" s="88"/>
      <c r="K154" s="296" t="str">
        <f>Language!$E$57</f>
        <v>doppelt</v>
      </c>
      <c r="L154" s="270" t="str">
        <f>IF(Calc!$F$26=0,"",IF(OR($M154&gt;Calc!$B$24,MOD($M154-1,Calc!$F$26)&gt;0),"",QUOTIENT($M154-1,Calc!$F$26)+1))</f>
        <v/>
      </c>
      <c r="M154" s="107">
        <v>148</v>
      </c>
      <c r="N154" s="394">
        <v>131</v>
      </c>
      <c r="O154" s="113" t="s">
        <v>4</v>
      </c>
      <c r="P154" s="397">
        <v>98</v>
      </c>
      <c r="Q154" s="114" t="str">
        <f t="shared" si="12"/>
        <v>VfL Wolfsburg</v>
      </c>
      <c r="R154" s="115" t="s">
        <v>4</v>
      </c>
      <c r="S154" s="116" t="str">
        <f t="shared" si="13"/>
        <v>FC St. Pauli</v>
      </c>
      <c r="T154" s="233">
        <v>46036</v>
      </c>
      <c r="U154" s="234">
        <v>0.77083333333333337</v>
      </c>
    </row>
    <row r="155" spans="6:21" ht="17.25" x14ac:dyDescent="0.2">
      <c r="F155" s="88">
        <f t="shared" si="14"/>
        <v>2</v>
      </c>
      <c r="G155" s="88" t="str">
        <f t="shared" si="15"/>
        <v>16350112</v>
      </c>
      <c r="H155" s="88" t="str">
        <f t="shared" si="16"/>
        <v>01121635</v>
      </c>
      <c r="I155" s="88">
        <f>IF($G155="",0,COUNTIF($G$7:$G155,$H155))</f>
        <v>0</v>
      </c>
      <c r="J155" s="88"/>
      <c r="K155" s="296" t="str">
        <f>Language!$E$57</f>
        <v>doppelt</v>
      </c>
      <c r="L155" s="270" t="str">
        <f>IF(Calc!$F$26=0,"",IF(OR($M155&gt;Calc!$B$24,MOD($M155-1,Calc!$F$26)&gt;0),"",QUOTIENT($M155-1,Calc!$F$26)+1))</f>
        <v/>
      </c>
      <c r="M155" s="107">
        <v>149</v>
      </c>
      <c r="N155" s="394">
        <v>1635</v>
      </c>
      <c r="O155" s="113" t="s">
        <v>4</v>
      </c>
      <c r="P155" s="397">
        <v>112</v>
      </c>
      <c r="Q155" s="114" t="str">
        <f t="shared" si="12"/>
        <v>RB Leipzig</v>
      </c>
      <c r="R155" s="115" t="s">
        <v>4</v>
      </c>
      <c r="S155" s="116" t="str">
        <f t="shared" si="13"/>
        <v>SC Freiburg</v>
      </c>
      <c r="T155" s="233">
        <v>46036</v>
      </c>
      <c r="U155" s="234">
        <v>0.85416666666666663</v>
      </c>
    </row>
    <row r="156" spans="6:21" ht="17.25" x14ac:dyDescent="0.2">
      <c r="F156" s="88">
        <f t="shared" si="14"/>
        <v>2</v>
      </c>
      <c r="G156" s="88" t="str">
        <f t="shared" si="15"/>
        <v>01750087</v>
      </c>
      <c r="H156" s="88" t="str">
        <f t="shared" si="16"/>
        <v>00870175</v>
      </c>
      <c r="I156" s="88">
        <f>IF($G156="",0,COUNTIF($G$7:$G156,$H156))</f>
        <v>0</v>
      </c>
      <c r="J156" s="88"/>
      <c r="K156" s="296" t="str">
        <f>Language!$E$57</f>
        <v>doppelt</v>
      </c>
      <c r="L156" s="270" t="str">
        <f>IF(Calc!$F$26=0,"",IF(OR($M156&gt;Calc!$B$24,MOD($M156-1,Calc!$F$26)&gt;0),"",QUOTIENT($M156-1,Calc!$F$26)+1))</f>
        <v/>
      </c>
      <c r="M156" s="107">
        <v>150</v>
      </c>
      <c r="N156" s="394">
        <v>175</v>
      </c>
      <c r="O156" s="113" t="s">
        <v>4</v>
      </c>
      <c r="P156" s="397">
        <v>87</v>
      </c>
      <c r="Q156" s="114" t="str">
        <f t="shared" si="12"/>
        <v>TSG Hoffenheim</v>
      </c>
      <c r="R156" s="115" t="s">
        <v>4</v>
      </c>
      <c r="S156" s="116" t="str">
        <f t="shared" si="13"/>
        <v>Borussia Mönchengladbach</v>
      </c>
      <c r="T156" s="233">
        <v>46036</v>
      </c>
      <c r="U156" s="234">
        <v>0.85416666666666663</v>
      </c>
    </row>
    <row r="157" spans="6:21" ht="17.25" x14ac:dyDescent="0.2">
      <c r="F157" s="88">
        <f t="shared" si="14"/>
        <v>2</v>
      </c>
      <c r="G157" s="88" t="str">
        <f t="shared" si="15"/>
        <v>00650040</v>
      </c>
      <c r="H157" s="88" t="str">
        <f t="shared" si="16"/>
        <v>00400065</v>
      </c>
      <c r="I157" s="88">
        <f>IF($G157="",0,COUNTIF($G$7:$G157,$H157))</f>
        <v>0</v>
      </c>
      <c r="J157" s="88"/>
      <c r="K157" s="296" t="str">
        <f>Language!$E$57</f>
        <v>doppelt</v>
      </c>
      <c r="L157" s="270" t="str">
        <f>IF(Calc!$F$26=0,"",IF(OR($M157&gt;Calc!$B$24,MOD($M157-1,Calc!$F$26)&gt;0),"",QUOTIENT($M157-1,Calc!$F$26)+1))</f>
        <v/>
      </c>
      <c r="M157" s="107">
        <v>151</v>
      </c>
      <c r="N157" s="394">
        <v>65</v>
      </c>
      <c r="O157" s="113" t="s">
        <v>4</v>
      </c>
      <c r="P157" s="397">
        <v>40</v>
      </c>
      <c r="Q157" s="114" t="str">
        <f t="shared" si="12"/>
        <v>1. FC Köln</v>
      </c>
      <c r="R157" s="115" t="s">
        <v>4</v>
      </c>
      <c r="S157" s="116" t="str">
        <f t="shared" si="13"/>
        <v>FC Bayern München</v>
      </c>
      <c r="T157" s="233">
        <v>46036</v>
      </c>
      <c r="U157" s="234">
        <v>0.85416666666666663</v>
      </c>
    </row>
    <row r="158" spans="6:21" ht="17.25" x14ac:dyDescent="0.2">
      <c r="F158" s="88">
        <f t="shared" si="14"/>
        <v>2</v>
      </c>
      <c r="G158" s="88" t="str">
        <f t="shared" si="15"/>
        <v>00950080</v>
      </c>
      <c r="H158" s="88" t="str">
        <f t="shared" si="16"/>
        <v>00800095</v>
      </c>
      <c r="I158" s="88">
        <f>IF($G158="",0,COUNTIF($G$7:$G158,$H158))</f>
        <v>0</v>
      </c>
      <c r="J158" s="88"/>
      <c r="K158" s="296" t="str">
        <f>Language!$E$57</f>
        <v>doppelt</v>
      </c>
      <c r="L158" s="270" t="str">
        <f>IF(Calc!$F$26=0,"",IF(OR($M158&gt;Calc!$B$24,MOD($M158-1,Calc!$F$26)&gt;0),"",QUOTIENT($M158-1,Calc!$F$26)+1))</f>
        <v/>
      </c>
      <c r="M158" s="107">
        <v>152</v>
      </c>
      <c r="N158" s="394">
        <v>95</v>
      </c>
      <c r="O158" s="113" t="s">
        <v>4</v>
      </c>
      <c r="P158" s="397">
        <v>80</v>
      </c>
      <c r="Q158" s="114" t="str">
        <f t="shared" si="12"/>
        <v>FC Augsburg</v>
      </c>
      <c r="R158" s="115" t="s">
        <v>4</v>
      </c>
      <c r="S158" s="116" t="str">
        <f t="shared" si="13"/>
        <v>1. FC Union Berlin</v>
      </c>
      <c r="T158" s="233">
        <v>46037</v>
      </c>
      <c r="U158" s="234">
        <v>0.85416666666666663</v>
      </c>
    </row>
    <row r="159" spans="6:21" ht="18" thickBot="1" x14ac:dyDescent="0.25">
      <c r="F159" s="88">
        <f t="shared" si="14"/>
        <v>2</v>
      </c>
      <c r="G159" s="88" t="str">
        <f t="shared" si="15"/>
        <v>01000006</v>
      </c>
      <c r="H159" s="88" t="str">
        <f t="shared" si="16"/>
        <v>00060100</v>
      </c>
      <c r="I159" s="88">
        <f>IF($G159="",0,COUNTIF($G$7:$G159,$H159))</f>
        <v>0</v>
      </c>
      <c r="J159" s="88"/>
      <c r="K159" s="296" t="str">
        <f>Language!$E$57</f>
        <v>doppelt</v>
      </c>
      <c r="L159" s="270" t="str">
        <f>IF(Calc!$F$26=0,"",IF(OR($M159&gt;Calc!$B$24,MOD($M159-1,Calc!$F$26)&gt;0),"",QUOTIENT($M159-1,Calc!$F$26)+1))</f>
        <v/>
      </c>
      <c r="M159" s="257">
        <v>153</v>
      </c>
      <c r="N159" s="395">
        <v>100</v>
      </c>
      <c r="O159" s="258" t="s">
        <v>4</v>
      </c>
      <c r="P159" s="398">
        <v>6</v>
      </c>
      <c r="Q159" s="259" t="str">
        <f t="shared" si="12"/>
        <v>Hamburger SV</v>
      </c>
      <c r="R159" s="260" t="s">
        <v>4</v>
      </c>
      <c r="S159" s="261" t="str">
        <f t="shared" si="13"/>
        <v>Bayer 04 Leverkusen</v>
      </c>
      <c r="T159" s="233">
        <v>46085</v>
      </c>
      <c r="U159" s="262">
        <v>0.85416666666666663</v>
      </c>
    </row>
    <row r="160" spans="6:21" ht="17.25" x14ac:dyDescent="0.2">
      <c r="F160" s="88">
        <f t="shared" si="14"/>
        <v>2</v>
      </c>
      <c r="G160" s="88" t="str">
        <f t="shared" si="15"/>
        <v>01340091</v>
      </c>
      <c r="H160" s="88" t="str">
        <f t="shared" si="16"/>
        <v>00910134</v>
      </c>
      <c r="I160" s="88">
        <f>IF($G160="",0,COUNTIF($G$7:$G160,$H160))</f>
        <v>1</v>
      </c>
      <c r="J160" s="88"/>
      <c r="K160" s="296" t="str">
        <f>Language!$E$57</f>
        <v>doppelt</v>
      </c>
      <c r="L160" s="270">
        <f>IF(Calc!$F$26=0,"",IF(OR($M160&gt;Calc!$B$24,MOD($M160-1,Calc!$F$26)&gt;0),"",QUOTIENT($M160-1,Calc!$F$26)+1))</f>
        <v>18</v>
      </c>
      <c r="M160" s="112">
        <v>154</v>
      </c>
      <c r="N160" s="394">
        <v>134</v>
      </c>
      <c r="O160" s="113" t="s">
        <v>4</v>
      </c>
      <c r="P160" s="397">
        <v>91</v>
      </c>
      <c r="Q160" s="114" t="str">
        <f t="shared" si="12"/>
        <v>SV Werder Bremen</v>
      </c>
      <c r="R160" s="115" t="s">
        <v>4</v>
      </c>
      <c r="S160" s="116" t="str">
        <f t="shared" si="13"/>
        <v>Eintracht Frankfurt</v>
      </c>
      <c r="T160" s="255">
        <v>46038</v>
      </c>
      <c r="U160" s="256">
        <v>0.85416666666666663</v>
      </c>
    </row>
    <row r="161" spans="6:21" ht="17.25" x14ac:dyDescent="0.2">
      <c r="F161" s="88">
        <f t="shared" si="14"/>
        <v>2</v>
      </c>
      <c r="G161" s="88" t="str">
        <f t="shared" si="15"/>
        <v>01000087</v>
      </c>
      <c r="H161" s="88" t="str">
        <f t="shared" si="16"/>
        <v>00870100</v>
      </c>
      <c r="I161" s="88">
        <f>IF($G161="",0,COUNTIF($G$7:$G161,$H161))</f>
        <v>1</v>
      </c>
      <c r="J161" s="88"/>
      <c r="K161" s="296" t="str">
        <f>Language!$E$57</f>
        <v>doppelt</v>
      </c>
      <c r="L161" s="270" t="str">
        <f>IF(Calc!$F$26=0,"",IF(OR($M161&gt;Calc!$B$24,MOD($M161-1,Calc!$F$26)&gt;0),"",QUOTIENT($M161-1,Calc!$F$26)+1))</f>
        <v/>
      </c>
      <c r="M161" s="107">
        <v>155</v>
      </c>
      <c r="N161" s="394">
        <v>100</v>
      </c>
      <c r="O161" s="113" t="s">
        <v>4</v>
      </c>
      <c r="P161" s="397">
        <v>87</v>
      </c>
      <c r="Q161" s="114" t="str">
        <f t="shared" si="12"/>
        <v>Hamburger SV</v>
      </c>
      <c r="R161" s="115" t="s">
        <v>4</v>
      </c>
      <c r="S161" s="116" t="str">
        <f t="shared" si="13"/>
        <v>Borussia Mönchengladbach</v>
      </c>
      <c r="T161" s="233">
        <v>46039</v>
      </c>
      <c r="U161" s="234">
        <v>0.64583333333333337</v>
      </c>
    </row>
    <row r="162" spans="6:21" ht="17.25" x14ac:dyDescent="0.2">
      <c r="F162" s="88">
        <f t="shared" si="14"/>
        <v>2</v>
      </c>
      <c r="G162" s="88" t="str">
        <f t="shared" si="15"/>
        <v>01310199</v>
      </c>
      <c r="H162" s="88" t="str">
        <f t="shared" si="16"/>
        <v>01990131</v>
      </c>
      <c r="I162" s="88">
        <f>IF($G162="",0,COUNTIF($G$7:$G162,$H162))</f>
        <v>1</v>
      </c>
      <c r="J162" s="88"/>
      <c r="K162" s="296" t="str">
        <f>Language!$E$57</f>
        <v>doppelt</v>
      </c>
      <c r="L162" s="270" t="str">
        <f>IF(Calc!$F$26=0,"",IF(OR($M162&gt;Calc!$B$24,MOD($M162-1,Calc!$F$26)&gt;0),"",QUOTIENT($M162-1,Calc!$F$26)+1))</f>
        <v/>
      </c>
      <c r="M162" s="107">
        <v>156</v>
      </c>
      <c r="N162" s="394">
        <v>131</v>
      </c>
      <c r="O162" s="113" t="s">
        <v>4</v>
      </c>
      <c r="P162" s="397">
        <v>199</v>
      </c>
      <c r="Q162" s="114" t="str">
        <f t="shared" si="12"/>
        <v>VfL Wolfsburg</v>
      </c>
      <c r="R162" s="115" t="s">
        <v>4</v>
      </c>
      <c r="S162" s="116" t="str">
        <f t="shared" si="13"/>
        <v>1. FC Heidenheim 1846</v>
      </c>
      <c r="T162" s="233">
        <v>46039</v>
      </c>
      <c r="U162" s="234">
        <v>0.64583333333333337</v>
      </c>
    </row>
    <row r="163" spans="6:21" ht="17.25" x14ac:dyDescent="0.2">
      <c r="F163" s="88">
        <f t="shared" si="14"/>
        <v>2</v>
      </c>
      <c r="G163" s="88" t="str">
        <f t="shared" si="15"/>
        <v>01750006</v>
      </c>
      <c r="H163" s="88" t="str">
        <f t="shared" si="16"/>
        <v>00060175</v>
      </c>
      <c r="I163" s="88">
        <f>IF($G163="",0,COUNTIF($G$7:$G163,$H163))</f>
        <v>1</v>
      </c>
      <c r="J163" s="88"/>
      <c r="K163" s="296" t="str">
        <f>Language!$E$57</f>
        <v>doppelt</v>
      </c>
      <c r="L163" s="270" t="str">
        <f>IF(Calc!$F$26=0,"",IF(OR($M163&gt;Calc!$B$24,MOD($M163-1,Calc!$F$26)&gt;0),"",QUOTIENT($M163-1,Calc!$F$26)+1))</f>
        <v/>
      </c>
      <c r="M163" s="107">
        <v>157</v>
      </c>
      <c r="N163" s="394">
        <v>175</v>
      </c>
      <c r="O163" s="113" t="s">
        <v>4</v>
      </c>
      <c r="P163" s="397">
        <v>6</v>
      </c>
      <c r="Q163" s="114" t="str">
        <f t="shared" si="12"/>
        <v>TSG Hoffenheim</v>
      </c>
      <c r="R163" s="115" t="s">
        <v>4</v>
      </c>
      <c r="S163" s="116" t="str">
        <f t="shared" si="13"/>
        <v>Bayer 04 Leverkusen</v>
      </c>
      <c r="T163" s="233">
        <v>46039</v>
      </c>
      <c r="U163" s="234">
        <v>0.64583333333333337</v>
      </c>
    </row>
    <row r="164" spans="6:21" ht="17.25" x14ac:dyDescent="0.2">
      <c r="F164" s="88">
        <f t="shared" si="14"/>
        <v>2</v>
      </c>
      <c r="G164" s="88" t="str">
        <f t="shared" si="15"/>
        <v>00070098</v>
      </c>
      <c r="H164" s="88" t="str">
        <f t="shared" si="16"/>
        <v>00980007</v>
      </c>
      <c r="I164" s="88">
        <f>IF($G164="",0,COUNTIF($G$7:$G164,$H164))</f>
        <v>1</v>
      </c>
      <c r="J164" s="88"/>
      <c r="K164" s="296" t="str">
        <f>Language!$E$57</f>
        <v>doppelt</v>
      </c>
      <c r="L164" s="270" t="str">
        <f>IF(Calc!$F$26=0,"",IF(OR($M164&gt;Calc!$B$24,MOD($M164-1,Calc!$F$26)&gt;0),"",QUOTIENT($M164-1,Calc!$F$26)+1))</f>
        <v/>
      </c>
      <c r="M164" s="107">
        <v>158</v>
      </c>
      <c r="N164" s="394">
        <v>7</v>
      </c>
      <c r="O164" s="113" t="s">
        <v>4</v>
      </c>
      <c r="P164" s="397">
        <v>98</v>
      </c>
      <c r="Q164" s="114" t="str">
        <f t="shared" si="12"/>
        <v>Borussia Dortmund</v>
      </c>
      <c r="R164" s="115" t="s">
        <v>4</v>
      </c>
      <c r="S164" s="116" t="str">
        <f t="shared" si="13"/>
        <v>FC St. Pauli</v>
      </c>
      <c r="T164" s="233">
        <v>46039</v>
      </c>
      <c r="U164" s="234">
        <v>0.64583333333333337</v>
      </c>
    </row>
    <row r="165" spans="6:21" ht="17.25" x14ac:dyDescent="0.2">
      <c r="F165" s="88">
        <f t="shared" si="14"/>
        <v>2</v>
      </c>
      <c r="G165" s="88" t="str">
        <f t="shared" si="15"/>
        <v>00650081</v>
      </c>
      <c r="H165" s="88" t="str">
        <f t="shared" si="16"/>
        <v>00810065</v>
      </c>
      <c r="I165" s="88">
        <f>IF($G165="",0,COUNTIF($G$7:$G165,$H165))</f>
        <v>1</v>
      </c>
      <c r="J165" s="88"/>
      <c r="K165" s="296" t="str">
        <f>Language!$E$57</f>
        <v>doppelt</v>
      </c>
      <c r="L165" s="270" t="str">
        <f>IF(Calc!$F$26=0,"",IF(OR($M165&gt;Calc!$B$24,MOD($M165-1,Calc!$F$26)&gt;0),"",QUOTIENT($M165-1,Calc!$F$26)+1))</f>
        <v/>
      </c>
      <c r="M165" s="107">
        <v>159</v>
      </c>
      <c r="N165" s="394">
        <v>65</v>
      </c>
      <c r="O165" s="113" t="s">
        <v>4</v>
      </c>
      <c r="P165" s="397">
        <v>81</v>
      </c>
      <c r="Q165" s="114" t="str">
        <f t="shared" si="12"/>
        <v>1. FC Köln</v>
      </c>
      <c r="R165" s="115" t="s">
        <v>4</v>
      </c>
      <c r="S165" s="116" t="str">
        <f t="shared" si="13"/>
        <v>1. FSV Mainz 05</v>
      </c>
      <c r="T165" s="233">
        <v>46039</v>
      </c>
      <c r="U165" s="234">
        <v>0.64583333333333337</v>
      </c>
    </row>
    <row r="166" spans="6:21" ht="17.25" x14ac:dyDescent="0.2">
      <c r="F166" s="88">
        <f t="shared" si="14"/>
        <v>2</v>
      </c>
      <c r="G166" s="88" t="str">
        <f t="shared" si="15"/>
        <v>16350040</v>
      </c>
      <c r="H166" s="88" t="str">
        <f t="shared" si="16"/>
        <v>00401635</v>
      </c>
      <c r="I166" s="88">
        <f>IF($G166="",0,COUNTIF($G$7:$G166,$H166))</f>
        <v>1</v>
      </c>
      <c r="J166" s="88"/>
      <c r="K166" s="296" t="str">
        <f>Language!$E$57</f>
        <v>doppelt</v>
      </c>
      <c r="L166" s="270" t="str">
        <f>IF(Calc!$F$26=0,"",IF(OR($M166&gt;Calc!$B$24,MOD($M166-1,Calc!$F$26)&gt;0),"",QUOTIENT($M166-1,Calc!$F$26)+1))</f>
        <v/>
      </c>
      <c r="M166" s="107">
        <v>160</v>
      </c>
      <c r="N166" s="394">
        <v>1635</v>
      </c>
      <c r="O166" s="113" t="s">
        <v>4</v>
      </c>
      <c r="P166" s="397">
        <v>40</v>
      </c>
      <c r="Q166" s="114" t="str">
        <f t="shared" si="12"/>
        <v>RB Leipzig</v>
      </c>
      <c r="R166" s="115" t="s">
        <v>4</v>
      </c>
      <c r="S166" s="116" t="str">
        <f t="shared" si="13"/>
        <v>FC Bayern München</v>
      </c>
      <c r="T166" s="233">
        <v>46039</v>
      </c>
      <c r="U166" s="234">
        <v>0.77083333333333337</v>
      </c>
    </row>
    <row r="167" spans="6:21" ht="17.25" x14ac:dyDescent="0.2">
      <c r="F167" s="88">
        <f t="shared" si="14"/>
        <v>2</v>
      </c>
      <c r="G167" s="88" t="str">
        <f t="shared" si="15"/>
        <v>00160080</v>
      </c>
      <c r="H167" s="88" t="str">
        <f t="shared" si="16"/>
        <v>00800016</v>
      </c>
      <c r="I167" s="88">
        <f>IF($G167="",0,COUNTIF($G$7:$G167,$H167))</f>
        <v>1</v>
      </c>
      <c r="J167" s="88"/>
      <c r="K167" s="296" t="str">
        <f>Language!$E$57</f>
        <v>doppelt</v>
      </c>
      <c r="L167" s="270" t="str">
        <f>IF(Calc!$F$26=0,"",IF(OR($M167&gt;Calc!$B$24,MOD($M167-1,Calc!$F$26)&gt;0),"",QUOTIENT($M167-1,Calc!$F$26)+1))</f>
        <v/>
      </c>
      <c r="M167" s="107">
        <v>161</v>
      </c>
      <c r="N167" s="394">
        <v>16</v>
      </c>
      <c r="O167" s="113" t="s">
        <v>4</v>
      </c>
      <c r="P167" s="397">
        <v>80</v>
      </c>
      <c r="Q167" s="114" t="str">
        <f t="shared" si="12"/>
        <v>VfB Stuttgart</v>
      </c>
      <c r="R167" s="115" t="s">
        <v>4</v>
      </c>
      <c r="S167" s="116" t="str">
        <f t="shared" si="13"/>
        <v>1. FC Union Berlin</v>
      </c>
      <c r="T167" s="233">
        <v>46040</v>
      </c>
      <c r="U167" s="234">
        <v>0.64583333333333337</v>
      </c>
    </row>
    <row r="168" spans="6:21" ht="17.25" x14ac:dyDescent="0.2">
      <c r="F168" s="88">
        <f t="shared" si="14"/>
        <v>2</v>
      </c>
      <c r="G168" s="88" t="str">
        <f t="shared" si="15"/>
        <v>00950112</v>
      </c>
      <c r="H168" s="88" t="str">
        <f t="shared" si="16"/>
        <v>01120095</v>
      </c>
      <c r="I168" s="88">
        <f>IF($G168="",0,COUNTIF($G$7:$G168,$H168))</f>
        <v>1</v>
      </c>
      <c r="J168" s="88"/>
      <c r="K168" s="296" t="str">
        <f>Language!$E$57</f>
        <v>doppelt</v>
      </c>
      <c r="L168" s="270" t="str">
        <f>IF(Calc!$F$26=0,"",IF(OR($M168&gt;Calc!$B$24,MOD($M168-1,Calc!$F$26)&gt;0),"",QUOTIENT($M168-1,Calc!$F$26)+1))</f>
        <v/>
      </c>
      <c r="M168" s="107">
        <v>162</v>
      </c>
      <c r="N168" s="394">
        <v>95</v>
      </c>
      <c r="O168" s="113" t="s">
        <v>4</v>
      </c>
      <c r="P168" s="397">
        <v>112</v>
      </c>
      <c r="Q168" s="114" t="str">
        <f t="shared" si="12"/>
        <v>FC Augsburg</v>
      </c>
      <c r="R168" s="115" t="s">
        <v>4</v>
      </c>
      <c r="S168" s="116" t="str">
        <f t="shared" si="13"/>
        <v>SC Freiburg</v>
      </c>
      <c r="T168" s="233">
        <v>46040</v>
      </c>
      <c r="U168" s="234">
        <v>0.72916666666666663</v>
      </c>
    </row>
    <row r="169" spans="6:21" ht="17.25" x14ac:dyDescent="0.2">
      <c r="F169" s="88">
        <f t="shared" si="14"/>
        <v>2</v>
      </c>
      <c r="G169" s="88" t="str">
        <f t="shared" si="15"/>
        <v>00980100</v>
      </c>
      <c r="H169" s="88" t="str">
        <f t="shared" si="16"/>
        <v>01000098</v>
      </c>
      <c r="I169" s="88">
        <f>IF($G169="",0,COUNTIF($G$7:$G169,$H169))</f>
        <v>1</v>
      </c>
      <c r="J169" s="88"/>
      <c r="K169" s="296" t="str">
        <f>Language!$E$57</f>
        <v>doppelt</v>
      </c>
      <c r="L169" s="270">
        <f>IF(Calc!$F$26=0,"",IF(OR($M169&gt;Calc!$B$24,MOD($M169-1,Calc!$F$26)&gt;0),"",QUOTIENT($M169-1,Calc!$F$26)+1))</f>
        <v>19</v>
      </c>
      <c r="M169" s="107">
        <v>163</v>
      </c>
      <c r="N169" s="394">
        <v>98</v>
      </c>
      <c r="O169" s="113" t="s">
        <v>4</v>
      </c>
      <c r="P169" s="397">
        <v>100</v>
      </c>
      <c r="Q169" s="114" t="str">
        <f t="shared" si="12"/>
        <v>FC St. Pauli</v>
      </c>
      <c r="R169" s="115" t="s">
        <v>4</v>
      </c>
      <c r="S169" s="116" t="str">
        <f t="shared" si="13"/>
        <v>Hamburger SV</v>
      </c>
      <c r="T169" s="233">
        <v>46045</v>
      </c>
      <c r="U169" s="234">
        <v>0.85416666666666663</v>
      </c>
    </row>
    <row r="170" spans="6:21" ht="17.25" x14ac:dyDescent="0.2">
      <c r="F170" s="88">
        <f t="shared" si="14"/>
        <v>2</v>
      </c>
      <c r="G170" s="88" t="str">
        <f t="shared" si="15"/>
        <v>01991635</v>
      </c>
      <c r="H170" s="88" t="str">
        <f t="shared" si="16"/>
        <v>16350199</v>
      </c>
      <c r="I170" s="88">
        <f>IF($G170="",0,COUNTIF($G$7:$G170,$H170))</f>
        <v>1</v>
      </c>
      <c r="J170" s="88"/>
      <c r="K170" s="296" t="str">
        <f>Language!$E$57</f>
        <v>doppelt</v>
      </c>
      <c r="L170" s="270" t="str">
        <f>IF(Calc!$F$26=0,"",IF(OR($M170&gt;Calc!$B$24,MOD($M170-1,Calc!$F$26)&gt;0),"",QUOTIENT($M170-1,Calc!$F$26)+1))</f>
        <v/>
      </c>
      <c r="M170" s="107">
        <v>164</v>
      </c>
      <c r="N170" s="394">
        <v>199</v>
      </c>
      <c r="O170" s="113" t="s">
        <v>4</v>
      </c>
      <c r="P170" s="397">
        <v>1635</v>
      </c>
      <c r="Q170" s="114" t="str">
        <f t="shared" si="12"/>
        <v>1. FC Heidenheim 1846</v>
      </c>
      <c r="R170" s="115" t="s">
        <v>4</v>
      </c>
      <c r="S170" s="116" t="str">
        <f t="shared" si="13"/>
        <v>RB Leipzig</v>
      </c>
      <c r="T170" s="233">
        <v>46046</v>
      </c>
      <c r="U170" s="234">
        <v>0.64583333333333337</v>
      </c>
    </row>
    <row r="171" spans="6:21" ht="17.25" x14ac:dyDescent="0.2">
      <c r="F171" s="88">
        <f t="shared" si="14"/>
        <v>2</v>
      </c>
      <c r="G171" s="88" t="str">
        <f t="shared" si="15"/>
        <v>00910175</v>
      </c>
      <c r="H171" s="88" t="str">
        <f t="shared" si="16"/>
        <v>01750091</v>
      </c>
      <c r="I171" s="88">
        <f>IF($G171="",0,COUNTIF($G$7:$G171,$H171))</f>
        <v>1</v>
      </c>
      <c r="J171" s="88"/>
      <c r="K171" s="296" t="str">
        <f>Language!$E$57</f>
        <v>doppelt</v>
      </c>
      <c r="L171" s="270" t="str">
        <f>IF(Calc!$F$26=0,"",IF(OR($M171&gt;Calc!$B$24,MOD($M171-1,Calc!$F$26)&gt;0),"",QUOTIENT($M171-1,Calc!$F$26)+1))</f>
        <v/>
      </c>
      <c r="M171" s="107">
        <v>165</v>
      </c>
      <c r="N171" s="394">
        <v>91</v>
      </c>
      <c r="O171" s="113" t="s">
        <v>4</v>
      </c>
      <c r="P171" s="397">
        <v>175</v>
      </c>
      <c r="Q171" s="114" t="str">
        <f t="shared" si="12"/>
        <v>Eintracht Frankfurt</v>
      </c>
      <c r="R171" s="115" t="s">
        <v>4</v>
      </c>
      <c r="S171" s="116" t="str">
        <f t="shared" si="13"/>
        <v>TSG Hoffenheim</v>
      </c>
      <c r="T171" s="233">
        <v>46046</v>
      </c>
      <c r="U171" s="234">
        <v>0.64583333333333337</v>
      </c>
    </row>
    <row r="172" spans="6:21" ht="17.25" x14ac:dyDescent="0.2">
      <c r="F172" s="88">
        <f t="shared" si="14"/>
        <v>2</v>
      </c>
      <c r="G172" s="88" t="str">
        <f t="shared" si="15"/>
        <v>00060134</v>
      </c>
      <c r="H172" s="88" t="str">
        <f t="shared" si="16"/>
        <v>01340006</v>
      </c>
      <c r="I172" s="88">
        <f>IF($G172="",0,COUNTIF($G$7:$G172,$H172))</f>
        <v>1</v>
      </c>
      <c r="J172" s="88"/>
      <c r="K172" s="296" t="str">
        <f>Language!$E$57</f>
        <v>doppelt</v>
      </c>
      <c r="L172" s="270" t="str">
        <f>IF(Calc!$F$26=0,"",IF(OR($M172&gt;Calc!$B$24,MOD($M172-1,Calc!$F$26)&gt;0),"",QUOTIENT($M172-1,Calc!$F$26)+1))</f>
        <v/>
      </c>
      <c r="M172" s="107">
        <v>166</v>
      </c>
      <c r="N172" s="394">
        <v>6</v>
      </c>
      <c r="O172" s="113" t="s">
        <v>4</v>
      </c>
      <c r="P172" s="397">
        <v>134</v>
      </c>
      <c r="Q172" s="114" t="str">
        <f t="shared" si="12"/>
        <v>Bayer 04 Leverkusen</v>
      </c>
      <c r="R172" s="115" t="s">
        <v>4</v>
      </c>
      <c r="S172" s="116" t="str">
        <f t="shared" si="13"/>
        <v>SV Werder Bremen</v>
      </c>
      <c r="T172" s="233">
        <v>46046</v>
      </c>
      <c r="U172" s="234">
        <v>0.64583333333333337</v>
      </c>
    </row>
    <row r="173" spans="6:21" ht="17.25" x14ac:dyDescent="0.2">
      <c r="F173" s="88">
        <f t="shared" si="14"/>
        <v>2</v>
      </c>
      <c r="G173" s="88" t="str">
        <f t="shared" si="15"/>
        <v>00400095</v>
      </c>
      <c r="H173" s="88" t="str">
        <f t="shared" si="16"/>
        <v>00950040</v>
      </c>
      <c r="I173" s="88">
        <f>IF($G173="",0,COUNTIF($G$7:$G173,$H173))</f>
        <v>1</v>
      </c>
      <c r="J173" s="88"/>
      <c r="K173" s="296" t="str">
        <f>Language!$E$57</f>
        <v>doppelt</v>
      </c>
      <c r="L173" s="270" t="str">
        <f>IF(Calc!$F$26=0,"",IF(OR($M173&gt;Calc!$B$24,MOD($M173-1,Calc!$F$26)&gt;0),"",QUOTIENT($M173-1,Calc!$F$26)+1))</f>
        <v/>
      </c>
      <c r="M173" s="107">
        <v>167</v>
      </c>
      <c r="N173" s="394">
        <v>40</v>
      </c>
      <c r="O173" s="113" t="s">
        <v>4</v>
      </c>
      <c r="P173" s="397">
        <v>95</v>
      </c>
      <c r="Q173" s="114" t="str">
        <f t="shared" si="12"/>
        <v>FC Bayern München</v>
      </c>
      <c r="R173" s="115" t="s">
        <v>4</v>
      </c>
      <c r="S173" s="116" t="str">
        <f t="shared" si="13"/>
        <v>FC Augsburg</v>
      </c>
      <c r="T173" s="233">
        <v>46046</v>
      </c>
      <c r="U173" s="234">
        <v>0.64583333333333337</v>
      </c>
    </row>
    <row r="174" spans="6:21" ht="17.25" x14ac:dyDescent="0.2">
      <c r="F174" s="88">
        <f t="shared" si="14"/>
        <v>2</v>
      </c>
      <c r="G174" s="88" t="str">
        <f t="shared" si="15"/>
        <v>00810131</v>
      </c>
      <c r="H174" s="88" t="str">
        <f t="shared" si="16"/>
        <v>01310081</v>
      </c>
      <c r="I174" s="88">
        <f>IF($G174="",0,COUNTIF($G$7:$G174,$H174))</f>
        <v>1</v>
      </c>
      <c r="J174" s="88"/>
      <c r="K174" s="296" t="str">
        <f>Language!$E$57</f>
        <v>doppelt</v>
      </c>
      <c r="L174" s="270" t="str">
        <f>IF(Calc!$F$26=0,"",IF(OR($M174&gt;Calc!$B$24,MOD($M174-1,Calc!$F$26)&gt;0),"",QUOTIENT($M174-1,Calc!$F$26)+1))</f>
        <v/>
      </c>
      <c r="M174" s="107">
        <v>168</v>
      </c>
      <c r="N174" s="394">
        <v>81</v>
      </c>
      <c r="O174" s="113" t="s">
        <v>4</v>
      </c>
      <c r="P174" s="397">
        <v>131</v>
      </c>
      <c r="Q174" s="114" t="str">
        <f t="shared" si="12"/>
        <v>1. FSV Mainz 05</v>
      </c>
      <c r="R174" s="115" t="s">
        <v>4</v>
      </c>
      <c r="S174" s="116" t="str">
        <f t="shared" si="13"/>
        <v>VfL Wolfsburg</v>
      </c>
      <c r="T174" s="233">
        <v>46046</v>
      </c>
      <c r="U174" s="234">
        <v>0.64583333333333337</v>
      </c>
    </row>
    <row r="175" spans="6:21" ht="17.25" x14ac:dyDescent="0.2">
      <c r="F175" s="88">
        <f t="shared" si="14"/>
        <v>2</v>
      </c>
      <c r="G175" s="88" t="str">
        <f t="shared" si="15"/>
        <v>00800007</v>
      </c>
      <c r="H175" s="88" t="str">
        <f t="shared" si="16"/>
        <v>00070080</v>
      </c>
      <c r="I175" s="88">
        <f>IF($G175="",0,COUNTIF($G$7:$G175,$H175))</f>
        <v>1</v>
      </c>
      <c r="J175" s="88"/>
      <c r="K175" s="296" t="str">
        <f>Language!$E$57</f>
        <v>doppelt</v>
      </c>
      <c r="L175" s="270" t="str">
        <f>IF(Calc!$F$26=0,"",IF(OR($M175&gt;Calc!$B$24,MOD($M175-1,Calc!$F$26)&gt;0),"",QUOTIENT($M175-1,Calc!$F$26)+1))</f>
        <v/>
      </c>
      <c r="M175" s="107">
        <v>169</v>
      </c>
      <c r="N175" s="394">
        <v>80</v>
      </c>
      <c r="O175" s="113" t="s">
        <v>4</v>
      </c>
      <c r="P175" s="397">
        <v>7</v>
      </c>
      <c r="Q175" s="114" t="str">
        <f t="shared" si="12"/>
        <v>1. FC Union Berlin</v>
      </c>
      <c r="R175" s="115" t="s">
        <v>4</v>
      </c>
      <c r="S175" s="116" t="str">
        <f t="shared" si="13"/>
        <v>Borussia Dortmund</v>
      </c>
      <c r="T175" s="233">
        <v>46046</v>
      </c>
      <c r="U175" s="234">
        <v>0.77083333333333337</v>
      </c>
    </row>
    <row r="176" spans="6:21" ht="17.25" x14ac:dyDescent="0.2">
      <c r="F176" s="88">
        <f t="shared" si="14"/>
        <v>2</v>
      </c>
      <c r="G176" s="88" t="str">
        <f t="shared" si="15"/>
        <v>00870016</v>
      </c>
      <c r="H176" s="88" t="str">
        <f t="shared" si="16"/>
        <v>00160087</v>
      </c>
      <c r="I176" s="88">
        <f>IF($G176="",0,COUNTIF($G$7:$G176,$H176))</f>
        <v>1</v>
      </c>
      <c r="J176" s="88"/>
      <c r="K176" s="296" t="str">
        <f>Language!$E$57</f>
        <v>doppelt</v>
      </c>
      <c r="L176" s="270" t="str">
        <f>IF(Calc!$F$26=0,"",IF(OR($M176&gt;Calc!$B$24,MOD($M176-1,Calc!$F$26)&gt;0),"",QUOTIENT($M176-1,Calc!$F$26)+1))</f>
        <v/>
      </c>
      <c r="M176" s="107">
        <v>170</v>
      </c>
      <c r="N176" s="394">
        <v>87</v>
      </c>
      <c r="O176" s="113" t="s">
        <v>4</v>
      </c>
      <c r="P176" s="397">
        <v>16</v>
      </c>
      <c r="Q176" s="114" t="str">
        <f t="shared" si="12"/>
        <v>Borussia Mönchengladbach</v>
      </c>
      <c r="R176" s="115" t="s">
        <v>4</v>
      </c>
      <c r="S176" s="116" t="str">
        <f t="shared" si="13"/>
        <v>VfB Stuttgart</v>
      </c>
      <c r="T176" s="233">
        <v>46047</v>
      </c>
      <c r="U176" s="234">
        <v>0.64583333333333337</v>
      </c>
    </row>
    <row r="177" spans="6:21" ht="17.25" x14ac:dyDescent="0.2">
      <c r="F177" s="88">
        <f t="shared" si="14"/>
        <v>2</v>
      </c>
      <c r="G177" s="88" t="str">
        <f t="shared" si="15"/>
        <v>01120065</v>
      </c>
      <c r="H177" s="88" t="str">
        <f t="shared" si="16"/>
        <v>00650112</v>
      </c>
      <c r="I177" s="88">
        <f>IF($G177="",0,COUNTIF($G$7:$G177,$H177))</f>
        <v>1</v>
      </c>
      <c r="J177" s="88"/>
      <c r="K177" s="296" t="str">
        <f>Language!$E$57</f>
        <v>doppelt</v>
      </c>
      <c r="L177" s="270" t="str">
        <f>IF(Calc!$F$26=0,"",IF(OR($M177&gt;Calc!$B$24,MOD($M177-1,Calc!$F$26)&gt;0),"",QUOTIENT($M177-1,Calc!$F$26)+1))</f>
        <v/>
      </c>
      <c r="M177" s="107">
        <v>171</v>
      </c>
      <c r="N177" s="394">
        <v>112</v>
      </c>
      <c r="O177" s="113" t="s">
        <v>4</v>
      </c>
      <c r="P177" s="397">
        <v>65</v>
      </c>
      <c r="Q177" s="114" t="str">
        <f t="shared" si="12"/>
        <v>SC Freiburg</v>
      </c>
      <c r="R177" s="115" t="s">
        <v>4</v>
      </c>
      <c r="S177" s="116" t="str">
        <f t="shared" si="13"/>
        <v>1. FC Köln</v>
      </c>
      <c r="T177" s="233">
        <v>46047</v>
      </c>
      <c r="U177" s="234">
        <v>0.72916666666666663</v>
      </c>
    </row>
    <row r="178" spans="6:21" ht="17.25" x14ac:dyDescent="0.2">
      <c r="F178" s="88">
        <f t="shared" si="14"/>
        <v>2</v>
      </c>
      <c r="G178" s="88" t="str">
        <f t="shared" si="15"/>
        <v>00650131</v>
      </c>
      <c r="H178" s="88" t="str">
        <f t="shared" si="16"/>
        <v>01310065</v>
      </c>
      <c r="I178" s="88">
        <f>IF($G178="",0,COUNTIF($G$7:$G178,$H178))</f>
        <v>1</v>
      </c>
      <c r="J178" s="88"/>
      <c r="K178" s="296" t="str">
        <f>Language!$E$57</f>
        <v>doppelt</v>
      </c>
      <c r="L178" s="270">
        <f>IF(Calc!$F$26=0,"",IF(OR($M178&gt;Calc!$B$24,MOD($M178-1,Calc!$F$26)&gt;0),"",QUOTIENT($M178-1,Calc!$F$26)+1))</f>
        <v>20</v>
      </c>
      <c r="M178" s="107">
        <v>172</v>
      </c>
      <c r="N178" s="394">
        <v>65</v>
      </c>
      <c r="O178" s="113" t="s">
        <v>4</v>
      </c>
      <c r="P178" s="397">
        <v>131</v>
      </c>
      <c r="Q178" s="114" t="str">
        <f t="shared" si="12"/>
        <v>1. FC Köln</v>
      </c>
      <c r="R178" s="115" t="s">
        <v>4</v>
      </c>
      <c r="S178" s="116" t="str">
        <f t="shared" si="13"/>
        <v>VfL Wolfsburg</v>
      </c>
      <c r="T178" s="233">
        <v>46052</v>
      </c>
      <c r="U178" s="234">
        <v>0.85416666666666663</v>
      </c>
    </row>
    <row r="179" spans="6:21" ht="17.25" x14ac:dyDescent="0.2">
      <c r="F179" s="88">
        <f t="shared" si="14"/>
        <v>2</v>
      </c>
      <c r="G179" s="88" t="str">
        <f t="shared" si="15"/>
        <v>00950098</v>
      </c>
      <c r="H179" s="88" t="str">
        <f t="shared" si="16"/>
        <v>00980095</v>
      </c>
      <c r="I179" s="88">
        <f>IF($G179="",0,COUNTIF($G$7:$G179,$H179))</f>
        <v>1</v>
      </c>
      <c r="J179" s="88"/>
      <c r="K179" s="296" t="str">
        <f>Language!$E$57</f>
        <v>doppelt</v>
      </c>
      <c r="L179" s="270" t="str">
        <f>IF(Calc!$F$26=0,"",IF(OR($M179&gt;Calc!$B$24,MOD($M179-1,Calc!$F$26)&gt;0),"",QUOTIENT($M179-1,Calc!$F$26)+1))</f>
        <v/>
      </c>
      <c r="M179" s="107">
        <v>173</v>
      </c>
      <c r="N179" s="394">
        <v>95</v>
      </c>
      <c r="O179" s="113" t="s">
        <v>4</v>
      </c>
      <c r="P179" s="397">
        <v>98</v>
      </c>
      <c r="Q179" s="114" t="str">
        <f t="shared" si="12"/>
        <v>FC Augsburg</v>
      </c>
      <c r="R179" s="115" t="s">
        <v>4</v>
      </c>
      <c r="S179" s="116" t="str">
        <f t="shared" si="13"/>
        <v>FC St. Pauli</v>
      </c>
      <c r="T179" s="233">
        <v>46053</v>
      </c>
      <c r="U179" s="234">
        <v>0.64583333333333337</v>
      </c>
    </row>
    <row r="180" spans="6:21" ht="17.25" x14ac:dyDescent="0.2">
      <c r="F180" s="88">
        <f t="shared" si="14"/>
        <v>2</v>
      </c>
      <c r="G180" s="88" t="str">
        <f t="shared" si="15"/>
        <v>01750080</v>
      </c>
      <c r="H180" s="88" t="str">
        <f t="shared" si="16"/>
        <v>00800175</v>
      </c>
      <c r="I180" s="88">
        <f>IF($G180="",0,COUNTIF($G$7:$G180,$H180))</f>
        <v>1</v>
      </c>
      <c r="J180" s="88"/>
      <c r="K180" s="296" t="str">
        <f>Language!$E$57</f>
        <v>doppelt</v>
      </c>
      <c r="L180" s="270" t="str">
        <f>IF(Calc!$F$26=0,"",IF(OR($M180&gt;Calc!$B$24,MOD($M180-1,Calc!$F$26)&gt;0),"",QUOTIENT($M180-1,Calc!$F$26)+1))</f>
        <v/>
      </c>
      <c r="M180" s="107">
        <v>174</v>
      </c>
      <c r="N180" s="394">
        <v>175</v>
      </c>
      <c r="O180" s="113" t="s">
        <v>4</v>
      </c>
      <c r="P180" s="397">
        <v>80</v>
      </c>
      <c r="Q180" s="114" t="str">
        <f t="shared" si="12"/>
        <v>TSG Hoffenheim</v>
      </c>
      <c r="R180" s="115" t="s">
        <v>4</v>
      </c>
      <c r="S180" s="116" t="str">
        <f t="shared" si="13"/>
        <v>1. FC Union Berlin</v>
      </c>
      <c r="T180" s="233">
        <v>46053</v>
      </c>
      <c r="U180" s="234">
        <v>0.64583333333333337</v>
      </c>
    </row>
    <row r="181" spans="6:21" ht="17.25" x14ac:dyDescent="0.2">
      <c r="F181" s="88">
        <f t="shared" si="14"/>
        <v>2</v>
      </c>
      <c r="G181" s="88" t="str">
        <f t="shared" si="15"/>
        <v>00910006</v>
      </c>
      <c r="H181" s="88" t="str">
        <f t="shared" si="16"/>
        <v>00060091</v>
      </c>
      <c r="I181" s="88">
        <f>IF($G181="",0,COUNTIF($G$7:$G181,$H181))</f>
        <v>1</v>
      </c>
      <c r="J181" s="88"/>
      <c r="K181" s="296" t="str">
        <f>Language!$E$57</f>
        <v>doppelt</v>
      </c>
      <c r="L181" s="270" t="str">
        <f>IF(Calc!$F$26=0,"",IF(OR($M181&gt;Calc!$B$24,MOD($M181-1,Calc!$F$26)&gt;0),"",QUOTIENT($M181-1,Calc!$F$26)+1))</f>
        <v/>
      </c>
      <c r="M181" s="107">
        <v>175</v>
      </c>
      <c r="N181" s="394">
        <v>91</v>
      </c>
      <c r="O181" s="113" t="s">
        <v>4</v>
      </c>
      <c r="P181" s="397">
        <v>6</v>
      </c>
      <c r="Q181" s="114" t="str">
        <f t="shared" si="12"/>
        <v>Eintracht Frankfurt</v>
      </c>
      <c r="R181" s="115" t="s">
        <v>4</v>
      </c>
      <c r="S181" s="116" t="str">
        <f t="shared" si="13"/>
        <v>Bayer 04 Leverkusen</v>
      </c>
      <c r="T181" s="233">
        <v>46053</v>
      </c>
      <c r="U181" s="234">
        <v>0.64583333333333337</v>
      </c>
    </row>
    <row r="182" spans="6:21" ht="17.25" x14ac:dyDescent="0.2">
      <c r="F182" s="88">
        <f t="shared" si="14"/>
        <v>2</v>
      </c>
      <c r="G182" s="88" t="str">
        <f t="shared" si="15"/>
        <v>16350081</v>
      </c>
      <c r="H182" s="88" t="str">
        <f t="shared" si="16"/>
        <v>00811635</v>
      </c>
      <c r="I182" s="88">
        <f>IF($G182="",0,COUNTIF($G$7:$G182,$H182))</f>
        <v>1</v>
      </c>
      <c r="J182" s="88"/>
      <c r="K182" s="296" t="str">
        <f>Language!$E$57</f>
        <v>doppelt</v>
      </c>
      <c r="L182" s="270" t="str">
        <f>IF(Calc!$F$26=0,"",IF(OR($M182&gt;Calc!$B$24,MOD($M182-1,Calc!$F$26)&gt;0),"",QUOTIENT($M182-1,Calc!$F$26)+1))</f>
        <v/>
      </c>
      <c r="M182" s="107">
        <v>176</v>
      </c>
      <c r="N182" s="394">
        <v>1635</v>
      </c>
      <c r="O182" s="113" t="s">
        <v>4</v>
      </c>
      <c r="P182" s="397">
        <v>81</v>
      </c>
      <c r="Q182" s="114" t="str">
        <f t="shared" si="12"/>
        <v>RB Leipzig</v>
      </c>
      <c r="R182" s="115" t="s">
        <v>4</v>
      </c>
      <c r="S182" s="116" t="str">
        <f t="shared" si="13"/>
        <v>1. FSV Mainz 05</v>
      </c>
      <c r="T182" s="233">
        <v>46053</v>
      </c>
      <c r="U182" s="234">
        <v>0.64583333333333337</v>
      </c>
    </row>
    <row r="183" spans="6:21" ht="17.25" x14ac:dyDescent="0.2">
      <c r="F183" s="88">
        <f t="shared" si="14"/>
        <v>2</v>
      </c>
      <c r="G183" s="88" t="str">
        <f t="shared" si="15"/>
        <v>01340087</v>
      </c>
      <c r="H183" s="88" t="str">
        <f t="shared" si="16"/>
        <v>00870134</v>
      </c>
      <c r="I183" s="88">
        <f>IF($G183="",0,COUNTIF($G$7:$G183,$H183))</f>
        <v>1</v>
      </c>
      <c r="J183" s="88"/>
      <c r="K183" s="296" t="str">
        <f>Language!$E$57</f>
        <v>doppelt</v>
      </c>
      <c r="L183" s="270" t="str">
        <f>IF(Calc!$F$26=0,"",IF(OR($M183&gt;Calc!$B$24,MOD($M183-1,Calc!$F$26)&gt;0),"",QUOTIENT($M183-1,Calc!$F$26)+1))</f>
        <v/>
      </c>
      <c r="M183" s="107">
        <v>177</v>
      </c>
      <c r="N183" s="394">
        <v>134</v>
      </c>
      <c r="O183" s="113" t="s">
        <v>4</v>
      </c>
      <c r="P183" s="397">
        <v>87</v>
      </c>
      <c r="Q183" s="114" t="str">
        <f t="shared" si="12"/>
        <v>SV Werder Bremen</v>
      </c>
      <c r="R183" s="115" t="s">
        <v>4</v>
      </c>
      <c r="S183" s="116" t="str">
        <f t="shared" si="13"/>
        <v>Borussia Mönchengladbach</v>
      </c>
      <c r="T183" s="233">
        <v>46053</v>
      </c>
      <c r="U183" s="234">
        <v>0.64583333333333337</v>
      </c>
    </row>
    <row r="184" spans="6:21" ht="17.25" x14ac:dyDescent="0.2">
      <c r="F184" s="88">
        <f t="shared" si="14"/>
        <v>2</v>
      </c>
      <c r="G184" s="88" t="str">
        <f t="shared" si="15"/>
        <v>01000040</v>
      </c>
      <c r="H184" s="88" t="str">
        <f t="shared" si="16"/>
        <v>00400100</v>
      </c>
      <c r="I184" s="88">
        <f>IF($G184="",0,COUNTIF($G$7:$G184,$H184))</f>
        <v>1</v>
      </c>
      <c r="J184" s="88"/>
      <c r="K184" s="296" t="str">
        <f>Language!$E$57</f>
        <v>doppelt</v>
      </c>
      <c r="L184" s="270" t="str">
        <f>IF(Calc!$F$26=0,"",IF(OR($M184&gt;Calc!$B$24,MOD($M184-1,Calc!$F$26)&gt;0),"",QUOTIENT($M184-1,Calc!$F$26)+1))</f>
        <v/>
      </c>
      <c r="M184" s="107">
        <v>178</v>
      </c>
      <c r="N184" s="394">
        <v>100</v>
      </c>
      <c r="O184" s="113" t="s">
        <v>4</v>
      </c>
      <c r="P184" s="397">
        <v>40</v>
      </c>
      <c r="Q184" s="114" t="str">
        <f t="shared" si="12"/>
        <v>Hamburger SV</v>
      </c>
      <c r="R184" s="115" t="s">
        <v>4</v>
      </c>
      <c r="S184" s="116" t="str">
        <f t="shared" si="13"/>
        <v>FC Bayern München</v>
      </c>
      <c r="T184" s="233">
        <v>46053</v>
      </c>
      <c r="U184" s="234">
        <v>0.77083333333333337</v>
      </c>
    </row>
    <row r="185" spans="6:21" ht="17.25" x14ac:dyDescent="0.2">
      <c r="F185" s="88">
        <f t="shared" si="14"/>
        <v>2</v>
      </c>
      <c r="G185" s="88" t="str">
        <f t="shared" si="15"/>
        <v>00160112</v>
      </c>
      <c r="H185" s="88" t="str">
        <f t="shared" si="16"/>
        <v>01120016</v>
      </c>
      <c r="I185" s="88">
        <f>IF($G185="",0,COUNTIF($G$7:$G185,$H185))</f>
        <v>1</v>
      </c>
      <c r="J185" s="88"/>
      <c r="K185" s="296" t="str">
        <f>Language!$E$57</f>
        <v>doppelt</v>
      </c>
      <c r="L185" s="270" t="str">
        <f>IF(Calc!$F$26=0,"",IF(OR($M185&gt;Calc!$B$24,MOD($M185-1,Calc!$F$26)&gt;0),"",QUOTIENT($M185-1,Calc!$F$26)+1))</f>
        <v/>
      </c>
      <c r="M185" s="107">
        <v>179</v>
      </c>
      <c r="N185" s="394">
        <v>16</v>
      </c>
      <c r="O185" s="113" t="s">
        <v>4</v>
      </c>
      <c r="P185" s="397">
        <v>112</v>
      </c>
      <c r="Q185" s="114" t="str">
        <f t="shared" si="12"/>
        <v>VfB Stuttgart</v>
      </c>
      <c r="R185" s="115" t="s">
        <v>4</v>
      </c>
      <c r="S185" s="116" t="str">
        <f t="shared" si="13"/>
        <v>SC Freiburg</v>
      </c>
      <c r="T185" s="233">
        <v>46054</v>
      </c>
      <c r="U185" s="234">
        <v>0.64583333333333337</v>
      </c>
    </row>
    <row r="186" spans="6:21" ht="17.25" x14ac:dyDescent="0.2">
      <c r="F186" s="88">
        <f t="shared" si="14"/>
        <v>2</v>
      </c>
      <c r="G186" s="88" t="str">
        <f t="shared" si="15"/>
        <v>00070199</v>
      </c>
      <c r="H186" s="88" t="str">
        <f t="shared" si="16"/>
        <v>01990007</v>
      </c>
      <c r="I186" s="88">
        <f>IF($G186="",0,COUNTIF($G$7:$G186,$H186))</f>
        <v>1</v>
      </c>
      <c r="J186" s="88"/>
      <c r="K186" s="296" t="str">
        <f>Language!$E$57</f>
        <v>doppelt</v>
      </c>
      <c r="L186" s="270" t="str">
        <f>IF(Calc!$F$26=0,"",IF(OR($M186&gt;Calc!$B$24,MOD($M186-1,Calc!$F$26)&gt;0),"",QUOTIENT($M186-1,Calc!$F$26)+1))</f>
        <v/>
      </c>
      <c r="M186" s="107">
        <v>180</v>
      </c>
      <c r="N186" s="394">
        <v>7</v>
      </c>
      <c r="O186" s="113" t="s">
        <v>4</v>
      </c>
      <c r="P186" s="397">
        <v>199</v>
      </c>
      <c r="Q186" s="114" t="str">
        <f t="shared" si="12"/>
        <v>Borussia Dortmund</v>
      </c>
      <c r="R186" s="115" t="s">
        <v>4</v>
      </c>
      <c r="S186" s="116" t="str">
        <f t="shared" si="13"/>
        <v>1. FC Heidenheim 1846</v>
      </c>
      <c r="T186" s="233">
        <v>46054</v>
      </c>
      <c r="U186" s="234">
        <v>0.72916666666666663</v>
      </c>
    </row>
    <row r="187" spans="6:21" ht="17.25" x14ac:dyDescent="0.2">
      <c r="F187" s="88">
        <f t="shared" si="14"/>
        <v>2</v>
      </c>
      <c r="G187" s="88" t="str">
        <f t="shared" si="15"/>
        <v>00800091</v>
      </c>
      <c r="H187" s="88" t="str">
        <f t="shared" si="16"/>
        <v>00910080</v>
      </c>
      <c r="I187" s="88">
        <f>IF($G187="",0,COUNTIF($G$7:$G187,$H187))</f>
        <v>1</v>
      </c>
      <c r="J187" s="88"/>
      <c r="K187" s="296" t="str">
        <f>Language!$E$57</f>
        <v>doppelt</v>
      </c>
      <c r="L187" s="270">
        <f>IF(Calc!$F$26=0,"",IF(OR($M187&gt;Calc!$B$24,MOD($M187-1,Calc!$F$26)&gt;0),"",QUOTIENT($M187-1,Calc!$F$26)+1))</f>
        <v>21</v>
      </c>
      <c r="M187" s="107">
        <v>181</v>
      </c>
      <c r="N187" s="394">
        <v>80</v>
      </c>
      <c r="O187" s="113" t="s">
        <v>4</v>
      </c>
      <c r="P187" s="397">
        <v>91</v>
      </c>
      <c r="Q187" s="114" t="str">
        <f t="shared" si="12"/>
        <v>1. FC Union Berlin</v>
      </c>
      <c r="R187" s="115" t="s">
        <v>4</v>
      </c>
      <c r="S187" s="116" t="str">
        <f t="shared" si="13"/>
        <v>Eintracht Frankfurt</v>
      </c>
      <c r="T187" s="233">
        <v>46059</v>
      </c>
      <c r="U187" s="234">
        <v>0.85416666666666663</v>
      </c>
    </row>
    <row r="188" spans="6:21" ht="17.25" x14ac:dyDescent="0.2">
      <c r="F188" s="88">
        <f t="shared" si="14"/>
        <v>2</v>
      </c>
      <c r="G188" s="88" t="str">
        <f t="shared" si="15"/>
        <v>00980016</v>
      </c>
      <c r="H188" s="88" t="str">
        <f t="shared" si="16"/>
        <v>00160098</v>
      </c>
      <c r="I188" s="88">
        <f>IF($G188="",0,COUNTIF($G$7:$G188,$H188))</f>
        <v>1</v>
      </c>
      <c r="J188" s="88"/>
      <c r="K188" s="296" t="str">
        <f>Language!$E$57</f>
        <v>doppelt</v>
      </c>
      <c r="L188" s="270" t="str">
        <f>IF(Calc!$F$26=0,"",IF(OR($M188&gt;Calc!$B$24,MOD($M188-1,Calc!$F$26)&gt;0),"",QUOTIENT($M188-1,Calc!$F$26)+1))</f>
        <v/>
      </c>
      <c r="M188" s="107">
        <v>182</v>
      </c>
      <c r="N188" s="394">
        <v>98</v>
      </c>
      <c r="O188" s="113" t="s">
        <v>4</v>
      </c>
      <c r="P188" s="397">
        <v>16</v>
      </c>
      <c r="Q188" s="114" t="str">
        <f t="shared" si="12"/>
        <v>FC St. Pauli</v>
      </c>
      <c r="R188" s="115" t="s">
        <v>4</v>
      </c>
      <c r="S188" s="116" t="str">
        <f t="shared" si="13"/>
        <v>VfB Stuttgart</v>
      </c>
      <c r="T188" s="233">
        <v>46060</v>
      </c>
      <c r="U188" s="234">
        <v>0.64583333333333337</v>
      </c>
    </row>
    <row r="189" spans="6:21" ht="17.25" x14ac:dyDescent="0.2">
      <c r="F189" s="88">
        <f t="shared" si="14"/>
        <v>2</v>
      </c>
      <c r="G189" s="88" t="str">
        <f t="shared" si="15"/>
        <v>01990100</v>
      </c>
      <c r="H189" s="88" t="str">
        <f t="shared" si="16"/>
        <v>01000199</v>
      </c>
      <c r="I189" s="88">
        <f>IF($G189="",0,COUNTIF($G$7:$G189,$H189))</f>
        <v>1</v>
      </c>
      <c r="J189" s="88"/>
      <c r="K189" s="296" t="str">
        <f>Language!$E$57</f>
        <v>doppelt</v>
      </c>
      <c r="L189" s="270" t="str">
        <f>IF(Calc!$F$26=0,"",IF(OR($M189&gt;Calc!$B$24,MOD($M189-1,Calc!$F$26)&gt;0),"",QUOTIENT($M189-1,Calc!$F$26)+1))</f>
        <v/>
      </c>
      <c r="M189" s="107">
        <v>183</v>
      </c>
      <c r="N189" s="394">
        <v>199</v>
      </c>
      <c r="O189" s="113" t="s">
        <v>4</v>
      </c>
      <c r="P189" s="397">
        <v>100</v>
      </c>
      <c r="Q189" s="114" t="str">
        <f t="shared" si="12"/>
        <v>1. FC Heidenheim 1846</v>
      </c>
      <c r="R189" s="115" t="s">
        <v>4</v>
      </c>
      <c r="S189" s="116" t="str">
        <f t="shared" si="13"/>
        <v>Hamburger SV</v>
      </c>
      <c r="T189" s="233">
        <v>46060</v>
      </c>
      <c r="U189" s="234">
        <v>0.64583333333333337</v>
      </c>
    </row>
    <row r="190" spans="6:21" ht="17.25" x14ac:dyDescent="0.2">
      <c r="F190" s="88">
        <f t="shared" si="14"/>
        <v>2</v>
      </c>
      <c r="G190" s="88" t="str">
        <f t="shared" si="15"/>
        <v>01120134</v>
      </c>
      <c r="H190" s="88" t="str">
        <f t="shared" si="16"/>
        <v>01340112</v>
      </c>
      <c r="I190" s="88">
        <f>IF($G190="",0,COUNTIF($G$7:$G190,$H190))</f>
        <v>1</v>
      </c>
      <c r="J190" s="88"/>
      <c r="K190" s="296" t="str">
        <f>Language!$E$57</f>
        <v>doppelt</v>
      </c>
      <c r="L190" s="270" t="str">
        <f>IF(Calc!$F$26=0,"",IF(OR($M190&gt;Calc!$B$24,MOD($M190-1,Calc!$F$26)&gt;0),"",QUOTIENT($M190-1,Calc!$F$26)+1))</f>
        <v/>
      </c>
      <c r="M190" s="107">
        <v>184</v>
      </c>
      <c r="N190" s="394">
        <v>112</v>
      </c>
      <c r="O190" s="113" t="s">
        <v>4</v>
      </c>
      <c r="P190" s="397">
        <v>134</v>
      </c>
      <c r="Q190" s="114" t="str">
        <f t="shared" si="12"/>
        <v>SC Freiburg</v>
      </c>
      <c r="R190" s="115" t="s">
        <v>4</v>
      </c>
      <c r="S190" s="116" t="str">
        <f t="shared" si="13"/>
        <v>SV Werder Bremen</v>
      </c>
      <c r="T190" s="233">
        <v>46060</v>
      </c>
      <c r="U190" s="234">
        <v>0.64583333333333337</v>
      </c>
    </row>
    <row r="191" spans="6:21" ht="17.25" x14ac:dyDescent="0.2">
      <c r="F191" s="88">
        <f t="shared" si="14"/>
        <v>2</v>
      </c>
      <c r="G191" s="88" t="str">
        <f t="shared" si="15"/>
        <v>00810095</v>
      </c>
      <c r="H191" s="88" t="str">
        <f t="shared" si="16"/>
        <v>00950081</v>
      </c>
      <c r="I191" s="88">
        <f>IF($G191="",0,COUNTIF($G$7:$G191,$H191))</f>
        <v>1</v>
      </c>
      <c r="J191" s="88"/>
      <c r="K191" s="296" t="str">
        <f>Language!$E$57</f>
        <v>doppelt</v>
      </c>
      <c r="L191" s="270" t="str">
        <f>IF(Calc!$F$26=0,"",IF(OR($M191&gt;Calc!$B$24,MOD($M191-1,Calc!$F$26)&gt;0),"",QUOTIENT($M191-1,Calc!$F$26)+1))</f>
        <v/>
      </c>
      <c r="M191" s="107">
        <v>185</v>
      </c>
      <c r="N191" s="394">
        <v>81</v>
      </c>
      <c r="O191" s="113" t="s">
        <v>4</v>
      </c>
      <c r="P191" s="397">
        <v>95</v>
      </c>
      <c r="Q191" s="114" t="str">
        <f t="shared" si="12"/>
        <v>1. FSV Mainz 05</v>
      </c>
      <c r="R191" s="115" t="s">
        <v>4</v>
      </c>
      <c r="S191" s="116" t="str">
        <f t="shared" si="13"/>
        <v>FC Augsburg</v>
      </c>
      <c r="T191" s="233">
        <v>46060</v>
      </c>
      <c r="U191" s="234">
        <v>0.64583333333333337</v>
      </c>
    </row>
    <row r="192" spans="6:21" ht="17.25" x14ac:dyDescent="0.2">
      <c r="F192" s="88">
        <f t="shared" si="14"/>
        <v>2</v>
      </c>
      <c r="G192" s="88" t="str">
        <f t="shared" si="15"/>
        <v>01310007</v>
      </c>
      <c r="H192" s="88" t="str">
        <f t="shared" si="16"/>
        <v>00070131</v>
      </c>
      <c r="I192" s="88">
        <f>IF($G192="",0,COUNTIF($G$7:$G192,$H192))</f>
        <v>1</v>
      </c>
      <c r="J192" s="88"/>
      <c r="K192" s="296" t="str">
        <f>Language!$E$57</f>
        <v>doppelt</v>
      </c>
      <c r="L192" s="270" t="str">
        <f>IF(Calc!$F$26=0,"",IF(OR($M192&gt;Calc!$B$24,MOD($M192-1,Calc!$F$26)&gt;0),"",QUOTIENT($M192-1,Calc!$F$26)+1))</f>
        <v/>
      </c>
      <c r="M192" s="107">
        <v>186</v>
      </c>
      <c r="N192" s="394">
        <v>131</v>
      </c>
      <c r="O192" s="113" t="s">
        <v>4</v>
      </c>
      <c r="P192" s="397">
        <v>7</v>
      </c>
      <c r="Q192" s="114" t="str">
        <f t="shared" si="12"/>
        <v>VfL Wolfsburg</v>
      </c>
      <c r="R192" s="115" t="s">
        <v>4</v>
      </c>
      <c r="S192" s="116" t="str">
        <f t="shared" si="13"/>
        <v>Borussia Dortmund</v>
      </c>
      <c r="T192" s="233">
        <v>46060</v>
      </c>
      <c r="U192" s="234">
        <v>0.64583333333333337</v>
      </c>
    </row>
    <row r="193" spans="6:21" ht="17.25" x14ac:dyDescent="0.2">
      <c r="F193" s="88">
        <f t="shared" si="14"/>
        <v>2</v>
      </c>
      <c r="G193" s="88" t="str">
        <f t="shared" si="15"/>
        <v>00870006</v>
      </c>
      <c r="H193" s="88" t="str">
        <f t="shared" si="16"/>
        <v>00060087</v>
      </c>
      <c r="I193" s="88">
        <f>IF($G193="",0,COUNTIF($G$7:$G193,$H193))</f>
        <v>1</v>
      </c>
      <c r="J193" s="88"/>
      <c r="K193" s="296" t="str">
        <f>Language!$E$57</f>
        <v>doppelt</v>
      </c>
      <c r="L193" s="270" t="str">
        <f>IF(Calc!$F$26=0,"",IF(OR($M193&gt;Calc!$B$24,MOD($M193-1,Calc!$F$26)&gt;0),"",QUOTIENT($M193-1,Calc!$F$26)+1))</f>
        <v/>
      </c>
      <c r="M193" s="107">
        <v>187</v>
      </c>
      <c r="N193" s="394">
        <v>87</v>
      </c>
      <c r="O193" s="113" t="s">
        <v>4</v>
      </c>
      <c r="P193" s="397">
        <v>6</v>
      </c>
      <c r="Q193" s="114" t="str">
        <f t="shared" si="12"/>
        <v>Borussia Mönchengladbach</v>
      </c>
      <c r="R193" s="115" t="s">
        <v>4</v>
      </c>
      <c r="S193" s="116" t="str">
        <f t="shared" si="13"/>
        <v>Bayer 04 Leverkusen</v>
      </c>
      <c r="T193" s="233">
        <v>46060</v>
      </c>
      <c r="U193" s="234">
        <v>0.77083333333333337</v>
      </c>
    </row>
    <row r="194" spans="6:21" ht="17.25" x14ac:dyDescent="0.2">
      <c r="F194" s="88">
        <f t="shared" si="14"/>
        <v>2</v>
      </c>
      <c r="G194" s="88" t="str">
        <f t="shared" si="15"/>
        <v>00651635</v>
      </c>
      <c r="H194" s="88" t="str">
        <f t="shared" si="16"/>
        <v>16350065</v>
      </c>
      <c r="I194" s="88">
        <f>IF($G194="",0,COUNTIF($G$7:$G194,$H194))</f>
        <v>1</v>
      </c>
      <c r="J194" s="88"/>
      <c r="K194" s="296" t="str">
        <f>Language!$E$57</f>
        <v>doppelt</v>
      </c>
      <c r="L194" s="270" t="str">
        <f>IF(Calc!$F$26=0,"",IF(OR($M194&gt;Calc!$B$24,MOD($M194-1,Calc!$F$26)&gt;0),"",QUOTIENT($M194-1,Calc!$F$26)+1))</f>
        <v/>
      </c>
      <c r="M194" s="107">
        <v>188</v>
      </c>
      <c r="N194" s="394">
        <v>65</v>
      </c>
      <c r="O194" s="113" t="s">
        <v>4</v>
      </c>
      <c r="P194" s="397">
        <v>1635</v>
      </c>
      <c r="Q194" s="114" t="str">
        <f t="shared" si="12"/>
        <v>1. FC Köln</v>
      </c>
      <c r="R194" s="115" t="s">
        <v>4</v>
      </c>
      <c r="S194" s="116" t="str">
        <f t="shared" si="13"/>
        <v>RB Leipzig</v>
      </c>
      <c r="T194" s="233">
        <v>46061</v>
      </c>
      <c r="U194" s="234">
        <v>0.64583333333333337</v>
      </c>
    </row>
    <row r="195" spans="6:21" ht="17.25" x14ac:dyDescent="0.2">
      <c r="F195" s="88">
        <f t="shared" si="14"/>
        <v>2</v>
      </c>
      <c r="G195" s="88" t="str">
        <f t="shared" si="15"/>
        <v>00400175</v>
      </c>
      <c r="H195" s="88" t="str">
        <f t="shared" si="16"/>
        <v>01750040</v>
      </c>
      <c r="I195" s="88">
        <f>IF($G195="",0,COUNTIF($G$7:$G195,$H195))</f>
        <v>1</v>
      </c>
      <c r="J195" s="88"/>
      <c r="K195" s="296" t="str">
        <f>Language!$E$57</f>
        <v>doppelt</v>
      </c>
      <c r="L195" s="270" t="str">
        <f>IF(Calc!$F$26=0,"",IF(OR($M195&gt;Calc!$B$24,MOD($M195-1,Calc!$F$26)&gt;0),"",QUOTIENT($M195-1,Calc!$F$26)+1))</f>
        <v/>
      </c>
      <c r="M195" s="107">
        <v>189</v>
      </c>
      <c r="N195" s="394">
        <v>40</v>
      </c>
      <c r="O195" s="113" t="s">
        <v>4</v>
      </c>
      <c r="P195" s="397">
        <v>175</v>
      </c>
      <c r="Q195" s="114" t="str">
        <f t="shared" si="12"/>
        <v>FC Bayern München</v>
      </c>
      <c r="R195" s="115" t="s">
        <v>4</v>
      </c>
      <c r="S195" s="116" t="str">
        <f t="shared" si="13"/>
        <v>TSG Hoffenheim</v>
      </c>
      <c r="T195" s="233">
        <v>46061</v>
      </c>
      <c r="U195" s="234">
        <v>0.72916666666666663</v>
      </c>
    </row>
    <row r="196" spans="6:21" ht="17.25" x14ac:dyDescent="0.2">
      <c r="F196" s="88">
        <f t="shared" si="14"/>
        <v>2</v>
      </c>
      <c r="G196" s="88" t="str">
        <f t="shared" si="15"/>
        <v>00070081</v>
      </c>
      <c r="H196" s="88" t="str">
        <f t="shared" si="16"/>
        <v>00810007</v>
      </c>
      <c r="I196" s="88">
        <f>IF($G196="",0,COUNTIF($G$7:$G196,$H196))</f>
        <v>1</v>
      </c>
      <c r="J196" s="88"/>
      <c r="K196" s="296" t="str">
        <f>Language!$E$57</f>
        <v>doppelt</v>
      </c>
      <c r="L196" s="270">
        <f>IF(Calc!$F$26=0,"",IF(OR($M196&gt;Calc!$B$24,MOD($M196-1,Calc!$F$26)&gt;0),"",QUOTIENT($M196-1,Calc!$F$26)+1))</f>
        <v>22</v>
      </c>
      <c r="M196" s="107">
        <v>190</v>
      </c>
      <c r="N196" s="394">
        <v>7</v>
      </c>
      <c r="O196" s="113" t="s">
        <v>4</v>
      </c>
      <c r="P196" s="397">
        <v>81</v>
      </c>
      <c r="Q196" s="114" t="str">
        <f t="shared" si="12"/>
        <v>Borussia Dortmund</v>
      </c>
      <c r="R196" s="115" t="s">
        <v>4</v>
      </c>
      <c r="S196" s="116" t="str">
        <f t="shared" si="13"/>
        <v>1. FSV Mainz 05</v>
      </c>
      <c r="T196" s="233">
        <v>46066</v>
      </c>
      <c r="U196" s="234">
        <v>0.85416666666666663</v>
      </c>
    </row>
    <row r="197" spans="6:21" ht="17.25" x14ac:dyDescent="0.2">
      <c r="F197" s="88">
        <f t="shared" si="14"/>
        <v>2</v>
      </c>
      <c r="G197" s="88" t="str">
        <f t="shared" si="15"/>
        <v>01750112</v>
      </c>
      <c r="H197" s="88" t="str">
        <f t="shared" si="16"/>
        <v>01120175</v>
      </c>
      <c r="I197" s="88">
        <f>IF($G197="",0,COUNTIF($G$7:$G197,$H197))</f>
        <v>1</v>
      </c>
      <c r="J197" s="88"/>
      <c r="K197" s="296" t="str">
        <f>Language!$E$57</f>
        <v>doppelt</v>
      </c>
      <c r="L197" s="270" t="str">
        <f>IF(Calc!$F$26=0,"",IF(OR($M197&gt;Calc!$B$24,MOD($M197-1,Calc!$F$26)&gt;0),"",QUOTIENT($M197-1,Calc!$F$26)+1))</f>
        <v/>
      </c>
      <c r="M197" s="107">
        <v>191</v>
      </c>
      <c r="N197" s="394">
        <v>175</v>
      </c>
      <c r="O197" s="113" t="s">
        <v>4</v>
      </c>
      <c r="P197" s="397">
        <v>112</v>
      </c>
      <c r="Q197" s="114" t="str">
        <f t="shared" si="12"/>
        <v>TSG Hoffenheim</v>
      </c>
      <c r="R197" s="115" t="s">
        <v>4</v>
      </c>
      <c r="S197" s="116" t="str">
        <f t="shared" si="13"/>
        <v>SC Freiburg</v>
      </c>
      <c r="T197" s="233">
        <v>46067</v>
      </c>
      <c r="U197" s="234">
        <v>0.64583333333333337</v>
      </c>
    </row>
    <row r="198" spans="6:21" ht="17.25" x14ac:dyDescent="0.2">
      <c r="F198" s="88">
        <f t="shared" si="14"/>
        <v>2</v>
      </c>
      <c r="G198" s="88" t="str">
        <f t="shared" si="15"/>
        <v>01000080</v>
      </c>
      <c r="H198" s="88" t="str">
        <f t="shared" si="16"/>
        <v>00800100</v>
      </c>
      <c r="I198" s="88">
        <f>IF($G198="",0,COUNTIF($G$7:$G198,$H198))</f>
        <v>1</v>
      </c>
      <c r="J198" s="88"/>
      <c r="K198" s="296" t="str">
        <f>Language!$E$57</f>
        <v>doppelt</v>
      </c>
      <c r="L198" s="270" t="str">
        <f>IF(Calc!$F$26=0,"",IF(OR($M198&gt;Calc!$B$24,MOD($M198-1,Calc!$F$26)&gt;0),"",QUOTIENT($M198-1,Calc!$F$26)+1))</f>
        <v/>
      </c>
      <c r="M198" s="107">
        <v>192</v>
      </c>
      <c r="N198" s="394">
        <v>100</v>
      </c>
      <c r="O198" s="113" t="s">
        <v>4</v>
      </c>
      <c r="P198" s="397">
        <v>80</v>
      </c>
      <c r="Q198" s="114" t="str">
        <f t="shared" si="12"/>
        <v>Hamburger SV</v>
      </c>
      <c r="R198" s="115" t="s">
        <v>4</v>
      </c>
      <c r="S198" s="116" t="str">
        <f t="shared" si="13"/>
        <v>1. FC Union Berlin</v>
      </c>
      <c r="T198" s="233">
        <v>46067</v>
      </c>
      <c r="U198" s="234">
        <v>0.64583333333333337</v>
      </c>
    </row>
    <row r="199" spans="6:21" ht="17.25" x14ac:dyDescent="0.2">
      <c r="F199" s="88">
        <f t="shared" si="14"/>
        <v>2</v>
      </c>
      <c r="G199" s="88" t="str">
        <f t="shared" si="15"/>
        <v>00060098</v>
      </c>
      <c r="H199" s="88" t="str">
        <f t="shared" si="16"/>
        <v>00980006</v>
      </c>
      <c r="I199" s="88">
        <f>IF($G199="",0,COUNTIF($G$7:$G199,$H199))</f>
        <v>1</v>
      </c>
      <c r="J199" s="88"/>
      <c r="K199" s="296" t="str">
        <f>Language!$E$57</f>
        <v>doppelt</v>
      </c>
      <c r="L199" s="270" t="str">
        <f>IF(Calc!$F$26=0,"",IF(OR($M199&gt;Calc!$B$24,MOD($M199-1,Calc!$F$26)&gt;0),"",QUOTIENT($M199-1,Calc!$F$26)+1))</f>
        <v/>
      </c>
      <c r="M199" s="107">
        <v>193</v>
      </c>
      <c r="N199" s="394">
        <v>6</v>
      </c>
      <c r="O199" s="113" t="s">
        <v>4</v>
      </c>
      <c r="P199" s="397">
        <v>98</v>
      </c>
      <c r="Q199" s="114" t="str">
        <f t="shared" ref="Q199:Q262" si="17">IF(ISBLANK($N199),"",IF(ISBLANK(VLOOKUP($N199,$C$7:$D$26,2,0)),"",VLOOKUP($N199,$C$7:$D$26,2,0)))</f>
        <v>Bayer 04 Leverkusen</v>
      </c>
      <c r="R199" s="115" t="s">
        <v>4</v>
      </c>
      <c r="S199" s="116" t="str">
        <f t="shared" ref="S199:S262" si="18">IF(ISBLANK($P199),"",IF(ISBLANK(VLOOKUP($P199,$C$7:$D$26,2,0)),"",VLOOKUP($P199,$C$7:$D$26,2,0)))</f>
        <v>FC St. Pauli</v>
      </c>
      <c r="T199" s="233">
        <v>46067</v>
      </c>
      <c r="U199" s="234">
        <v>0.64583333333333337</v>
      </c>
    </row>
    <row r="200" spans="6:21" ht="17.25" x14ac:dyDescent="0.2">
      <c r="F200" s="88">
        <f t="shared" ref="F200:F263" si="19">IF($G200="",0,IF(LEFT($G200,4)=RIGHT($G200,4),100,IF(COUNTIF($G$7:$G$386,$G200)&gt;1,101,COUNTIF($G$7:$G$386,$G200)+COUNTIF($H$7:$H$386,$G200))))</f>
        <v>2</v>
      </c>
      <c r="G200" s="88" t="str">
        <f t="shared" ref="G200:G263" si="20">IF(OR($N200="",$P200=""),"",TEXT($N200,"0000")&amp;TEXT($P200,"0000"))</f>
        <v>00910087</v>
      </c>
      <c r="H200" s="88" t="str">
        <f t="shared" ref="H200:H263" si="21">IF(OR($N200="",$P200=""),"",TEXT($P200,"0000")&amp;TEXT($N200,"0000"))</f>
        <v>00870091</v>
      </c>
      <c r="I200" s="88">
        <f>IF($G200="",0,COUNTIF($G$7:$G200,$H200))</f>
        <v>1</v>
      </c>
      <c r="J200" s="88"/>
      <c r="K200" s="296" t="str">
        <f>Language!$E$57</f>
        <v>doppelt</v>
      </c>
      <c r="L200" s="270" t="str">
        <f>IF(Calc!$F$26=0,"",IF(OR($M200&gt;Calc!$B$24,MOD($M200-1,Calc!$F$26)&gt;0),"",QUOTIENT($M200-1,Calc!$F$26)+1))</f>
        <v/>
      </c>
      <c r="M200" s="107">
        <v>194</v>
      </c>
      <c r="N200" s="394">
        <v>91</v>
      </c>
      <c r="O200" s="113" t="s">
        <v>4</v>
      </c>
      <c r="P200" s="397">
        <v>87</v>
      </c>
      <c r="Q200" s="114" t="str">
        <f t="shared" si="17"/>
        <v>Eintracht Frankfurt</v>
      </c>
      <c r="R200" s="115" t="s">
        <v>4</v>
      </c>
      <c r="S200" s="116" t="str">
        <f t="shared" si="18"/>
        <v>Borussia Mönchengladbach</v>
      </c>
      <c r="T200" s="233">
        <v>46067</v>
      </c>
      <c r="U200" s="234">
        <v>0.64583333333333337</v>
      </c>
    </row>
    <row r="201" spans="6:21" ht="17.25" x14ac:dyDescent="0.2">
      <c r="F201" s="88">
        <f t="shared" si="19"/>
        <v>2</v>
      </c>
      <c r="G201" s="88" t="str">
        <f t="shared" si="20"/>
        <v>01340040</v>
      </c>
      <c r="H201" s="88" t="str">
        <f t="shared" si="21"/>
        <v>00400134</v>
      </c>
      <c r="I201" s="88">
        <f>IF($G201="",0,COUNTIF($G$7:$G201,$H201))</f>
        <v>1</v>
      </c>
      <c r="J201" s="88"/>
      <c r="K201" s="296" t="str">
        <f>Language!$E$57</f>
        <v>doppelt</v>
      </c>
      <c r="L201" s="270" t="str">
        <f>IF(Calc!$F$26=0,"",IF(OR($M201&gt;Calc!$B$24,MOD($M201-1,Calc!$F$26)&gt;0),"",QUOTIENT($M201-1,Calc!$F$26)+1))</f>
        <v/>
      </c>
      <c r="M201" s="107">
        <v>195</v>
      </c>
      <c r="N201" s="394">
        <v>134</v>
      </c>
      <c r="O201" s="113" t="s">
        <v>4</v>
      </c>
      <c r="P201" s="397">
        <v>40</v>
      </c>
      <c r="Q201" s="114" t="str">
        <f t="shared" si="17"/>
        <v>SV Werder Bremen</v>
      </c>
      <c r="R201" s="115" t="s">
        <v>4</v>
      </c>
      <c r="S201" s="116" t="str">
        <f t="shared" si="18"/>
        <v>FC Bayern München</v>
      </c>
      <c r="T201" s="233">
        <v>46067</v>
      </c>
      <c r="U201" s="234">
        <v>0.64583333333333337</v>
      </c>
    </row>
    <row r="202" spans="6:21" ht="17.25" x14ac:dyDescent="0.2">
      <c r="F202" s="88">
        <f t="shared" si="19"/>
        <v>2</v>
      </c>
      <c r="G202" s="88" t="str">
        <f t="shared" si="20"/>
        <v>00160065</v>
      </c>
      <c r="H202" s="88" t="str">
        <f t="shared" si="21"/>
        <v>00650016</v>
      </c>
      <c r="I202" s="88">
        <f>IF($G202="",0,COUNTIF($G$7:$G202,$H202))</f>
        <v>1</v>
      </c>
      <c r="J202" s="88"/>
      <c r="K202" s="296" t="str">
        <f>Language!$E$57</f>
        <v>doppelt</v>
      </c>
      <c r="L202" s="270" t="str">
        <f>IF(Calc!$F$26=0,"",IF(OR($M202&gt;Calc!$B$24,MOD($M202-1,Calc!$F$26)&gt;0),"",QUOTIENT($M202-1,Calc!$F$26)+1))</f>
        <v/>
      </c>
      <c r="M202" s="107">
        <v>196</v>
      </c>
      <c r="N202" s="394">
        <v>16</v>
      </c>
      <c r="O202" s="113" t="s">
        <v>4</v>
      </c>
      <c r="P202" s="397">
        <v>65</v>
      </c>
      <c r="Q202" s="114" t="str">
        <f t="shared" si="17"/>
        <v>VfB Stuttgart</v>
      </c>
      <c r="R202" s="115" t="s">
        <v>4</v>
      </c>
      <c r="S202" s="116" t="str">
        <f t="shared" si="18"/>
        <v>1. FC Köln</v>
      </c>
      <c r="T202" s="233">
        <v>46067</v>
      </c>
      <c r="U202" s="234">
        <v>0.77083333333333337</v>
      </c>
    </row>
    <row r="203" spans="6:21" ht="17.25" x14ac:dyDescent="0.2">
      <c r="F203" s="88">
        <f t="shared" si="19"/>
        <v>2</v>
      </c>
      <c r="G203" s="88" t="str">
        <f t="shared" si="20"/>
        <v>00950199</v>
      </c>
      <c r="H203" s="88" t="str">
        <f t="shared" si="21"/>
        <v>01990095</v>
      </c>
      <c r="I203" s="88">
        <f>IF($G203="",0,COUNTIF($G$7:$G203,$H203))</f>
        <v>1</v>
      </c>
      <c r="J203" s="88"/>
      <c r="K203" s="296" t="str">
        <f>Language!$E$57</f>
        <v>doppelt</v>
      </c>
      <c r="L203" s="270" t="str">
        <f>IF(Calc!$F$26=0,"",IF(OR($M203&gt;Calc!$B$24,MOD($M203-1,Calc!$F$26)&gt;0),"",QUOTIENT($M203-1,Calc!$F$26)+1))</f>
        <v/>
      </c>
      <c r="M203" s="107">
        <v>197</v>
      </c>
      <c r="N203" s="394">
        <v>95</v>
      </c>
      <c r="O203" s="113" t="s">
        <v>4</v>
      </c>
      <c r="P203" s="397">
        <v>199</v>
      </c>
      <c r="Q203" s="114" t="str">
        <f t="shared" si="17"/>
        <v>FC Augsburg</v>
      </c>
      <c r="R203" s="115" t="s">
        <v>4</v>
      </c>
      <c r="S203" s="116" t="str">
        <f t="shared" si="18"/>
        <v>1. FC Heidenheim 1846</v>
      </c>
      <c r="T203" s="233">
        <v>46068</v>
      </c>
      <c r="U203" s="234">
        <v>0.64583333333333337</v>
      </c>
    </row>
    <row r="204" spans="6:21" ht="17.25" x14ac:dyDescent="0.2">
      <c r="F204" s="88">
        <f t="shared" si="19"/>
        <v>2</v>
      </c>
      <c r="G204" s="88" t="str">
        <f t="shared" si="20"/>
        <v>16350131</v>
      </c>
      <c r="H204" s="88" t="str">
        <f t="shared" si="21"/>
        <v>01311635</v>
      </c>
      <c r="I204" s="88">
        <f>IF($G204="",0,COUNTIF($G$7:$G204,$H204))</f>
        <v>1</v>
      </c>
      <c r="J204" s="88"/>
      <c r="K204" s="296" t="str">
        <f>Language!$E$57</f>
        <v>doppelt</v>
      </c>
      <c r="L204" s="270" t="str">
        <f>IF(Calc!$F$26=0,"",IF(OR($M204&gt;Calc!$B$24,MOD($M204-1,Calc!$F$26)&gt;0),"",QUOTIENT($M204-1,Calc!$F$26)+1))</f>
        <v/>
      </c>
      <c r="M204" s="107">
        <v>198</v>
      </c>
      <c r="N204" s="394">
        <v>1635</v>
      </c>
      <c r="O204" s="113" t="s">
        <v>4</v>
      </c>
      <c r="P204" s="397">
        <v>131</v>
      </c>
      <c r="Q204" s="114" t="str">
        <f t="shared" si="17"/>
        <v>RB Leipzig</v>
      </c>
      <c r="R204" s="115" t="s">
        <v>4</v>
      </c>
      <c r="S204" s="116" t="str">
        <f t="shared" si="18"/>
        <v>VfL Wolfsburg</v>
      </c>
      <c r="T204" s="233">
        <v>46068</v>
      </c>
      <c r="U204" s="234">
        <v>0.72916666666666663</v>
      </c>
    </row>
    <row r="205" spans="6:21" ht="17.25" x14ac:dyDescent="0.2">
      <c r="F205" s="88">
        <f t="shared" si="19"/>
        <v>2</v>
      </c>
      <c r="G205" s="88" t="str">
        <f t="shared" si="20"/>
        <v>00810100</v>
      </c>
      <c r="H205" s="88" t="str">
        <f t="shared" si="21"/>
        <v>01000081</v>
      </c>
      <c r="I205" s="88">
        <f>IF($G205="",0,COUNTIF($G$7:$G205,$H205))</f>
        <v>1</v>
      </c>
      <c r="J205" s="88"/>
      <c r="K205" s="296" t="str">
        <f>Language!$E$57</f>
        <v>doppelt</v>
      </c>
      <c r="L205" s="270">
        <f>IF(Calc!$F$26=0,"",IF(OR($M205&gt;Calc!$B$24,MOD($M205-1,Calc!$F$26)&gt;0),"",QUOTIENT($M205-1,Calc!$F$26)+1))</f>
        <v>23</v>
      </c>
      <c r="M205" s="107">
        <v>199</v>
      </c>
      <c r="N205" s="394">
        <v>81</v>
      </c>
      <c r="O205" s="113" t="s">
        <v>4</v>
      </c>
      <c r="P205" s="397">
        <v>100</v>
      </c>
      <c r="Q205" s="114" t="str">
        <f t="shared" si="17"/>
        <v>1. FSV Mainz 05</v>
      </c>
      <c r="R205" s="115" t="s">
        <v>4</v>
      </c>
      <c r="S205" s="116" t="str">
        <f t="shared" si="18"/>
        <v>Hamburger SV</v>
      </c>
      <c r="T205" s="233">
        <v>46073</v>
      </c>
      <c r="U205" s="234">
        <v>0.85416666666666663</v>
      </c>
    </row>
    <row r="206" spans="6:21" ht="17.25" x14ac:dyDescent="0.2">
      <c r="F206" s="88">
        <f t="shared" si="19"/>
        <v>2</v>
      </c>
      <c r="G206" s="88" t="str">
        <f t="shared" si="20"/>
        <v>00650175</v>
      </c>
      <c r="H206" s="88" t="str">
        <f t="shared" si="21"/>
        <v>01750065</v>
      </c>
      <c r="I206" s="88">
        <f>IF($G206="",0,COUNTIF($G$7:$G206,$H206))</f>
        <v>1</v>
      </c>
      <c r="J206" s="88"/>
      <c r="K206" s="296" t="str">
        <f>Language!$E$57</f>
        <v>doppelt</v>
      </c>
      <c r="L206" s="270" t="str">
        <f>IF(Calc!$F$26=0,"",IF(OR($M206&gt;Calc!$B$24,MOD($M206-1,Calc!$F$26)&gt;0),"",QUOTIENT($M206-1,Calc!$F$26)+1))</f>
        <v/>
      </c>
      <c r="M206" s="107">
        <v>200</v>
      </c>
      <c r="N206" s="394">
        <v>65</v>
      </c>
      <c r="O206" s="113" t="s">
        <v>4</v>
      </c>
      <c r="P206" s="397">
        <v>175</v>
      </c>
      <c r="Q206" s="114" t="str">
        <f t="shared" si="17"/>
        <v>1. FC Köln</v>
      </c>
      <c r="R206" s="115" t="s">
        <v>4</v>
      </c>
      <c r="S206" s="116" t="str">
        <f t="shared" si="18"/>
        <v>TSG Hoffenheim</v>
      </c>
      <c r="T206" s="233">
        <v>46074</v>
      </c>
      <c r="U206" s="234">
        <v>0.64583333333333337</v>
      </c>
    </row>
    <row r="207" spans="6:21" ht="17.25" x14ac:dyDescent="0.2">
      <c r="F207" s="88">
        <f t="shared" si="19"/>
        <v>2</v>
      </c>
      <c r="G207" s="88" t="str">
        <f t="shared" si="20"/>
        <v>00800006</v>
      </c>
      <c r="H207" s="88" t="str">
        <f t="shared" si="21"/>
        <v>00060080</v>
      </c>
      <c r="I207" s="88">
        <f>IF($G207="",0,COUNTIF($G$7:$G207,$H207))</f>
        <v>1</v>
      </c>
      <c r="J207" s="88"/>
      <c r="K207" s="296" t="str">
        <f>Language!$E$57</f>
        <v>doppelt</v>
      </c>
      <c r="L207" s="270" t="str">
        <f>IF(Calc!$F$26=0,"",IF(OR($M207&gt;Calc!$B$24,MOD($M207-1,Calc!$F$26)&gt;0),"",QUOTIENT($M207-1,Calc!$F$26)+1))</f>
        <v/>
      </c>
      <c r="M207" s="107">
        <v>201</v>
      </c>
      <c r="N207" s="394">
        <v>80</v>
      </c>
      <c r="O207" s="113" t="s">
        <v>4</v>
      </c>
      <c r="P207" s="397">
        <v>6</v>
      </c>
      <c r="Q207" s="114" t="str">
        <f t="shared" si="17"/>
        <v>1. FC Union Berlin</v>
      </c>
      <c r="R207" s="115" t="s">
        <v>4</v>
      </c>
      <c r="S207" s="116" t="str">
        <f t="shared" si="18"/>
        <v>Bayer 04 Leverkusen</v>
      </c>
      <c r="T207" s="233">
        <v>46074</v>
      </c>
      <c r="U207" s="234">
        <v>0.64583333333333337</v>
      </c>
    </row>
    <row r="208" spans="6:21" ht="17.25" x14ac:dyDescent="0.2">
      <c r="F208" s="88">
        <f t="shared" si="19"/>
        <v>2</v>
      </c>
      <c r="G208" s="88" t="str">
        <f t="shared" si="20"/>
        <v>00400091</v>
      </c>
      <c r="H208" s="88" t="str">
        <f t="shared" si="21"/>
        <v>00910040</v>
      </c>
      <c r="I208" s="88">
        <f>IF($G208="",0,COUNTIF($G$7:$G208,$H208))</f>
        <v>1</v>
      </c>
      <c r="J208" s="88"/>
      <c r="K208" s="296" t="str">
        <f>Language!$E$57</f>
        <v>doppelt</v>
      </c>
      <c r="L208" s="270" t="str">
        <f>IF(Calc!$F$26=0,"",IF(OR($M208&gt;Calc!$B$24,MOD($M208-1,Calc!$F$26)&gt;0),"",QUOTIENT($M208-1,Calc!$F$26)+1))</f>
        <v/>
      </c>
      <c r="M208" s="107">
        <v>202</v>
      </c>
      <c r="N208" s="394">
        <v>40</v>
      </c>
      <c r="O208" s="113" t="s">
        <v>4</v>
      </c>
      <c r="P208" s="397">
        <v>91</v>
      </c>
      <c r="Q208" s="114" t="str">
        <f t="shared" si="17"/>
        <v>FC Bayern München</v>
      </c>
      <c r="R208" s="115" t="s">
        <v>4</v>
      </c>
      <c r="S208" s="116" t="str">
        <f t="shared" si="18"/>
        <v>Eintracht Frankfurt</v>
      </c>
      <c r="T208" s="233">
        <v>46074</v>
      </c>
      <c r="U208" s="234">
        <v>0.64583333333333337</v>
      </c>
    </row>
    <row r="209" spans="6:21" ht="17.25" x14ac:dyDescent="0.2">
      <c r="F209" s="88">
        <f t="shared" si="19"/>
        <v>2</v>
      </c>
      <c r="G209" s="88" t="str">
        <f t="shared" si="20"/>
        <v>01310095</v>
      </c>
      <c r="H209" s="88" t="str">
        <f t="shared" si="21"/>
        <v>00950131</v>
      </c>
      <c r="I209" s="88">
        <f>IF($G209="",0,COUNTIF($G$7:$G209,$H209))</f>
        <v>1</v>
      </c>
      <c r="J209" s="88"/>
      <c r="K209" s="296" t="str">
        <f>Language!$E$57</f>
        <v>doppelt</v>
      </c>
      <c r="L209" s="270" t="str">
        <f>IF(Calc!$F$26=0,"",IF(OR($M209&gt;Calc!$B$24,MOD($M209-1,Calc!$F$26)&gt;0),"",QUOTIENT($M209-1,Calc!$F$26)+1))</f>
        <v/>
      </c>
      <c r="M209" s="107">
        <v>203</v>
      </c>
      <c r="N209" s="394">
        <v>131</v>
      </c>
      <c r="O209" s="113" t="s">
        <v>4</v>
      </c>
      <c r="P209" s="397">
        <v>95</v>
      </c>
      <c r="Q209" s="114" t="str">
        <f t="shared" si="17"/>
        <v>VfL Wolfsburg</v>
      </c>
      <c r="R209" s="115" t="s">
        <v>4</v>
      </c>
      <c r="S209" s="116" t="str">
        <f t="shared" si="18"/>
        <v>FC Augsburg</v>
      </c>
      <c r="T209" s="233">
        <v>46074</v>
      </c>
      <c r="U209" s="234">
        <v>0.64583333333333337</v>
      </c>
    </row>
    <row r="210" spans="6:21" ht="17.25" x14ac:dyDescent="0.2">
      <c r="F210" s="88">
        <f t="shared" si="19"/>
        <v>2</v>
      </c>
      <c r="G210" s="88" t="str">
        <f t="shared" si="20"/>
        <v>16350007</v>
      </c>
      <c r="H210" s="88" t="str">
        <f t="shared" si="21"/>
        <v>00071635</v>
      </c>
      <c r="I210" s="88">
        <f>IF($G210="",0,COUNTIF($G$7:$G210,$H210))</f>
        <v>1</v>
      </c>
      <c r="J210" s="88"/>
      <c r="K210" s="296" t="str">
        <f>Language!$E$57</f>
        <v>doppelt</v>
      </c>
      <c r="L210" s="270" t="str">
        <f>IF(Calc!$F$26=0,"",IF(OR($M210&gt;Calc!$B$24,MOD($M210-1,Calc!$F$26)&gt;0),"",QUOTIENT($M210-1,Calc!$F$26)+1))</f>
        <v/>
      </c>
      <c r="M210" s="107">
        <v>204</v>
      </c>
      <c r="N210" s="394">
        <v>1635</v>
      </c>
      <c r="O210" s="113" t="s">
        <v>4</v>
      </c>
      <c r="P210" s="397">
        <v>7</v>
      </c>
      <c r="Q210" s="114" t="str">
        <f t="shared" si="17"/>
        <v>RB Leipzig</v>
      </c>
      <c r="R210" s="115" t="s">
        <v>4</v>
      </c>
      <c r="S210" s="116" t="str">
        <f t="shared" si="18"/>
        <v>Borussia Dortmund</v>
      </c>
      <c r="T210" s="233">
        <v>46074</v>
      </c>
      <c r="U210" s="234">
        <v>0.77083333333333337</v>
      </c>
    </row>
    <row r="211" spans="6:21" ht="17.25" x14ac:dyDescent="0.2">
      <c r="F211" s="88">
        <f t="shared" si="19"/>
        <v>2</v>
      </c>
      <c r="G211" s="88" t="str">
        <f t="shared" si="20"/>
        <v>01120087</v>
      </c>
      <c r="H211" s="88" t="str">
        <f t="shared" si="21"/>
        <v>00870112</v>
      </c>
      <c r="I211" s="88">
        <f>IF($G211="",0,COUNTIF($G$7:$G211,$H211))</f>
        <v>1</v>
      </c>
      <c r="J211" s="88"/>
      <c r="K211" s="296" t="str">
        <f>Language!$E$57</f>
        <v>doppelt</v>
      </c>
      <c r="L211" s="270" t="str">
        <f>IF(Calc!$F$26=0,"",IF(OR($M211&gt;Calc!$B$24,MOD($M211-1,Calc!$F$26)&gt;0),"",QUOTIENT($M211-1,Calc!$F$26)+1))</f>
        <v/>
      </c>
      <c r="M211" s="107">
        <v>205</v>
      </c>
      <c r="N211" s="394">
        <v>112</v>
      </c>
      <c r="O211" s="113" t="s">
        <v>4</v>
      </c>
      <c r="P211" s="397">
        <v>87</v>
      </c>
      <c r="Q211" s="114" t="str">
        <f t="shared" si="17"/>
        <v>SC Freiburg</v>
      </c>
      <c r="R211" s="115" t="s">
        <v>4</v>
      </c>
      <c r="S211" s="116" t="str">
        <f t="shared" si="18"/>
        <v>Borussia Mönchengladbach</v>
      </c>
      <c r="T211" s="233">
        <v>46075</v>
      </c>
      <c r="U211" s="234">
        <v>0.64583333333333337</v>
      </c>
    </row>
    <row r="212" spans="6:21" ht="17.25" x14ac:dyDescent="0.2">
      <c r="F212" s="88">
        <f t="shared" si="19"/>
        <v>2</v>
      </c>
      <c r="G212" s="88" t="str">
        <f t="shared" si="20"/>
        <v>00980134</v>
      </c>
      <c r="H212" s="88" t="str">
        <f t="shared" si="21"/>
        <v>01340098</v>
      </c>
      <c r="I212" s="88">
        <f>IF($G212="",0,COUNTIF($G$7:$G212,$H212))</f>
        <v>1</v>
      </c>
      <c r="J212" s="88"/>
      <c r="K212" s="296" t="str">
        <f>Language!$E$57</f>
        <v>doppelt</v>
      </c>
      <c r="L212" s="270" t="str">
        <f>IF(Calc!$F$26=0,"",IF(OR($M212&gt;Calc!$B$24,MOD($M212-1,Calc!$F$26)&gt;0),"",QUOTIENT($M212-1,Calc!$F$26)+1))</f>
        <v/>
      </c>
      <c r="M212" s="107">
        <v>206</v>
      </c>
      <c r="N212" s="394">
        <v>98</v>
      </c>
      <c r="O212" s="113" t="s">
        <v>4</v>
      </c>
      <c r="P212" s="397">
        <v>134</v>
      </c>
      <c r="Q212" s="114" t="str">
        <f t="shared" si="17"/>
        <v>FC St. Pauli</v>
      </c>
      <c r="R212" s="115" t="s">
        <v>4</v>
      </c>
      <c r="S212" s="116" t="str">
        <f t="shared" si="18"/>
        <v>SV Werder Bremen</v>
      </c>
      <c r="T212" s="233">
        <v>46075</v>
      </c>
      <c r="U212" s="234">
        <v>0.72916666666666663</v>
      </c>
    </row>
    <row r="213" spans="6:21" ht="17.25" x14ac:dyDescent="0.2">
      <c r="F213" s="88">
        <f t="shared" si="19"/>
        <v>2</v>
      </c>
      <c r="G213" s="88" t="str">
        <f t="shared" si="20"/>
        <v>01990016</v>
      </c>
      <c r="H213" s="88" t="str">
        <f t="shared" si="21"/>
        <v>00160199</v>
      </c>
      <c r="I213" s="88">
        <f>IF($G213="",0,COUNTIF($G$7:$G213,$H213))</f>
        <v>1</v>
      </c>
      <c r="J213" s="88"/>
      <c r="K213" s="296" t="str">
        <f>Language!$E$57</f>
        <v>doppelt</v>
      </c>
      <c r="L213" s="270" t="str">
        <f>IF(Calc!$F$26=0,"",IF(OR($M213&gt;Calc!$B$24,MOD($M213-1,Calc!$F$26)&gt;0),"",QUOTIENT($M213-1,Calc!$F$26)+1))</f>
        <v/>
      </c>
      <c r="M213" s="107">
        <v>207</v>
      </c>
      <c r="N213" s="394">
        <v>199</v>
      </c>
      <c r="O213" s="113" t="s">
        <v>4</v>
      </c>
      <c r="P213" s="397">
        <v>16</v>
      </c>
      <c r="Q213" s="114" t="str">
        <f t="shared" si="17"/>
        <v>1. FC Heidenheim 1846</v>
      </c>
      <c r="R213" s="115" t="s">
        <v>4</v>
      </c>
      <c r="S213" s="116" t="str">
        <f t="shared" si="18"/>
        <v>VfB Stuttgart</v>
      </c>
      <c r="T213" s="233">
        <v>46075</v>
      </c>
      <c r="U213" s="234">
        <v>0.8125</v>
      </c>
    </row>
    <row r="214" spans="6:21" ht="17.25" x14ac:dyDescent="0.2">
      <c r="F214" s="88">
        <f t="shared" si="19"/>
        <v>2</v>
      </c>
      <c r="G214" s="88" t="str">
        <f t="shared" si="20"/>
        <v>00950065</v>
      </c>
      <c r="H214" s="88" t="str">
        <f t="shared" si="21"/>
        <v>00650095</v>
      </c>
      <c r="I214" s="88">
        <f>IF($G214="",0,COUNTIF($G$7:$G214,$H214))</f>
        <v>1</v>
      </c>
      <c r="J214" s="88"/>
      <c r="K214" s="296" t="str">
        <f>Language!$E$57</f>
        <v>doppelt</v>
      </c>
      <c r="L214" s="270">
        <f>IF(Calc!$F$26=0,"",IF(OR($M214&gt;Calc!$B$24,MOD($M214-1,Calc!$F$26)&gt;0),"",QUOTIENT($M214-1,Calc!$F$26)+1))</f>
        <v>24</v>
      </c>
      <c r="M214" s="107">
        <v>208</v>
      </c>
      <c r="N214" s="394">
        <v>95</v>
      </c>
      <c r="O214" s="113" t="s">
        <v>4</v>
      </c>
      <c r="P214" s="397">
        <v>65</v>
      </c>
      <c r="Q214" s="114" t="str">
        <f t="shared" si="17"/>
        <v>FC Augsburg</v>
      </c>
      <c r="R214" s="115" t="s">
        <v>4</v>
      </c>
      <c r="S214" s="116" t="str">
        <f t="shared" si="18"/>
        <v>1. FC Köln</v>
      </c>
      <c r="T214" s="233">
        <v>46080</v>
      </c>
      <c r="U214" s="234">
        <v>0.85416666666666663</v>
      </c>
    </row>
    <row r="215" spans="6:21" ht="17.25" x14ac:dyDescent="0.2">
      <c r="F215" s="88">
        <f t="shared" si="19"/>
        <v>2</v>
      </c>
      <c r="G215" s="88" t="str">
        <f t="shared" si="20"/>
        <v>01750098</v>
      </c>
      <c r="H215" s="88" t="str">
        <f t="shared" si="21"/>
        <v>00980175</v>
      </c>
      <c r="I215" s="88">
        <f>IF($G215="",0,COUNTIF($G$7:$G215,$H215))</f>
        <v>1</v>
      </c>
      <c r="J215" s="88"/>
      <c r="K215" s="296" t="str">
        <f>Language!$E$57</f>
        <v>doppelt</v>
      </c>
      <c r="L215" s="270" t="str">
        <f>IF(Calc!$F$26=0,"",IF(OR($M215&gt;Calc!$B$24,MOD($M215-1,Calc!$F$26)&gt;0),"",QUOTIENT($M215-1,Calc!$F$26)+1))</f>
        <v/>
      </c>
      <c r="M215" s="107">
        <v>209</v>
      </c>
      <c r="N215" s="394">
        <v>175</v>
      </c>
      <c r="O215" s="113" t="s">
        <v>4</v>
      </c>
      <c r="P215" s="397">
        <v>98</v>
      </c>
      <c r="Q215" s="114" t="str">
        <f t="shared" si="17"/>
        <v>TSG Hoffenheim</v>
      </c>
      <c r="R215" s="115" t="s">
        <v>4</v>
      </c>
      <c r="S215" s="116" t="str">
        <f t="shared" si="18"/>
        <v>FC St. Pauli</v>
      </c>
      <c r="T215" s="233">
        <v>46081</v>
      </c>
      <c r="U215" s="234">
        <v>0.64583333333333337</v>
      </c>
    </row>
    <row r="216" spans="6:21" ht="17.25" x14ac:dyDescent="0.2">
      <c r="F216" s="88">
        <f t="shared" si="19"/>
        <v>2</v>
      </c>
      <c r="G216" s="88" t="str">
        <f t="shared" si="20"/>
        <v>00870080</v>
      </c>
      <c r="H216" s="88" t="str">
        <f t="shared" si="21"/>
        <v>00800087</v>
      </c>
      <c r="I216" s="88">
        <f>IF($G216="",0,COUNTIF($G$7:$G216,$H216))</f>
        <v>1</v>
      </c>
      <c r="J216" s="88"/>
      <c r="K216" s="296" t="str">
        <f>Language!$E$57</f>
        <v>doppelt</v>
      </c>
      <c r="L216" s="270" t="str">
        <f>IF(Calc!$F$26=0,"",IF(OR($M216&gt;Calc!$B$24,MOD($M216-1,Calc!$F$26)&gt;0),"",QUOTIENT($M216-1,Calc!$F$26)+1))</f>
        <v/>
      </c>
      <c r="M216" s="107">
        <v>210</v>
      </c>
      <c r="N216" s="394">
        <v>87</v>
      </c>
      <c r="O216" s="113" t="s">
        <v>4</v>
      </c>
      <c r="P216" s="397">
        <v>80</v>
      </c>
      <c r="Q216" s="114" t="str">
        <f t="shared" si="17"/>
        <v>Borussia Mönchengladbach</v>
      </c>
      <c r="R216" s="115" t="s">
        <v>4</v>
      </c>
      <c r="S216" s="116" t="str">
        <f t="shared" si="18"/>
        <v>1. FC Union Berlin</v>
      </c>
      <c r="T216" s="233">
        <v>46081</v>
      </c>
      <c r="U216" s="234">
        <v>0.64583333333333337</v>
      </c>
    </row>
    <row r="217" spans="6:21" ht="17.25" x14ac:dyDescent="0.2">
      <c r="F217" s="88">
        <f t="shared" si="19"/>
        <v>2</v>
      </c>
      <c r="G217" s="88" t="str">
        <f t="shared" si="20"/>
        <v>00060081</v>
      </c>
      <c r="H217" s="88" t="str">
        <f t="shared" si="21"/>
        <v>00810006</v>
      </c>
      <c r="I217" s="88">
        <f>IF($G217="",0,COUNTIF($G$7:$G217,$H217))</f>
        <v>1</v>
      </c>
      <c r="J217" s="88"/>
      <c r="K217" s="296" t="str">
        <f>Language!$E$57</f>
        <v>doppelt</v>
      </c>
      <c r="L217" s="270" t="str">
        <f>IF(Calc!$F$26=0,"",IF(OR($M217&gt;Calc!$B$24,MOD($M217-1,Calc!$F$26)&gt;0),"",QUOTIENT($M217-1,Calc!$F$26)+1))</f>
        <v/>
      </c>
      <c r="M217" s="107">
        <v>211</v>
      </c>
      <c r="N217" s="394">
        <v>6</v>
      </c>
      <c r="O217" s="113" t="s">
        <v>4</v>
      </c>
      <c r="P217" s="397">
        <v>81</v>
      </c>
      <c r="Q217" s="114" t="str">
        <f t="shared" si="17"/>
        <v>Bayer 04 Leverkusen</v>
      </c>
      <c r="R217" s="115" t="s">
        <v>4</v>
      </c>
      <c r="S217" s="116" t="str">
        <f t="shared" si="18"/>
        <v>1. FSV Mainz 05</v>
      </c>
      <c r="T217" s="233">
        <v>46081</v>
      </c>
      <c r="U217" s="234">
        <v>0.64583333333333337</v>
      </c>
    </row>
    <row r="218" spans="6:21" ht="17.25" x14ac:dyDescent="0.2">
      <c r="F218" s="88">
        <f t="shared" si="19"/>
        <v>2</v>
      </c>
      <c r="G218" s="88" t="str">
        <f t="shared" si="20"/>
        <v>01340199</v>
      </c>
      <c r="H218" s="88" t="str">
        <f t="shared" si="21"/>
        <v>01990134</v>
      </c>
      <c r="I218" s="88">
        <f>IF($G218="",0,COUNTIF($G$7:$G218,$H218))</f>
        <v>1</v>
      </c>
      <c r="J218" s="88"/>
      <c r="K218" s="296" t="str">
        <f>Language!$E$57</f>
        <v>doppelt</v>
      </c>
      <c r="L218" s="270" t="str">
        <f>IF(Calc!$F$26=0,"",IF(OR($M218&gt;Calc!$B$24,MOD($M218-1,Calc!$F$26)&gt;0),"",QUOTIENT($M218-1,Calc!$F$26)+1))</f>
        <v/>
      </c>
      <c r="M218" s="107">
        <v>212</v>
      </c>
      <c r="N218" s="394">
        <v>134</v>
      </c>
      <c r="O218" s="113" t="s">
        <v>4</v>
      </c>
      <c r="P218" s="397">
        <v>199</v>
      </c>
      <c r="Q218" s="114" t="str">
        <f t="shared" si="17"/>
        <v>SV Werder Bremen</v>
      </c>
      <c r="R218" s="115" t="s">
        <v>4</v>
      </c>
      <c r="S218" s="116" t="str">
        <f t="shared" si="18"/>
        <v>1. FC Heidenheim 1846</v>
      </c>
      <c r="T218" s="233">
        <v>46081</v>
      </c>
      <c r="U218" s="234">
        <v>0.64583333333333337</v>
      </c>
    </row>
    <row r="219" spans="6:21" ht="17.25" x14ac:dyDescent="0.2">
      <c r="F219" s="88">
        <f t="shared" si="19"/>
        <v>2</v>
      </c>
      <c r="G219" s="88" t="str">
        <f t="shared" si="20"/>
        <v>00070040</v>
      </c>
      <c r="H219" s="88" t="str">
        <f t="shared" si="21"/>
        <v>00400007</v>
      </c>
      <c r="I219" s="88">
        <f>IF($G219="",0,COUNTIF($G$7:$G219,$H219))</f>
        <v>1</v>
      </c>
      <c r="J219" s="88"/>
      <c r="K219" s="296" t="str">
        <f>Language!$E$57</f>
        <v>doppelt</v>
      </c>
      <c r="L219" s="270" t="str">
        <f>IF(Calc!$F$26=0,"",IF(OR($M219&gt;Calc!$B$24,MOD($M219-1,Calc!$F$26)&gt;0),"",QUOTIENT($M219-1,Calc!$F$26)+1))</f>
        <v/>
      </c>
      <c r="M219" s="107">
        <v>213</v>
      </c>
      <c r="N219" s="394">
        <v>7</v>
      </c>
      <c r="O219" s="113" t="s">
        <v>4</v>
      </c>
      <c r="P219" s="397">
        <v>40</v>
      </c>
      <c r="Q219" s="114" t="str">
        <f t="shared" si="17"/>
        <v>Borussia Dortmund</v>
      </c>
      <c r="R219" s="115" t="s">
        <v>4</v>
      </c>
      <c r="S219" s="116" t="str">
        <f t="shared" si="18"/>
        <v>FC Bayern München</v>
      </c>
      <c r="T219" s="233">
        <v>46081</v>
      </c>
      <c r="U219" s="234">
        <v>0.77083333333333337</v>
      </c>
    </row>
    <row r="220" spans="6:21" ht="17.25" x14ac:dyDescent="0.2">
      <c r="F220" s="88">
        <f t="shared" si="19"/>
        <v>2</v>
      </c>
      <c r="G220" s="88" t="str">
        <f t="shared" si="20"/>
        <v>00160131</v>
      </c>
      <c r="H220" s="88" t="str">
        <f t="shared" si="21"/>
        <v>01310016</v>
      </c>
      <c r="I220" s="88">
        <f>IF($G220="",0,COUNTIF($G$7:$G220,$H220))</f>
        <v>1</v>
      </c>
      <c r="J220" s="88"/>
      <c r="K220" s="296" t="str">
        <f>Language!$E$57</f>
        <v>doppelt</v>
      </c>
      <c r="L220" s="270" t="str">
        <f>IF(Calc!$F$26=0,"",IF(OR($M220&gt;Calc!$B$24,MOD($M220-1,Calc!$F$26)&gt;0),"",QUOTIENT($M220-1,Calc!$F$26)+1))</f>
        <v/>
      </c>
      <c r="M220" s="107">
        <v>214</v>
      </c>
      <c r="N220" s="394">
        <v>16</v>
      </c>
      <c r="O220" s="113" t="s">
        <v>4</v>
      </c>
      <c r="P220" s="397">
        <v>131</v>
      </c>
      <c r="Q220" s="114" t="str">
        <f t="shared" si="17"/>
        <v>VfB Stuttgart</v>
      </c>
      <c r="R220" s="115" t="s">
        <v>4</v>
      </c>
      <c r="S220" s="116" t="str">
        <f t="shared" si="18"/>
        <v>VfL Wolfsburg</v>
      </c>
      <c r="T220" s="233">
        <v>46082</v>
      </c>
      <c r="U220" s="234">
        <v>0.64583333333333337</v>
      </c>
    </row>
    <row r="221" spans="6:21" ht="17.25" x14ac:dyDescent="0.2">
      <c r="F221" s="88">
        <f t="shared" si="19"/>
        <v>2</v>
      </c>
      <c r="G221" s="88" t="str">
        <f t="shared" si="20"/>
        <v>00910112</v>
      </c>
      <c r="H221" s="88" t="str">
        <f t="shared" si="21"/>
        <v>01120091</v>
      </c>
      <c r="I221" s="88">
        <f>IF($G221="",0,COUNTIF($G$7:$G221,$H221))</f>
        <v>1</v>
      </c>
      <c r="J221" s="88"/>
      <c r="K221" s="296" t="str">
        <f>Language!$E$57</f>
        <v>doppelt</v>
      </c>
      <c r="L221" s="270" t="str">
        <f>IF(Calc!$F$26=0,"",IF(OR($M221&gt;Calc!$B$24,MOD($M221-1,Calc!$F$26)&gt;0),"",QUOTIENT($M221-1,Calc!$F$26)+1))</f>
        <v/>
      </c>
      <c r="M221" s="107">
        <v>215</v>
      </c>
      <c r="N221" s="394">
        <v>91</v>
      </c>
      <c r="O221" s="113" t="s">
        <v>4</v>
      </c>
      <c r="P221" s="397">
        <v>112</v>
      </c>
      <c r="Q221" s="114" t="str">
        <f t="shared" si="17"/>
        <v>Eintracht Frankfurt</v>
      </c>
      <c r="R221" s="115" t="s">
        <v>4</v>
      </c>
      <c r="S221" s="116" t="str">
        <f t="shared" si="18"/>
        <v>SC Freiburg</v>
      </c>
      <c r="T221" s="233">
        <v>46082</v>
      </c>
      <c r="U221" s="234">
        <v>0.72916666666666663</v>
      </c>
    </row>
    <row r="222" spans="6:21" ht="17.25" x14ac:dyDescent="0.2">
      <c r="F222" s="88">
        <f t="shared" si="19"/>
        <v>2</v>
      </c>
      <c r="G222" s="88" t="str">
        <f t="shared" si="20"/>
        <v>01001635</v>
      </c>
      <c r="H222" s="88" t="str">
        <f t="shared" si="21"/>
        <v>16350100</v>
      </c>
      <c r="I222" s="88">
        <f>IF($G222="",0,COUNTIF($G$7:$G222,$H222))</f>
        <v>1</v>
      </c>
      <c r="J222" s="88"/>
      <c r="K222" s="296" t="str">
        <f>Language!$E$57</f>
        <v>doppelt</v>
      </c>
      <c r="L222" s="270" t="str">
        <f>IF(Calc!$F$26=0,"",IF(OR($M222&gt;Calc!$B$24,MOD($M222-1,Calc!$F$26)&gt;0),"",QUOTIENT($M222-1,Calc!$F$26)+1))</f>
        <v/>
      </c>
      <c r="M222" s="107">
        <v>216</v>
      </c>
      <c r="N222" s="394">
        <v>100</v>
      </c>
      <c r="O222" s="113" t="s">
        <v>4</v>
      </c>
      <c r="P222" s="397">
        <v>1635</v>
      </c>
      <c r="Q222" s="114" t="str">
        <f t="shared" si="17"/>
        <v>Hamburger SV</v>
      </c>
      <c r="R222" s="115" t="s">
        <v>4</v>
      </c>
      <c r="S222" s="116" t="str">
        <f t="shared" si="18"/>
        <v>RB Leipzig</v>
      </c>
      <c r="T222" s="233">
        <v>46082</v>
      </c>
      <c r="U222" s="234">
        <v>0.8125</v>
      </c>
    </row>
    <row r="223" spans="6:21" ht="17.25" x14ac:dyDescent="0.2">
      <c r="F223" s="88">
        <f t="shared" si="19"/>
        <v>2</v>
      </c>
      <c r="G223" s="88" t="str">
        <f t="shared" si="20"/>
        <v>00400087</v>
      </c>
      <c r="H223" s="88" t="str">
        <f t="shared" si="21"/>
        <v>00870040</v>
      </c>
      <c r="I223" s="88">
        <f>IF($G223="",0,COUNTIF($G$7:$G223,$H223))</f>
        <v>1</v>
      </c>
      <c r="J223" s="88"/>
      <c r="K223" s="296" t="str">
        <f>Language!$E$57</f>
        <v>doppelt</v>
      </c>
      <c r="L223" s="270">
        <f>IF(Calc!$F$26=0,"",IF(OR($M223&gt;Calc!$B$24,MOD($M223-1,Calc!$F$26)&gt;0),"",QUOTIENT($M223-1,Calc!$F$26)+1))</f>
        <v>25</v>
      </c>
      <c r="M223" s="107">
        <v>217</v>
      </c>
      <c r="N223" s="394">
        <v>40</v>
      </c>
      <c r="O223" s="113" t="s">
        <v>4</v>
      </c>
      <c r="P223" s="397">
        <v>87</v>
      </c>
      <c r="Q223" s="114" t="str">
        <f t="shared" si="17"/>
        <v>FC Bayern München</v>
      </c>
      <c r="R223" s="115" t="s">
        <v>4</v>
      </c>
      <c r="S223" s="116" t="str">
        <f t="shared" si="18"/>
        <v>Borussia Mönchengladbach</v>
      </c>
      <c r="T223" s="233">
        <v>46087</v>
      </c>
      <c r="U223" s="234">
        <v>0.85416666666666663</v>
      </c>
    </row>
    <row r="224" spans="6:21" ht="17.25" x14ac:dyDescent="0.2">
      <c r="F224" s="88">
        <f t="shared" si="19"/>
        <v>2</v>
      </c>
      <c r="G224" s="88" t="str">
        <f t="shared" si="20"/>
        <v>01310100</v>
      </c>
      <c r="H224" s="88" t="str">
        <f t="shared" si="21"/>
        <v>01000131</v>
      </c>
      <c r="I224" s="88">
        <f>IF($G224="",0,COUNTIF($G$7:$G224,$H224))</f>
        <v>1</v>
      </c>
      <c r="J224" s="88"/>
      <c r="K224" s="296" t="str">
        <f>Language!$E$57</f>
        <v>doppelt</v>
      </c>
      <c r="L224" s="270" t="str">
        <f>IF(Calc!$F$26=0,"",IF(OR($M224&gt;Calc!$B$24,MOD($M224-1,Calc!$F$26)&gt;0),"",QUOTIENT($M224-1,Calc!$F$26)+1))</f>
        <v/>
      </c>
      <c r="M224" s="107">
        <v>218</v>
      </c>
      <c r="N224" s="394">
        <v>131</v>
      </c>
      <c r="O224" s="113" t="s">
        <v>4</v>
      </c>
      <c r="P224" s="397">
        <v>100</v>
      </c>
      <c r="Q224" s="114" t="str">
        <f t="shared" si="17"/>
        <v>VfL Wolfsburg</v>
      </c>
      <c r="R224" s="115" t="s">
        <v>4</v>
      </c>
      <c r="S224" s="116" t="str">
        <f t="shared" si="18"/>
        <v>Hamburger SV</v>
      </c>
      <c r="T224" s="233">
        <v>46088</v>
      </c>
      <c r="U224" s="234">
        <v>0.64583333333333337</v>
      </c>
    </row>
    <row r="225" spans="6:21" ht="17.25" x14ac:dyDescent="0.2">
      <c r="F225" s="88">
        <f t="shared" si="19"/>
        <v>2</v>
      </c>
      <c r="G225" s="88" t="str">
        <f t="shared" si="20"/>
        <v>01990175</v>
      </c>
      <c r="H225" s="88" t="str">
        <f t="shared" si="21"/>
        <v>01750199</v>
      </c>
      <c r="I225" s="88">
        <f>IF($G225="",0,COUNTIF($G$7:$G225,$H225))</f>
        <v>1</v>
      </c>
      <c r="J225" s="88"/>
      <c r="K225" s="296" t="str">
        <f>Language!$E$57</f>
        <v>doppelt</v>
      </c>
      <c r="L225" s="270" t="str">
        <f>IF(Calc!$F$26=0,"",IF(OR($M225&gt;Calc!$B$24,MOD($M225-1,Calc!$F$26)&gt;0),"",QUOTIENT($M225-1,Calc!$F$26)+1))</f>
        <v/>
      </c>
      <c r="M225" s="107">
        <v>219</v>
      </c>
      <c r="N225" s="394">
        <v>199</v>
      </c>
      <c r="O225" s="113" t="s">
        <v>4</v>
      </c>
      <c r="P225" s="397">
        <v>175</v>
      </c>
      <c r="Q225" s="114" t="str">
        <f t="shared" si="17"/>
        <v>1. FC Heidenheim 1846</v>
      </c>
      <c r="R225" s="115" t="s">
        <v>4</v>
      </c>
      <c r="S225" s="116" t="str">
        <f t="shared" si="18"/>
        <v>TSG Hoffenheim</v>
      </c>
      <c r="T225" s="233">
        <v>46088</v>
      </c>
      <c r="U225" s="234">
        <v>0.64583333333333337</v>
      </c>
    </row>
    <row r="226" spans="6:21" ht="17.25" x14ac:dyDescent="0.2">
      <c r="F226" s="88">
        <f t="shared" si="19"/>
        <v>2</v>
      </c>
      <c r="G226" s="88" t="str">
        <f t="shared" si="20"/>
        <v>16350095</v>
      </c>
      <c r="H226" s="88" t="str">
        <f t="shared" si="21"/>
        <v>00951635</v>
      </c>
      <c r="I226" s="88">
        <f>IF($G226="",0,COUNTIF($G$7:$G226,$H226))</f>
        <v>1</v>
      </c>
      <c r="J226" s="88"/>
      <c r="K226" s="296" t="str">
        <f>Language!$E$57</f>
        <v>doppelt</v>
      </c>
      <c r="L226" s="270" t="str">
        <f>IF(Calc!$F$26=0,"",IF(OR($M226&gt;Calc!$B$24,MOD($M226-1,Calc!$F$26)&gt;0),"",QUOTIENT($M226-1,Calc!$F$26)+1))</f>
        <v/>
      </c>
      <c r="M226" s="107">
        <v>220</v>
      </c>
      <c r="N226" s="394">
        <v>1635</v>
      </c>
      <c r="O226" s="113" t="s">
        <v>4</v>
      </c>
      <c r="P226" s="397">
        <v>95</v>
      </c>
      <c r="Q226" s="114" t="str">
        <f t="shared" si="17"/>
        <v>RB Leipzig</v>
      </c>
      <c r="R226" s="115" t="s">
        <v>4</v>
      </c>
      <c r="S226" s="116" t="str">
        <f t="shared" si="18"/>
        <v>FC Augsburg</v>
      </c>
      <c r="T226" s="233">
        <v>46088</v>
      </c>
      <c r="U226" s="234">
        <v>0.64583333333333337</v>
      </c>
    </row>
    <row r="227" spans="6:21" ht="17.25" x14ac:dyDescent="0.2">
      <c r="F227" s="88">
        <f t="shared" si="19"/>
        <v>2</v>
      </c>
      <c r="G227" s="88" t="str">
        <f t="shared" si="20"/>
        <v>01120006</v>
      </c>
      <c r="H227" s="88" t="str">
        <f t="shared" si="21"/>
        <v>00060112</v>
      </c>
      <c r="I227" s="88">
        <f>IF($G227="",0,COUNTIF($G$7:$G227,$H227))</f>
        <v>1</v>
      </c>
      <c r="J227" s="88"/>
      <c r="K227" s="296" t="str">
        <f>Language!$E$57</f>
        <v>doppelt</v>
      </c>
      <c r="L227" s="270" t="str">
        <f>IF(Calc!$F$26=0,"",IF(OR($M227&gt;Calc!$B$24,MOD($M227-1,Calc!$F$26)&gt;0),"",QUOTIENT($M227-1,Calc!$F$26)+1))</f>
        <v/>
      </c>
      <c r="M227" s="107">
        <v>221</v>
      </c>
      <c r="N227" s="394">
        <v>112</v>
      </c>
      <c r="O227" s="113" t="s">
        <v>4</v>
      </c>
      <c r="P227" s="397">
        <v>6</v>
      </c>
      <c r="Q227" s="114" t="str">
        <f t="shared" si="17"/>
        <v>SC Freiburg</v>
      </c>
      <c r="R227" s="115" t="s">
        <v>4</v>
      </c>
      <c r="S227" s="116" t="str">
        <f t="shared" si="18"/>
        <v>Bayer 04 Leverkusen</v>
      </c>
      <c r="T227" s="233">
        <v>46088</v>
      </c>
      <c r="U227" s="234">
        <v>0.64583333333333337</v>
      </c>
    </row>
    <row r="228" spans="6:21" ht="17.25" x14ac:dyDescent="0.2">
      <c r="F228" s="88">
        <f t="shared" si="19"/>
        <v>2</v>
      </c>
      <c r="G228" s="88" t="str">
        <f t="shared" si="20"/>
        <v>00810016</v>
      </c>
      <c r="H228" s="88" t="str">
        <f t="shared" si="21"/>
        <v>00160081</v>
      </c>
      <c r="I228" s="88">
        <f>IF($G228="",0,COUNTIF($G$7:$G228,$H228))</f>
        <v>1</v>
      </c>
      <c r="J228" s="88"/>
      <c r="K228" s="296" t="str">
        <f>Language!$E$57</f>
        <v>doppelt</v>
      </c>
      <c r="L228" s="270" t="str">
        <f>IF(Calc!$F$26=0,"",IF(OR($M228&gt;Calc!$B$24,MOD($M228-1,Calc!$F$26)&gt;0),"",QUOTIENT($M228-1,Calc!$F$26)+1))</f>
        <v/>
      </c>
      <c r="M228" s="107">
        <v>222</v>
      </c>
      <c r="N228" s="394">
        <v>81</v>
      </c>
      <c r="O228" s="113" t="s">
        <v>4</v>
      </c>
      <c r="P228" s="397">
        <v>16</v>
      </c>
      <c r="Q228" s="114" t="str">
        <f t="shared" si="17"/>
        <v>1. FSV Mainz 05</v>
      </c>
      <c r="R228" s="115" t="s">
        <v>4</v>
      </c>
      <c r="S228" s="116" t="str">
        <f t="shared" si="18"/>
        <v>VfB Stuttgart</v>
      </c>
      <c r="T228" s="233">
        <v>46088</v>
      </c>
      <c r="U228" s="234">
        <v>0.64583333333333337</v>
      </c>
    </row>
    <row r="229" spans="6:21" ht="17.25" x14ac:dyDescent="0.2">
      <c r="F229" s="88">
        <f t="shared" si="19"/>
        <v>2</v>
      </c>
      <c r="G229" s="88" t="str">
        <f t="shared" si="20"/>
        <v>00650007</v>
      </c>
      <c r="H229" s="88" t="str">
        <f t="shared" si="21"/>
        <v>00070065</v>
      </c>
      <c r="I229" s="88">
        <f>IF($G229="",0,COUNTIF($G$7:$G229,$H229))</f>
        <v>1</v>
      </c>
      <c r="J229" s="88"/>
      <c r="K229" s="296" t="str">
        <f>Language!$E$57</f>
        <v>doppelt</v>
      </c>
      <c r="L229" s="270" t="str">
        <f>IF(Calc!$F$26=0,"",IF(OR($M229&gt;Calc!$B$24,MOD($M229-1,Calc!$F$26)&gt;0),"",QUOTIENT($M229-1,Calc!$F$26)+1))</f>
        <v/>
      </c>
      <c r="M229" s="107">
        <v>223</v>
      </c>
      <c r="N229" s="394">
        <v>65</v>
      </c>
      <c r="O229" s="113" t="s">
        <v>4</v>
      </c>
      <c r="P229" s="397">
        <v>7</v>
      </c>
      <c r="Q229" s="114" t="str">
        <f t="shared" si="17"/>
        <v>1. FC Köln</v>
      </c>
      <c r="R229" s="115" t="s">
        <v>4</v>
      </c>
      <c r="S229" s="116" t="str">
        <f t="shared" si="18"/>
        <v>Borussia Dortmund</v>
      </c>
      <c r="T229" s="233">
        <v>46088</v>
      </c>
      <c r="U229" s="234">
        <v>0.77083333333333337</v>
      </c>
    </row>
    <row r="230" spans="6:21" ht="17.25" x14ac:dyDescent="0.2">
      <c r="F230" s="88">
        <f t="shared" si="19"/>
        <v>2</v>
      </c>
      <c r="G230" s="88" t="str">
        <f t="shared" si="20"/>
        <v>00980091</v>
      </c>
      <c r="H230" s="88" t="str">
        <f t="shared" si="21"/>
        <v>00910098</v>
      </c>
      <c r="I230" s="88">
        <f>IF($G230="",0,COUNTIF($G$7:$G230,$H230))</f>
        <v>1</v>
      </c>
      <c r="J230" s="88"/>
      <c r="K230" s="296" t="str">
        <f>Language!$E$57</f>
        <v>doppelt</v>
      </c>
      <c r="L230" s="270" t="str">
        <f>IF(Calc!$F$26=0,"",IF(OR($M230&gt;Calc!$B$24,MOD($M230-1,Calc!$F$26)&gt;0),"",QUOTIENT($M230-1,Calc!$F$26)+1))</f>
        <v/>
      </c>
      <c r="M230" s="107">
        <v>224</v>
      </c>
      <c r="N230" s="394">
        <v>98</v>
      </c>
      <c r="O230" s="113" t="s">
        <v>4</v>
      </c>
      <c r="P230" s="397">
        <v>91</v>
      </c>
      <c r="Q230" s="114" t="str">
        <f t="shared" si="17"/>
        <v>FC St. Pauli</v>
      </c>
      <c r="R230" s="115" t="s">
        <v>4</v>
      </c>
      <c r="S230" s="116" t="str">
        <f t="shared" si="18"/>
        <v>Eintracht Frankfurt</v>
      </c>
      <c r="T230" s="233">
        <v>46089</v>
      </c>
      <c r="U230" s="234">
        <v>0.64583333333333337</v>
      </c>
    </row>
    <row r="231" spans="6:21" ht="17.25" x14ac:dyDescent="0.2">
      <c r="F231" s="88">
        <f t="shared" si="19"/>
        <v>2</v>
      </c>
      <c r="G231" s="88" t="str">
        <f t="shared" si="20"/>
        <v>00800134</v>
      </c>
      <c r="H231" s="88" t="str">
        <f t="shared" si="21"/>
        <v>01340080</v>
      </c>
      <c r="I231" s="88">
        <f>IF($G231="",0,COUNTIF($G$7:$G231,$H231))</f>
        <v>1</v>
      </c>
      <c r="J231" s="88"/>
      <c r="K231" s="296" t="str">
        <f>Language!$E$57</f>
        <v>doppelt</v>
      </c>
      <c r="L231" s="270" t="str">
        <f>IF(Calc!$F$26=0,"",IF(OR($M231&gt;Calc!$B$24,MOD($M231-1,Calc!$F$26)&gt;0),"",QUOTIENT($M231-1,Calc!$F$26)+1))</f>
        <v/>
      </c>
      <c r="M231" s="107">
        <v>225</v>
      </c>
      <c r="N231" s="394">
        <v>80</v>
      </c>
      <c r="O231" s="113" t="s">
        <v>4</v>
      </c>
      <c r="P231" s="397">
        <v>134</v>
      </c>
      <c r="Q231" s="114" t="str">
        <f t="shared" si="17"/>
        <v>1. FC Union Berlin</v>
      </c>
      <c r="R231" s="115" t="s">
        <v>4</v>
      </c>
      <c r="S231" s="116" t="str">
        <f t="shared" si="18"/>
        <v>SV Werder Bremen</v>
      </c>
      <c r="T231" s="233">
        <v>46089</v>
      </c>
      <c r="U231" s="234">
        <v>0.72916666666666663</v>
      </c>
    </row>
    <row r="232" spans="6:21" ht="17.25" x14ac:dyDescent="0.2">
      <c r="F232" s="88">
        <f t="shared" si="19"/>
        <v>2</v>
      </c>
      <c r="G232" s="88" t="str">
        <f t="shared" si="20"/>
        <v>00870098</v>
      </c>
      <c r="H232" s="88" t="str">
        <f t="shared" si="21"/>
        <v>00980087</v>
      </c>
      <c r="I232" s="88">
        <f>IF($G232="",0,COUNTIF($G$7:$G232,$H232))</f>
        <v>1</v>
      </c>
      <c r="J232" s="88"/>
      <c r="K232" s="296" t="str">
        <f>Language!$E$57</f>
        <v>doppelt</v>
      </c>
      <c r="L232" s="270">
        <f>IF(Calc!$F$26=0,"",IF(OR($M232&gt;Calc!$B$24,MOD($M232-1,Calc!$F$26)&gt;0),"",QUOTIENT($M232-1,Calc!$F$26)+1))</f>
        <v>26</v>
      </c>
      <c r="M232" s="107">
        <v>226</v>
      </c>
      <c r="N232" s="394">
        <v>87</v>
      </c>
      <c r="O232" s="113" t="s">
        <v>4</v>
      </c>
      <c r="P232" s="397">
        <v>98</v>
      </c>
      <c r="Q232" s="114" t="str">
        <f t="shared" si="17"/>
        <v>Borussia Mönchengladbach</v>
      </c>
      <c r="R232" s="115" t="s">
        <v>4</v>
      </c>
      <c r="S232" s="116" t="str">
        <f t="shared" si="18"/>
        <v>FC St. Pauli</v>
      </c>
      <c r="T232" s="233">
        <v>46094</v>
      </c>
      <c r="U232" s="234">
        <v>0.85416666666666663</v>
      </c>
    </row>
    <row r="233" spans="6:21" ht="17.25" x14ac:dyDescent="0.2">
      <c r="F233" s="88">
        <f t="shared" si="19"/>
        <v>2</v>
      </c>
      <c r="G233" s="88" t="str">
        <f t="shared" si="20"/>
        <v>00070095</v>
      </c>
      <c r="H233" s="88" t="str">
        <f t="shared" si="21"/>
        <v>00950007</v>
      </c>
      <c r="I233" s="88">
        <f>IF($G233="",0,COUNTIF($G$7:$G233,$H233))</f>
        <v>1</v>
      </c>
      <c r="J233" s="88"/>
      <c r="K233" s="296" t="str">
        <f>Language!$E$57</f>
        <v>doppelt</v>
      </c>
      <c r="L233" s="270" t="str">
        <f>IF(Calc!$F$26=0,"",IF(OR($M233&gt;Calc!$B$24,MOD($M233-1,Calc!$F$26)&gt;0),"",QUOTIENT($M233-1,Calc!$F$26)+1))</f>
        <v/>
      </c>
      <c r="M233" s="107">
        <v>227</v>
      </c>
      <c r="N233" s="394">
        <v>7</v>
      </c>
      <c r="O233" s="113" t="s">
        <v>4</v>
      </c>
      <c r="P233" s="397">
        <v>95</v>
      </c>
      <c r="Q233" s="114" t="str">
        <f t="shared" si="17"/>
        <v>Borussia Dortmund</v>
      </c>
      <c r="R233" s="115" t="s">
        <v>4</v>
      </c>
      <c r="S233" s="116" t="str">
        <f t="shared" si="18"/>
        <v>FC Augsburg</v>
      </c>
      <c r="T233" s="233">
        <v>46095</v>
      </c>
      <c r="U233" s="234">
        <v>0.64583333333333337</v>
      </c>
    </row>
    <row r="234" spans="6:21" ht="17.25" x14ac:dyDescent="0.2">
      <c r="F234" s="88">
        <f t="shared" si="19"/>
        <v>2</v>
      </c>
      <c r="G234" s="88" t="str">
        <f t="shared" si="20"/>
        <v>01750131</v>
      </c>
      <c r="H234" s="88" t="str">
        <f t="shared" si="21"/>
        <v>01310175</v>
      </c>
      <c r="I234" s="88">
        <f>IF($G234="",0,COUNTIF($G$7:$G234,$H234))</f>
        <v>1</v>
      </c>
      <c r="J234" s="88"/>
      <c r="K234" s="296" t="str">
        <f>Language!$E$57</f>
        <v>doppelt</v>
      </c>
      <c r="L234" s="270" t="str">
        <f>IF(Calc!$F$26=0,"",IF(OR($M234&gt;Calc!$B$24,MOD($M234-1,Calc!$F$26)&gt;0),"",QUOTIENT($M234-1,Calc!$F$26)+1))</f>
        <v/>
      </c>
      <c r="M234" s="107">
        <v>228</v>
      </c>
      <c r="N234" s="394">
        <v>175</v>
      </c>
      <c r="O234" s="113" t="s">
        <v>4</v>
      </c>
      <c r="P234" s="397">
        <v>131</v>
      </c>
      <c r="Q234" s="114" t="str">
        <f t="shared" si="17"/>
        <v>TSG Hoffenheim</v>
      </c>
      <c r="R234" s="115" t="s">
        <v>4</v>
      </c>
      <c r="S234" s="116" t="str">
        <f t="shared" si="18"/>
        <v>VfL Wolfsburg</v>
      </c>
      <c r="T234" s="233">
        <v>46095</v>
      </c>
      <c r="U234" s="234">
        <v>0.64583333333333337</v>
      </c>
    </row>
    <row r="235" spans="6:21" ht="17.25" x14ac:dyDescent="0.2">
      <c r="F235" s="88">
        <f t="shared" si="19"/>
        <v>2</v>
      </c>
      <c r="G235" s="88" t="str">
        <f t="shared" si="20"/>
        <v>00060040</v>
      </c>
      <c r="H235" s="88" t="str">
        <f t="shared" si="21"/>
        <v>00400006</v>
      </c>
      <c r="I235" s="88">
        <f>IF($G235="",0,COUNTIF($G$7:$G235,$H235))</f>
        <v>1</v>
      </c>
      <c r="J235" s="88"/>
      <c r="K235" s="296" t="str">
        <f>Language!$E$57</f>
        <v>doppelt</v>
      </c>
      <c r="L235" s="270" t="str">
        <f>IF(Calc!$F$26=0,"",IF(OR($M235&gt;Calc!$B$24,MOD($M235-1,Calc!$F$26)&gt;0),"",QUOTIENT($M235-1,Calc!$F$26)+1))</f>
        <v/>
      </c>
      <c r="M235" s="107">
        <v>229</v>
      </c>
      <c r="N235" s="394">
        <v>6</v>
      </c>
      <c r="O235" s="113" t="s">
        <v>4</v>
      </c>
      <c r="P235" s="397">
        <v>40</v>
      </c>
      <c r="Q235" s="114" t="str">
        <f t="shared" si="17"/>
        <v>Bayer 04 Leverkusen</v>
      </c>
      <c r="R235" s="115" t="s">
        <v>4</v>
      </c>
      <c r="S235" s="116" t="str">
        <f t="shared" si="18"/>
        <v>FC Bayern München</v>
      </c>
      <c r="T235" s="233">
        <v>46095</v>
      </c>
      <c r="U235" s="234">
        <v>0.64583333333333337</v>
      </c>
    </row>
    <row r="236" spans="6:21" ht="17.25" x14ac:dyDescent="0.2">
      <c r="F236" s="88">
        <f t="shared" si="19"/>
        <v>2</v>
      </c>
      <c r="G236" s="88" t="str">
        <f t="shared" si="20"/>
        <v>00910199</v>
      </c>
      <c r="H236" s="88" t="str">
        <f t="shared" si="21"/>
        <v>01990091</v>
      </c>
      <c r="I236" s="88">
        <f>IF($G236="",0,COUNTIF($G$7:$G236,$H236))</f>
        <v>1</v>
      </c>
      <c r="J236" s="88"/>
      <c r="K236" s="296" t="str">
        <f>Language!$E$57</f>
        <v>doppelt</v>
      </c>
      <c r="L236" s="270" t="str">
        <f>IF(Calc!$F$26=0,"",IF(OR($M236&gt;Calc!$B$24,MOD($M236-1,Calc!$F$26)&gt;0),"",QUOTIENT($M236-1,Calc!$F$26)+1))</f>
        <v/>
      </c>
      <c r="M236" s="107">
        <v>230</v>
      </c>
      <c r="N236" s="394">
        <v>91</v>
      </c>
      <c r="O236" s="113" t="s">
        <v>4</v>
      </c>
      <c r="P236" s="397">
        <v>199</v>
      </c>
      <c r="Q236" s="114" t="str">
        <f t="shared" si="17"/>
        <v>Eintracht Frankfurt</v>
      </c>
      <c r="R236" s="115" t="s">
        <v>4</v>
      </c>
      <c r="S236" s="116" t="str">
        <f t="shared" si="18"/>
        <v>1. FC Heidenheim 1846</v>
      </c>
      <c r="T236" s="233">
        <v>46095</v>
      </c>
      <c r="U236" s="234">
        <v>0.64583333333333337</v>
      </c>
    </row>
    <row r="237" spans="6:21" ht="17.25" x14ac:dyDescent="0.2">
      <c r="F237" s="88">
        <f t="shared" si="19"/>
        <v>2</v>
      </c>
      <c r="G237" s="88" t="str">
        <f t="shared" si="20"/>
        <v>01000065</v>
      </c>
      <c r="H237" s="88" t="str">
        <f t="shared" si="21"/>
        <v>00650100</v>
      </c>
      <c r="I237" s="88">
        <f>IF($G237="",0,COUNTIF($G$7:$G237,$H237))</f>
        <v>1</v>
      </c>
      <c r="J237" s="88"/>
      <c r="K237" s="296" t="str">
        <f>Language!$E$57</f>
        <v>doppelt</v>
      </c>
      <c r="L237" s="270" t="str">
        <f>IF(Calc!$F$26=0,"",IF(OR($M237&gt;Calc!$B$24,MOD($M237-1,Calc!$F$26)&gt;0),"",QUOTIENT($M237-1,Calc!$F$26)+1))</f>
        <v/>
      </c>
      <c r="M237" s="107">
        <v>231</v>
      </c>
      <c r="N237" s="394">
        <v>100</v>
      </c>
      <c r="O237" s="113" t="s">
        <v>4</v>
      </c>
      <c r="P237" s="397">
        <v>65</v>
      </c>
      <c r="Q237" s="114" t="str">
        <f t="shared" si="17"/>
        <v>Hamburger SV</v>
      </c>
      <c r="R237" s="115" t="s">
        <v>4</v>
      </c>
      <c r="S237" s="116" t="str">
        <f t="shared" si="18"/>
        <v>1. FC Köln</v>
      </c>
      <c r="T237" s="233">
        <v>46095</v>
      </c>
      <c r="U237" s="234">
        <v>0.77083333333333337</v>
      </c>
    </row>
    <row r="238" spans="6:21" ht="17.25" x14ac:dyDescent="0.2">
      <c r="F238" s="88">
        <f t="shared" si="19"/>
        <v>2</v>
      </c>
      <c r="G238" s="88" t="str">
        <f t="shared" si="20"/>
        <v>01340081</v>
      </c>
      <c r="H238" s="88" t="str">
        <f t="shared" si="21"/>
        <v>00810134</v>
      </c>
      <c r="I238" s="88">
        <f>IF($G238="",0,COUNTIF($G$7:$G238,$H238))</f>
        <v>1</v>
      </c>
      <c r="J238" s="88"/>
      <c r="K238" s="296" t="str">
        <f>Language!$E$57</f>
        <v>doppelt</v>
      </c>
      <c r="L238" s="270" t="str">
        <f>IF(Calc!$F$26=0,"",IF(OR($M238&gt;Calc!$B$24,MOD($M238-1,Calc!$F$26)&gt;0),"",QUOTIENT($M238-1,Calc!$F$26)+1))</f>
        <v/>
      </c>
      <c r="M238" s="107">
        <v>232</v>
      </c>
      <c r="N238" s="394">
        <v>134</v>
      </c>
      <c r="O238" s="113" t="s">
        <v>4</v>
      </c>
      <c r="P238" s="397">
        <v>81</v>
      </c>
      <c r="Q238" s="114" t="str">
        <f t="shared" si="17"/>
        <v>SV Werder Bremen</v>
      </c>
      <c r="R238" s="115" t="s">
        <v>4</v>
      </c>
      <c r="S238" s="116" t="str">
        <f t="shared" si="18"/>
        <v>1. FSV Mainz 05</v>
      </c>
      <c r="T238" s="233">
        <v>46096</v>
      </c>
      <c r="U238" s="234">
        <v>0.64583333333333337</v>
      </c>
    </row>
    <row r="239" spans="6:21" ht="17.25" x14ac:dyDescent="0.2">
      <c r="F239" s="88">
        <f t="shared" si="19"/>
        <v>2</v>
      </c>
      <c r="G239" s="88" t="str">
        <f t="shared" si="20"/>
        <v>01120080</v>
      </c>
      <c r="H239" s="88" t="str">
        <f t="shared" si="21"/>
        <v>00800112</v>
      </c>
      <c r="I239" s="88">
        <f>IF($G239="",0,COUNTIF($G$7:$G239,$H239))</f>
        <v>1</v>
      </c>
      <c r="J239" s="88"/>
      <c r="K239" s="296" t="str">
        <f>Language!$E$57</f>
        <v>doppelt</v>
      </c>
      <c r="L239" s="270" t="str">
        <f>IF(Calc!$F$26=0,"",IF(OR($M239&gt;Calc!$B$24,MOD($M239-1,Calc!$F$26)&gt;0),"",QUOTIENT($M239-1,Calc!$F$26)+1))</f>
        <v/>
      </c>
      <c r="M239" s="107">
        <v>233</v>
      </c>
      <c r="N239" s="394">
        <v>112</v>
      </c>
      <c r="O239" s="113" t="s">
        <v>4</v>
      </c>
      <c r="P239" s="397">
        <v>80</v>
      </c>
      <c r="Q239" s="114" t="str">
        <f t="shared" si="17"/>
        <v>SC Freiburg</v>
      </c>
      <c r="R239" s="115" t="s">
        <v>4</v>
      </c>
      <c r="S239" s="116" t="str">
        <f t="shared" si="18"/>
        <v>1. FC Union Berlin</v>
      </c>
      <c r="T239" s="233">
        <v>46096</v>
      </c>
      <c r="U239" s="234">
        <v>0.72916666666666663</v>
      </c>
    </row>
    <row r="240" spans="6:21" ht="17.25" x14ac:dyDescent="0.2">
      <c r="F240" s="88">
        <f t="shared" si="19"/>
        <v>2</v>
      </c>
      <c r="G240" s="88" t="str">
        <f t="shared" si="20"/>
        <v>00161635</v>
      </c>
      <c r="H240" s="88" t="str">
        <f t="shared" si="21"/>
        <v>16350016</v>
      </c>
      <c r="I240" s="88">
        <f>IF($G240="",0,COUNTIF($G$7:$G240,$H240))</f>
        <v>1</v>
      </c>
      <c r="J240" s="88"/>
      <c r="K240" s="296" t="str">
        <f>Language!$E$57</f>
        <v>doppelt</v>
      </c>
      <c r="L240" s="270" t="str">
        <f>IF(Calc!$F$26=0,"",IF(OR($M240&gt;Calc!$B$24,MOD($M240-1,Calc!$F$26)&gt;0),"",QUOTIENT($M240-1,Calc!$F$26)+1))</f>
        <v/>
      </c>
      <c r="M240" s="107">
        <v>234</v>
      </c>
      <c r="N240" s="394">
        <v>16</v>
      </c>
      <c r="O240" s="113" t="s">
        <v>4</v>
      </c>
      <c r="P240" s="397">
        <v>1635</v>
      </c>
      <c r="Q240" s="114" t="str">
        <f t="shared" si="17"/>
        <v>VfB Stuttgart</v>
      </c>
      <c r="R240" s="115" t="s">
        <v>4</v>
      </c>
      <c r="S240" s="116" t="str">
        <f t="shared" si="18"/>
        <v>RB Leipzig</v>
      </c>
      <c r="T240" s="233">
        <v>46096</v>
      </c>
      <c r="U240" s="234">
        <v>0.8125</v>
      </c>
    </row>
    <row r="241" spans="6:21" ht="17.25" x14ac:dyDescent="0.2">
      <c r="F241" s="88">
        <f t="shared" si="19"/>
        <v>2</v>
      </c>
      <c r="G241" s="88" t="str">
        <f t="shared" si="20"/>
        <v>16350175</v>
      </c>
      <c r="H241" s="88" t="str">
        <f t="shared" si="21"/>
        <v>01751635</v>
      </c>
      <c r="I241" s="88">
        <f>IF($G241="",0,COUNTIF($G$7:$G241,$H241))</f>
        <v>1</v>
      </c>
      <c r="J241" s="88"/>
      <c r="K241" s="296" t="str">
        <f>Language!$E$57</f>
        <v>doppelt</v>
      </c>
      <c r="L241" s="270">
        <f>IF(Calc!$F$26=0,"",IF(OR($M241&gt;Calc!$B$24,MOD($M241-1,Calc!$F$26)&gt;0),"",QUOTIENT($M241-1,Calc!$F$26)+1))</f>
        <v>27</v>
      </c>
      <c r="M241" s="107">
        <v>235</v>
      </c>
      <c r="N241" s="394">
        <v>1635</v>
      </c>
      <c r="O241" s="113" t="s">
        <v>4</v>
      </c>
      <c r="P241" s="397">
        <v>175</v>
      </c>
      <c r="Q241" s="114" t="str">
        <f t="shared" si="17"/>
        <v>RB Leipzig</v>
      </c>
      <c r="R241" s="115" t="s">
        <v>4</v>
      </c>
      <c r="S241" s="116" t="str">
        <f t="shared" si="18"/>
        <v>TSG Hoffenheim</v>
      </c>
      <c r="T241" s="233">
        <v>46101</v>
      </c>
      <c r="U241" s="234">
        <v>0.85416666666666663</v>
      </c>
    </row>
    <row r="242" spans="6:21" ht="17.25" x14ac:dyDescent="0.2">
      <c r="F242" s="88">
        <f t="shared" si="19"/>
        <v>2</v>
      </c>
      <c r="G242" s="88" t="str">
        <f t="shared" si="20"/>
        <v>01990006</v>
      </c>
      <c r="H242" s="88" t="str">
        <f t="shared" si="21"/>
        <v>00060199</v>
      </c>
      <c r="I242" s="88">
        <f>IF($G242="",0,COUNTIF($G$7:$G242,$H242))</f>
        <v>1</v>
      </c>
      <c r="J242" s="88"/>
      <c r="K242" s="296" t="str">
        <f>Language!$E$57</f>
        <v>doppelt</v>
      </c>
      <c r="L242" s="270" t="str">
        <f>IF(Calc!$F$26=0,"",IF(OR($M242&gt;Calc!$B$24,MOD($M242-1,Calc!$F$26)&gt;0),"",QUOTIENT($M242-1,Calc!$F$26)+1))</f>
        <v/>
      </c>
      <c r="M242" s="107">
        <v>236</v>
      </c>
      <c r="N242" s="394">
        <v>199</v>
      </c>
      <c r="O242" s="113" t="s">
        <v>4</v>
      </c>
      <c r="P242" s="397">
        <v>6</v>
      </c>
      <c r="Q242" s="114" t="str">
        <f t="shared" si="17"/>
        <v>1. FC Heidenheim 1846</v>
      </c>
      <c r="R242" s="115" t="s">
        <v>4</v>
      </c>
      <c r="S242" s="116" t="str">
        <f t="shared" si="18"/>
        <v>Bayer 04 Leverkusen</v>
      </c>
      <c r="T242" s="233">
        <v>46102</v>
      </c>
      <c r="U242" s="234">
        <v>0.64583333333333337</v>
      </c>
    </row>
    <row r="243" spans="6:21" ht="17.25" x14ac:dyDescent="0.2">
      <c r="F243" s="88">
        <f t="shared" si="19"/>
        <v>2</v>
      </c>
      <c r="G243" s="88" t="str">
        <f t="shared" si="20"/>
        <v>00650087</v>
      </c>
      <c r="H243" s="88" t="str">
        <f t="shared" si="21"/>
        <v>00870065</v>
      </c>
      <c r="I243" s="88">
        <f>IF($G243="",0,COUNTIF($G$7:$G243,$H243))</f>
        <v>1</v>
      </c>
      <c r="J243" s="88"/>
      <c r="K243" s="296" t="str">
        <f>Language!$E$57</f>
        <v>doppelt</v>
      </c>
      <c r="L243" s="270" t="str">
        <f>IF(Calc!$F$26=0,"",IF(OR($M243&gt;Calc!$B$24,MOD($M243-1,Calc!$F$26)&gt;0),"",QUOTIENT($M243-1,Calc!$F$26)+1))</f>
        <v/>
      </c>
      <c r="M243" s="107">
        <v>237</v>
      </c>
      <c r="N243" s="394">
        <v>65</v>
      </c>
      <c r="O243" s="113" t="s">
        <v>4</v>
      </c>
      <c r="P243" s="397">
        <v>87</v>
      </c>
      <c r="Q243" s="114" t="str">
        <f t="shared" si="17"/>
        <v>1. FC Köln</v>
      </c>
      <c r="R243" s="115" t="s">
        <v>4</v>
      </c>
      <c r="S243" s="116" t="str">
        <f t="shared" si="18"/>
        <v>Borussia Mönchengladbach</v>
      </c>
      <c r="T243" s="233">
        <v>46102</v>
      </c>
      <c r="U243" s="234">
        <v>0.64583333333333337</v>
      </c>
    </row>
    <row r="244" spans="6:21" ht="17.25" x14ac:dyDescent="0.2">
      <c r="F244" s="88">
        <f t="shared" si="19"/>
        <v>2</v>
      </c>
      <c r="G244" s="88" t="str">
        <f t="shared" si="20"/>
        <v>00400080</v>
      </c>
      <c r="H244" s="88" t="str">
        <f t="shared" si="21"/>
        <v>00800040</v>
      </c>
      <c r="I244" s="88">
        <f>IF($G244="",0,COUNTIF($G$7:$G244,$H244))</f>
        <v>1</v>
      </c>
      <c r="J244" s="88"/>
      <c r="K244" s="296" t="str">
        <f>Language!$E$57</f>
        <v>doppelt</v>
      </c>
      <c r="L244" s="270" t="str">
        <f>IF(Calc!$F$26=0,"",IF(OR($M244&gt;Calc!$B$24,MOD($M244-1,Calc!$F$26)&gt;0),"",QUOTIENT($M244-1,Calc!$F$26)+1))</f>
        <v/>
      </c>
      <c r="M244" s="107">
        <v>238</v>
      </c>
      <c r="N244" s="394">
        <v>40</v>
      </c>
      <c r="O244" s="113" t="s">
        <v>4</v>
      </c>
      <c r="P244" s="397">
        <v>80</v>
      </c>
      <c r="Q244" s="114" t="str">
        <f t="shared" si="17"/>
        <v>FC Bayern München</v>
      </c>
      <c r="R244" s="115" t="s">
        <v>4</v>
      </c>
      <c r="S244" s="116" t="str">
        <f t="shared" si="18"/>
        <v>1. FC Union Berlin</v>
      </c>
      <c r="T244" s="233">
        <v>46102</v>
      </c>
      <c r="U244" s="234">
        <v>0.64583333333333337</v>
      </c>
    </row>
    <row r="245" spans="6:21" ht="17.25" x14ac:dyDescent="0.2">
      <c r="F245" s="88">
        <f t="shared" si="19"/>
        <v>2</v>
      </c>
      <c r="G245" s="88" t="str">
        <f t="shared" si="20"/>
        <v>01310134</v>
      </c>
      <c r="H245" s="88" t="str">
        <f t="shared" si="21"/>
        <v>01340131</v>
      </c>
      <c r="I245" s="88">
        <f>IF($G245="",0,COUNTIF($G$7:$G245,$H245))</f>
        <v>1</v>
      </c>
      <c r="J245" s="88"/>
      <c r="K245" s="296" t="str">
        <f>Language!$E$57</f>
        <v>doppelt</v>
      </c>
      <c r="L245" s="270" t="str">
        <f>IF(Calc!$F$26=0,"",IF(OR($M245&gt;Calc!$B$24,MOD($M245-1,Calc!$F$26)&gt;0),"",QUOTIENT($M245-1,Calc!$F$26)+1))</f>
        <v/>
      </c>
      <c r="M245" s="107">
        <v>239</v>
      </c>
      <c r="N245" s="394">
        <v>131</v>
      </c>
      <c r="O245" s="113" t="s">
        <v>4</v>
      </c>
      <c r="P245" s="397">
        <v>134</v>
      </c>
      <c r="Q245" s="114" t="str">
        <f t="shared" si="17"/>
        <v>VfL Wolfsburg</v>
      </c>
      <c r="R245" s="115" t="s">
        <v>4</v>
      </c>
      <c r="S245" s="116" t="str">
        <f t="shared" si="18"/>
        <v>SV Werder Bremen</v>
      </c>
      <c r="T245" s="233">
        <v>46102</v>
      </c>
      <c r="U245" s="234">
        <v>0.64583333333333337</v>
      </c>
    </row>
    <row r="246" spans="6:21" ht="17.25" x14ac:dyDescent="0.2">
      <c r="F246" s="88">
        <f t="shared" si="19"/>
        <v>2</v>
      </c>
      <c r="G246" s="88" t="str">
        <f t="shared" si="20"/>
        <v>00070100</v>
      </c>
      <c r="H246" s="88" t="str">
        <f t="shared" si="21"/>
        <v>01000007</v>
      </c>
      <c r="I246" s="88">
        <f>IF($G246="",0,COUNTIF($G$7:$G246,$H246))</f>
        <v>1</v>
      </c>
      <c r="J246" s="88"/>
      <c r="K246" s="296" t="str">
        <f>Language!$E$57</f>
        <v>doppelt</v>
      </c>
      <c r="L246" s="270" t="str">
        <f>IF(Calc!$F$26=0,"",IF(OR($M246&gt;Calc!$B$24,MOD($M246-1,Calc!$F$26)&gt;0),"",QUOTIENT($M246-1,Calc!$F$26)+1))</f>
        <v/>
      </c>
      <c r="M246" s="107">
        <v>240</v>
      </c>
      <c r="N246" s="394">
        <v>7</v>
      </c>
      <c r="O246" s="113" t="s">
        <v>4</v>
      </c>
      <c r="P246" s="397">
        <v>100</v>
      </c>
      <c r="Q246" s="114" t="str">
        <f t="shared" si="17"/>
        <v>Borussia Dortmund</v>
      </c>
      <c r="R246" s="115" t="s">
        <v>4</v>
      </c>
      <c r="S246" s="116" t="str">
        <f t="shared" si="18"/>
        <v>Hamburger SV</v>
      </c>
      <c r="T246" s="233">
        <v>46102</v>
      </c>
      <c r="U246" s="234">
        <v>0.77083333333333337</v>
      </c>
    </row>
    <row r="247" spans="6:21" ht="17.25" x14ac:dyDescent="0.2">
      <c r="F247" s="88">
        <f t="shared" si="19"/>
        <v>2</v>
      </c>
      <c r="G247" s="88" t="str">
        <f t="shared" si="20"/>
        <v>00810091</v>
      </c>
      <c r="H247" s="88" t="str">
        <f t="shared" si="21"/>
        <v>00910081</v>
      </c>
      <c r="I247" s="88">
        <f>IF($G247="",0,COUNTIF($G$7:$G247,$H247))</f>
        <v>1</v>
      </c>
      <c r="J247" s="88"/>
      <c r="K247" s="296" t="str">
        <f>Language!$E$57</f>
        <v>doppelt</v>
      </c>
      <c r="L247" s="270" t="str">
        <f>IF(Calc!$F$26=0,"",IF(OR($M247&gt;Calc!$B$24,MOD($M247-1,Calc!$F$26)&gt;0),"",QUOTIENT($M247-1,Calc!$F$26)+1))</f>
        <v/>
      </c>
      <c r="M247" s="107">
        <v>241</v>
      </c>
      <c r="N247" s="394">
        <v>81</v>
      </c>
      <c r="O247" s="113" t="s">
        <v>4</v>
      </c>
      <c r="P247" s="397">
        <v>91</v>
      </c>
      <c r="Q247" s="114" t="str">
        <f t="shared" si="17"/>
        <v>1. FSV Mainz 05</v>
      </c>
      <c r="R247" s="115" t="s">
        <v>4</v>
      </c>
      <c r="S247" s="116" t="str">
        <f t="shared" si="18"/>
        <v>Eintracht Frankfurt</v>
      </c>
      <c r="T247" s="233">
        <v>46103</v>
      </c>
      <c r="U247" s="234">
        <v>0.64583333333333337</v>
      </c>
    </row>
    <row r="248" spans="6:21" ht="17.25" x14ac:dyDescent="0.2">
      <c r="F248" s="88">
        <f t="shared" si="19"/>
        <v>2</v>
      </c>
      <c r="G248" s="88" t="str">
        <f t="shared" si="20"/>
        <v>00980112</v>
      </c>
      <c r="H248" s="88" t="str">
        <f t="shared" si="21"/>
        <v>01120098</v>
      </c>
      <c r="I248" s="88">
        <f>IF($G248="",0,COUNTIF($G$7:$G248,$H248))</f>
        <v>1</v>
      </c>
      <c r="J248" s="88"/>
      <c r="K248" s="296" t="str">
        <f>Language!$E$57</f>
        <v>doppelt</v>
      </c>
      <c r="L248" s="270" t="str">
        <f>IF(Calc!$F$26=0,"",IF(OR($M248&gt;Calc!$B$24,MOD($M248-1,Calc!$F$26)&gt;0),"",QUOTIENT($M248-1,Calc!$F$26)+1))</f>
        <v/>
      </c>
      <c r="M248" s="107">
        <v>242</v>
      </c>
      <c r="N248" s="394">
        <v>98</v>
      </c>
      <c r="O248" s="113" t="s">
        <v>4</v>
      </c>
      <c r="P248" s="397">
        <v>112</v>
      </c>
      <c r="Q248" s="114" t="str">
        <f t="shared" si="17"/>
        <v>FC St. Pauli</v>
      </c>
      <c r="R248" s="115" t="s">
        <v>4</v>
      </c>
      <c r="S248" s="116" t="str">
        <f t="shared" si="18"/>
        <v>SC Freiburg</v>
      </c>
      <c r="T248" s="233">
        <v>46103</v>
      </c>
      <c r="U248" s="234">
        <v>0.72916666666666663</v>
      </c>
    </row>
    <row r="249" spans="6:21" ht="17.25" x14ac:dyDescent="0.2">
      <c r="F249" s="88">
        <f t="shared" si="19"/>
        <v>2</v>
      </c>
      <c r="G249" s="88" t="str">
        <f t="shared" si="20"/>
        <v>00950016</v>
      </c>
      <c r="H249" s="88" t="str">
        <f t="shared" si="21"/>
        <v>00160095</v>
      </c>
      <c r="I249" s="88">
        <f>IF($G249="",0,COUNTIF($G$7:$G249,$H249))</f>
        <v>1</v>
      </c>
      <c r="J249" s="88"/>
      <c r="K249" s="296" t="str">
        <f>Language!$E$57</f>
        <v>doppelt</v>
      </c>
      <c r="L249" s="270" t="str">
        <f>IF(Calc!$F$26=0,"",IF(OR($M249&gt;Calc!$B$24,MOD($M249-1,Calc!$F$26)&gt;0),"",QUOTIENT($M249-1,Calc!$F$26)+1))</f>
        <v/>
      </c>
      <c r="M249" s="107">
        <v>243</v>
      </c>
      <c r="N249" s="394">
        <v>95</v>
      </c>
      <c r="O249" s="113" t="s">
        <v>4</v>
      </c>
      <c r="P249" s="397">
        <v>16</v>
      </c>
      <c r="Q249" s="114" t="str">
        <f t="shared" si="17"/>
        <v>FC Augsburg</v>
      </c>
      <c r="R249" s="115" t="s">
        <v>4</v>
      </c>
      <c r="S249" s="116" t="str">
        <f t="shared" si="18"/>
        <v>VfB Stuttgart</v>
      </c>
      <c r="T249" s="233">
        <v>46103</v>
      </c>
      <c r="U249" s="234">
        <v>0.8125</v>
      </c>
    </row>
    <row r="250" spans="6:21" ht="17.25" x14ac:dyDescent="0.2">
      <c r="F250" s="88">
        <f t="shared" si="19"/>
        <v>2</v>
      </c>
      <c r="G250" s="88" t="str">
        <f t="shared" si="20"/>
        <v>00870199</v>
      </c>
      <c r="H250" s="88" t="str">
        <f t="shared" si="21"/>
        <v>01990087</v>
      </c>
      <c r="I250" s="88">
        <f>IF($G250="",0,COUNTIF($G$7:$G250,$H250))</f>
        <v>1</v>
      </c>
      <c r="J250" s="88"/>
      <c r="K250" s="296" t="str">
        <f>Language!$E$57</f>
        <v>doppelt</v>
      </c>
      <c r="L250" s="270">
        <f>IF(Calc!$F$26=0,"",IF(OR($M250&gt;Calc!$B$24,MOD($M250-1,Calc!$F$26)&gt;0),"",QUOTIENT($M250-1,Calc!$F$26)+1))</f>
        <v>28</v>
      </c>
      <c r="M250" s="107">
        <v>244</v>
      </c>
      <c r="N250" s="394">
        <v>87</v>
      </c>
      <c r="O250" s="113" t="s">
        <v>4</v>
      </c>
      <c r="P250" s="397">
        <v>199</v>
      </c>
      <c r="Q250" s="114" t="str">
        <f t="shared" si="17"/>
        <v>Borussia Mönchengladbach</v>
      </c>
      <c r="R250" s="115" t="s">
        <v>4</v>
      </c>
      <c r="S250" s="116" t="str">
        <f t="shared" si="18"/>
        <v>1. FC Heidenheim 1846</v>
      </c>
      <c r="T250" s="233">
        <v>46116</v>
      </c>
      <c r="U250" s="234">
        <v>0.64583333333333337</v>
      </c>
    </row>
    <row r="251" spans="6:21" ht="17.25" x14ac:dyDescent="0.2">
      <c r="F251" s="88">
        <f t="shared" si="19"/>
        <v>2</v>
      </c>
      <c r="G251" s="88" t="str">
        <f t="shared" si="20"/>
        <v>01750081</v>
      </c>
      <c r="H251" s="88" t="str">
        <f t="shared" si="21"/>
        <v>00810175</v>
      </c>
      <c r="I251" s="88">
        <f>IF($G251="",0,COUNTIF($G$7:$G251,$H251))</f>
        <v>1</v>
      </c>
      <c r="J251" s="88"/>
      <c r="K251" s="296" t="str">
        <f>Language!$E$57</f>
        <v>doppelt</v>
      </c>
      <c r="L251" s="270" t="str">
        <f>IF(Calc!$F$26=0,"",IF(OR($M251&gt;Calc!$B$24,MOD($M251-1,Calc!$F$26)&gt;0),"",QUOTIENT($M251-1,Calc!$F$26)+1))</f>
        <v/>
      </c>
      <c r="M251" s="107">
        <v>245</v>
      </c>
      <c r="N251" s="394">
        <v>175</v>
      </c>
      <c r="O251" s="113" t="s">
        <v>4</v>
      </c>
      <c r="P251" s="397">
        <v>81</v>
      </c>
      <c r="Q251" s="114" t="str">
        <f t="shared" si="17"/>
        <v>TSG Hoffenheim</v>
      </c>
      <c r="R251" s="115" t="s">
        <v>4</v>
      </c>
      <c r="S251" s="116" t="str">
        <f t="shared" si="18"/>
        <v>1. FSV Mainz 05</v>
      </c>
      <c r="T251" s="233">
        <v>46116</v>
      </c>
      <c r="U251" s="234">
        <v>0.64583333333333337</v>
      </c>
    </row>
    <row r="252" spans="6:21" ht="17.25" x14ac:dyDescent="0.2">
      <c r="F252" s="88">
        <f t="shared" si="19"/>
        <v>2</v>
      </c>
      <c r="G252" s="88" t="str">
        <f t="shared" si="20"/>
        <v>01000095</v>
      </c>
      <c r="H252" s="88" t="str">
        <f t="shared" si="21"/>
        <v>00950100</v>
      </c>
      <c r="I252" s="88">
        <f>IF($G252="",0,COUNTIF($G$7:$G252,$H252))</f>
        <v>1</v>
      </c>
      <c r="J252" s="88"/>
      <c r="K252" s="296" t="str">
        <f>Language!$E$57</f>
        <v>doppelt</v>
      </c>
      <c r="L252" s="270" t="str">
        <f>IF(Calc!$F$26=0,"",IF(OR($M252&gt;Calc!$B$24,MOD($M252-1,Calc!$F$26)&gt;0),"",QUOTIENT($M252-1,Calc!$F$26)+1))</f>
        <v/>
      </c>
      <c r="M252" s="107">
        <v>246</v>
      </c>
      <c r="N252" s="394">
        <v>100</v>
      </c>
      <c r="O252" s="113" t="s">
        <v>4</v>
      </c>
      <c r="P252" s="397">
        <v>95</v>
      </c>
      <c r="Q252" s="114" t="str">
        <f t="shared" si="17"/>
        <v>Hamburger SV</v>
      </c>
      <c r="R252" s="115" t="s">
        <v>4</v>
      </c>
      <c r="S252" s="116" t="str">
        <f t="shared" si="18"/>
        <v>FC Augsburg</v>
      </c>
      <c r="T252" s="233">
        <v>46116</v>
      </c>
      <c r="U252" s="234">
        <v>0.64583333333333337</v>
      </c>
    </row>
    <row r="253" spans="6:21" ht="17.25" x14ac:dyDescent="0.2">
      <c r="F253" s="88">
        <f t="shared" si="19"/>
        <v>2</v>
      </c>
      <c r="G253" s="88" t="str">
        <f t="shared" si="20"/>
        <v>00060131</v>
      </c>
      <c r="H253" s="88" t="str">
        <f t="shared" si="21"/>
        <v>01310006</v>
      </c>
      <c r="I253" s="88">
        <f>IF($G253="",0,COUNTIF($G$7:$G253,$H253))</f>
        <v>1</v>
      </c>
      <c r="J253" s="88"/>
      <c r="K253" s="296" t="str">
        <f>Language!$E$57</f>
        <v>doppelt</v>
      </c>
      <c r="L253" s="270" t="str">
        <f>IF(Calc!$F$26=0,"",IF(OR($M253&gt;Calc!$B$24,MOD($M253-1,Calc!$F$26)&gt;0),"",QUOTIENT($M253-1,Calc!$F$26)+1))</f>
        <v/>
      </c>
      <c r="M253" s="107">
        <v>247</v>
      </c>
      <c r="N253" s="394">
        <v>6</v>
      </c>
      <c r="O253" s="113" t="s">
        <v>4</v>
      </c>
      <c r="P253" s="397">
        <v>131</v>
      </c>
      <c r="Q253" s="114" t="str">
        <f t="shared" si="17"/>
        <v>Bayer 04 Leverkusen</v>
      </c>
      <c r="R253" s="115" t="s">
        <v>4</v>
      </c>
      <c r="S253" s="116" t="str">
        <f t="shared" si="18"/>
        <v>VfL Wolfsburg</v>
      </c>
      <c r="T253" s="233">
        <v>46116</v>
      </c>
      <c r="U253" s="234">
        <v>0.64583333333333337</v>
      </c>
    </row>
    <row r="254" spans="6:21" ht="17.25" x14ac:dyDescent="0.2">
      <c r="F254" s="88">
        <f t="shared" si="19"/>
        <v>2</v>
      </c>
      <c r="G254" s="88" t="str">
        <f t="shared" si="20"/>
        <v>01120040</v>
      </c>
      <c r="H254" s="88" t="str">
        <f t="shared" si="21"/>
        <v>00400112</v>
      </c>
      <c r="I254" s="88">
        <f>IF($G254="",0,COUNTIF($G$7:$G254,$H254))</f>
        <v>1</v>
      </c>
      <c r="J254" s="88"/>
      <c r="K254" s="296" t="str">
        <f>Language!$E$57</f>
        <v>doppelt</v>
      </c>
      <c r="L254" s="270" t="str">
        <f>IF(Calc!$F$26=0,"",IF(OR($M254&gt;Calc!$B$24,MOD($M254-1,Calc!$F$26)&gt;0),"",QUOTIENT($M254-1,Calc!$F$26)+1))</f>
        <v/>
      </c>
      <c r="M254" s="107">
        <v>248</v>
      </c>
      <c r="N254" s="394">
        <v>112</v>
      </c>
      <c r="O254" s="113" t="s">
        <v>4</v>
      </c>
      <c r="P254" s="397">
        <v>40</v>
      </c>
      <c r="Q254" s="114" t="str">
        <f t="shared" si="17"/>
        <v>SC Freiburg</v>
      </c>
      <c r="R254" s="115" t="s">
        <v>4</v>
      </c>
      <c r="S254" s="116" t="str">
        <f t="shared" si="18"/>
        <v>FC Bayern München</v>
      </c>
      <c r="T254" s="233">
        <v>46116</v>
      </c>
      <c r="U254" s="234">
        <v>0.64583333333333337</v>
      </c>
    </row>
    <row r="255" spans="6:21" ht="17.25" x14ac:dyDescent="0.2">
      <c r="F255" s="88">
        <f t="shared" si="19"/>
        <v>2</v>
      </c>
      <c r="G255" s="88" t="str">
        <f t="shared" si="20"/>
        <v>01341635</v>
      </c>
      <c r="H255" s="88" t="str">
        <f t="shared" si="21"/>
        <v>16350134</v>
      </c>
      <c r="I255" s="88">
        <f>IF($G255="",0,COUNTIF($G$7:$G255,$H255))</f>
        <v>1</v>
      </c>
      <c r="J255" s="88"/>
      <c r="K255" s="296" t="str">
        <f>Language!$E$57</f>
        <v>doppelt</v>
      </c>
      <c r="L255" s="270" t="str">
        <f>IF(Calc!$F$26=0,"",IF(OR($M255&gt;Calc!$B$24,MOD($M255-1,Calc!$F$26)&gt;0),"",QUOTIENT($M255-1,Calc!$F$26)+1))</f>
        <v/>
      </c>
      <c r="M255" s="107">
        <v>249</v>
      </c>
      <c r="N255" s="394">
        <v>134</v>
      </c>
      <c r="O255" s="113" t="s">
        <v>4</v>
      </c>
      <c r="P255" s="397">
        <v>1635</v>
      </c>
      <c r="Q255" s="114" t="str">
        <f t="shared" si="17"/>
        <v>SV Werder Bremen</v>
      </c>
      <c r="R255" s="115" t="s">
        <v>4</v>
      </c>
      <c r="S255" s="116" t="str">
        <f t="shared" si="18"/>
        <v>RB Leipzig</v>
      </c>
      <c r="T255" s="233">
        <v>46116</v>
      </c>
      <c r="U255" s="234">
        <v>0.64583333333333337</v>
      </c>
    </row>
    <row r="256" spans="6:21" ht="17.25" x14ac:dyDescent="0.2">
      <c r="F256" s="88">
        <f t="shared" si="19"/>
        <v>2</v>
      </c>
      <c r="G256" s="88" t="str">
        <f t="shared" si="20"/>
        <v>00160007</v>
      </c>
      <c r="H256" s="88" t="str">
        <f t="shared" si="21"/>
        <v>00070016</v>
      </c>
      <c r="I256" s="88">
        <f>IF($G256="",0,COUNTIF($G$7:$G256,$H256))</f>
        <v>1</v>
      </c>
      <c r="J256" s="88"/>
      <c r="K256" s="296" t="str">
        <f>Language!$E$57</f>
        <v>doppelt</v>
      </c>
      <c r="L256" s="270" t="str">
        <f>IF(Calc!$F$26=0,"",IF(OR($M256&gt;Calc!$B$24,MOD($M256-1,Calc!$F$26)&gt;0),"",QUOTIENT($M256-1,Calc!$F$26)+1))</f>
        <v/>
      </c>
      <c r="M256" s="107">
        <v>250</v>
      </c>
      <c r="N256" s="394">
        <v>16</v>
      </c>
      <c r="O256" s="113" t="s">
        <v>4</v>
      </c>
      <c r="P256" s="397">
        <v>7</v>
      </c>
      <c r="Q256" s="114" t="str">
        <f t="shared" si="17"/>
        <v>VfB Stuttgart</v>
      </c>
      <c r="R256" s="115" t="s">
        <v>4</v>
      </c>
      <c r="S256" s="116" t="str">
        <f t="shared" si="18"/>
        <v>Borussia Dortmund</v>
      </c>
      <c r="T256" s="233">
        <v>46116</v>
      </c>
      <c r="U256" s="234">
        <v>0.77083333333333337</v>
      </c>
    </row>
    <row r="257" spans="6:21" ht="17.25" x14ac:dyDescent="0.2">
      <c r="F257" s="88">
        <f t="shared" si="19"/>
        <v>2</v>
      </c>
      <c r="G257" s="88" t="str">
        <f t="shared" si="20"/>
        <v>00800098</v>
      </c>
      <c r="H257" s="88" t="str">
        <f t="shared" si="21"/>
        <v>00980080</v>
      </c>
      <c r="I257" s="88">
        <f>IF($G257="",0,COUNTIF($G$7:$G257,$H257))</f>
        <v>1</v>
      </c>
      <c r="J257" s="88"/>
      <c r="K257" s="296" t="str">
        <f>Language!$E$57</f>
        <v>doppelt</v>
      </c>
      <c r="L257" s="270" t="str">
        <f>IF(Calc!$F$26=0,"",IF(OR($M257&gt;Calc!$B$24,MOD($M257-1,Calc!$F$26)&gt;0),"",QUOTIENT($M257-1,Calc!$F$26)+1))</f>
        <v/>
      </c>
      <c r="M257" s="107">
        <v>251</v>
      </c>
      <c r="N257" s="394">
        <v>80</v>
      </c>
      <c r="O257" s="113" t="s">
        <v>4</v>
      </c>
      <c r="P257" s="397">
        <v>98</v>
      </c>
      <c r="Q257" s="114" t="str">
        <f t="shared" si="17"/>
        <v>1. FC Union Berlin</v>
      </c>
      <c r="R257" s="115" t="s">
        <v>4</v>
      </c>
      <c r="S257" s="116" t="str">
        <f t="shared" si="18"/>
        <v>FC St. Pauli</v>
      </c>
      <c r="T257" s="233">
        <v>46117</v>
      </c>
      <c r="U257" s="234">
        <v>0.64583333333333337</v>
      </c>
    </row>
    <row r="258" spans="6:21" ht="17.25" x14ac:dyDescent="0.2">
      <c r="F258" s="88">
        <f t="shared" si="19"/>
        <v>2</v>
      </c>
      <c r="G258" s="88" t="str">
        <f t="shared" si="20"/>
        <v>00910065</v>
      </c>
      <c r="H258" s="88" t="str">
        <f t="shared" si="21"/>
        <v>00650091</v>
      </c>
      <c r="I258" s="88">
        <f>IF($G258="",0,COUNTIF($G$7:$G258,$H258))</f>
        <v>1</v>
      </c>
      <c r="J258" s="88"/>
      <c r="K258" s="296" t="str">
        <f>Language!$E$57</f>
        <v>doppelt</v>
      </c>
      <c r="L258" s="270" t="str">
        <f>IF(Calc!$F$26=0,"",IF(OR($M258&gt;Calc!$B$24,MOD($M258-1,Calc!$F$26)&gt;0),"",QUOTIENT($M258-1,Calc!$F$26)+1))</f>
        <v/>
      </c>
      <c r="M258" s="107">
        <v>252</v>
      </c>
      <c r="N258" s="394">
        <v>91</v>
      </c>
      <c r="O258" s="113" t="s">
        <v>4</v>
      </c>
      <c r="P258" s="397">
        <v>65</v>
      </c>
      <c r="Q258" s="114" t="str">
        <f t="shared" si="17"/>
        <v>Eintracht Frankfurt</v>
      </c>
      <c r="R258" s="115" t="s">
        <v>4</v>
      </c>
      <c r="S258" s="116" t="str">
        <f t="shared" si="18"/>
        <v>1. FC Köln</v>
      </c>
      <c r="T258" s="233">
        <v>46117</v>
      </c>
      <c r="U258" s="234">
        <v>0.72916666666666663</v>
      </c>
    </row>
    <row r="259" spans="6:21" ht="17.25" x14ac:dyDescent="0.2">
      <c r="F259" s="88">
        <f t="shared" si="19"/>
        <v>2</v>
      </c>
      <c r="G259" s="88" t="str">
        <f t="shared" si="20"/>
        <v>00950175</v>
      </c>
      <c r="H259" s="88" t="str">
        <f t="shared" si="21"/>
        <v>01750095</v>
      </c>
      <c r="I259" s="88">
        <f>IF($G259="",0,COUNTIF($G$7:$G259,$H259))</f>
        <v>1</v>
      </c>
      <c r="J259" s="88"/>
      <c r="K259" s="296" t="str">
        <f>Language!$E$57</f>
        <v>doppelt</v>
      </c>
      <c r="L259" s="270">
        <f>IF(Calc!$F$26=0,"",IF(OR($M259&gt;Calc!$B$24,MOD($M259-1,Calc!$F$26)&gt;0),"",QUOTIENT($M259-1,Calc!$F$26)+1))</f>
        <v>29</v>
      </c>
      <c r="M259" s="107">
        <v>253</v>
      </c>
      <c r="N259" s="394">
        <v>95</v>
      </c>
      <c r="O259" s="113" t="s">
        <v>4</v>
      </c>
      <c r="P259" s="397">
        <v>175</v>
      </c>
      <c r="Q259" s="114" t="str">
        <f t="shared" si="17"/>
        <v>FC Augsburg</v>
      </c>
      <c r="R259" s="115" t="s">
        <v>4</v>
      </c>
      <c r="S259" s="116" t="str">
        <f t="shared" si="18"/>
        <v>TSG Hoffenheim</v>
      </c>
      <c r="T259" s="233">
        <v>46122</v>
      </c>
      <c r="U259" s="234">
        <v>0.85416666666666663</v>
      </c>
    </row>
    <row r="260" spans="6:21" ht="17.25" x14ac:dyDescent="0.2">
      <c r="F260" s="88">
        <f t="shared" si="19"/>
        <v>2</v>
      </c>
      <c r="G260" s="88" t="str">
        <f t="shared" si="20"/>
        <v>01310091</v>
      </c>
      <c r="H260" s="88" t="str">
        <f t="shared" si="21"/>
        <v>00910131</v>
      </c>
      <c r="I260" s="88">
        <f>IF($G260="",0,COUNTIF($G$7:$G260,$H260))</f>
        <v>1</v>
      </c>
      <c r="J260" s="88"/>
      <c r="K260" s="296" t="str">
        <f>Language!$E$57</f>
        <v>doppelt</v>
      </c>
      <c r="L260" s="270" t="str">
        <f>IF(Calc!$F$26=0,"",IF(OR($M260&gt;Calc!$B$24,MOD($M260-1,Calc!$F$26)&gt;0),"",QUOTIENT($M260-1,Calc!$F$26)+1))</f>
        <v/>
      </c>
      <c r="M260" s="107">
        <v>254</v>
      </c>
      <c r="N260" s="394">
        <v>131</v>
      </c>
      <c r="O260" s="113" t="s">
        <v>4</v>
      </c>
      <c r="P260" s="397">
        <v>91</v>
      </c>
      <c r="Q260" s="114" t="str">
        <f t="shared" si="17"/>
        <v>VfL Wolfsburg</v>
      </c>
      <c r="R260" s="115" t="s">
        <v>4</v>
      </c>
      <c r="S260" s="116" t="str">
        <f t="shared" si="18"/>
        <v>Eintracht Frankfurt</v>
      </c>
      <c r="T260" s="233">
        <v>46123</v>
      </c>
      <c r="U260" s="234">
        <v>0.64583333333333337</v>
      </c>
    </row>
    <row r="261" spans="6:21" ht="17.25" x14ac:dyDescent="0.2">
      <c r="F261" s="88">
        <f t="shared" si="19"/>
        <v>2</v>
      </c>
      <c r="G261" s="88" t="str">
        <f t="shared" si="20"/>
        <v>01990080</v>
      </c>
      <c r="H261" s="88" t="str">
        <f t="shared" si="21"/>
        <v>00800199</v>
      </c>
      <c r="I261" s="88">
        <f>IF($G261="",0,COUNTIF($G$7:$G261,$H261))</f>
        <v>1</v>
      </c>
      <c r="J261" s="88"/>
      <c r="K261" s="296" t="str">
        <f>Language!$E$57</f>
        <v>doppelt</v>
      </c>
      <c r="L261" s="270" t="str">
        <f>IF(Calc!$F$26=0,"",IF(OR($M261&gt;Calc!$B$24,MOD($M261-1,Calc!$F$26)&gt;0),"",QUOTIENT($M261-1,Calc!$F$26)+1))</f>
        <v/>
      </c>
      <c r="M261" s="107">
        <v>255</v>
      </c>
      <c r="N261" s="394">
        <v>199</v>
      </c>
      <c r="O261" s="113" t="s">
        <v>4</v>
      </c>
      <c r="P261" s="397">
        <v>80</v>
      </c>
      <c r="Q261" s="114" t="str">
        <f t="shared" si="17"/>
        <v>1. FC Heidenheim 1846</v>
      </c>
      <c r="R261" s="115" t="s">
        <v>4</v>
      </c>
      <c r="S261" s="116" t="str">
        <f t="shared" si="18"/>
        <v>1. FC Union Berlin</v>
      </c>
      <c r="T261" s="233">
        <v>46123</v>
      </c>
      <c r="U261" s="234">
        <v>0.64583333333333337</v>
      </c>
    </row>
    <row r="262" spans="6:21" ht="17.25" x14ac:dyDescent="0.2">
      <c r="F262" s="88">
        <f t="shared" si="19"/>
        <v>2</v>
      </c>
      <c r="G262" s="88" t="str">
        <f t="shared" si="20"/>
        <v>00070006</v>
      </c>
      <c r="H262" s="88" t="str">
        <f t="shared" si="21"/>
        <v>00060007</v>
      </c>
      <c r="I262" s="88">
        <f>IF($G262="",0,COUNTIF($G$7:$G262,$H262))</f>
        <v>1</v>
      </c>
      <c r="J262" s="88"/>
      <c r="K262" s="296" t="str">
        <f>Language!$E$57</f>
        <v>doppelt</v>
      </c>
      <c r="L262" s="270" t="str">
        <f>IF(Calc!$F$26=0,"",IF(OR($M262&gt;Calc!$B$24,MOD($M262-1,Calc!$F$26)&gt;0),"",QUOTIENT($M262-1,Calc!$F$26)+1))</f>
        <v/>
      </c>
      <c r="M262" s="107">
        <v>256</v>
      </c>
      <c r="N262" s="394">
        <v>7</v>
      </c>
      <c r="O262" s="113" t="s">
        <v>4</v>
      </c>
      <c r="P262" s="397">
        <v>6</v>
      </c>
      <c r="Q262" s="114" t="str">
        <f t="shared" si="17"/>
        <v>Borussia Dortmund</v>
      </c>
      <c r="R262" s="115" t="s">
        <v>4</v>
      </c>
      <c r="S262" s="116" t="str">
        <f t="shared" si="18"/>
        <v>Bayer 04 Leverkusen</v>
      </c>
      <c r="T262" s="233">
        <v>46123</v>
      </c>
      <c r="U262" s="234">
        <v>0.64583333333333337</v>
      </c>
    </row>
    <row r="263" spans="6:21" ht="17.25" x14ac:dyDescent="0.2">
      <c r="F263" s="88">
        <f t="shared" si="19"/>
        <v>2</v>
      </c>
      <c r="G263" s="88" t="str">
        <f t="shared" si="20"/>
        <v>16350087</v>
      </c>
      <c r="H263" s="88" t="str">
        <f t="shared" si="21"/>
        <v>00871635</v>
      </c>
      <c r="I263" s="88">
        <f>IF($G263="",0,COUNTIF($G$7:$G263,$H263))</f>
        <v>1</v>
      </c>
      <c r="J263" s="88"/>
      <c r="K263" s="296" t="str">
        <f>Language!$E$57</f>
        <v>doppelt</v>
      </c>
      <c r="L263" s="270" t="str">
        <f>IF(Calc!$F$26=0,"",IF(OR($M263&gt;Calc!$B$24,MOD($M263-1,Calc!$F$26)&gt;0),"",QUOTIENT($M263-1,Calc!$F$26)+1))</f>
        <v/>
      </c>
      <c r="M263" s="107">
        <v>257</v>
      </c>
      <c r="N263" s="394">
        <v>1635</v>
      </c>
      <c r="O263" s="113" t="s">
        <v>4</v>
      </c>
      <c r="P263" s="397">
        <v>87</v>
      </c>
      <c r="Q263" s="114" t="str">
        <f t="shared" ref="Q263:Q326" si="22">IF(ISBLANK($N263),"",IF(ISBLANK(VLOOKUP($N263,$C$7:$D$26,2,0)),"",VLOOKUP($N263,$C$7:$D$26,2,0)))</f>
        <v>RB Leipzig</v>
      </c>
      <c r="R263" s="115" t="s">
        <v>4</v>
      </c>
      <c r="S263" s="116" t="str">
        <f t="shared" ref="S263:S326" si="23">IF(ISBLANK($P263),"",IF(ISBLANK(VLOOKUP($P263,$C$7:$D$26,2,0)),"",VLOOKUP($P263,$C$7:$D$26,2,0)))</f>
        <v>Borussia Mönchengladbach</v>
      </c>
      <c r="T263" s="233">
        <v>46123</v>
      </c>
      <c r="U263" s="234">
        <v>0.64583333333333337</v>
      </c>
    </row>
    <row r="264" spans="6:21" ht="17.25" x14ac:dyDescent="0.2">
      <c r="F264" s="88">
        <f t="shared" ref="F264:F327" si="24">IF($G264="",0,IF(LEFT($G264,4)=RIGHT($G264,4),100,IF(COUNTIF($G$7:$G$386,$G264)&gt;1,101,COUNTIF($G$7:$G$386,$G264)+COUNTIF($H$7:$H$386,$G264))))</f>
        <v>2</v>
      </c>
      <c r="G264" s="88" t="str">
        <f t="shared" ref="G264:G327" si="25">IF(OR($N264="",$P264=""),"",TEXT($N264,"0000")&amp;TEXT($P264,"0000"))</f>
        <v>00980040</v>
      </c>
      <c r="H264" s="88" t="str">
        <f t="shared" ref="H264:H327" si="26">IF(OR($N264="",$P264=""),"",TEXT($P264,"0000")&amp;TEXT($N264,"0000"))</f>
        <v>00400098</v>
      </c>
      <c r="I264" s="88">
        <f>IF($G264="",0,COUNTIF($G$7:$G264,$H264))</f>
        <v>1</v>
      </c>
      <c r="J264" s="88"/>
      <c r="K264" s="296" t="str">
        <f>Language!$E$57</f>
        <v>doppelt</v>
      </c>
      <c r="L264" s="270" t="str">
        <f>IF(Calc!$F$26=0,"",IF(OR($M264&gt;Calc!$B$24,MOD($M264-1,Calc!$F$26)&gt;0),"",QUOTIENT($M264-1,Calc!$F$26)+1))</f>
        <v/>
      </c>
      <c r="M264" s="107">
        <v>258</v>
      </c>
      <c r="N264" s="394">
        <v>98</v>
      </c>
      <c r="O264" s="113" t="s">
        <v>4</v>
      </c>
      <c r="P264" s="397">
        <v>40</v>
      </c>
      <c r="Q264" s="114" t="str">
        <f t="shared" si="22"/>
        <v>FC St. Pauli</v>
      </c>
      <c r="R264" s="115" t="s">
        <v>4</v>
      </c>
      <c r="S264" s="116" t="str">
        <f t="shared" si="23"/>
        <v>FC Bayern München</v>
      </c>
      <c r="T264" s="233">
        <v>46123</v>
      </c>
      <c r="U264" s="234">
        <v>0.77083333333333337</v>
      </c>
    </row>
    <row r="265" spans="6:21" ht="17.25" x14ac:dyDescent="0.2">
      <c r="F265" s="88">
        <f t="shared" si="24"/>
        <v>2</v>
      </c>
      <c r="G265" s="88" t="str">
        <f t="shared" si="25"/>
        <v>00650134</v>
      </c>
      <c r="H265" s="88" t="str">
        <f t="shared" si="26"/>
        <v>01340065</v>
      </c>
      <c r="I265" s="88">
        <f>IF($G265="",0,COUNTIF($G$7:$G265,$H265))</f>
        <v>1</v>
      </c>
      <c r="J265" s="88"/>
      <c r="K265" s="296" t="str">
        <f>Language!$E$57</f>
        <v>doppelt</v>
      </c>
      <c r="L265" s="270" t="str">
        <f>IF(Calc!$F$26=0,"",IF(OR($M265&gt;Calc!$B$24,MOD($M265-1,Calc!$F$26)&gt;0),"",QUOTIENT($M265-1,Calc!$F$26)+1))</f>
        <v/>
      </c>
      <c r="M265" s="107">
        <v>259</v>
      </c>
      <c r="N265" s="394">
        <v>65</v>
      </c>
      <c r="O265" s="113" t="s">
        <v>4</v>
      </c>
      <c r="P265" s="397">
        <v>134</v>
      </c>
      <c r="Q265" s="114" t="str">
        <f t="shared" si="22"/>
        <v>1. FC Köln</v>
      </c>
      <c r="R265" s="115" t="s">
        <v>4</v>
      </c>
      <c r="S265" s="116" t="str">
        <f t="shared" si="23"/>
        <v>SV Werder Bremen</v>
      </c>
      <c r="T265" s="233">
        <v>46124</v>
      </c>
      <c r="U265" s="234">
        <v>0.64583333333333337</v>
      </c>
    </row>
    <row r="266" spans="6:21" ht="17.25" x14ac:dyDescent="0.2">
      <c r="F266" s="88">
        <f t="shared" si="24"/>
        <v>2</v>
      </c>
      <c r="G266" s="88" t="str">
        <f t="shared" si="25"/>
        <v>00160100</v>
      </c>
      <c r="H266" s="88" t="str">
        <f t="shared" si="26"/>
        <v>01000016</v>
      </c>
      <c r="I266" s="88">
        <f>IF($G266="",0,COUNTIF($G$7:$G266,$H266))</f>
        <v>1</v>
      </c>
      <c r="J266" s="88"/>
      <c r="K266" s="296" t="str">
        <f>Language!$E$57</f>
        <v>doppelt</v>
      </c>
      <c r="L266" s="270" t="str">
        <f>IF(Calc!$F$26=0,"",IF(OR($M266&gt;Calc!$B$24,MOD($M266-1,Calc!$F$26)&gt;0),"",QUOTIENT($M266-1,Calc!$F$26)+1))</f>
        <v/>
      </c>
      <c r="M266" s="107">
        <v>260</v>
      </c>
      <c r="N266" s="394">
        <v>16</v>
      </c>
      <c r="O266" s="113" t="s">
        <v>4</v>
      </c>
      <c r="P266" s="397">
        <v>100</v>
      </c>
      <c r="Q266" s="114" t="str">
        <f t="shared" si="22"/>
        <v>VfB Stuttgart</v>
      </c>
      <c r="R266" s="115" t="s">
        <v>4</v>
      </c>
      <c r="S266" s="116" t="str">
        <f t="shared" si="23"/>
        <v>Hamburger SV</v>
      </c>
      <c r="T266" s="233">
        <v>46124</v>
      </c>
      <c r="U266" s="234">
        <v>0.72916666666666663</v>
      </c>
    </row>
    <row r="267" spans="6:21" ht="17.25" x14ac:dyDescent="0.2">
      <c r="F267" s="88">
        <f t="shared" si="24"/>
        <v>2</v>
      </c>
      <c r="G267" s="88" t="str">
        <f t="shared" si="25"/>
        <v>00810112</v>
      </c>
      <c r="H267" s="88" t="str">
        <f t="shared" si="26"/>
        <v>01120081</v>
      </c>
      <c r="I267" s="88">
        <f>IF($G267="",0,COUNTIF($G$7:$G267,$H267))</f>
        <v>1</v>
      </c>
      <c r="J267" s="88"/>
      <c r="K267" s="296" t="str">
        <f>Language!$E$57</f>
        <v>doppelt</v>
      </c>
      <c r="L267" s="270" t="str">
        <f>IF(Calc!$F$26=0,"",IF(OR($M267&gt;Calc!$B$24,MOD($M267-1,Calc!$F$26)&gt;0),"",QUOTIENT($M267-1,Calc!$F$26)+1))</f>
        <v/>
      </c>
      <c r="M267" s="107">
        <v>261</v>
      </c>
      <c r="N267" s="394">
        <v>81</v>
      </c>
      <c r="O267" s="113" t="s">
        <v>4</v>
      </c>
      <c r="P267" s="397">
        <v>112</v>
      </c>
      <c r="Q267" s="114" t="str">
        <f t="shared" si="22"/>
        <v>1. FSV Mainz 05</v>
      </c>
      <c r="R267" s="115" t="s">
        <v>4</v>
      </c>
      <c r="S267" s="116" t="str">
        <f t="shared" si="23"/>
        <v>SC Freiburg</v>
      </c>
      <c r="T267" s="233">
        <v>46124</v>
      </c>
      <c r="U267" s="234">
        <v>0.8125</v>
      </c>
    </row>
    <row r="268" spans="6:21" ht="17.25" x14ac:dyDescent="0.2">
      <c r="F268" s="88">
        <f t="shared" si="24"/>
        <v>2</v>
      </c>
      <c r="G268" s="88" t="str">
        <f t="shared" si="25"/>
        <v>00980065</v>
      </c>
      <c r="H268" s="88" t="str">
        <f t="shared" si="26"/>
        <v>00650098</v>
      </c>
      <c r="I268" s="88">
        <f>IF($G268="",0,COUNTIF($G$7:$G268,$H268))</f>
        <v>1</v>
      </c>
      <c r="J268" s="88"/>
      <c r="K268" s="296" t="str">
        <f>Language!$E$57</f>
        <v>doppelt</v>
      </c>
      <c r="L268" s="270">
        <f>IF(Calc!$F$26=0,"",IF(OR($M268&gt;Calc!$B$24,MOD($M268-1,Calc!$F$26)&gt;0),"",QUOTIENT($M268-1,Calc!$F$26)+1))</f>
        <v>30</v>
      </c>
      <c r="M268" s="107">
        <v>262</v>
      </c>
      <c r="N268" s="394">
        <v>98</v>
      </c>
      <c r="O268" s="113" t="s">
        <v>4</v>
      </c>
      <c r="P268" s="397">
        <v>65</v>
      </c>
      <c r="Q268" s="114" t="str">
        <f t="shared" si="22"/>
        <v>FC St. Pauli</v>
      </c>
      <c r="R268" s="115" t="s">
        <v>4</v>
      </c>
      <c r="S268" s="116" t="str">
        <f t="shared" si="23"/>
        <v>1. FC Köln</v>
      </c>
      <c r="T268" s="233">
        <v>46129</v>
      </c>
      <c r="U268" s="234">
        <v>0.85416666666666663</v>
      </c>
    </row>
    <row r="269" spans="6:21" ht="17.25" x14ac:dyDescent="0.2">
      <c r="F269" s="88">
        <f t="shared" si="24"/>
        <v>2</v>
      </c>
      <c r="G269" s="88" t="str">
        <f t="shared" si="25"/>
        <v>00800131</v>
      </c>
      <c r="H269" s="88" t="str">
        <f t="shared" si="26"/>
        <v>01310080</v>
      </c>
      <c r="I269" s="88">
        <f>IF($G269="",0,COUNTIF($G$7:$G269,$H269))</f>
        <v>1</v>
      </c>
      <c r="J269" s="88"/>
      <c r="K269" s="296" t="str">
        <f>Language!$E$57</f>
        <v>doppelt</v>
      </c>
      <c r="L269" s="270" t="str">
        <f>IF(Calc!$F$26=0,"",IF(OR($M269&gt;Calc!$B$24,MOD($M269-1,Calc!$F$26)&gt;0),"",QUOTIENT($M269-1,Calc!$F$26)+1))</f>
        <v/>
      </c>
      <c r="M269" s="107">
        <v>263</v>
      </c>
      <c r="N269" s="394">
        <v>80</v>
      </c>
      <c r="O269" s="113" t="s">
        <v>4</v>
      </c>
      <c r="P269" s="397">
        <v>131</v>
      </c>
      <c r="Q269" s="114" t="str">
        <f t="shared" si="22"/>
        <v>1. FC Union Berlin</v>
      </c>
      <c r="R269" s="115" t="s">
        <v>4</v>
      </c>
      <c r="S269" s="116" t="str">
        <f t="shared" si="23"/>
        <v>VfL Wolfsburg</v>
      </c>
      <c r="T269" s="233">
        <v>46130</v>
      </c>
      <c r="U269" s="234">
        <v>0.64583333333333337</v>
      </c>
    </row>
    <row r="270" spans="6:21" ht="17.25" x14ac:dyDescent="0.2">
      <c r="F270" s="88">
        <f t="shared" si="24"/>
        <v>2</v>
      </c>
      <c r="G270" s="88" t="str">
        <f t="shared" si="25"/>
        <v>01750007</v>
      </c>
      <c r="H270" s="88" t="str">
        <f t="shared" si="26"/>
        <v>00070175</v>
      </c>
      <c r="I270" s="88">
        <f>IF($G270="",0,COUNTIF($G$7:$G270,$H270))</f>
        <v>1</v>
      </c>
      <c r="J270" s="88"/>
      <c r="K270" s="296" t="str">
        <f>Language!$E$57</f>
        <v>doppelt</v>
      </c>
      <c r="L270" s="270" t="str">
        <f>IF(Calc!$F$26=0,"",IF(OR($M270&gt;Calc!$B$24,MOD($M270-1,Calc!$F$26)&gt;0),"",QUOTIENT($M270-1,Calc!$F$26)+1))</f>
        <v/>
      </c>
      <c r="M270" s="107">
        <v>264</v>
      </c>
      <c r="N270" s="394">
        <v>175</v>
      </c>
      <c r="O270" s="113" t="s">
        <v>4</v>
      </c>
      <c r="P270" s="397">
        <v>7</v>
      </c>
      <c r="Q270" s="114" t="str">
        <f t="shared" si="22"/>
        <v>TSG Hoffenheim</v>
      </c>
      <c r="R270" s="115" t="s">
        <v>4</v>
      </c>
      <c r="S270" s="116" t="str">
        <f t="shared" si="23"/>
        <v>Borussia Dortmund</v>
      </c>
      <c r="T270" s="233">
        <v>46130</v>
      </c>
      <c r="U270" s="234">
        <v>0.64583333333333337</v>
      </c>
    </row>
    <row r="271" spans="6:21" ht="17.25" x14ac:dyDescent="0.2">
      <c r="F271" s="88">
        <f t="shared" si="24"/>
        <v>2</v>
      </c>
      <c r="G271" s="88" t="str">
        <f t="shared" si="25"/>
        <v>00060095</v>
      </c>
      <c r="H271" s="88" t="str">
        <f t="shared" si="26"/>
        <v>00950006</v>
      </c>
      <c r="I271" s="88">
        <f>IF($G271="",0,COUNTIF($G$7:$G271,$H271))</f>
        <v>1</v>
      </c>
      <c r="J271" s="88"/>
      <c r="K271" s="296" t="str">
        <f>Language!$E$57</f>
        <v>doppelt</v>
      </c>
      <c r="L271" s="270" t="str">
        <f>IF(Calc!$F$26=0,"",IF(OR($M271&gt;Calc!$B$24,MOD($M271-1,Calc!$F$26)&gt;0),"",QUOTIENT($M271-1,Calc!$F$26)+1))</f>
        <v/>
      </c>
      <c r="M271" s="107">
        <v>265</v>
      </c>
      <c r="N271" s="394">
        <v>6</v>
      </c>
      <c r="O271" s="113" t="s">
        <v>4</v>
      </c>
      <c r="P271" s="397">
        <v>95</v>
      </c>
      <c r="Q271" s="114" t="str">
        <f t="shared" si="22"/>
        <v>Bayer 04 Leverkusen</v>
      </c>
      <c r="R271" s="115" t="s">
        <v>4</v>
      </c>
      <c r="S271" s="116" t="str">
        <f t="shared" si="23"/>
        <v>FC Augsburg</v>
      </c>
      <c r="T271" s="233">
        <v>46130</v>
      </c>
      <c r="U271" s="234">
        <v>0.64583333333333337</v>
      </c>
    </row>
    <row r="272" spans="6:21" ht="17.25" x14ac:dyDescent="0.2">
      <c r="F272" s="88">
        <f t="shared" si="24"/>
        <v>2</v>
      </c>
      <c r="G272" s="88" t="str">
        <f t="shared" si="25"/>
        <v>01340100</v>
      </c>
      <c r="H272" s="88" t="str">
        <f t="shared" si="26"/>
        <v>01000134</v>
      </c>
      <c r="I272" s="88">
        <f>IF($G272="",0,COUNTIF($G$7:$G272,$H272))</f>
        <v>1</v>
      </c>
      <c r="J272" s="88"/>
      <c r="K272" s="296" t="str">
        <f>Language!$E$57</f>
        <v>doppelt</v>
      </c>
      <c r="L272" s="270" t="str">
        <f>IF(Calc!$F$26=0,"",IF(OR($M272&gt;Calc!$B$24,MOD($M272-1,Calc!$F$26)&gt;0),"",QUOTIENT($M272-1,Calc!$F$26)+1))</f>
        <v/>
      </c>
      <c r="M272" s="107">
        <v>266</v>
      </c>
      <c r="N272" s="394">
        <v>134</v>
      </c>
      <c r="O272" s="113" t="s">
        <v>4</v>
      </c>
      <c r="P272" s="397">
        <v>100</v>
      </c>
      <c r="Q272" s="114" t="str">
        <f t="shared" si="22"/>
        <v>SV Werder Bremen</v>
      </c>
      <c r="R272" s="115" t="s">
        <v>4</v>
      </c>
      <c r="S272" s="116" t="str">
        <f t="shared" si="23"/>
        <v>Hamburger SV</v>
      </c>
      <c r="T272" s="233">
        <v>46130</v>
      </c>
      <c r="U272" s="234">
        <v>0.64583333333333337</v>
      </c>
    </row>
    <row r="273" spans="6:21" ht="17.25" x14ac:dyDescent="0.2">
      <c r="F273" s="88">
        <f t="shared" si="24"/>
        <v>2</v>
      </c>
      <c r="G273" s="88" t="str">
        <f t="shared" si="25"/>
        <v>00911635</v>
      </c>
      <c r="H273" s="88" t="str">
        <f t="shared" si="26"/>
        <v>16350091</v>
      </c>
      <c r="I273" s="88">
        <f>IF($G273="",0,COUNTIF($G$7:$G273,$H273))</f>
        <v>1</v>
      </c>
      <c r="J273" s="88"/>
      <c r="K273" s="296" t="str">
        <f>Language!$E$57</f>
        <v>doppelt</v>
      </c>
      <c r="L273" s="270" t="str">
        <f>IF(Calc!$F$26=0,"",IF(OR($M273&gt;Calc!$B$24,MOD($M273-1,Calc!$F$26)&gt;0),"",QUOTIENT($M273-1,Calc!$F$26)+1))</f>
        <v/>
      </c>
      <c r="M273" s="107">
        <v>267</v>
      </c>
      <c r="N273" s="394">
        <v>91</v>
      </c>
      <c r="O273" s="113" t="s">
        <v>4</v>
      </c>
      <c r="P273" s="397">
        <v>1635</v>
      </c>
      <c r="Q273" s="114" t="str">
        <f t="shared" si="22"/>
        <v>Eintracht Frankfurt</v>
      </c>
      <c r="R273" s="115" t="s">
        <v>4</v>
      </c>
      <c r="S273" s="116" t="str">
        <f t="shared" si="23"/>
        <v>RB Leipzig</v>
      </c>
      <c r="T273" s="233">
        <v>46130</v>
      </c>
      <c r="U273" s="234">
        <v>0.77083333333333337</v>
      </c>
    </row>
    <row r="274" spans="6:21" ht="17.25" x14ac:dyDescent="0.2">
      <c r="F274" s="88">
        <f t="shared" si="24"/>
        <v>2</v>
      </c>
      <c r="G274" s="88" t="str">
        <f t="shared" si="25"/>
        <v>01120199</v>
      </c>
      <c r="H274" s="88" t="str">
        <f t="shared" si="26"/>
        <v>01990112</v>
      </c>
      <c r="I274" s="88">
        <f>IF($G274="",0,COUNTIF($G$7:$G274,$H274))</f>
        <v>1</v>
      </c>
      <c r="J274" s="88"/>
      <c r="K274" s="296" t="str">
        <f>Language!$E$57</f>
        <v>doppelt</v>
      </c>
      <c r="L274" s="270" t="str">
        <f>IF(Calc!$F$26=0,"",IF(OR($M274&gt;Calc!$B$24,MOD($M274-1,Calc!$F$26)&gt;0),"",QUOTIENT($M274-1,Calc!$F$26)+1))</f>
        <v/>
      </c>
      <c r="M274" s="107">
        <v>268</v>
      </c>
      <c r="N274" s="394">
        <v>112</v>
      </c>
      <c r="O274" s="113" t="s">
        <v>4</v>
      </c>
      <c r="P274" s="397">
        <v>199</v>
      </c>
      <c r="Q274" s="114" t="str">
        <f t="shared" si="22"/>
        <v>SC Freiburg</v>
      </c>
      <c r="R274" s="115" t="s">
        <v>4</v>
      </c>
      <c r="S274" s="116" t="str">
        <f t="shared" si="23"/>
        <v>1. FC Heidenheim 1846</v>
      </c>
      <c r="T274" s="233">
        <v>46131</v>
      </c>
      <c r="U274" s="234">
        <v>0.64583333333333337</v>
      </c>
    </row>
    <row r="275" spans="6:21" ht="17.25" x14ac:dyDescent="0.2">
      <c r="F275" s="88">
        <f t="shared" si="24"/>
        <v>2</v>
      </c>
      <c r="G275" s="88" t="str">
        <f t="shared" si="25"/>
        <v>00400016</v>
      </c>
      <c r="H275" s="88" t="str">
        <f t="shared" si="26"/>
        <v>00160040</v>
      </c>
      <c r="I275" s="88">
        <f>IF($G275="",0,COUNTIF($G$7:$G275,$H275))</f>
        <v>1</v>
      </c>
      <c r="J275" s="88"/>
      <c r="K275" s="296" t="str">
        <f>Language!$E$57</f>
        <v>doppelt</v>
      </c>
      <c r="L275" s="270" t="str">
        <f>IF(Calc!$F$26=0,"",IF(OR($M275&gt;Calc!$B$24,MOD($M275-1,Calc!$F$26)&gt;0),"",QUOTIENT($M275-1,Calc!$F$26)+1))</f>
        <v/>
      </c>
      <c r="M275" s="107">
        <v>269</v>
      </c>
      <c r="N275" s="394">
        <v>40</v>
      </c>
      <c r="O275" s="113" t="s">
        <v>4</v>
      </c>
      <c r="P275" s="397">
        <v>16</v>
      </c>
      <c r="Q275" s="114" t="str">
        <f t="shared" si="22"/>
        <v>FC Bayern München</v>
      </c>
      <c r="R275" s="115" t="s">
        <v>4</v>
      </c>
      <c r="S275" s="116" t="str">
        <f t="shared" si="23"/>
        <v>VfB Stuttgart</v>
      </c>
      <c r="T275" s="233">
        <v>46131</v>
      </c>
      <c r="U275" s="234">
        <v>0.72916666666666663</v>
      </c>
    </row>
    <row r="276" spans="6:21" ht="17.25" x14ac:dyDescent="0.2">
      <c r="F276" s="88">
        <f t="shared" si="24"/>
        <v>2</v>
      </c>
      <c r="G276" s="88" t="str">
        <f t="shared" si="25"/>
        <v>00870081</v>
      </c>
      <c r="H276" s="88" t="str">
        <f t="shared" si="26"/>
        <v>00810087</v>
      </c>
      <c r="I276" s="88">
        <f>IF($G276="",0,COUNTIF($G$7:$G276,$H276))</f>
        <v>1</v>
      </c>
      <c r="J276" s="88"/>
      <c r="K276" s="296" t="str">
        <f>Language!$E$57</f>
        <v>doppelt</v>
      </c>
      <c r="L276" s="270" t="str">
        <f>IF(Calc!$F$26=0,"",IF(OR($M276&gt;Calc!$B$24,MOD($M276-1,Calc!$F$26)&gt;0),"",QUOTIENT($M276-1,Calc!$F$26)+1))</f>
        <v/>
      </c>
      <c r="M276" s="107">
        <v>270</v>
      </c>
      <c r="N276" s="394">
        <v>87</v>
      </c>
      <c r="O276" s="113" t="s">
        <v>4</v>
      </c>
      <c r="P276" s="397">
        <v>81</v>
      </c>
      <c r="Q276" s="114" t="str">
        <f t="shared" si="22"/>
        <v>Borussia Mönchengladbach</v>
      </c>
      <c r="R276" s="115" t="s">
        <v>4</v>
      </c>
      <c r="S276" s="116" t="str">
        <f t="shared" si="23"/>
        <v>1. FSV Mainz 05</v>
      </c>
      <c r="T276" s="233">
        <v>46131</v>
      </c>
      <c r="U276" s="234">
        <v>0.8125</v>
      </c>
    </row>
    <row r="277" spans="6:21" ht="17.25" x14ac:dyDescent="0.2">
      <c r="F277" s="88">
        <f t="shared" si="24"/>
        <v>2</v>
      </c>
      <c r="G277" s="88" t="str">
        <f t="shared" si="25"/>
        <v>16350080</v>
      </c>
      <c r="H277" s="88" t="str">
        <f t="shared" si="26"/>
        <v>00801635</v>
      </c>
      <c r="I277" s="88">
        <f>IF($G277="",0,COUNTIF($G$7:$G277,$H277))</f>
        <v>1</v>
      </c>
      <c r="J277" s="88"/>
      <c r="K277" s="296" t="str">
        <f>Language!$E$57</f>
        <v>doppelt</v>
      </c>
      <c r="L277" s="270">
        <f>IF(Calc!$F$26=0,"",IF(OR($M277&gt;Calc!$B$24,MOD($M277-1,Calc!$F$26)&gt;0),"",QUOTIENT($M277-1,Calc!$F$26)+1))</f>
        <v>31</v>
      </c>
      <c r="M277" s="107">
        <v>271</v>
      </c>
      <c r="N277" s="394">
        <v>1635</v>
      </c>
      <c r="O277" s="113" t="s">
        <v>4</v>
      </c>
      <c r="P277" s="397">
        <v>80</v>
      </c>
      <c r="Q277" s="114" t="str">
        <f t="shared" si="22"/>
        <v>RB Leipzig</v>
      </c>
      <c r="R277" s="115" t="s">
        <v>4</v>
      </c>
      <c r="S277" s="116" t="str">
        <f t="shared" si="23"/>
        <v>1. FC Union Berlin</v>
      </c>
      <c r="T277" s="233">
        <v>46136</v>
      </c>
      <c r="U277" s="234">
        <v>0.85416666666666663</v>
      </c>
    </row>
    <row r="278" spans="6:21" ht="17.25" x14ac:dyDescent="0.2">
      <c r="F278" s="88">
        <f t="shared" si="24"/>
        <v>2</v>
      </c>
      <c r="G278" s="88" t="str">
        <f t="shared" si="25"/>
        <v>01990098</v>
      </c>
      <c r="H278" s="88" t="str">
        <f t="shared" si="26"/>
        <v>00980199</v>
      </c>
      <c r="I278" s="88">
        <f>IF($G278="",0,COUNTIF($G$7:$G278,$H278))</f>
        <v>1</v>
      </c>
      <c r="J278" s="88"/>
      <c r="K278" s="296" t="str">
        <f>Language!$E$57</f>
        <v>doppelt</v>
      </c>
      <c r="L278" s="270" t="str">
        <f>IF(Calc!$F$26=0,"",IF(OR($M278&gt;Calc!$B$24,MOD($M278-1,Calc!$F$26)&gt;0),"",QUOTIENT($M278-1,Calc!$F$26)+1))</f>
        <v/>
      </c>
      <c r="M278" s="107">
        <v>272</v>
      </c>
      <c r="N278" s="394">
        <v>199</v>
      </c>
      <c r="O278" s="113" t="s">
        <v>4</v>
      </c>
      <c r="P278" s="397">
        <v>98</v>
      </c>
      <c r="Q278" s="114" t="str">
        <f t="shared" si="22"/>
        <v>1. FC Heidenheim 1846</v>
      </c>
      <c r="R278" s="115" t="s">
        <v>4</v>
      </c>
      <c r="S278" s="116" t="str">
        <f t="shared" si="23"/>
        <v>FC St. Pauli</v>
      </c>
      <c r="T278" s="233">
        <v>46137</v>
      </c>
      <c r="U278" s="234">
        <v>0.64583333333333337</v>
      </c>
    </row>
    <row r="279" spans="6:21" ht="17.25" x14ac:dyDescent="0.2">
      <c r="F279" s="88">
        <f t="shared" si="24"/>
        <v>2</v>
      </c>
      <c r="G279" s="88" t="str">
        <f t="shared" si="25"/>
        <v>00650006</v>
      </c>
      <c r="H279" s="88" t="str">
        <f t="shared" si="26"/>
        <v>00060065</v>
      </c>
      <c r="I279" s="88">
        <f>IF($G279="",0,COUNTIF($G$7:$G279,$H279))</f>
        <v>1</v>
      </c>
      <c r="J279" s="88"/>
      <c r="K279" s="296" t="str">
        <f>Language!$E$57</f>
        <v>doppelt</v>
      </c>
      <c r="L279" s="270" t="str">
        <f>IF(Calc!$F$26=0,"",IF(OR($M279&gt;Calc!$B$24,MOD($M279-1,Calc!$F$26)&gt;0),"",QUOTIENT($M279-1,Calc!$F$26)+1))</f>
        <v/>
      </c>
      <c r="M279" s="107">
        <v>273</v>
      </c>
      <c r="N279" s="394">
        <v>65</v>
      </c>
      <c r="O279" s="113" t="s">
        <v>4</v>
      </c>
      <c r="P279" s="397">
        <v>6</v>
      </c>
      <c r="Q279" s="114" t="str">
        <f t="shared" si="22"/>
        <v>1. FC Köln</v>
      </c>
      <c r="R279" s="115" t="s">
        <v>4</v>
      </c>
      <c r="S279" s="116" t="str">
        <f t="shared" si="23"/>
        <v>Bayer 04 Leverkusen</v>
      </c>
      <c r="T279" s="233">
        <v>46137</v>
      </c>
      <c r="U279" s="234">
        <v>0.64583333333333337</v>
      </c>
    </row>
    <row r="280" spans="6:21" ht="17.25" x14ac:dyDescent="0.2">
      <c r="F280" s="88">
        <f t="shared" si="24"/>
        <v>2</v>
      </c>
      <c r="G280" s="88" t="str">
        <f t="shared" si="25"/>
        <v>00950091</v>
      </c>
      <c r="H280" s="88" t="str">
        <f t="shared" si="26"/>
        <v>00910095</v>
      </c>
      <c r="I280" s="88">
        <f>IF($G280="",0,COUNTIF($G$7:$G280,$H280))</f>
        <v>1</v>
      </c>
      <c r="J280" s="88"/>
      <c r="K280" s="296" t="str">
        <f>Language!$E$57</f>
        <v>doppelt</v>
      </c>
      <c r="L280" s="270" t="str">
        <f>IF(Calc!$F$26=0,"",IF(OR($M280&gt;Calc!$B$24,MOD($M280-1,Calc!$F$26)&gt;0),"",QUOTIENT($M280-1,Calc!$F$26)+1))</f>
        <v/>
      </c>
      <c r="M280" s="107">
        <v>274</v>
      </c>
      <c r="N280" s="394">
        <v>95</v>
      </c>
      <c r="O280" s="113" t="s">
        <v>4</v>
      </c>
      <c r="P280" s="397">
        <v>91</v>
      </c>
      <c r="Q280" s="114" t="str">
        <f t="shared" si="22"/>
        <v>FC Augsburg</v>
      </c>
      <c r="R280" s="115" t="s">
        <v>4</v>
      </c>
      <c r="S280" s="116" t="str">
        <f t="shared" si="23"/>
        <v>Eintracht Frankfurt</v>
      </c>
      <c r="T280" s="233">
        <v>46137</v>
      </c>
      <c r="U280" s="234">
        <v>0.64583333333333337</v>
      </c>
    </row>
    <row r="281" spans="6:21" ht="17.25" x14ac:dyDescent="0.2">
      <c r="F281" s="88">
        <f t="shared" si="24"/>
        <v>2</v>
      </c>
      <c r="G281" s="88" t="str">
        <f t="shared" si="25"/>
        <v>00810040</v>
      </c>
      <c r="H281" s="88" t="str">
        <f t="shared" si="26"/>
        <v>00400081</v>
      </c>
      <c r="I281" s="88">
        <f>IF($G281="",0,COUNTIF($G$7:$G281,$H281))</f>
        <v>1</v>
      </c>
      <c r="J281" s="88"/>
      <c r="K281" s="296" t="str">
        <f>Language!$E$57</f>
        <v>doppelt</v>
      </c>
      <c r="L281" s="270" t="str">
        <f>IF(Calc!$F$26=0,"",IF(OR($M281&gt;Calc!$B$24,MOD($M281-1,Calc!$F$26)&gt;0),"",QUOTIENT($M281-1,Calc!$F$26)+1))</f>
        <v/>
      </c>
      <c r="M281" s="107">
        <v>275</v>
      </c>
      <c r="N281" s="394">
        <v>81</v>
      </c>
      <c r="O281" s="113" t="s">
        <v>4</v>
      </c>
      <c r="P281" s="397">
        <v>40</v>
      </c>
      <c r="Q281" s="114" t="str">
        <f t="shared" si="22"/>
        <v>1. FSV Mainz 05</v>
      </c>
      <c r="R281" s="115" t="s">
        <v>4</v>
      </c>
      <c r="S281" s="116" t="str">
        <f t="shared" si="23"/>
        <v>FC Bayern München</v>
      </c>
      <c r="T281" s="233">
        <v>46137</v>
      </c>
      <c r="U281" s="234">
        <v>0.64583333333333337</v>
      </c>
    </row>
    <row r="282" spans="6:21" ht="17.25" x14ac:dyDescent="0.2">
      <c r="F282" s="88">
        <f t="shared" si="24"/>
        <v>2</v>
      </c>
      <c r="G282" s="88" t="str">
        <f t="shared" si="25"/>
        <v>01310087</v>
      </c>
      <c r="H282" s="88" t="str">
        <f t="shared" si="26"/>
        <v>00870131</v>
      </c>
      <c r="I282" s="88">
        <f>IF($G282="",0,COUNTIF($G$7:$G282,$H282))</f>
        <v>1</v>
      </c>
      <c r="J282" s="88"/>
      <c r="K282" s="296" t="str">
        <f>Language!$E$57</f>
        <v>doppelt</v>
      </c>
      <c r="L282" s="270" t="str">
        <f>IF(Calc!$F$26=0,"",IF(OR($M282&gt;Calc!$B$24,MOD($M282-1,Calc!$F$26)&gt;0),"",QUOTIENT($M282-1,Calc!$F$26)+1))</f>
        <v/>
      </c>
      <c r="M282" s="107">
        <v>276</v>
      </c>
      <c r="N282" s="394">
        <v>131</v>
      </c>
      <c r="O282" s="113" t="s">
        <v>4</v>
      </c>
      <c r="P282" s="397">
        <v>87</v>
      </c>
      <c r="Q282" s="114" t="str">
        <f t="shared" si="22"/>
        <v>VfL Wolfsburg</v>
      </c>
      <c r="R282" s="115" t="s">
        <v>4</v>
      </c>
      <c r="S282" s="116" t="str">
        <f t="shared" si="23"/>
        <v>Borussia Mönchengladbach</v>
      </c>
      <c r="T282" s="233">
        <v>46137</v>
      </c>
      <c r="U282" s="234">
        <v>0.64583333333333337</v>
      </c>
    </row>
    <row r="283" spans="6:21" ht="17.25" x14ac:dyDescent="0.2">
      <c r="F283" s="88">
        <f t="shared" si="24"/>
        <v>2</v>
      </c>
      <c r="G283" s="88" t="str">
        <f t="shared" si="25"/>
        <v>01000175</v>
      </c>
      <c r="H283" s="88" t="str">
        <f t="shared" si="26"/>
        <v>01750100</v>
      </c>
      <c r="I283" s="88">
        <f>IF($G283="",0,COUNTIF($G$7:$G283,$H283))</f>
        <v>1</v>
      </c>
      <c r="J283" s="88"/>
      <c r="K283" s="296" t="str">
        <f>Language!$E$57</f>
        <v>doppelt</v>
      </c>
      <c r="L283" s="270" t="str">
        <f>IF(Calc!$F$26=0,"",IF(OR($M283&gt;Calc!$B$24,MOD($M283-1,Calc!$F$26)&gt;0),"",QUOTIENT($M283-1,Calc!$F$26)+1))</f>
        <v/>
      </c>
      <c r="M283" s="107">
        <v>277</v>
      </c>
      <c r="N283" s="394">
        <v>100</v>
      </c>
      <c r="O283" s="113" t="s">
        <v>4</v>
      </c>
      <c r="P283" s="397">
        <v>175</v>
      </c>
      <c r="Q283" s="114" t="str">
        <f t="shared" si="22"/>
        <v>Hamburger SV</v>
      </c>
      <c r="R283" s="115" t="s">
        <v>4</v>
      </c>
      <c r="S283" s="116" t="str">
        <f t="shared" si="23"/>
        <v>TSG Hoffenheim</v>
      </c>
      <c r="T283" s="233">
        <v>46137</v>
      </c>
      <c r="U283" s="234">
        <v>0.77083333333333337</v>
      </c>
    </row>
    <row r="284" spans="6:21" ht="17.25" x14ac:dyDescent="0.2">
      <c r="F284" s="88">
        <f t="shared" si="24"/>
        <v>2</v>
      </c>
      <c r="G284" s="88" t="str">
        <f t="shared" si="25"/>
        <v>00160134</v>
      </c>
      <c r="H284" s="88" t="str">
        <f t="shared" si="26"/>
        <v>01340016</v>
      </c>
      <c r="I284" s="88">
        <f>IF($G284="",0,COUNTIF($G$7:$G284,$H284))</f>
        <v>1</v>
      </c>
      <c r="J284" s="88"/>
      <c r="K284" s="296" t="str">
        <f>Language!$E$57</f>
        <v>doppelt</v>
      </c>
      <c r="L284" s="270" t="str">
        <f>IF(Calc!$F$26=0,"",IF(OR($M284&gt;Calc!$B$24,MOD($M284-1,Calc!$F$26)&gt;0),"",QUOTIENT($M284-1,Calc!$F$26)+1))</f>
        <v/>
      </c>
      <c r="M284" s="107">
        <v>278</v>
      </c>
      <c r="N284" s="394">
        <v>16</v>
      </c>
      <c r="O284" s="113" t="s">
        <v>4</v>
      </c>
      <c r="P284" s="397">
        <v>134</v>
      </c>
      <c r="Q284" s="114" t="str">
        <f t="shared" si="22"/>
        <v>VfB Stuttgart</v>
      </c>
      <c r="R284" s="115" t="s">
        <v>4</v>
      </c>
      <c r="S284" s="116" t="str">
        <f t="shared" si="23"/>
        <v>SV Werder Bremen</v>
      </c>
      <c r="T284" s="233">
        <v>46138</v>
      </c>
      <c r="U284" s="234">
        <v>0.64583333333333337</v>
      </c>
    </row>
    <row r="285" spans="6:21" ht="17.25" x14ac:dyDescent="0.2">
      <c r="F285" s="88">
        <f t="shared" si="24"/>
        <v>2</v>
      </c>
      <c r="G285" s="88" t="str">
        <f t="shared" si="25"/>
        <v>00070112</v>
      </c>
      <c r="H285" s="88" t="str">
        <f t="shared" si="26"/>
        <v>01120007</v>
      </c>
      <c r="I285" s="88">
        <f>IF($G285="",0,COUNTIF($G$7:$G285,$H285))</f>
        <v>1</v>
      </c>
      <c r="J285" s="88"/>
      <c r="K285" s="296" t="str">
        <f>Language!$E$57</f>
        <v>doppelt</v>
      </c>
      <c r="L285" s="270" t="str">
        <f>IF(Calc!$F$26=0,"",IF(OR($M285&gt;Calc!$B$24,MOD($M285-1,Calc!$F$26)&gt;0),"",QUOTIENT($M285-1,Calc!$F$26)+1))</f>
        <v/>
      </c>
      <c r="M285" s="107">
        <v>279</v>
      </c>
      <c r="N285" s="394">
        <v>7</v>
      </c>
      <c r="O285" s="113" t="s">
        <v>4</v>
      </c>
      <c r="P285" s="397">
        <v>112</v>
      </c>
      <c r="Q285" s="114" t="str">
        <f t="shared" si="22"/>
        <v>Borussia Dortmund</v>
      </c>
      <c r="R285" s="115" t="s">
        <v>4</v>
      </c>
      <c r="S285" s="116" t="str">
        <f t="shared" si="23"/>
        <v>SC Freiburg</v>
      </c>
      <c r="T285" s="233">
        <v>46138</v>
      </c>
      <c r="U285" s="234">
        <v>0.72916666666666663</v>
      </c>
    </row>
    <row r="286" spans="6:21" ht="17.25" x14ac:dyDescent="0.2">
      <c r="F286" s="88">
        <f t="shared" si="24"/>
        <v>2</v>
      </c>
      <c r="G286" s="88" t="str">
        <f t="shared" si="25"/>
        <v>00800065</v>
      </c>
      <c r="H286" s="88" t="str">
        <f t="shared" si="26"/>
        <v>00650080</v>
      </c>
      <c r="I286" s="88">
        <f>IF($G286="",0,COUNTIF($G$7:$G286,$H286))</f>
        <v>1</v>
      </c>
      <c r="J286" s="88"/>
      <c r="K286" s="296" t="str">
        <f>Language!$E$57</f>
        <v>doppelt</v>
      </c>
      <c r="L286" s="270">
        <f>IF(Calc!$F$26=0,"",IF(OR($M286&gt;Calc!$B$24,MOD($M286-1,Calc!$F$26)&gt;0),"",QUOTIENT($M286-1,Calc!$F$26)+1))</f>
        <v>32</v>
      </c>
      <c r="M286" s="107">
        <v>280</v>
      </c>
      <c r="N286" s="394">
        <v>80</v>
      </c>
      <c r="O286" s="113" t="s">
        <v>4</v>
      </c>
      <c r="P286" s="397">
        <v>65</v>
      </c>
      <c r="Q286" s="114" t="str">
        <f t="shared" si="22"/>
        <v>1. FC Union Berlin</v>
      </c>
      <c r="R286" s="115" t="s">
        <v>4</v>
      </c>
      <c r="S286" s="116" t="str">
        <f t="shared" si="23"/>
        <v>1. FC Köln</v>
      </c>
      <c r="T286" s="233">
        <v>46144</v>
      </c>
      <c r="U286" s="234">
        <v>0.64583333333333337</v>
      </c>
    </row>
    <row r="287" spans="6:21" ht="17.25" x14ac:dyDescent="0.2">
      <c r="F287" s="88">
        <f t="shared" si="24"/>
        <v>2</v>
      </c>
      <c r="G287" s="88" t="str">
        <f t="shared" si="25"/>
        <v>01750016</v>
      </c>
      <c r="H287" s="88" t="str">
        <f t="shared" si="26"/>
        <v>00160175</v>
      </c>
      <c r="I287" s="88">
        <f>IF($G287="",0,COUNTIF($G$7:$G287,$H287))</f>
        <v>1</v>
      </c>
      <c r="J287" s="88"/>
      <c r="K287" s="296" t="str">
        <f>Language!$E$57</f>
        <v>doppelt</v>
      </c>
      <c r="L287" s="270" t="str">
        <f>IF(Calc!$F$26=0,"",IF(OR($M287&gt;Calc!$B$24,MOD($M287-1,Calc!$F$26)&gt;0),"",QUOTIENT($M287-1,Calc!$F$26)+1))</f>
        <v/>
      </c>
      <c r="M287" s="107">
        <v>281</v>
      </c>
      <c r="N287" s="394">
        <v>175</v>
      </c>
      <c r="O287" s="113" t="s">
        <v>4</v>
      </c>
      <c r="P287" s="397">
        <v>16</v>
      </c>
      <c r="Q287" s="114" t="str">
        <f t="shared" si="22"/>
        <v>TSG Hoffenheim</v>
      </c>
      <c r="R287" s="115" t="s">
        <v>4</v>
      </c>
      <c r="S287" s="116" t="str">
        <f t="shared" si="23"/>
        <v>VfB Stuttgart</v>
      </c>
      <c r="T287" s="233">
        <v>46144</v>
      </c>
      <c r="U287" s="234">
        <v>0.64583333333333337</v>
      </c>
    </row>
    <row r="288" spans="6:21" ht="17.25" x14ac:dyDescent="0.2">
      <c r="F288" s="88">
        <f t="shared" si="24"/>
        <v>2</v>
      </c>
      <c r="G288" s="88" t="str">
        <f t="shared" si="25"/>
        <v>01340095</v>
      </c>
      <c r="H288" s="88" t="str">
        <f t="shared" si="26"/>
        <v>00950134</v>
      </c>
      <c r="I288" s="88">
        <f>IF($G288="",0,COUNTIF($G$7:$G288,$H288))</f>
        <v>1</v>
      </c>
      <c r="J288" s="88"/>
      <c r="K288" s="296" t="str">
        <f>Language!$E$57</f>
        <v>doppelt</v>
      </c>
      <c r="L288" s="270" t="str">
        <f>IF(Calc!$F$26=0,"",IF(OR($M288&gt;Calc!$B$24,MOD($M288-1,Calc!$F$26)&gt;0),"",QUOTIENT($M288-1,Calc!$F$26)+1))</f>
        <v/>
      </c>
      <c r="M288" s="107">
        <v>282</v>
      </c>
      <c r="N288" s="394">
        <v>134</v>
      </c>
      <c r="O288" s="113" t="s">
        <v>4</v>
      </c>
      <c r="P288" s="397">
        <v>95</v>
      </c>
      <c r="Q288" s="114" t="str">
        <f t="shared" si="22"/>
        <v>SV Werder Bremen</v>
      </c>
      <c r="R288" s="115" t="s">
        <v>4</v>
      </c>
      <c r="S288" s="116" t="str">
        <f t="shared" si="23"/>
        <v>FC Augsburg</v>
      </c>
      <c r="T288" s="233">
        <v>46144</v>
      </c>
      <c r="U288" s="234">
        <v>0.64583333333333337</v>
      </c>
    </row>
    <row r="289" spans="6:21" ht="17.25" x14ac:dyDescent="0.2">
      <c r="F289" s="88">
        <f t="shared" si="24"/>
        <v>2</v>
      </c>
      <c r="G289" s="88" t="str">
        <f t="shared" si="25"/>
        <v>00400199</v>
      </c>
      <c r="H289" s="88" t="str">
        <f t="shared" si="26"/>
        <v>01990040</v>
      </c>
      <c r="I289" s="88">
        <f>IF($G289="",0,COUNTIF($G$7:$G289,$H289))</f>
        <v>1</v>
      </c>
      <c r="J289" s="88"/>
      <c r="K289" s="296" t="str">
        <f>Language!$E$57</f>
        <v>doppelt</v>
      </c>
      <c r="L289" s="270" t="str">
        <f>IF(Calc!$F$26=0,"",IF(OR($M289&gt;Calc!$B$24,MOD($M289-1,Calc!$F$26)&gt;0),"",QUOTIENT($M289-1,Calc!$F$26)+1))</f>
        <v/>
      </c>
      <c r="M289" s="107">
        <v>283</v>
      </c>
      <c r="N289" s="394">
        <v>40</v>
      </c>
      <c r="O289" s="113" t="s">
        <v>4</v>
      </c>
      <c r="P289" s="397">
        <v>199</v>
      </c>
      <c r="Q289" s="114" t="str">
        <f t="shared" si="22"/>
        <v>FC Bayern München</v>
      </c>
      <c r="R289" s="115" t="s">
        <v>4</v>
      </c>
      <c r="S289" s="116" t="str">
        <f t="shared" si="23"/>
        <v>1. FC Heidenheim 1846</v>
      </c>
      <c r="T289" s="233">
        <v>46144</v>
      </c>
      <c r="U289" s="234">
        <v>0.64583333333333337</v>
      </c>
    </row>
    <row r="290" spans="6:21" ht="17.25" x14ac:dyDescent="0.2">
      <c r="F290" s="88">
        <f t="shared" si="24"/>
        <v>2</v>
      </c>
      <c r="G290" s="88" t="str">
        <f t="shared" si="25"/>
        <v>00910100</v>
      </c>
      <c r="H290" s="88" t="str">
        <f t="shared" si="26"/>
        <v>01000091</v>
      </c>
      <c r="I290" s="88">
        <f>IF($G290="",0,COUNTIF($G$7:$G290,$H290))</f>
        <v>1</v>
      </c>
      <c r="J290" s="88"/>
      <c r="K290" s="296" t="str">
        <f>Language!$E$57</f>
        <v>doppelt</v>
      </c>
      <c r="L290" s="270" t="str">
        <f>IF(Calc!$F$26=0,"",IF(OR($M290&gt;Calc!$B$24,MOD($M290-1,Calc!$F$26)&gt;0),"",QUOTIENT($M290-1,Calc!$F$26)+1))</f>
        <v/>
      </c>
      <c r="M290" s="107">
        <v>284</v>
      </c>
      <c r="N290" s="394">
        <v>91</v>
      </c>
      <c r="O290" s="113" t="s">
        <v>4</v>
      </c>
      <c r="P290" s="397">
        <v>100</v>
      </c>
      <c r="Q290" s="114" t="str">
        <f t="shared" si="22"/>
        <v>Eintracht Frankfurt</v>
      </c>
      <c r="R290" s="115" t="s">
        <v>4</v>
      </c>
      <c r="S290" s="116" t="str">
        <f t="shared" si="23"/>
        <v>Hamburger SV</v>
      </c>
      <c r="T290" s="233">
        <v>46144</v>
      </c>
      <c r="U290" s="234">
        <v>0.64583333333333337</v>
      </c>
    </row>
    <row r="291" spans="6:21" ht="17.25" x14ac:dyDescent="0.2">
      <c r="F291" s="88">
        <f t="shared" si="24"/>
        <v>2</v>
      </c>
      <c r="G291" s="88" t="str">
        <f t="shared" si="25"/>
        <v>00061635</v>
      </c>
      <c r="H291" s="88" t="str">
        <f t="shared" si="26"/>
        <v>16350006</v>
      </c>
      <c r="I291" s="88">
        <f>IF($G291="",0,COUNTIF($G$7:$G291,$H291))</f>
        <v>1</v>
      </c>
      <c r="J291" s="88"/>
      <c r="K291" s="296" t="str">
        <f>Language!$E$57</f>
        <v>doppelt</v>
      </c>
      <c r="L291" s="270" t="str">
        <f>IF(Calc!$F$26=0,"",IF(OR($M291&gt;Calc!$B$24,MOD($M291-1,Calc!$F$26)&gt;0),"",QUOTIENT($M291-1,Calc!$F$26)+1))</f>
        <v/>
      </c>
      <c r="M291" s="107">
        <v>285</v>
      </c>
      <c r="N291" s="394">
        <v>6</v>
      </c>
      <c r="O291" s="113" t="s">
        <v>4</v>
      </c>
      <c r="P291" s="397">
        <v>1635</v>
      </c>
      <c r="Q291" s="114" t="str">
        <f t="shared" si="22"/>
        <v>Bayer 04 Leverkusen</v>
      </c>
      <c r="R291" s="115" t="s">
        <v>4</v>
      </c>
      <c r="S291" s="116" t="str">
        <f t="shared" si="23"/>
        <v>RB Leipzig</v>
      </c>
      <c r="T291" s="233">
        <v>46144</v>
      </c>
      <c r="U291" s="234">
        <v>0.77083333333333337</v>
      </c>
    </row>
    <row r="292" spans="6:21" ht="17.25" x14ac:dyDescent="0.2">
      <c r="F292" s="88">
        <f t="shared" si="24"/>
        <v>2</v>
      </c>
      <c r="G292" s="88" t="str">
        <f t="shared" si="25"/>
        <v>00980081</v>
      </c>
      <c r="H292" s="88" t="str">
        <f t="shared" si="26"/>
        <v>00810098</v>
      </c>
      <c r="I292" s="88">
        <f>IF($G292="",0,COUNTIF($G$7:$G292,$H292))</f>
        <v>1</v>
      </c>
      <c r="J292" s="88"/>
      <c r="K292" s="296" t="str">
        <f>Language!$E$57</f>
        <v>doppelt</v>
      </c>
      <c r="L292" s="270" t="str">
        <f>IF(Calc!$F$26=0,"",IF(OR($M292&gt;Calc!$B$24,MOD($M292-1,Calc!$F$26)&gt;0),"",QUOTIENT($M292-1,Calc!$F$26)+1))</f>
        <v/>
      </c>
      <c r="M292" s="107">
        <v>286</v>
      </c>
      <c r="N292" s="394">
        <v>98</v>
      </c>
      <c r="O292" s="113" t="s">
        <v>4</v>
      </c>
      <c r="P292" s="397">
        <v>81</v>
      </c>
      <c r="Q292" s="114" t="str">
        <f t="shared" si="22"/>
        <v>FC St. Pauli</v>
      </c>
      <c r="R292" s="115" t="s">
        <v>4</v>
      </c>
      <c r="S292" s="116" t="str">
        <f t="shared" si="23"/>
        <v>1. FSV Mainz 05</v>
      </c>
      <c r="T292" s="233">
        <v>46145</v>
      </c>
      <c r="U292" s="234">
        <v>0.64583333333333337</v>
      </c>
    </row>
    <row r="293" spans="6:21" ht="17.25" x14ac:dyDescent="0.2">
      <c r="F293" s="88">
        <f t="shared" si="24"/>
        <v>2</v>
      </c>
      <c r="G293" s="88" t="str">
        <f t="shared" si="25"/>
        <v>00870007</v>
      </c>
      <c r="H293" s="88" t="str">
        <f t="shared" si="26"/>
        <v>00070087</v>
      </c>
      <c r="I293" s="88">
        <f>IF($G293="",0,COUNTIF($G$7:$G293,$H293))</f>
        <v>1</v>
      </c>
      <c r="J293" s="88"/>
      <c r="K293" s="296" t="str">
        <f>Language!$E$57</f>
        <v>doppelt</v>
      </c>
      <c r="L293" s="270" t="str">
        <f>IF(Calc!$F$26=0,"",IF(OR($M293&gt;Calc!$B$24,MOD($M293-1,Calc!$F$26)&gt;0),"",QUOTIENT($M293-1,Calc!$F$26)+1))</f>
        <v/>
      </c>
      <c r="M293" s="107">
        <v>287</v>
      </c>
      <c r="N293" s="394">
        <v>87</v>
      </c>
      <c r="O293" s="113" t="s">
        <v>4</v>
      </c>
      <c r="P293" s="397">
        <v>7</v>
      </c>
      <c r="Q293" s="114" t="str">
        <f t="shared" si="22"/>
        <v>Borussia Mönchengladbach</v>
      </c>
      <c r="R293" s="115" t="s">
        <v>4</v>
      </c>
      <c r="S293" s="116" t="str">
        <f t="shared" si="23"/>
        <v>Borussia Dortmund</v>
      </c>
      <c r="T293" s="233">
        <v>46145</v>
      </c>
      <c r="U293" s="234">
        <v>0.72916666666666663</v>
      </c>
    </row>
    <row r="294" spans="6:21" ht="17.25" x14ac:dyDescent="0.2">
      <c r="F294" s="88">
        <f t="shared" si="24"/>
        <v>2</v>
      </c>
      <c r="G294" s="88" t="str">
        <f t="shared" si="25"/>
        <v>01120131</v>
      </c>
      <c r="H294" s="88" t="str">
        <f t="shared" si="26"/>
        <v>01310112</v>
      </c>
      <c r="I294" s="88">
        <f>IF($G294="",0,COUNTIF($G$7:$G294,$H294))</f>
        <v>1</v>
      </c>
      <c r="J294" s="88"/>
      <c r="K294" s="296" t="str">
        <f>Language!$E$57</f>
        <v>doppelt</v>
      </c>
      <c r="L294" s="270" t="str">
        <f>IF(Calc!$F$26=0,"",IF(OR($M294&gt;Calc!$B$24,MOD($M294-1,Calc!$F$26)&gt;0),"",QUOTIENT($M294-1,Calc!$F$26)+1))</f>
        <v/>
      </c>
      <c r="M294" s="107">
        <v>288</v>
      </c>
      <c r="N294" s="394">
        <v>112</v>
      </c>
      <c r="O294" s="113" t="s">
        <v>4</v>
      </c>
      <c r="P294" s="397">
        <v>131</v>
      </c>
      <c r="Q294" s="114" t="str">
        <f t="shared" si="22"/>
        <v>SC Freiburg</v>
      </c>
      <c r="R294" s="115" t="s">
        <v>4</v>
      </c>
      <c r="S294" s="116" t="str">
        <f t="shared" si="23"/>
        <v>VfL Wolfsburg</v>
      </c>
      <c r="T294" s="233">
        <v>46145</v>
      </c>
      <c r="U294" s="234">
        <v>0.8125</v>
      </c>
    </row>
    <row r="295" spans="6:21" ht="17.25" x14ac:dyDescent="0.2">
      <c r="F295" s="88">
        <f t="shared" si="24"/>
        <v>2</v>
      </c>
      <c r="G295" s="88" t="str">
        <f t="shared" si="25"/>
        <v>00070091</v>
      </c>
      <c r="H295" s="88" t="str">
        <f t="shared" si="26"/>
        <v>00910007</v>
      </c>
      <c r="I295" s="88">
        <f>IF($G295="",0,COUNTIF($G$7:$G295,$H295))</f>
        <v>1</v>
      </c>
      <c r="J295" s="88"/>
      <c r="K295" s="296" t="str">
        <f>Language!$E$57</f>
        <v>doppelt</v>
      </c>
      <c r="L295" s="270">
        <f>IF(Calc!$F$26=0,"",IF(OR($M295&gt;Calc!$B$24,MOD($M295-1,Calc!$F$26)&gt;0),"",QUOTIENT($M295-1,Calc!$F$26)+1))</f>
        <v>33</v>
      </c>
      <c r="M295" s="107">
        <v>289</v>
      </c>
      <c r="N295" s="394">
        <v>7</v>
      </c>
      <c r="O295" s="113" t="s">
        <v>4</v>
      </c>
      <c r="P295" s="397">
        <v>91</v>
      </c>
      <c r="Q295" s="114" t="str">
        <f t="shared" si="22"/>
        <v>Borussia Dortmund</v>
      </c>
      <c r="R295" s="115" t="s">
        <v>4</v>
      </c>
      <c r="S295" s="116" t="str">
        <f t="shared" si="23"/>
        <v>Eintracht Frankfurt</v>
      </c>
      <c r="T295" s="233">
        <v>46150</v>
      </c>
      <c r="U295" s="234">
        <v>0.85416666666666663</v>
      </c>
    </row>
    <row r="296" spans="6:21" ht="17.25" x14ac:dyDescent="0.2">
      <c r="F296" s="88">
        <f t="shared" si="24"/>
        <v>2</v>
      </c>
      <c r="G296" s="88" t="str">
        <f t="shared" si="25"/>
        <v>00950087</v>
      </c>
      <c r="H296" s="88" t="str">
        <f t="shared" si="26"/>
        <v>00870095</v>
      </c>
      <c r="I296" s="88">
        <f>IF($G296="",0,COUNTIF($G$7:$G296,$H296))</f>
        <v>1</v>
      </c>
      <c r="J296" s="88"/>
      <c r="K296" s="296" t="str">
        <f>Language!$E$57</f>
        <v>doppelt</v>
      </c>
      <c r="L296" s="270" t="str">
        <f>IF(Calc!$F$26=0,"",IF(OR($M296&gt;Calc!$B$24,MOD($M296-1,Calc!$F$26)&gt;0),"",QUOTIENT($M296-1,Calc!$F$26)+1))</f>
        <v/>
      </c>
      <c r="M296" s="107">
        <v>290</v>
      </c>
      <c r="N296" s="394">
        <v>95</v>
      </c>
      <c r="O296" s="113" t="s">
        <v>4</v>
      </c>
      <c r="P296" s="397">
        <v>87</v>
      </c>
      <c r="Q296" s="114" t="str">
        <f t="shared" si="22"/>
        <v>FC Augsburg</v>
      </c>
      <c r="R296" s="115" t="s">
        <v>4</v>
      </c>
      <c r="S296" s="116" t="str">
        <f t="shared" si="23"/>
        <v>Borussia Mönchengladbach</v>
      </c>
      <c r="T296" s="233">
        <v>46151</v>
      </c>
      <c r="U296" s="234">
        <v>0.64583333333333337</v>
      </c>
    </row>
    <row r="297" spans="6:21" ht="17.25" x14ac:dyDescent="0.2">
      <c r="F297" s="88">
        <f t="shared" si="24"/>
        <v>2</v>
      </c>
      <c r="G297" s="88" t="str">
        <f t="shared" si="25"/>
        <v>01750134</v>
      </c>
      <c r="H297" s="88" t="str">
        <f t="shared" si="26"/>
        <v>01340175</v>
      </c>
      <c r="I297" s="88">
        <f>IF($G297="",0,COUNTIF($G$7:$G297,$H297))</f>
        <v>1</v>
      </c>
      <c r="J297" s="88"/>
      <c r="K297" s="296" t="str">
        <f>Language!$E$57</f>
        <v>doppelt</v>
      </c>
      <c r="L297" s="270" t="str">
        <f>IF(Calc!$F$26=0,"",IF(OR($M297&gt;Calc!$B$24,MOD($M297-1,Calc!$F$26)&gt;0),"",QUOTIENT($M297-1,Calc!$F$26)+1))</f>
        <v/>
      </c>
      <c r="M297" s="107">
        <v>291</v>
      </c>
      <c r="N297" s="394">
        <v>175</v>
      </c>
      <c r="O297" s="113" t="s">
        <v>4</v>
      </c>
      <c r="P297" s="397">
        <v>134</v>
      </c>
      <c r="Q297" s="114" t="str">
        <f t="shared" si="22"/>
        <v>TSG Hoffenheim</v>
      </c>
      <c r="R297" s="115" t="s">
        <v>4</v>
      </c>
      <c r="S297" s="116" t="str">
        <f t="shared" si="23"/>
        <v>SV Werder Bremen</v>
      </c>
      <c r="T297" s="233">
        <v>46151</v>
      </c>
      <c r="U297" s="234">
        <v>0.64583333333333337</v>
      </c>
    </row>
    <row r="298" spans="6:21" ht="17.25" x14ac:dyDescent="0.2">
      <c r="F298" s="88">
        <f t="shared" si="24"/>
        <v>2</v>
      </c>
      <c r="G298" s="88" t="str">
        <f t="shared" si="25"/>
        <v>16350098</v>
      </c>
      <c r="H298" s="88" t="str">
        <f t="shared" si="26"/>
        <v>00981635</v>
      </c>
      <c r="I298" s="88">
        <f>IF($G298="",0,COUNTIF($G$7:$G298,$H298))</f>
        <v>1</v>
      </c>
      <c r="J298" s="88"/>
      <c r="K298" s="296" t="str">
        <f>Language!$E$57</f>
        <v>doppelt</v>
      </c>
      <c r="L298" s="270" t="str">
        <f>IF(Calc!$F$26=0,"",IF(OR($M298&gt;Calc!$B$24,MOD($M298-1,Calc!$F$26)&gt;0),"",QUOTIENT($M298-1,Calc!$F$26)+1))</f>
        <v/>
      </c>
      <c r="M298" s="107">
        <v>292</v>
      </c>
      <c r="N298" s="394">
        <v>1635</v>
      </c>
      <c r="O298" s="113" t="s">
        <v>4</v>
      </c>
      <c r="P298" s="397">
        <v>98</v>
      </c>
      <c r="Q298" s="114" t="str">
        <f t="shared" si="22"/>
        <v>RB Leipzig</v>
      </c>
      <c r="R298" s="115" t="s">
        <v>4</v>
      </c>
      <c r="S298" s="116" t="str">
        <f t="shared" si="23"/>
        <v>FC St. Pauli</v>
      </c>
      <c r="T298" s="233">
        <v>46151</v>
      </c>
      <c r="U298" s="234">
        <v>0.64583333333333337</v>
      </c>
    </row>
    <row r="299" spans="6:21" ht="17.25" x14ac:dyDescent="0.2">
      <c r="F299" s="88">
        <f t="shared" si="24"/>
        <v>2</v>
      </c>
      <c r="G299" s="88" t="str">
        <f t="shared" si="25"/>
        <v>00160006</v>
      </c>
      <c r="H299" s="88" t="str">
        <f t="shared" si="26"/>
        <v>00060016</v>
      </c>
      <c r="I299" s="88">
        <f>IF($G299="",0,COUNTIF($G$7:$G299,$H299))</f>
        <v>1</v>
      </c>
      <c r="J299" s="88"/>
      <c r="K299" s="296" t="str">
        <f>Language!$E$57</f>
        <v>doppelt</v>
      </c>
      <c r="L299" s="270" t="str">
        <f>IF(Calc!$F$26=0,"",IF(OR($M299&gt;Calc!$B$24,MOD($M299-1,Calc!$F$26)&gt;0),"",QUOTIENT($M299-1,Calc!$F$26)+1))</f>
        <v/>
      </c>
      <c r="M299" s="107">
        <v>293</v>
      </c>
      <c r="N299" s="394">
        <v>16</v>
      </c>
      <c r="O299" s="113" t="s">
        <v>4</v>
      </c>
      <c r="P299" s="397">
        <v>6</v>
      </c>
      <c r="Q299" s="114" t="str">
        <f t="shared" si="22"/>
        <v>VfB Stuttgart</v>
      </c>
      <c r="R299" s="115" t="s">
        <v>4</v>
      </c>
      <c r="S299" s="116" t="str">
        <f t="shared" si="23"/>
        <v>Bayer 04 Leverkusen</v>
      </c>
      <c r="T299" s="233">
        <v>46151</v>
      </c>
      <c r="U299" s="234">
        <v>0.64583333333333337</v>
      </c>
    </row>
    <row r="300" spans="6:21" ht="17.25" x14ac:dyDescent="0.2">
      <c r="F300" s="88">
        <f t="shared" si="24"/>
        <v>2</v>
      </c>
      <c r="G300" s="88" t="str">
        <f t="shared" si="25"/>
        <v>01310040</v>
      </c>
      <c r="H300" s="88" t="str">
        <f t="shared" si="26"/>
        <v>00400131</v>
      </c>
      <c r="I300" s="88">
        <f>IF($G300="",0,COUNTIF($G$7:$G300,$H300))</f>
        <v>1</v>
      </c>
      <c r="J300" s="88"/>
      <c r="K300" s="296" t="str">
        <f>Language!$E$57</f>
        <v>doppelt</v>
      </c>
      <c r="L300" s="270" t="str">
        <f>IF(Calc!$F$26=0,"",IF(OR($M300&gt;Calc!$B$24,MOD($M300-1,Calc!$F$26)&gt;0),"",QUOTIENT($M300-1,Calc!$F$26)+1))</f>
        <v/>
      </c>
      <c r="M300" s="107">
        <v>294</v>
      </c>
      <c r="N300" s="394">
        <v>131</v>
      </c>
      <c r="O300" s="113" t="s">
        <v>4</v>
      </c>
      <c r="P300" s="397">
        <v>40</v>
      </c>
      <c r="Q300" s="114" t="str">
        <f t="shared" si="22"/>
        <v>VfL Wolfsburg</v>
      </c>
      <c r="R300" s="115" t="s">
        <v>4</v>
      </c>
      <c r="S300" s="116" t="str">
        <f t="shared" si="23"/>
        <v>FC Bayern München</v>
      </c>
      <c r="T300" s="233">
        <v>46151</v>
      </c>
      <c r="U300" s="234">
        <v>0.77083333333333337</v>
      </c>
    </row>
    <row r="301" spans="6:21" ht="17.25" x14ac:dyDescent="0.2">
      <c r="F301" s="88">
        <f t="shared" si="24"/>
        <v>2</v>
      </c>
      <c r="G301" s="88" t="str">
        <f t="shared" si="25"/>
        <v>01000112</v>
      </c>
      <c r="H301" s="88" t="str">
        <f t="shared" si="26"/>
        <v>01120100</v>
      </c>
      <c r="I301" s="88">
        <f>IF($G301="",0,COUNTIF($G$7:$G301,$H301))</f>
        <v>1</v>
      </c>
      <c r="J301" s="88"/>
      <c r="K301" s="296" t="str">
        <f>Language!$E$57</f>
        <v>doppelt</v>
      </c>
      <c r="L301" s="270" t="str">
        <f>IF(Calc!$F$26=0,"",IF(OR($M301&gt;Calc!$B$24,MOD($M301-1,Calc!$F$26)&gt;0),"",QUOTIENT($M301-1,Calc!$F$26)+1))</f>
        <v/>
      </c>
      <c r="M301" s="107">
        <v>295</v>
      </c>
      <c r="N301" s="394">
        <v>100</v>
      </c>
      <c r="O301" s="113" t="s">
        <v>4</v>
      </c>
      <c r="P301" s="397">
        <v>112</v>
      </c>
      <c r="Q301" s="114" t="str">
        <f t="shared" si="22"/>
        <v>Hamburger SV</v>
      </c>
      <c r="R301" s="115" t="s">
        <v>4</v>
      </c>
      <c r="S301" s="116" t="str">
        <f t="shared" si="23"/>
        <v>SC Freiburg</v>
      </c>
      <c r="T301" s="233">
        <v>46152</v>
      </c>
      <c r="U301" s="234">
        <v>0.64583333333333337</v>
      </c>
    </row>
    <row r="302" spans="6:21" ht="17.25" x14ac:dyDescent="0.2">
      <c r="F302" s="88">
        <f t="shared" si="24"/>
        <v>2</v>
      </c>
      <c r="G302" s="88" t="str">
        <f t="shared" si="25"/>
        <v>00650199</v>
      </c>
      <c r="H302" s="88" t="str">
        <f t="shared" si="26"/>
        <v>01990065</v>
      </c>
      <c r="I302" s="88">
        <f>IF($G302="",0,COUNTIF($G$7:$G302,$H302))</f>
        <v>1</v>
      </c>
      <c r="J302" s="88"/>
      <c r="K302" s="296" t="str">
        <f>Language!$E$57</f>
        <v>doppelt</v>
      </c>
      <c r="L302" s="270" t="str">
        <f>IF(Calc!$F$26=0,"",IF(OR($M302&gt;Calc!$B$24,MOD($M302-1,Calc!$F$26)&gt;0),"",QUOTIENT($M302-1,Calc!$F$26)+1))</f>
        <v/>
      </c>
      <c r="M302" s="107">
        <v>296</v>
      </c>
      <c r="N302" s="394">
        <v>65</v>
      </c>
      <c r="O302" s="113" t="s">
        <v>4</v>
      </c>
      <c r="P302" s="397">
        <v>199</v>
      </c>
      <c r="Q302" s="114" t="str">
        <f t="shared" si="22"/>
        <v>1. FC Köln</v>
      </c>
      <c r="R302" s="115" t="s">
        <v>4</v>
      </c>
      <c r="S302" s="116" t="str">
        <f t="shared" si="23"/>
        <v>1. FC Heidenheim 1846</v>
      </c>
      <c r="T302" s="233">
        <v>46152</v>
      </c>
      <c r="U302" s="234">
        <v>0.72916666666666663</v>
      </c>
    </row>
    <row r="303" spans="6:21" ht="17.25" x14ac:dyDescent="0.2">
      <c r="F303" s="88">
        <f t="shared" si="24"/>
        <v>2</v>
      </c>
      <c r="G303" s="88" t="str">
        <f t="shared" si="25"/>
        <v>00810080</v>
      </c>
      <c r="H303" s="88" t="str">
        <f t="shared" si="26"/>
        <v>00800081</v>
      </c>
      <c r="I303" s="88">
        <f>IF($G303="",0,COUNTIF($G$7:$G303,$H303))</f>
        <v>1</v>
      </c>
      <c r="J303" s="88"/>
      <c r="K303" s="296" t="str">
        <f>Language!$E$57</f>
        <v>doppelt</v>
      </c>
      <c r="L303" s="270" t="str">
        <f>IF(Calc!$F$26=0,"",IF(OR($M303&gt;Calc!$B$24,MOD($M303-1,Calc!$F$26)&gt;0),"",QUOTIENT($M303-1,Calc!$F$26)+1))</f>
        <v/>
      </c>
      <c r="M303" s="107">
        <v>297</v>
      </c>
      <c r="N303" s="394">
        <v>81</v>
      </c>
      <c r="O303" s="113" t="s">
        <v>4</v>
      </c>
      <c r="P303" s="397">
        <v>80</v>
      </c>
      <c r="Q303" s="114" t="str">
        <f t="shared" si="22"/>
        <v>1. FSV Mainz 05</v>
      </c>
      <c r="R303" s="115" t="s">
        <v>4</v>
      </c>
      <c r="S303" s="116" t="str">
        <f t="shared" si="23"/>
        <v>1. FC Union Berlin</v>
      </c>
      <c r="T303" s="233">
        <v>46152</v>
      </c>
      <c r="U303" s="234">
        <v>0.8125</v>
      </c>
    </row>
    <row r="304" spans="6:21" ht="17.25" x14ac:dyDescent="0.2">
      <c r="F304" s="88">
        <f t="shared" si="24"/>
        <v>2</v>
      </c>
      <c r="G304" s="88" t="str">
        <f t="shared" si="25"/>
        <v>00800095</v>
      </c>
      <c r="H304" s="88" t="str">
        <f t="shared" si="26"/>
        <v>00950080</v>
      </c>
      <c r="I304" s="88">
        <f>IF($G304="",0,COUNTIF($G$7:$G304,$H304))</f>
        <v>1</v>
      </c>
      <c r="J304" s="88"/>
      <c r="K304" s="296" t="str">
        <f>Language!$E$57</f>
        <v>doppelt</v>
      </c>
      <c r="L304" s="270">
        <f>IF(Calc!$F$26=0,"",IF(OR($M304&gt;Calc!$B$24,MOD($M304-1,Calc!$F$26)&gt;0),"",QUOTIENT($M304-1,Calc!$F$26)+1))</f>
        <v>34</v>
      </c>
      <c r="M304" s="107">
        <v>298</v>
      </c>
      <c r="N304" s="394">
        <v>80</v>
      </c>
      <c r="O304" s="113" t="s">
        <v>4</v>
      </c>
      <c r="P304" s="397">
        <v>95</v>
      </c>
      <c r="Q304" s="114" t="str">
        <f t="shared" si="22"/>
        <v>1. FC Union Berlin</v>
      </c>
      <c r="R304" s="115" t="s">
        <v>4</v>
      </c>
      <c r="S304" s="116" t="str">
        <f t="shared" si="23"/>
        <v>FC Augsburg</v>
      </c>
      <c r="T304" s="233">
        <v>46158</v>
      </c>
      <c r="U304" s="234">
        <v>0.64583333333333337</v>
      </c>
    </row>
    <row r="305" spans="6:21" ht="17.25" x14ac:dyDescent="0.2">
      <c r="F305" s="88">
        <f t="shared" si="24"/>
        <v>2</v>
      </c>
      <c r="G305" s="88" t="str">
        <f t="shared" si="25"/>
        <v>00870175</v>
      </c>
      <c r="H305" s="88" t="str">
        <f t="shared" si="26"/>
        <v>01750087</v>
      </c>
      <c r="I305" s="88">
        <f>IF($G305="",0,COUNTIF($G$7:$G305,$H305))</f>
        <v>1</v>
      </c>
      <c r="J305" s="88"/>
      <c r="K305" s="296" t="str">
        <f>Language!$E$57</f>
        <v>doppelt</v>
      </c>
      <c r="L305" s="270" t="str">
        <f>IF(Calc!$F$26=0,"",IF(OR($M305&gt;Calc!$B$24,MOD($M305-1,Calc!$F$26)&gt;0),"",QUOTIENT($M305-1,Calc!$F$26)+1))</f>
        <v/>
      </c>
      <c r="M305" s="107">
        <v>299</v>
      </c>
      <c r="N305" s="394">
        <v>87</v>
      </c>
      <c r="O305" s="113" t="s">
        <v>4</v>
      </c>
      <c r="P305" s="397">
        <v>175</v>
      </c>
      <c r="Q305" s="114" t="str">
        <f t="shared" si="22"/>
        <v>Borussia Mönchengladbach</v>
      </c>
      <c r="R305" s="115" t="s">
        <v>4</v>
      </c>
      <c r="S305" s="116" t="str">
        <f t="shared" si="23"/>
        <v>TSG Hoffenheim</v>
      </c>
      <c r="T305" s="233">
        <v>46158</v>
      </c>
      <c r="U305" s="234">
        <v>0.64583333333333337</v>
      </c>
    </row>
    <row r="306" spans="6:21" ht="17.25" x14ac:dyDescent="0.2">
      <c r="F306" s="88">
        <f t="shared" si="24"/>
        <v>2</v>
      </c>
      <c r="G306" s="88" t="str">
        <f t="shared" si="25"/>
        <v>01990081</v>
      </c>
      <c r="H306" s="88" t="str">
        <f t="shared" si="26"/>
        <v>00810199</v>
      </c>
      <c r="I306" s="88">
        <f>IF($G306="",0,COUNTIF($G$7:$G306,$H306))</f>
        <v>1</v>
      </c>
      <c r="J306" s="88"/>
      <c r="K306" s="296" t="str">
        <f>Language!$E$57</f>
        <v>doppelt</v>
      </c>
      <c r="L306" s="270" t="str">
        <f>IF(Calc!$F$26=0,"",IF(OR($M306&gt;Calc!$B$24,MOD($M306-1,Calc!$F$26)&gt;0),"",QUOTIENT($M306-1,Calc!$F$26)+1))</f>
        <v/>
      </c>
      <c r="M306" s="107">
        <v>300</v>
      </c>
      <c r="N306" s="394">
        <v>199</v>
      </c>
      <c r="O306" s="113" t="s">
        <v>4</v>
      </c>
      <c r="P306" s="397">
        <v>81</v>
      </c>
      <c r="Q306" s="114" t="str">
        <f t="shared" si="22"/>
        <v>1. FC Heidenheim 1846</v>
      </c>
      <c r="R306" s="115" t="s">
        <v>4</v>
      </c>
      <c r="S306" s="116" t="str">
        <f t="shared" si="23"/>
        <v>1. FSV Mainz 05</v>
      </c>
      <c r="T306" s="233">
        <v>46158</v>
      </c>
      <c r="U306" s="234">
        <v>0.64583333333333337</v>
      </c>
    </row>
    <row r="307" spans="6:21" ht="17.25" x14ac:dyDescent="0.2">
      <c r="F307" s="88">
        <f t="shared" si="24"/>
        <v>2</v>
      </c>
      <c r="G307" s="88" t="str">
        <f t="shared" si="25"/>
        <v>00980131</v>
      </c>
      <c r="H307" s="88" t="str">
        <f t="shared" si="26"/>
        <v>01310098</v>
      </c>
      <c r="I307" s="88">
        <f>IF($G307="",0,COUNTIF($G$7:$G307,$H307))</f>
        <v>1</v>
      </c>
      <c r="J307" s="88"/>
      <c r="K307" s="296" t="str">
        <f>Language!$E$57</f>
        <v>doppelt</v>
      </c>
      <c r="L307" s="270" t="str">
        <f>IF(Calc!$F$26=0,"",IF(OR($M307&gt;Calc!$B$24,MOD($M307-1,Calc!$F$26)&gt;0),"",QUOTIENT($M307-1,Calc!$F$26)+1))</f>
        <v/>
      </c>
      <c r="M307" s="107">
        <v>301</v>
      </c>
      <c r="N307" s="394">
        <v>98</v>
      </c>
      <c r="O307" s="113" t="s">
        <v>4</v>
      </c>
      <c r="P307" s="397">
        <v>131</v>
      </c>
      <c r="Q307" s="114" t="str">
        <f t="shared" si="22"/>
        <v>FC St. Pauli</v>
      </c>
      <c r="R307" s="115" t="s">
        <v>4</v>
      </c>
      <c r="S307" s="116" t="str">
        <f t="shared" si="23"/>
        <v>VfL Wolfsburg</v>
      </c>
      <c r="T307" s="233">
        <v>46158</v>
      </c>
      <c r="U307" s="234">
        <v>0.64583333333333337</v>
      </c>
    </row>
    <row r="308" spans="6:21" ht="17.25" x14ac:dyDescent="0.2">
      <c r="F308" s="88">
        <f t="shared" si="24"/>
        <v>2</v>
      </c>
      <c r="G308" s="88" t="str">
        <f t="shared" si="25"/>
        <v>01340007</v>
      </c>
      <c r="H308" s="88" t="str">
        <f t="shared" si="26"/>
        <v>00070134</v>
      </c>
      <c r="I308" s="88">
        <f>IF($G308="",0,COUNTIF($G$7:$G308,$H308))</f>
        <v>1</v>
      </c>
      <c r="J308" s="88"/>
      <c r="K308" s="296" t="str">
        <f>Language!$E$57</f>
        <v>doppelt</v>
      </c>
      <c r="L308" s="270" t="str">
        <f>IF(Calc!$F$26=0,"",IF(OR($M308&gt;Calc!$B$24,MOD($M308-1,Calc!$F$26)&gt;0),"",QUOTIENT($M308-1,Calc!$F$26)+1))</f>
        <v/>
      </c>
      <c r="M308" s="107">
        <v>302</v>
      </c>
      <c r="N308" s="394">
        <v>134</v>
      </c>
      <c r="O308" s="113" t="s">
        <v>4</v>
      </c>
      <c r="P308" s="397">
        <v>7</v>
      </c>
      <c r="Q308" s="114" t="str">
        <f t="shared" si="22"/>
        <v>SV Werder Bremen</v>
      </c>
      <c r="R308" s="115" t="s">
        <v>4</v>
      </c>
      <c r="S308" s="116" t="str">
        <f t="shared" si="23"/>
        <v>Borussia Dortmund</v>
      </c>
      <c r="T308" s="233">
        <v>46158</v>
      </c>
      <c r="U308" s="234">
        <v>0.64583333333333337</v>
      </c>
    </row>
    <row r="309" spans="6:21" ht="17.25" x14ac:dyDescent="0.2">
      <c r="F309" s="88">
        <f t="shared" si="24"/>
        <v>2</v>
      </c>
      <c r="G309" s="88" t="str">
        <f t="shared" si="25"/>
        <v>00060100</v>
      </c>
      <c r="H309" s="88" t="str">
        <f t="shared" si="26"/>
        <v>01000006</v>
      </c>
      <c r="I309" s="88">
        <f>IF($G309="",0,COUNTIF($G$7:$G309,$H309))</f>
        <v>1</v>
      </c>
      <c r="J309" s="88"/>
      <c r="K309" s="296" t="str">
        <f>Language!$E$57</f>
        <v>doppelt</v>
      </c>
      <c r="L309" s="270" t="str">
        <f>IF(Calc!$F$26=0,"",IF(OR($M309&gt;Calc!$B$24,MOD($M309-1,Calc!$F$26)&gt;0),"",QUOTIENT($M309-1,Calc!$F$26)+1))</f>
        <v/>
      </c>
      <c r="M309" s="107">
        <v>303</v>
      </c>
      <c r="N309" s="394">
        <v>6</v>
      </c>
      <c r="O309" s="113" t="s">
        <v>4</v>
      </c>
      <c r="P309" s="397">
        <v>100</v>
      </c>
      <c r="Q309" s="114" t="str">
        <f t="shared" si="22"/>
        <v>Bayer 04 Leverkusen</v>
      </c>
      <c r="R309" s="115" t="s">
        <v>4</v>
      </c>
      <c r="S309" s="116" t="str">
        <f t="shared" si="23"/>
        <v>Hamburger SV</v>
      </c>
      <c r="T309" s="233">
        <v>46158</v>
      </c>
      <c r="U309" s="234">
        <v>0.64583333333333337</v>
      </c>
    </row>
    <row r="310" spans="6:21" ht="17.25" x14ac:dyDescent="0.2">
      <c r="F310" s="88">
        <f t="shared" si="24"/>
        <v>2</v>
      </c>
      <c r="G310" s="88" t="str">
        <f t="shared" si="25"/>
        <v>00400065</v>
      </c>
      <c r="H310" s="88" t="str">
        <f t="shared" si="26"/>
        <v>00650040</v>
      </c>
      <c r="I310" s="88">
        <f>IF($G310="",0,COUNTIF($G$7:$G310,$H310))</f>
        <v>1</v>
      </c>
      <c r="J310" s="88"/>
      <c r="K310" s="296" t="str">
        <f>Language!$E$57</f>
        <v>doppelt</v>
      </c>
      <c r="L310" s="270" t="str">
        <f>IF(Calc!$F$26=0,"",IF(OR($M310&gt;Calc!$B$24,MOD($M310-1,Calc!$F$26)&gt;0),"",QUOTIENT($M310-1,Calc!$F$26)+1))</f>
        <v/>
      </c>
      <c r="M310" s="107">
        <v>304</v>
      </c>
      <c r="N310" s="394">
        <v>40</v>
      </c>
      <c r="O310" s="113" t="s">
        <v>4</v>
      </c>
      <c r="P310" s="397">
        <v>65</v>
      </c>
      <c r="Q310" s="114" t="str">
        <f t="shared" si="22"/>
        <v>FC Bayern München</v>
      </c>
      <c r="R310" s="115" t="s">
        <v>4</v>
      </c>
      <c r="S310" s="116" t="str">
        <f t="shared" si="23"/>
        <v>1. FC Köln</v>
      </c>
      <c r="T310" s="233">
        <v>46158</v>
      </c>
      <c r="U310" s="234">
        <v>0.64583333333333337</v>
      </c>
    </row>
    <row r="311" spans="6:21" ht="17.25" x14ac:dyDescent="0.2">
      <c r="F311" s="88">
        <f t="shared" si="24"/>
        <v>2</v>
      </c>
      <c r="G311" s="88" t="str">
        <f t="shared" si="25"/>
        <v>01121635</v>
      </c>
      <c r="H311" s="88" t="str">
        <f t="shared" si="26"/>
        <v>16350112</v>
      </c>
      <c r="I311" s="88">
        <f>IF($G311="",0,COUNTIF($G$7:$G311,$H311))</f>
        <v>1</v>
      </c>
      <c r="J311" s="88"/>
      <c r="K311" s="296" t="str">
        <f>Language!$E$57</f>
        <v>doppelt</v>
      </c>
      <c r="L311" s="270" t="str">
        <f>IF(Calc!$F$26=0,"",IF(OR($M311&gt;Calc!$B$24,MOD($M311-1,Calc!$F$26)&gt;0),"",QUOTIENT($M311-1,Calc!$F$26)+1))</f>
        <v/>
      </c>
      <c r="M311" s="107">
        <v>305</v>
      </c>
      <c r="N311" s="394">
        <v>112</v>
      </c>
      <c r="O311" s="113" t="s">
        <v>4</v>
      </c>
      <c r="P311" s="397">
        <v>1635</v>
      </c>
      <c r="Q311" s="114" t="str">
        <f t="shared" si="22"/>
        <v>SC Freiburg</v>
      </c>
      <c r="R311" s="115" t="s">
        <v>4</v>
      </c>
      <c r="S311" s="116" t="str">
        <f t="shared" si="23"/>
        <v>RB Leipzig</v>
      </c>
      <c r="T311" s="233">
        <v>46158</v>
      </c>
      <c r="U311" s="234">
        <v>0.64583333333333337</v>
      </c>
    </row>
    <row r="312" spans="6:21" ht="17.25" x14ac:dyDescent="0.2">
      <c r="F312" s="88">
        <f t="shared" si="24"/>
        <v>2</v>
      </c>
      <c r="G312" s="88" t="str">
        <f t="shared" si="25"/>
        <v>00910016</v>
      </c>
      <c r="H312" s="88" t="str">
        <f t="shared" si="26"/>
        <v>00160091</v>
      </c>
      <c r="I312" s="88">
        <f>IF($G312="",0,COUNTIF($G$7:$G312,$H312))</f>
        <v>1</v>
      </c>
      <c r="J312" s="88"/>
      <c r="K312" s="296" t="str">
        <f>Language!$E$57</f>
        <v>doppelt</v>
      </c>
      <c r="L312" s="406" t="str">
        <f>IF(Calc!$F$26=0,"",IF(OR($M312&gt;Calc!$B$24,MOD($M312-1,Calc!$F$26)&gt;0),"",QUOTIENT($M312-1,Calc!$F$26)+1))</f>
        <v/>
      </c>
      <c r="M312" s="107">
        <v>306</v>
      </c>
      <c r="N312" s="400">
        <v>91</v>
      </c>
      <c r="O312" s="401" t="s">
        <v>4</v>
      </c>
      <c r="P312" s="402">
        <v>16</v>
      </c>
      <c r="Q312" s="403" t="str">
        <f t="shared" si="22"/>
        <v>Eintracht Frankfurt</v>
      </c>
      <c r="R312" s="404" t="s">
        <v>4</v>
      </c>
      <c r="S312" s="405" t="str">
        <f t="shared" si="23"/>
        <v>VfB Stuttgart</v>
      </c>
      <c r="T312" s="233">
        <v>46158</v>
      </c>
      <c r="U312" s="234">
        <v>0.64583333333333337</v>
      </c>
    </row>
    <row r="313" spans="6:21" ht="17.25" x14ac:dyDescent="0.2">
      <c r="F313" s="88">
        <f t="shared" si="24"/>
        <v>0</v>
      </c>
      <c r="G313" s="88" t="str">
        <f t="shared" si="25"/>
        <v/>
      </c>
      <c r="H313" s="88" t="str">
        <f t="shared" si="26"/>
        <v/>
      </c>
      <c r="I313" s="88">
        <f>IF($G313="",0,COUNTIF($G$7:$G313,$H313))</f>
        <v>0</v>
      </c>
      <c r="J313" s="88"/>
      <c r="K313" s="296" t="str">
        <f>Language!$E$57</f>
        <v>doppelt</v>
      </c>
      <c r="L313" s="407" t="str">
        <f>IF(Calc!$F$26=0,"",IF(OR($M313&gt;Calc!$B$24,MOD($M313-1,Calc!$F$26)&gt;0),"",QUOTIENT($M313-1,Calc!$F$26)+1))</f>
        <v/>
      </c>
      <c r="M313" s="107">
        <v>307</v>
      </c>
      <c r="N313" s="400"/>
      <c r="O313" s="401" t="s">
        <v>4</v>
      </c>
      <c r="P313" s="402"/>
      <c r="Q313" s="403" t="str">
        <f t="shared" si="22"/>
        <v/>
      </c>
      <c r="R313" s="404" t="s">
        <v>4</v>
      </c>
      <c r="S313" s="405" t="str">
        <f t="shared" si="23"/>
        <v/>
      </c>
      <c r="T313" s="233"/>
      <c r="U313" s="234"/>
    </row>
    <row r="314" spans="6:21" ht="17.25" x14ac:dyDescent="0.2">
      <c r="F314" s="88">
        <f t="shared" si="24"/>
        <v>0</v>
      </c>
      <c r="G314" s="88" t="str">
        <f t="shared" si="25"/>
        <v/>
      </c>
      <c r="H314" s="88" t="str">
        <f t="shared" si="26"/>
        <v/>
      </c>
      <c r="I314" s="88">
        <f>IF($G314="",0,COUNTIF($G$7:$G314,$H314))</f>
        <v>0</v>
      </c>
      <c r="J314" s="88"/>
      <c r="K314" s="296" t="str">
        <f>Language!$E$57</f>
        <v>doppelt</v>
      </c>
      <c r="L314" s="270" t="str">
        <f>IF(Calc!$F$26=0,"",IF(OR($M314&gt;Calc!$B$24,MOD($M314-1,Calc!$F$26)&gt;0),"",QUOTIENT($M314-1,Calc!$F$26)+1))</f>
        <v/>
      </c>
      <c r="M314" s="107">
        <v>308</v>
      </c>
      <c r="N314" s="394"/>
      <c r="O314" s="113" t="s">
        <v>4</v>
      </c>
      <c r="P314" s="397"/>
      <c r="Q314" s="114" t="str">
        <f t="shared" si="22"/>
        <v/>
      </c>
      <c r="R314" s="115" t="s">
        <v>4</v>
      </c>
      <c r="S314" s="116" t="str">
        <f t="shared" si="23"/>
        <v/>
      </c>
      <c r="T314" s="233"/>
      <c r="U314" s="234"/>
    </row>
    <row r="315" spans="6:21" ht="17.25" x14ac:dyDescent="0.2">
      <c r="F315" s="88">
        <f t="shared" si="24"/>
        <v>0</v>
      </c>
      <c r="G315" s="88" t="str">
        <f t="shared" si="25"/>
        <v/>
      </c>
      <c r="H315" s="88" t="str">
        <f t="shared" si="26"/>
        <v/>
      </c>
      <c r="I315" s="88">
        <f>IF($G315="",0,COUNTIF($G$7:$G315,$H315))</f>
        <v>0</v>
      </c>
      <c r="J315" s="88"/>
      <c r="K315" s="296" t="str">
        <f>Language!$E$57</f>
        <v>doppelt</v>
      </c>
      <c r="L315" s="270" t="str">
        <f>IF(Calc!$F$26=0,"",IF(OR($M315&gt;Calc!$B$24,MOD($M315-1,Calc!$F$26)&gt;0),"",QUOTIENT($M315-1,Calc!$F$26)+1))</f>
        <v/>
      </c>
      <c r="M315" s="107">
        <v>309</v>
      </c>
      <c r="N315" s="394"/>
      <c r="O315" s="113" t="s">
        <v>4</v>
      </c>
      <c r="P315" s="397"/>
      <c r="Q315" s="114" t="str">
        <f t="shared" si="22"/>
        <v/>
      </c>
      <c r="R315" s="115" t="s">
        <v>4</v>
      </c>
      <c r="S315" s="116" t="str">
        <f t="shared" si="23"/>
        <v/>
      </c>
      <c r="T315" s="233"/>
      <c r="U315" s="234"/>
    </row>
    <row r="316" spans="6:21" ht="17.25" x14ac:dyDescent="0.2">
      <c r="F316" s="88">
        <f t="shared" si="24"/>
        <v>0</v>
      </c>
      <c r="G316" s="88" t="str">
        <f t="shared" si="25"/>
        <v/>
      </c>
      <c r="H316" s="88" t="str">
        <f t="shared" si="26"/>
        <v/>
      </c>
      <c r="I316" s="88">
        <f>IF($G316="",0,COUNTIF($G$7:$G316,$H316))</f>
        <v>0</v>
      </c>
      <c r="J316" s="88"/>
      <c r="K316" s="296" t="str">
        <f>Language!$E$57</f>
        <v>doppelt</v>
      </c>
      <c r="L316" s="270" t="str">
        <f>IF(Calc!$F$26=0,"",IF(OR($M316&gt;Calc!$B$24,MOD($M316-1,Calc!$F$26)&gt;0),"",QUOTIENT($M316-1,Calc!$F$26)+1))</f>
        <v/>
      </c>
      <c r="M316" s="107">
        <v>310</v>
      </c>
      <c r="N316" s="394"/>
      <c r="O316" s="113" t="s">
        <v>4</v>
      </c>
      <c r="P316" s="397"/>
      <c r="Q316" s="114" t="str">
        <f t="shared" si="22"/>
        <v/>
      </c>
      <c r="R316" s="115" t="s">
        <v>4</v>
      </c>
      <c r="S316" s="116" t="str">
        <f t="shared" si="23"/>
        <v/>
      </c>
      <c r="T316" s="233"/>
      <c r="U316" s="234"/>
    </row>
    <row r="317" spans="6:21" ht="17.25" x14ac:dyDescent="0.2">
      <c r="F317" s="88">
        <f t="shared" si="24"/>
        <v>0</v>
      </c>
      <c r="G317" s="88" t="str">
        <f t="shared" si="25"/>
        <v/>
      </c>
      <c r="H317" s="88" t="str">
        <f t="shared" si="26"/>
        <v/>
      </c>
      <c r="I317" s="88">
        <f>IF($G317="",0,COUNTIF($G$7:$G317,$H317))</f>
        <v>0</v>
      </c>
      <c r="J317" s="88"/>
      <c r="K317" s="296" t="str">
        <f>Language!$E$57</f>
        <v>doppelt</v>
      </c>
      <c r="L317" s="270" t="str">
        <f>IF(Calc!$F$26=0,"",IF(OR($M317&gt;Calc!$B$24,MOD($M317-1,Calc!$F$26)&gt;0),"",QUOTIENT($M317-1,Calc!$F$26)+1))</f>
        <v/>
      </c>
      <c r="M317" s="107">
        <v>311</v>
      </c>
      <c r="N317" s="394"/>
      <c r="O317" s="113" t="s">
        <v>4</v>
      </c>
      <c r="P317" s="397"/>
      <c r="Q317" s="114" t="str">
        <f t="shared" si="22"/>
        <v/>
      </c>
      <c r="R317" s="115" t="s">
        <v>4</v>
      </c>
      <c r="S317" s="116" t="str">
        <f t="shared" si="23"/>
        <v/>
      </c>
      <c r="T317" s="233"/>
      <c r="U317" s="234"/>
    </row>
    <row r="318" spans="6:21" ht="17.25" x14ac:dyDescent="0.2">
      <c r="F318" s="88">
        <f t="shared" si="24"/>
        <v>0</v>
      </c>
      <c r="G318" s="88" t="str">
        <f t="shared" si="25"/>
        <v/>
      </c>
      <c r="H318" s="88" t="str">
        <f t="shared" si="26"/>
        <v/>
      </c>
      <c r="I318" s="88">
        <f>IF($G318="",0,COUNTIF($G$7:$G318,$H318))</f>
        <v>0</v>
      </c>
      <c r="J318" s="88"/>
      <c r="K318" s="296" t="str">
        <f>Language!$E$57</f>
        <v>doppelt</v>
      </c>
      <c r="L318" s="270" t="str">
        <f>IF(Calc!$F$26=0,"",IF(OR($M318&gt;Calc!$B$24,MOD($M318-1,Calc!$F$26)&gt;0),"",QUOTIENT($M318-1,Calc!$F$26)+1))</f>
        <v/>
      </c>
      <c r="M318" s="107">
        <v>312</v>
      </c>
      <c r="N318" s="394"/>
      <c r="O318" s="113" t="s">
        <v>4</v>
      </c>
      <c r="P318" s="397"/>
      <c r="Q318" s="114" t="str">
        <f t="shared" si="22"/>
        <v/>
      </c>
      <c r="R318" s="115" t="s">
        <v>4</v>
      </c>
      <c r="S318" s="116" t="str">
        <f t="shared" si="23"/>
        <v/>
      </c>
      <c r="T318" s="233"/>
      <c r="U318" s="234"/>
    </row>
    <row r="319" spans="6:21" ht="17.25" x14ac:dyDescent="0.2">
      <c r="F319" s="88">
        <f t="shared" si="24"/>
        <v>0</v>
      </c>
      <c r="G319" s="88" t="str">
        <f t="shared" si="25"/>
        <v/>
      </c>
      <c r="H319" s="88" t="str">
        <f t="shared" si="26"/>
        <v/>
      </c>
      <c r="I319" s="88">
        <f>IF($G319="",0,COUNTIF($G$7:$G319,$H319))</f>
        <v>0</v>
      </c>
      <c r="J319" s="88"/>
      <c r="K319" s="296" t="str">
        <f>Language!$E$57</f>
        <v>doppelt</v>
      </c>
      <c r="L319" s="270" t="str">
        <f>IF(Calc!$F$26=0,"",IF(OR($M319&gt;Calc!$B$24,MOD($M319-1,Calc!$F$26)&gt;0),"",QUOTIENT($M319-1,Calc!$F$26)+1))</f>
        <v/>
      </c>
      <c r="M319" s="107">
        <v>313</v>
      </c>
      <c r="N319" s="394"/>
      <c r="O319" s="113" t="s">
        <v>4</v>
      </c>
      <c r="P319" s="397"/>
      <c r="Q319" s="114" t="str">
        <f t="shared" si="22"/>
        <v/>
      </c>
      <c r="R319" s="115" t="s">
        <v>4</v>
      </c>
      <c r="S319" s="116" t="str">
        <f t="shared" si="23"/>
        <v/>
      </c>
      <c r="T319" s="233"/>
      <c r="U319" s="234"/>
    </row>
    <row r="320" spans="6:21" ht="17.25" x14ac:dyDescent="0.2">
      <c r="F320" s="88">
        <f t="shared" si="24"/>
        <v>0</v>
      </c>
      <c r="G320" s="88" t="str">
        <f t="shared" si="25"/>
        <v/>
      </c>
      <c r="H320" s="88" t="str">
        <f t="shared" si="26"/>
        <v/>
      </c>
      <c r="I320" s="88">
        <f>IF($G320="",0,COUNTIF($G$7:$G320,$H320))</f>
        <v>0</v>
      </c>
      <c r="J320" s="88"/>
      <c r="K320" s="296" t="str">
        <f>Language!$E$57</f>
        <v>doppelt</v>
      </c>
      <c r="L320" s="270" t="str">
        <f>IF(Calc!$F$26=0,"",IF(OR($M320&gt;Calc!$B$24,MOD($M320-1,Calc!$F$26)&gt;0),"",QUOTIENT($M320-1,Calc!$F$26)+1))</f>
        <v/>
      </c>
      <c r="M320" s="107">
        <v>314</v>
      </c>
      <c r="N320" s="394"/>
      <c r="O320" s="113" t="s">
        <v>4</v>
      </c>
      <c r="P320" s="397"/>
      <c r="Q320" s="114" t="str">
        <f t="shared" si="22"/>
        <v/>
      </c>
      <c r="R320" s="115" t="s">
        <v>4</v>
      </c>
      <c r="S320" s="116" t="str">
        <f t="shared" si="23"/>
        <v/>
      </c>
      <c r="T320" s="233"/>
      <c r="U320" s="234"/>
    </row>
    <row r="321" spans="6:21" ht="17.25" x14ac:dyDescent="0.2">
      <c r="F321" s="88">
        <f t="shared" si="24"/>
        <v>0</v>
      </c>
      <c r="G321" s="88" t="str">
        <f t="shared" si="25"/>
        <v/>
      </c>
      <c r="H321" s="88" t="str">
        <f t="shared" si="26"/>
        <v/>
      </c>
      <c r="I321" s="88">
        <f>IF($G321="",0,COUNTIF($G$7:$G321,$H321))</f>
        <v>0</v>
      </c>
      <c r="J321" s="88"/>
      <c r="K321" s="296" t="str">
        <f>Language!$E$57</f>
        <v>doppelt</v>
      </c>
      <c r="L321" s="270" t="str">
        <f>IF(Calc!$F$26=0,"",IF(OR($M321&gt;Calc!$B$24,MOD($M321-1,Calc!$F$26)&gt;0),"",QUOTIENT($M321-1,Calc!$F$26)+1))</f>
        <v/>
      </c>
      <c r="M321" s="107">
        <v>315</v>
      </c>
      <c r="N321" s="394"/>
      <c r="O321" s="113" t="s">
        <v>4</v>
      </c>
      <c r="P321" s="397"/>
      <c r="Q321" s="114" t="str">
        <f t="shared" si="22"/>
        <v/>
      </c>
      <c r="R321" s="115" t="s">
        <v>4</v>
      </c>
      <c r="S321" s="116" t="str">
        <f t="shared" si="23"/>
        <v/>
      </c>
      <c r="T321" s="233"/>
      <c r="U321" s="234"/>
    </row>
    <row r="322" spans="6:21" ht="17.25" x14ac:dyDescent="0.2">
      <c r="F322" s="88">
        <f t="shared" si="24"/>
        <v>0</v>
      </c>
      <c r="G322" s="88" t="str">
        <f t="shared" si="25"/>
        <v/>
      </c>
      <c r="H322" s="88" t="str">
        <f t="shared" si="26"/>
        <v/>
      </c>
      <c r="I322" s="88">
        <f>IF($G322="",0,COUNTIF($G$7:$G322,$H322))</f>
        <v>0</v>
      </c>
      <c r="J322" s="88"/>
      <c r="K322" s="296" t="str">
        <f>Language!$E$57</f>
        <v>doppelt</v>
      </c>
      <c r="L322" s="270" t="str">
        <f>IF(Calc!$F$26=0,"",IF(OR($M322&gt;Calc!$B$24,MOD($M322-1,Calc!$F$26)&gt;0),"",QUOTIENT($M322-1,Calc!$F$26)+1))</f>
        <v/>
      </c>
      <c r="M322" s="107">
        <v>316</v>
      </c>
      <c r="N322" s="394"/>
      <c r="O322" s="113" t="s">
        <v>4</v>
      </c>
      <c r="P322" s="397"/>
      <c r="Q322" s="114" t="str">
        <f t="shared" si="22"/>
        <v/>
      </c>
      <c r="R322" s="115" t="s">
        <v>4</v>
      </c>
      <c r="S322" s="116" t="str">
        <f t="shared" si="23"/>
        <v/>
      </c>
      <c r="T322" s="233"/>
      <c r="U322" s="234"/>
    </row>
    <row r="323" spans="6:21" ht="17.25" x14ac:dyDescent="0.2">
      <c r="F323" s="88">
        <f t="shared" si="24"/>
        <v>0</v>
      </c>
      <c r="G323" s="88" t="str">
        <f t="shared" si="25"/>
        <v/>
      </c>
      <c r="H323" s="88" t="str">
        <f t="shared" si="26"/>
        <v/>
      </c>
      <c r="I323" s="88">
        <f>IF($G323="",0,COUNTIF($G$7:$G323,$H323))</f>
        <v>0</v>
      </c>
      <c r="J323" s="88"/>
      <c r="K323" s="296" t="str">
        <f>Language!$E$57</f>
        <v>doppelt</v>
      </c>
      <c r="L323" s="270" t="str">
        <f>IF(Calc!$F$26=0,"",IF(OR($M323&gt;Calc!$B$24,MOD($M323-1,Calc!$F$26)&gt;0),"",QUOTIENT($M323-1,Calc!$F$26)+1))</f>
        <v/>
      </c>
      <c r="M323" s="107">
        <v>317</v>
      </c>
      <c r="N323" s="394"/>
      <c r="O323" s="113" t="s">
        <v>4</v>
      </c>
      <c r="P323" s="397"/>
      <c r="Q323" s="114" t="str">
        <f t="shared" si="22"/>
        <v/>
      </c>
      <c r="R323" s="115" t="s">
        <v>4</v>
      </c>
      <c r="S323" s="116" t="str">
        <f t="shared" si="23"/>
        <v/>
      </c>
      <c r="T323" s="233"/>
      <c r="U323" s="234"/>
    </row>
    <row r="324" spans="6:21" ht="17.25" x14ac:dyDescent="0.2">
      <c r="F324" s="88">
        <f t="shared" si="24"/>
        <v>0</v>
      </c>
      <c r="G324" s="88" t="str">
        <f t="shared" si="25"/>
        <v/>
      </c>
      <c r="H324" s="88" t="str">
        <f t="shared" si="26"/>
        <v/>
      </c>
      <c r="I324" s="88">
        <f>IF($G324="",0,COUNTIF($G$7:$G324,$H324))</f>
        <v>0</v>
      </c>
      <c r="J324" s="88"/>
      <c r="K324" s="296" t="str">
        <f>Language!$E$57</f>
        <v>doppelt</v>
      </c>
      <c r="L324" s="270" t="str">
        <f>IF(Calc!$F$26=0,"",IF(OR($M324&gt;Calc!$B$24,MOD($M324-1,Calc!$F$26)&gt;0),"",QUOTIENT($M324-1,Calc!$F$26)+1))</f>
        <v/>
      </c>
      <c r="M324" s="107">
        <v>318</v>
      </c>
      <c r="N324" s="394"/>
      <c r="O324" s="113" t="s">
        <v>4</v>
      </c>
      <c r="P324" s="397"/>
      <c r="Q324" s="114" t="str">
        <f t="shared" si="22"/>
        <v/>
      </c>
      <c r="R324" s="115" t="s">
        <v>4</v>
      </c>
      <c r="S324" s="116" t="str">
        <f t="shared" si="23"/>
        <v/>
      </c>
      <c r="T324" s="233"/>
      <c r="U324" s="234"/>
    </row>
    <row r="325" spans="6:21" ht="17.25" x14ac:dyDescent="0.2">
      <c r="F325" s="88">
        <f t="shared" si="24"/>
        <v>0</v>
      </c>
      <c r="G325" s="88" t="str">
        <f t="shared" si="25"/>
        <v/>
      </c>
      <c r="H325" s="88" t="str">
        <f t="shared" si="26"/>
        <v/>
      </c>
      <c r="I325" s="88">
        <f>IF($G325="",0,COUNTIF($G$7:$G325,$H325))</f>
        <v>0</v>
      </c>
      <c r="J325" s="88"/>
      <c r="K325" s="296" t="str">
        <f>Language!$E$57</f>
        <v>doppelt</v>
      </c>
      <c r="L325" s="270" t="str">
        <f>IF(Calc!$F$26=0,"",IF(OR($M325&gt;Calc!$B$24,MOD($M325-1,Calc!$F$26)&gt;0),"",QUOTIENT($M325-1,Calc!$F$26)+1))</f>
        <v/>
      </c>
      <c r="M325" s="107">
        <v>319</v>
      </c>
      <c r="N325" s="394"/>
      <c r="O325" s="113" t="s">
        <v>4</v>
      </c>
      <c r="P325" s="397"/>
      <c r="Q325" s="114" t="str">
        <f t="shared" si="22"/>
        <v/>
      </c>
      <c r="R325" s="115" t="s">
        <v>4</v>
      </c>
      <c r="S325" s="116" t="str">
        <f t="shared" si="23"/>
        <v/>
      </c>
      <c r="T325" s="233"/>
      <c r="U325" s="234"/>
    </row>
    <row r="326" spans="6:21" ht="17.25" x14ac:dyDescent="0.2">
      <c r="F326" s="88">
        <f t="shared" si="24"/>
        <v>0</v>
      </c>
      <c r="G326" s="88" t="str">
        <f t="shared" si="25"/>
        <v/>
      </c>
      <c r="H326" s="88" t="str">
        <f t="shared" si="26"/>
        <v/>
      </c>
      <c r="I326" s="88">
        <f>IF($G326="",0,COUNTIF($G$7:$G326,$H326))</f>
        <v>0</v>
      </c>
      <c r="J326" s="88"/>
      <c r="K326" s="296" t="str">
        <f>Language!$E$57</f>
        <v>doppelt</v>
      </c>
      <c r="L326" s="270" t="str">
        <f>IF(Calc!$F$26=0,"",IF(OR($M326&gt;Calc!$B$24,MOD($M326-1,Calc!$F$26)&gt;0),"",QUOTIENT($M326-1,Calc!$F$26)+1))</f>
        <v/>
      </c>
      <c r="M326" s="107">
        <v>320</v>
      </c>
      <c r="N326" s="394"/>
      <c r="O326" s="113" t="s">
        <v>4</v>
      </c>
      <c r="P326" s="397"/>
      <c r="Q326" s="114" t="str">
        <f t="shared" si="22"/>
        <v/>
      </c>
      <c r="R326" s="115" t="s">
        <v>4</v>
      </c>
      <c r="S326" s="116" t="str">
        <f t="shared" si="23"/>
        <v/>
      </c>
      <c r="T326" s="233"/>
      <c r="U326" s="234"/>
    </row>
    <row r="327" spans="6:21" ht="17.25" x14ac:dyDescent="0.2">
      <c r="F327" s="88">
        <f t="shared" si="24"/>
        <v>0</v>
      </c>
      <c r="G327" s="88" t="str">
        <f t="shared" si="25"/>
        <v/>
      </c>
      <c r="H327" s="88" t="str">
        <f t="shared" si="26"/>
        <v/>
      </c>
      <c r="I327" s="88">
        <f>IF($G327="",0,COUNTIF($G$7:$G327,$H327))</f>
        <v>0</v>
      </c>
      <c r="J327" s="88"/>
      <c r="K327" s="296" t="str">
        <f>Language!$E$57</f>
        <v>doppelt</v>
      </c>
      <c r="L327" s="270" t="str">
        <f>IF(Calc!$F$26=0,"",IF(OR($M327&gt;Calc!$B$24,MOD($M327-1,Calc!$F$26)&gt;0),"",QUOTIENT($M327-1,Calc!$F$26)+1))</f>
        <v/>
      </c>
      <c r="M327" s="107">
        <v>321</v>
      </c>
      <c r="N327" s="394"/>
      <c r="O327" s="113" t="s">
        <v>4</v>
      </c>
      <c r="P327" s="397"/>
      <c r="Q327" s="114" t="str">
        <f t="shared" ref="Q327:Q386" si="27">IF(ISBLANK($N327),"",IF(ISBLANK(VLOOKUP($N327,$C$7:$D$26,2,0)),"",VLOOKUP($N327,$C$7:$D$26,2,0)))</f>
        <v/>
      </c>
      <c r="R327" s="115" t="s">
        <v>4</v>
      </c>
      <c r="S327" s="116" t="str">
        <f t="shared" ref="S327:S386" si="28">IF(ISBLANK($P327),"",IF(ISBLANK(VLOOKUP($P327,$C$7:$D$26,2,0)),"",VLOOKUP($P327,$C$7:$D$26,2,0)))</f>
        <v/>
      </c>
      <c r="T327" s="233"/>
      <c r="U327" s="234"/>
    </row>
    <row r="328" spans="6:21" ht="17.25" x14ac:dyDescent="0.2">
      <c r="F328" s="88">
        <f t="shared" ref="F328:F386" si="29">IF($G328="",0,IF(LEFT($G328,4)=RIGHT($G328,4),100,IF(COUNTIF($G$7:$G$386,$G328)&gt;1,101,COUNTIF($G$7:$G$386,$G328)+COUNTIF($H$7:$H$386,$G328))))</f>
        <v>0</v>
      </c>
      <c r="G328" s="88" t="str">
        <f t="shared" ref="G328:G386" si="30">IF(OR($N328="",$P328=""),"",TEXT($N328,"0000")&amp;TEXT($P328,"0000"))</f>
        <v/>
      </c>
      <c r="H328" s="88" t="str">
        <f t="shared" ref="H328:H386" si="31">IF(OR($N328="",$P328=""),"",TEXT($P328,"0000")&amp;TEXT($N328,"0000"))</f>
        <v/>
      </c>
      <c r="I328" s="88">
        <f>IF($G328="",0,COUNTIF($G$7:$G328,$H328))</f>
        <v>0</v>
      </c>
      <c r="J328" s="88"/>
      <c r="K328" s="296" t="str">
        <f>Language!$E$57</f>
        <v>doppelt</v>
      </c>
      <c r="L328" s="270" t="str">
        <f>IF(Calc!$F$26=0,"",IF(OR($M328&gt;Calc!$B$24,MOD($M328-1,Calc!$F$26)&gt;0),"",QUOTIENT($M328-1,Calc!$F$26)+1))</f>
        <v/>
      </c>
      <c r="M328" s="107">
        <v>322</v>
      </c>
      <c r="N328" s="394"/>
      <c r="O328" s="113" t="s">
        <v>4</v>
      </c>
      <c r="P328" s="397"/>
      <c r="Q328" s="114" t="str">
        <f t="shared" si="27"/>
        <v/>
      </c>
      <c r="R328" s="115" t="s">
        <v>4</v>
      </c>
      <c r="S328" s="116" t="str">
        <f t="shared" si="28"/>
        <v/>
      </c>
      <c r="T328" s="233"/>
      <c r="U328" s="234"/>
    </row>
    <row r="329" spans="6:21" ht="17.25" x14ac:dyDescent="0.2">
      <c r="F329" s="88">
        <f t="shared" si="29"/>
        <v>0</v>
      </c>
      <c r="G329" s="88" t="str">
        <f t="shared" si="30"/>
        <v/>
      </c>
      <c r="H329" s="88" t="str">
        <f t="shared" si="31"/>
        <v/>
      </c>
      <c r="I329" s="88">
        <f>IF($G329="",0,COUNTIF($G$7:$G329,$H329))</f>
        <v>0</v>
      </c>
      <c r="J329" s="88"/>
      <c r="K329" s="296" t="str">
        <f>Language!$E$57</f>
        <v>doppelt</v>
      </c>
      <c r="L329" s="270" t="str">
        <f>IF(Calc!$F$26=0,"",IF(OR($M329&gt;Calc!$B$24,MOD($M329-1,Calc!$F$26)&gt;0),"",QUOTIENT($M329-1,Calc!$F$26)+1))</f>
        <v/>
      </c>
      <c r="M329" s="107">
        <v>323</v>
      </c>
      <c r="N329" s="394"/>
      <c r="O329" s="113" t="s">
        <v>4</v>
      </c>
      <c r="P329" s="397"/>
      <c r="Q329" s="114" t="str">
        <f t="shared" si="27"/>
        <v/>
      </c>
      <c r="R329" s="115" t="s">
        <v>4</v>
      </c>
      <c r="S329" s="116" t="str">
        <f t="shared" si="28"/>
        <v/>
      </c>
      <c r="T329" s="233"/>
      <c r="U329" s="234"/>
    </row>
    <row r="330" spans="6:21" ht="17.25" x14ac:dyDescent="0.2">
      <c r="F330" s="88">
        <f t="shared" si="29"/>
        <v>0</v>
      </c>
      <c r="G330" s="88" t="str">
        <f t="shared" si="30"/>
        <v/>
      </c>
      <c r="H330" s="88" t="str">
        <f t="shared" si="31"/>
        <v/>
      </c>
      <c r="I330" s="88">
        <f>IF($G330="",0,COUNTIF($G$7:$G330,$H330))</f>
        <v>0</v>
      </c>
      <c r="J330" s="88"/>
      <c r="K330" s="296" t="str">
        <f>Language!$E$57</f>
        <v>doppelt</v>
      </c>
      <c r="L330" s="270" t="str">
        <f>IF(Calc!$F$26=0,"",IF(OR($M330&gt;Calc!$B$24,MOD($M330-1,Calc!$F$26)&gt;0),"",QUOTIENT($M330-1,Calc!$F$26)+1))</f>
        <v/>
      </c>
      <c r="M330" s="107">
        <v>324</v>
      </c>
      <c r="N330" s="394"/>
      <c r="O330" s="113" t="s">
        <v>4</v>
      </c>
      <c r="P330" s="397"/>
      <c r="Q330" s="114" t="str">
        <f t="shared" si="27"/>
        <v/>
      </c>
      <c r="R330" s="115" t="s">
        <v>4</v>
      </c>
      <c r="S330" s="116" t="str">
        <f t="shared" si="28"/>
        <v/>
      </c>
      <c r="T330" s="233"/>
      <c r="U330" s="234"/>
    </row>
    <row r="331" spans="6:21" ht="17.25" x14ac:dyDescent="0.2">
      <c r="F331" s="88">
        <f t="shared" si="29"/>
        <v>0</v>
      </c>
      <c r="G331" s="88" t="str">
        <f t="shared" si="30"/>
        <v/>
      </c>
      <c r="H331" s="88" t="str">
        <f t="shared" si="31"/>
        <v/>
      </c>
      <c r="I331" s="88">
        <f>IF($G331="",0,COUNTIF($G$7:$G331,$H331))</f>
        <v>0</v>
      </c>
      <c r="J331" s="88"/>
      <c r="K331" s="296" t="str">
        <f>Language!$E$57</f>
        <v>doppelt</v>
      </c>
      <c r="L331" s="270" t="str">
        <f>IF(Calc!$F$26=0,"",IF(OR($M331&gt;Calc!$B$24,MOD($M331-1,Calc!$F$26)&gt;0),"",QUOTIENT($M331-1,Calc!$F$26)+1))</f>
        <v/>
      </c>
      <c r="M331" s="107">
        <v>325</v>
      </c>
      <c r="N331" s="394"/>
      <c r="O331" s="113" t="s">
        <v>4</v>
      </c>
      <c r="P331" s="397"/>
      <c r="Q331" s="114" t="str">
        <f t="shared" si="27"/>
        <v/>
      </c>
      <c r="R331" s="115" t="s">
        <v>4</v>
      </c>
      <c r="S331" s="116" t="str">
        <f t="shared" si="28"/>
        <v/>
      </c>
      <c r="T331" s="233"/>
      <c r="U331" s="234"/>
    </row>
    <row r="332" spans="6:21" ht="17.25" x14ac:dyDescent="0.2">
      <c r="F332" s="88">
        <f t="shared" si="29"/>
        <v>0</v>
      </c>
      <c r="G332" s="88" t="str">
        <f t="shared" si="30"/>
        <v/>
      </c>
      <c r="H332" s="88" t="str">
        <f t="shared" si="31"/>
        <v/>
      </c>
      <c r="I332" s="88">
        <f>IF($G332="",0,COUNTIF($G$7:$G332,$H332))</f>
        <v>0</v>
      </c>
      <c r="J332" s="88"/>
      <c r="K332" s="296" t="str">
        <f>Language!$E$57</f>
        <v>doppelt</v>
      </c>
      <c r="L332" s="270" t="str">
        <f>IF(Calc!$F$26=0,"",IF(OR($M332&gt;Calc!$B$24,MOD($M332-1,Calc!$F$26)&gt;0),"",QUOTIENT($M332-1,Calc!$F$26)+1))</f>
        <v/>
      </c>
      <c r="M332" s="107">
        <v>326</v>
      </c>
      <c r="N332" s="394"/>
      <c r="O332" s="113" t="s">
        <v>4</v>
      </c>
      <c r="P332" s="397"/>
      <c r="Q332" s="114" t="str">
        <f t="shared" si="27"/>
        <v/>
      </c>
      <c r="R332" s="115" t="s">
        <v>4</v>
      </c>
      <c r="S332" s="116" t="str">
        <f t="shared" si="28"/>
        <v/>
      </c>
      <c r="T332" s="233"/>
      <c r="U332" s="234"/>
    </row>
    <row r="333" spans="6:21" ht="17.25" x14ac:dyDescent="0.2">
      <c r="F333" s="88">
        <f t="shared" si="29"/>
        <v>0</v>
      </c>
      <c r="G333" s="88" t="str">
        <f t="shared" si="30"/>
        <v/>
      </c>
      <c r="H333" s="88" t="str">
        <f t="shared" si="31"/>
        <v/>
      </c>
      <c r="I333" s="88">
        <f>IF($G333="",0,COUNTIF($G$7:$G333,$H333))</f>
        <v>0</v>
      </c>
      <c r="J333" s="88"/>
      <c r="K333" s="296" t="str">
        <f>Language!$E$57</f>
        <v>doppelt</v>
      </c>
      <c r="L333" s="270" t="str">
        <f>IF(Calc!$F$26=0,"",IF(OR($M333&gt;Calc!$B$24,MOD($M333-1,Calc!$F$26)&gt;0),"",QUOTIENT($M333-1,Calc!$F$26)+1))</f>
        <v/>
      </c>
      <c r="M333" s="107">
        <v>327</v>
      </c>
      <c r="N333" s="394"/>
      <c r="O333" s="113" t="s">
        <v>4</v>
      </c>
      <c r="P333" s="397"/>
      <c r="Q333" s="114" t="str">
        <f t="shared" si="27"/>
        <v/>
      </c>
      <c r="R333" s="115" t="s">
        <v>4</v>
      </c>
      <c r="S333" s="116" t="str">
        <f t="shared" si="28"/>
        <v/>
      </c>
      <c r="T333" s="233"/>
      <c r="U333" s="234"/>
    </row>
    <row r="334" spans="6:21" ht="17.25" x14ac:dyDescent="0.2">
      <c r="F334" s="88">
        <f t="shared" si="29"/>
        <v>0</v>
      </c>
      <c r="G334" s="88" t="str">
        <f t="shared" si="30"/>
        <v/>
      </c>
      <c r="H334" s="88" t="str">
        <f t="shared" si="31"/>
        <v/>
      </c>
      <c r="I334" s="88">
        <f>IF($G334="",0,COUNTIF($G$7:$G334,$H334))</f>
        <v>0</v>
      </c>
      <c r="J334" s="88"/>
      <c r="K334" s="296" t="str">
        <f>Language!$E$57</f>
        <v>doppelt</v>
      </c>
      <c r="L334" s="270" t="str">
        <f>IF(Calc!$F$26=0,"",IF(OR($M334&gt;Calc!$B$24,MOD($M334-1,Calc!$F$26)&gt;0),"",QUOTIENT($M334-1,Calc!$F$26)+1))</f>
        <v/>
      </c>
      <c r="M334" s="107">
        <v>328</v>
      </c>
      <c r="N334" s="394"/>
      <c r="O334" s="113" t="s">
        <v>4</v>
      </c>
      <c r="P334" s="397"/>
      <c r="Q334" s="114" t="str">
        <f t="shared" si="27"/>
        <v/>
      </c>
      <c r="R334" s="115" t="s">
        <v>4</v>
      </c>
      <c r="S334" s="116" t="str">
        <f t="shared" si="28"/>
        <v/>
      </c>
      <c r="T334" s="233"/>
      <c r="U334" s="234"/>
    </row>
    <row r="335" spans="6:21" ht="17.25" x14ac:dyDescent="0.2">
      <c r="F335" s="88">
        <f t="shared" si="29"/>
        <v>0</v>
      </c>
      <c r="G335" s="88" t="str">
        <f t="shared" si="30"/>
        <v/>
      </c>
      <c r="H335" s="88" t="str">
        <f t="shared" si="31"/>
        <v/>
      </c>
      <c r="I335" s="88">
        <f>IF($G335="",0,COUNTIF($G$7:$G335,$H335))</f>
        <v>0</v>
      </c>
      <c r="J335" s="88"/>
      <c r="K335" s="296" t="str">
        <f>Language!$E$57</f>
        <v>doppelt</v>
      </c>
      <c r="L335" s="270" t="str">
        <f>IF(Calc!$F$26=0,"",IF(OR($M335&gt;Calc!$B$24,MOD($M335-1,Calc!$F$26)&gt;0),"",QUOTIENT($M335-1,Calc!$F$26)+1))</f>
        <v/>
      </c>
      <c r="M335" s="107">
        <v>329</v>
      </c>
      <c r="N335" s="394"/>
      <c r="O335" s="113" t="s">
        <v>4</v>
      </c>
      <c r="P335" s="397"/>
      <c r="Q335" s="114" t="str">
        <f t="shared" si="27"/>
        <v/>
      </c>
      <c r="R335" s="115" t="s">
        <v>4</v>
      </c>
      <c r="S335" s="116" t="str">
        <f t="shared" si="28"/>
        <v/>
      </c>
      <c r="T335" s="233"/>
      <c r="U335" s="234"/>
    </row>
    <row r="336" spans="6:21" ht="17.25" x14ac:dyDescent="0.2">
      <c r="F336" s="88">
        <f t="shared" si="29"/>
        <v>0</v>
      </c>
      <c r="G336" s="88" t="str">
        <f t="shared" si="30"/>
        <v/>
      </c>
      <c r="H336" s="88" t="str">
        <f t="shared" si="31"/>
        <v/>
      </c>
      <c r="I336" s="88">
        <f>IF($G336="",0,COUNTIF($G$7:$G336,$H336))</f>
        <v>0</v>
      </c>
      <c r="J336" s="88"/>
      <c r="K336" s="296" t="str">
        <f>Language!$E$57</f>
        <v>doppelt</v>
      </c>
      <c r="L336" s="270" t="str">
        <f>IF(Calc!$F$26=0,"",IF(OR($M336&gt;Calc!$B$24,MOD($M336-1,Calc!$F$26)&gt;0),"",QUOTIENT($M336-1,Calc!$F$26)+1))</f>
        <v/>
      </c>
      <c r="M336" s="107">
        <v>330</v>
      </c>
      <c r="N336" s="394"/>
      <c r="O336" s="113" t="s">
        <v>4</v>
      </c>
      <c r="P336" s="397"/>
      <c r="Q336" s="114" t="str">
        <f t="shared" si="27"/>
        <v/>
      </c>
      <c r="R336" s="115" t="s">
        <v>4</v>
      </c>
      <c r="S336" s="116" t="str">
        <f t="shared" si="28"/>
        <v/>
      </c>
      <c r="T336" s="233"/>
      <c r="U336" s="234"/>
    </row>
    <row r="337" spans="6:21" ht="17.25" x14ac:dyDescent="0.2">
      <c r="F337" s="88">
        <f t="shared" si="29"/>
        <v>0</v>
      </c>
      <c r="G337" s="88" t="str">
        <f t="shared" si="30"/>
        <v/>
      </c>
      <c r="H337" s="88" t="str">
        <f t="shared" si="31"/>
        <v/>
      </c>
      <c r="I337" s="88">
        <f>IF($G337="",0,COUNTIF($G$7:$G337,$H337))</f>
        <v>0</v>
      </c>
      <c r="J337" s="88"/>
      <c r="K337" s="296" t="str">
        <f>Language!$E$57</f>
        <v>doppelt</v>
      </c>
      <c r="L337" s="270" t="str">
        <f>IF(Calc!$F$26=0,"",IF(OR($M337&gt;Calc!$B$24,MOD($M337-1,Calc!$F$26)&gt;0),"",QUOTIENT($M337-1,Calc!$F$26)+1))</f>
        <v/>
      </c>
      <c r="M337" s="107">
        <v>331</v>
      </c>
      <c r="N337" s="394"/>
      <c r="O337" s="113" t="s">
        <v>4</v>
      </c>
      <c r="P337" s="397"/>
      <c r="Q337" s="114" t="str">
        <f t="shared" si="27"/>
        <v/>
      </c>
      <c r="R337" s="115" t="s">
        <v>4</v>
      </c>
      <c r="S337" s="116" t="str">
        <f t="shared" si="28"/>
        <v/>
      </c>
      <c r="T337" s="233"/>
      <c r="U337" s="234"/>
    </row>
    <row r="338" spans="6:21" ht="17.25" x14ac:dyDescent="0.2">
      <c r="F338" s="88">
        <f t="shared" si="29"/>
        <v>0</v>
      </c>
      <c r="G338" s="88" t="str">
        <f t="shared" si="30"/>
        <v/>
      </c>
      <c r="H338" s="88" t="str">
        <f t="shared" si="31"/>
        <v/>
      </c>
      <c r="I338" s="88">
        <f>IF($G338="",0,COUNTIF($G$7:$G338,$H338))</f>
        <v>0</v>
      </c>
      <c r="J338" s="88"/>
      <c r="K338" s="296" t="str">
        <f>Language!$E$57</f>
        <v>doppelt</v>
      </c>
      <c r="L338" s="270" t="str">
        <f>IF(Calc!$F$26=0,"",IF(OR($M338&gt;Calc!$B$24,MOD($M338-1,Calc!$F$26)&gt;0),"",QUOTIENT($M338-1,Calc!$F$26)+1))</f>
        <v/>
      </c>
      <c r="M338" s="107">
        <v>332</v>
      </c>
      <c r="N338" s="394"/>
      <c r="O338" s="113" t="s">
        <v>4</v>
      </c>
      <c r="P338" s="397"/>
      <c r="Q338" s="114" t="str">
        <f t="shared" si="27"/>
        <v/>
      </c>
      <c r="R338" s="115" t="s">
        <v>4</v>
      </c>
      <c r="S338" s="116" t="str">
        <f t="shared" si="28"/>
        <v/>
      </c>
      <c r="T338" s="233"/>
      <c r="U338" s="234"/>
    </row>
    <row r="339" spans="6:21" ht="17.25" x14ac:dyDescent="0.2">
      <c r="F339" s="88">
        <f t="shared" si="29"/>
        <v>0</v>
      </c>
      <c r="G339" s="88" t="str">
        <f t="shared" si="30"/>
        <v/>
      </c>
      <c r="H339" s="88" t="str">
        <f t="shared" si="31"/>
        <v/>
      </c>
      <c r="I339" s="88">
        <f>IF($G339="",0,COUNTIF($G$7:$G339,$H339))</f>
        <v>0</v>
      </c>
      <c r="J339" s="88"/>
      <c r="K339" s="296" t="str">
        <f>Language!$E$57</f>
        <v>doppelt</v>
      </c>
      <c r="L339" s="270" t="str">
        <f>IF(Calc!$F$26=0,"",IF(OR($M339&gt;Calc!$B$24,MOD($M339-1,Calc!$F$26)&gt;0),"",QUOTIENT($M339-1,Calc!$F$26)+1))</f>
        <v/>
      </c>
      <c r="M339" s="107">
        <v>333</v>
      </c>
      <c r="N339" s="394"/>
      <c r="O339" s="113" t="s">
        <v>4</v>
      </c>
      <c r="P339" s="397"/>
      <c r="Q339" s="114" t="str">
        <f t="shared" si="27"/>
        <v/>
      </c>
      <c r="R339" s="115" t="s">
        <v>4</v>
      </c>
      <c r="S339" s="116" t="str">
        <f t="shared" si="28"/>
        <v/>
      </c>
      <c r="T339" s="233"/>
      <c r="U339" s="234"/>
    </row>
    <row r="340" spans="6:21" ht="17.25" x14ac:dyDescent="0.2">
      <c r="F340" s="88">
        <f t="shared" si="29"/>
        <v>0</v>
      </c>
      <c r="G340" s="88" t="str">
        <f t="shared" si="30"/>
        <v/>
      </c>
      <c r="H340" s="88" t="str">
        <f t="shared" si="31"/>
        <v/>
      </c>
      <c r="I340" s="88">
        <f>IF($G340="",0,COUNTIF($G$7:$G340,$H340))</f>
        <v>0</v>
      </c>
      <c r="J340" s="88"/>
      <c r="K340" s="296" t="str">
        <f>Language!$E$57</f>
        <v>doppelt</v>
      </c>
      <c r="L340" s="270" t="str">
        <f>IF(Calc!$F$26=0,"",IF(OR($M340&gt;Calc!$B$24,MOD($M340-1,Calc!$F$26)&gt;0),"",QUOTIENT($M340-1,Calc!$F$26)+1))</f>
        <v/>
      </c>
      <c r="M340" s="107">
        <v>334</v>
      </c>
      <c r="N340" s="394"/>
      <c r="O340" s="113" t="s">
        <v>4</v>
      </c>
      <c r="P340" s="397"/>
      <c r="Q340" s="114" t="str">
        <f t="shared" si="27"/>
        <v/>
      </c>
      <c r="R340" s="115" t="s">
        <v>4</v>
      </c>
      <c r="S340" s="116" t="str">
        <f t="shared" si="28"/>
        <v/>
      </c>
      <c r="T340" s="233"/>
      <c r="U340" s="234"/>
    </row>
    <row r="341" spans="6:21" ht="17.25" x14ac:dyDescent="0.2">
      <c r="F341" s="88">
        <f t="shared" si="29"/>
        <v>0</v>
      </c>
      <c r="G341" s="88" t="str">
        <f t="shared" si="30"/>
        <v/>
      </c>
      <c r="H341" s="88" t="str">
        <f t="shared" si="31"/>
        <v/>
      </c>
      <c r="I341" s="88">
        <f>IF($G341="",0,COUNTIF($G$7:$G341,$H341))</f>
        <v>0</v>
      </c>
      <c r="J341" s="88"/>
      <c r="K341" s="296" t="str">
        <f>Language!$E$57</f>
        <v>doppelt</v>
      </c>
      <c r="L341" s="270" t="str">
        <f>IF(Calc!$F$26=0,"",IF(OR($M341&gt;Calc!$B$24,MOD($M341-1,Calc!$F$26)&gt;0),"",QUOTIENT($M341-1,Calc!$F$26)+1))</f>
        <v/>
      </c>
      <c r="M341" s="107">
        <v>335</v>
      </c>
      <c r="N341" s="394"/>
      <c r="O341" s="113" t="s">
        <v>4</v>
      </c>
      <c r="P341" s="397"/>
      <c r="Q341" s="114" t="str">
        <f t="shared" si="27"/>
        <v/>
      </c>
      <c r="R341" s="115" t="s">
        <v>4</v>
      </c>
      <c r="S341" s="116" t="str">
        <f t="shared" si="28"/>
        <v/>
      </c>
      <c r="T341" s="233"/>
      <c r="U341" s="234"/>
    </row>
    <row r="342" spans="6:21" ht="17.25" x14ac:dyDescent="0.2">
      <c r="F342" s="88">
        <f t="shared" si="29"/>
        <v>0</v>
      </c>
      <c r="G342" s="88" t="str">
        <f t="shared" si="30"/>
        <v/>
      </c>
      <c r="H342" s="88" t="str">
        <f t="shared" si="31"/>
        <v/>
      </c>
      <c r="I342" s="88">
        <f>IF($G342="",0,COUNTIF($G$7:$G342,$H342))</f>
        <v>0</v>
      </c>
      <c r="J342" s="88"/>
      <c r="K342" s="296" t="str">
        <f>Language!$E$57</f>
        <v>doppelt</v>
      </c>
      <c r="L342" s="270" t="str">
        <f>IF(Calc!$F$26=0,"",IF(OR($M342&gt;Calc!$B$24,MOD($M342-1,Calc!$F$26)&gt;0),"",QUOTIENT($M342-1,Calc!$F$26)+1))</f>
        <v/>
      </c>
      <c r="M342" s="107">
        <v>336</v>
      </c>
      <c r="N342" s="394"/>
      <c r="O342" s="113" t="s">
        <v>4</v>
      </c>
      <c r="P342" s="397"/>
      <c r="Q342" s="114" t="str">
        <f t="shared" si="27"/>
        <v/>
      </c>
      <c r="R342" s="115" t="s">
        <v>4</v>
      </c>
      <c r="S342" s="116" t="str">
        <f t="shared" si="28"/>
        <v/>
      </c>
      <c r="T342" s="233"/>
      <c r="U342" s="234"/>
    </row>
    <row r="343" spans="6:21" ht="17.25" x14ac:dyDescent="0.2">
      <c r="F343" s="88">
        <f t="shared" si="29"/>
        <v>0</v>
      </c>
      <c r="G343" s="88" t="str">
        <f t="shared" si="30"/>
        <v/>
      </c>
      <c r="H343" s="88" t="str">
        <f t="shared" si="31"/>
        <v/>
      </c>
      <c r="I343" s="88">
        <f>IF($G343="",0,COUNTIF($G$7:$G343,$H343))</f>
        <v>0</v>
      </c>
      <c r="J343" s="88"/>
      <c r="K343" s="296" t="str">
        <f>Language!$E$57</f>
        <v>doppelt</v>
      </c>
      <c r="L343" s="270" t="str">
        <f>IF(Calc!$F$26=0,"",IF(OR($M343&gt;Calc!$B$24,MOD($M343-1,Calc!$F$26)&gt;0),"",QUOTIENT($M343-1,Calc!$F$26)+1))</f>
        <v/>
      </c>
      <c r="M343" s="107">
        <v>337</v>
      </c>
      <c r="N343" s="394"/>
      <c r="O343" s="113" t="s">
        <v>4</v>
      </c>
      <c r="P343" s="397"/>
      <c r="Q343" s="114" t="str">
        <f t="shared" si="27"/>
        <v/>
      </c>
      <c r="R343" s="115" t="s">
        <v>4</v>
      </c>
      <c r="S343" s="116" t="str">
        <f t="shared" si="28"/>
        <v/>
      </c>
      <c r="T343" s="233"/>
      <c r="U343" s="234"/>
    </row>
    <row r="344" spans="6:21" ht="17.25" x14ac:dyDescent="0.2">
      <c r="F344" s="88">
        <f t="shared" si="29"/>
        <v>0</v>
      </c>
      <c r="G344" s="88" t="str">
        <f t="shared" si="30"/>
        <v/>
      </c>
      <c r="H344" s="88" t="str">
        <f t="shared" si="31"/>
        <v/>
      </c>
      <c r="I344" s="88">
        <f>IF($G344="",0,COUNTIF($G$7:$G344,$H344))</f>
        <v>0</v>
      </c>
      <c r="J344" s="88"/>
      <c r="K344" s="296" t="str">
        <f>Language!$E$57</f>
        <v>doppelt</v>
      </c>
      <c r="L344" s="270" t="str">
        <f>IF(Calc!$F$26=0,"",IF(OR($M344&gt;Calc!$B$24,MOD($M344-1,Calc!$F$26)&gt;0),"",QUOTIENT($M344-1,Calc!$F$26)+1))</f>
        <v/>
      </c>
      <c r="M344" s="107">
        <v>338</v>
      </c>
      <c r="N344" s="394"/>
      <c r="O344" s="113" t="s">
        <v>4</v>
      </c>
      <c r="P344" s="397"/>
      <c r="Q344" s="114" t="str">
        <f t="shared" si="27"/>
        <v/>
      </c>
      <c r="R344" s="115" t="s">
        <v>4</v>
      </c>
      <c r="S344" s="116" t="str">
        <f t="shared" si="28"/>
        <v/>
      </c>
      <c r="T344" s="233"/>
      <c r="U344" s="234"/>
    </row>
    <row r="345" spans="6:21" ht="17.25" x14ac:dyDescent="0.2">
      <c r="F345" s="88">
        <f t="shared" si="29"/>
        <v>0</v>
      </c>
      <c r="G345" s="88" t="str">
        <f t="shared" si="30"/>
        <v/>
      </c>
      <c r="H345" s="88" t="str">
        <f t="shared" si="31"/>
        <v/>
      </c>
      <c r="I345" s="88">
        <f>IF($G345="",0,COUNTIF($G$7:$G345,$H345))</f>
        <v>0</v>
      </c>
      <c r="J345" s="88"/>
      <c r="K345" s="296" t="str">
        <f>Language!$E$57</f>
        <v>doppelt</v>
      </c>
      <c r="L345" s="270" t="str">
        <f>IF(Calc!$F$26=0,"",IF(OR($M345&gt;Calc!$B$24,MOD($M345-1,Calc!$F$26)&gt;0),"",QUOTIENT($M345-1,Calc!$F$26)+1))</f>
        <v/>
      </c>
      <c r="M345" s="107">
        <v>339</v>
      </c>
      <c r="N345" s="394"/>
      <c r="O345" s="113" t="s">
        <v>4</v>
      </c>
      <c r="P345" s="397"/>
      <c r="Q345" s="114" t="str">
        <f t="shared" si="27"/>
        <v/>
      </c>
      <c r="R345" s="115" t="s">
        <v>4</v>
      </c>
      <c r="S345" s="116" t="str">
        <f t="shared" si="28"/>
        <v/>
      </c>
      <c r="T345" s="233"/>
      <c r="U345" s="234"/>
    </row>
    <row r="346" spans="6:21" ht="17.25" x14ac:dyDescent="0.2">
      <c r="F346" s="88">
        <f t="shared" si="29"/>
        <v>0</v>
      </c>
      <c r="G346" s="88" t="str">
        <f t="shared" si="30"/>
        <v/>
      </c>
      <c r="H346" s="88" t="str">
        <f t="shared" si="31"/>
        <v/>
      </c>
      <c r="I346" s="88">
        <f>IF($G346="",0,COUNTIF($G$7:$G346,$H346))</f>
        <v>0</v>
      </c>
      <c r="J346" s="88"/>
      <c r="K346" s="296" t="str">
        <f>Language!$E$57</f>
        <v>doppelt</v>
      </c>
      <c r="L346" s="270" t="str">
        <f>IF(Calc!$F$26=0,"",IF(OR($M346&gt;Calc!$B$24,MOD($M346-1,Calc!$F$26)&gt;0),"",QUOTIENT($M346-1,Calc!$F$26)+1))</f>
        <v/>
      </c>
      <c r="M346" s="107">
        <v>340</v>
      </c>
      <c r="N346" s="394"/>
      <c r="O346" s="113" t="s">
        <v>4</v>
      </c>
      <c r="P346" s="397"/>
      <c r="Q346" s="114" t="str">
        <f t="shared" si="27"/>
        <v/>
      </c>
      <c r="R346" s="115" t="s">
        <v>4</v>
      </c>
      <c r="S346" s="116" t="str">
        <f t="shared" si="28"/>
        <v/>
      </c>
      <c r="T346" s="233"/>
      <c r="U346" s="234"/>
    </row>
    <row r="347" spans="6:21" ht="17.25" x14ac:dyDescent="0.2">
      <c r="F347" s="88">
        <f t="shared" si="29"/>
        <v>0</v>
      </c>
      <c r="G347" s="88" t="str">
        <f t="shared" si="30"/>
        <v/>
      </c>
      <c r="H347" s="88" t="str">
        <f t="shared" si="31"/>
        <v/>
      </c>
      <c r="I347" s="88">
        <f>IF($G347="",0,COUNTIF($G$7:$G347,$H347))</f>
        <v>0</v>
      </c>
      <c r="J347" s="88"/>
      <c r="K347" s="296" t="str">
        <f>Language!$E$57</f>
        <v>doppelt</v>
      </c>
      <c r="L347" s="270" t="str">
        <f>IF(Calc!$F$26=0,"",IF(OR($M347&gt;Calc!$B$24,MOD($M347-1,Calc!$F$26)&gt;0),"",QUOTIENT($M347-1,Calc!$F$26)+1))</f>
        <v/>
      </c>
      <c r="M347" s="107">
        <v>341</v>
      </c>
      <c r="N347" s="394"/>
      <c r="O347" s="113" t="s">
        <v>4</v>
      </c>
      <c r="P347" s="397"/>
      <c r="Q347" s="114" t="str">
        <f t="shared" si="27"/>
        <v/>
      </c>
      <c r="R347" s="115" t="s">
        <v>4</v>
      </c>
      <c r="S347" s="116" t="str">
        <f t="shared" si="28"/>
        <v/>
      </c>
      <c r="T347" s="233"/>
      <c r="U347" s="234"/>
    </row>
    <row r="348" spans="6:21" ht="17.25" x14ac:dyDescent="0.2">
      <c r="F348" s="88">
        <f t="shared" si="29"/>
        <v>0</v>
      </c>
      <c r="G348" s="88" t="str">
        <f t="shared" si="30"/>
        <v/>
      </c>
      <c r="H348" s="88" t="str">
        <f t="shared" si="31"/>
        <v/>
      </c>
      <c r="I348" s="88">
        <f>IF($G348="",0,COUNTIF($G$7:$G348,$H348))</f>
        <v>0</v>
      </c>
      <c r="J348" s="88"/>
      <c r="K348" s="296" t="str">
        <f>Language!$E$57</f>
        <v>doppelt</v>
      </c>
      <c r="L348" s="270" t="str">
        <f>IF(Calc!$F$26=0,"",IF(OR($M348&gt;Calc!$B$24,MOD($M348-1,Calc!$F$26)&gt;0),"",QUOTIENT($M348-1,Calc!$F$26)+1))</f>
        <v/>
      </c>
      <c r="M348" s="107">
        <v>342</v>
      </c>
      <c r="N348" s="394"/>
      <c r="O348" s="113" t="s">
        <v>4</v>
      </c>
      <c r="P348" s="397"/>
      <c r="Q348" s="114" t="str">
        <f t="shared" si="27"/>
        <v/>
      </c>
      <c r="R348" s="115" t="s">
        <v>4</v>
      </c>
      <c r="S348" s="116" t="str">
        <f t="shared" si="28"/>
        <v/>
      </c>
      <c r="T348" s="233"/>
      <c r="U348" s="234"/>
    </row>
    <row r="349" spans="6:21" ht="17.25" x14ac:dyDescent="0.2">
      <c r="F349" s="88">
        <f t="shared" si="29"/>
        <v>0</v>
      </c>
      <c r="G349" s="88" t="str">
        <f t="shared" si="30"/>
        <v/>
      </c>
      <c r="H349" s="88" t="str">
        <f t="shared" si="31"/>
        <v/>
      </c>
      <c r="I349" s="88">
        <f>IF($G349="",0,COUNTIF($G$7:$G349,$H349))</f>
        <v>0</v>
      </c>
      <c r="J349" s="88"/>
      <c r="K349" s="296" t="str">
        <f>Language!$E$57</f>
        <v>doppelt</v>
      </c>
      <c r="L349" s="270" t="str">
        <f>IF(Calc!$F$26=0,"",IF(OR($M349&gt;Calc!$B$24,MOD($M349-1,Calc!$F$26)&gt;0),"",QUOTIENT($M349-1,Calc!$F$26)+1))</f>
        <v/>
      </c>
      <c r="M349" s="107">
        <v>343</v>
      </c>
      <c r="N349" s="394"/>
      <c r="O349" s="113" t="s">
        <v>4</v>
      </c>
      <c r="P349" s="397"/>
      <c r="Q349" s="114" t="str">
        <f t="shared" si="27"/>
        <v/>
      </c>
      <c r="R349" s="115" t="s">
        <v>4</v>
      </c>
      <c r="S349" s="116" t="str">
        <f t="shared" si="28"/>
        <v/>
      </c>
      <c r="T349" s="233"/>
      <c r="U349" s="234"/>
    </row>
    <row r="350" spans="6:21" ht="17.25" x14ac:dyDescent="0.2">
      <c r="F350" s="88">
        <f t="shared" si="29"/>
        <v>0</v>
      </c>
      <c r="G350" s="88" t="str">
        <f t="shared" si="30"/>
        <v/>
      </c>
      <c r="H350" s="88" t="str">
        <f t="shared" si="31"/>
        <v/>
      </c>
      <c r="I350" s="88">
        <f>IF($G350="",0,COUNTIF($G$7:$G350,$H350))</f>
        <v>0</v>
      </c>
      <c r="J350" s="88"/>
      <c r="K350" s="296" t="str">
        <f>Language!$E$57</f>
        <v>doppelt</v>
      </c>
      <c r="L350" s="270" t="str">
        <f>IF(Calc!$F$26=0,"",IF(OR($M350&gt;Calc!$B$24,MOD($M350-1,Calc!$F$26)&gt;0),"",QUOTIENT($M350-1,Calc!$F$26)+1))</f>
        <v/>
      </c>
      <c r="M350" s="107">
        <v>344</v>
      </c>
      <c r="N350" s="394"/>
      <c r="O350" s="113" t="s">
        <v>4</v>
      </c>
      <c r="P350" s="397"/>
      <c r="Q350" s="114" t="str">
        <f t="shared" si="27"/>
        <v/>
      </c>
      <c r="R350" s="115" t="s">
        <v>4</v>
      </c>
      <c r="S350" s="116" t="str">
        <f t="shared" si="28"/>
        <v/>
      </c>
      <c r="T350" s="233"/>
      <c r="U350" s="234"/>
    </row>
    <row r="351" spans="6:21" ht="17.25" x14ac:dyDescent="0.2">
      <c r="F351" s="88">
        <f t="shared" si="29"/>
        <v>0</v>
      </c>
      <c r="G351" s="88" t="str">
        <f t="shared" si="30"/>
        <v/>
      </c>
      <c r="H351" s="88" t="str">
        <f t="shared" si="31"/>
        <v/>
      </c>
      <c r="I351" s="88">
        <f>IF($G351="",0,COUNTIF($G$7:$G351,$H351))</f>
        <v>0</v>
      </c>
      <c r="J351" s="88"/>
      <c r="K351" s="296" t="str">
        <f>Language!$E$57</f>
        <v>doppelt</v>
      </c>
      <c r="L351" s="270" t="str">
        <f>IF(Calc!$F$26=0,"",IF(OR($M351&gt;Calc!$B$24,MOD($M351-1,Calc!$F$26)&gt;0),"",QUOTIENT($M351-1,Calc!$F$26)+1))</f>
        <v/>
      </c>
      <c r="M351" s="107">
        <v>345</v>
      </c>
      <c r="N351" s="394"/>
      <c r="O351" s="113" t="s">
        <v>4</v>
      </c>
      <c r="P351" s="397"/>
      <c r="Q351" s="114" t="str">
        <f t="shared" si="27"/>
        <v/>
      </c>
      <c r="R351" s="115" t="s">
        <v>4</v>
      </c>
      <c r="S351" s="116" t="str">
        <f t="shared" si="28"/>
        <v/>
      </c>
      <c r="T351" s="233"/>
      <c r="U351" s="234"/>
    </row>
    <row r="352" spans="6:21" ht="17.25" x14ac:dyDescent="0.2">
      <c r="F352" s="88">
        <f t="shared" si="29"/>
        <v>0</v>
      </c>
      <c r="G352" s="88" t="str">
        <f t="shared" si="30"/>
        <v/>
      </c>
      <c r="H352" s="88" t="str">
        <f t="shared" si="31"/>
        <v/>
      </c>
      <c r="I352" s="88">
        <f>IF($G352="",0,COUNTIF($G$7:$G352,$H352))</f>
        <v>0</v>
      </c>
      <c r="J352" s="88"/>
      <c r="K352" s="296" t="str">
        <f>Language!$E$57</f>
        <v>doppelt</v>
      </c>
      <c r="L352" s="270" t="str">
        <f>IF(Calc!$F$26=0,"",IF(OR($M352&gt;Calc!$B$24,MOD($M352-1,Calc!$F$26)&gt;0),"",QUOTIENT($M352-1,Calc!$F$26)+1))</f>
        <v/>
      </c>
      <c r="M352" s="107">
        <v>346</v>
      </c>
      <c r="N352" s="394"/>
      <c r="O352" s="113" t="s">
        <v>4</v>
      </c>
      <c r="P352" s="397"/>
      <c r="Q352" s="114" t="str">
        <f t="shared" si="27"/>
        <v/>
      </c>
      <c r="R352" s="115" t="s">
        <v>4</v>
      </c>
      <c r="S352" s="116" t="str">
        <f t="shared" si="28"/>
        <v/>
      </c>
      <c r="T352" s="233"/>
      <c r="U352" s="234"/>
    </row>
    <row r="353" spans="6:21" ht="17.25" x14ac:dyDescent="0.2">
      <c r="F353" s="88">
        <f t="shared" si="29"/>
        <v>0</v>
      </c>
      <c r="G353" s="88" t="str">
        <f t="shared" si="30"/>
        <v/>
      </c>
      <c r="H353" s="88" t="str">
        <f t="shared" si="31"/>
        <v/>
      </c>
      <c r="I353" s="88">
        <f>IF($G353="",0,COUNTIF($G$7:$G353,$H353))</f>
        <v>0</v>
      </c>
      <c r="J353" s="88"/>
      <c r="K353" s="296" t="str">
        <f>Language!$E$57</f>
        <v>doppelt</v>
      </c>
      <c r="L353" s="270" t="str">
        <f>IF(Calc!$F$26=0,"",IF(OR($M353&gt;Calc!$B$24,MOD($M353-1,Calc!$F$26)&gt;0),"",QUOTIENT($M353-1,Calc!$F$26)+1))</f>
        <v/>
      </c>
      <c r="M353" s="107">
        <v>347</v>
      </c>
      <c r="N353" s="394"/>
      <c r="O353" s="113" t="s">
        <v>4</v>
      </c>
      <c r="P353" s="397"/>
      <c r="Q353" s="114" t="str">
        <f t="shared" si="27"/>
        <v/>
      </c>
      <c r="R353" s="115" t="s">
        <v>4</v>
      </c>
      <c r="S353" s="116" t="str">
        <f t="shared" si="28"/>
        <v/>
      </c>
      <c r="T353" s="233"/>
      <c r="U353" s="234"/>
    </row>
    <row r="354" spans="6:21" ht="17.25" x14ac:dyDescent="0.2">
      <c r="F354" s="88">
        <f t="shared" si="29"/>
        <v>0</v>
      </c>
      <c r="G354" s="88" t="str">
        <f t="shared" si="30"/>
        <v/>
      </c>
      <c r="H354" s="88" t="str">
        <f t="shared" si="31"/>
        <v/>
      </c>
      <c r="I354" s="88">
        <f>IF($G354="",0,COUNTIF($G$7:$G354,$H354))</f>
        <v>0</v>
      </c>
      <c r="J354" s="88"/>
      <c r="K354" s="296" t="str">
        <f>Language!$E$57</f>
        <v>doppelt</v>
      </c>
      <c r="L354" s="270" t="str">
        <f>IF(Calc!$F$26=0,"",IF(OR($M354&gt;Calc!$B$24,MOD($M354-1,Calc!$F$26)&gt;0),"",QUOTIENT($M354-1,Calc!$F$26)+1))</f>
        <v/>
      </c>
      <c r="M354" s="107">
        <v>348</v>
      </c>
      <c r="N354" s="394"/>
      <c r="O354" s="113" t="s">
        <v>4</v>
      </c>
      <c r="P354" s="397"/>
      <c r="Q354" s="114" t="str">
        <f t="shared" si="27"/>
        <v/>
      </c>
      <c r="R354" s="115" t="s">
        <v>4</v>
      </c>
      <c r="S354" s="116" t="str">
        <f t="shared" si="28"/>
        <v/>
      </c>
      <c r="T354" s="233"/>
      <c r="U354" s="234"/>
    </row>
    <row r="355" spans="6:21" ht="17.25" x14ac:dyDescent="0.2">
      <c r="F355" s="88">
        <f t="shared" si="29"/>
        <v>0</v>
      </c>
      <c r="G355" s="88" t="str">
        <f t="shared" si="30"/>
        <v/>
      </c>
      <c r="H355" s="88" t="str">
        <f t="shared" si="31"/>
        <v/>
      </c>
      <c r="I355" s="88">
        <f>IF($G355="",0,COUNTIF($G$7:$G355,$H355))</f>
        <v>0</v>
      </c>
      <c r="J355" s="88"/>
      <c r="K355" s="296" t="str">
        <f>Language!$E$57</f>
        <v>doppelt</v>
      </c>
      <c r="L355" s="270" t="str">
        <f>IF(Calc!$F$26=0,"",IF(OR($M355&gt;Calc!$B$24,MOD($M355-1,Calc!$F$26)&gt;0),"",QUOTIENT($M355-1,Calc!$F$26)+1))</f>
        <v/>
      </c>
      <c r="M355" s="107">
        <v>349</v>
      </c>
      <c r="N355" s="394"/>
      <c r="O355" s="113" t="s">
        <v>4</v>
      </c>
      <c r="P355" s="397"/>
      <c r="Q355" s="114" t="str">
        <f t="shared" si="27"/>
        <v/>
      </c>
      <c r="R355" s="115" t="s">
        <v>4</v>
      </c>
      <c r="S355" s="116" t="str">
        <f t="shared" si="28"/>
        <v/>
      </c>
      <c r="T355" s="233"/>
      <c r="U355" s="234"/>
    </row>
    <row r="356" spans="6:21" ht="17.25" x14ac:dyDescent="0.2">
      <c r="F356" s="88">
        <f t="shared" si="29"/>
        <v>0</v>
      </c>
      <c r="G356" s="88" t="str">
        <f t="shared" si="30"/>
        <v/>
      </c>
      <c r="H356" s="88" t="str">
        <f t="shared" si="31"/>
        <v/>
      </c>
      <c r="I356" s="88">
        <f>IF($G356="",0,COUNTIF($G$7:$G356,$H356))</f>
        <v>0</v>
      </c>
      <c r="J356" s="88"/>
      <c r="K356" s="296" t="str">
        <f>Language!$E$57</f>
        <v>doppelt</v>
      </c>
      <c r="L356" s="270" t="str">
        <f>IF(Calc!$F$26=0,"",IF(OR($M356&gt;Calc!$B$24,MOD($M356-1,Calc!$F$26)&gt;0),"",QUOTIENT($M356-1,Calc!$F$26)+1))</f>
        <v/>
      </c>
      <c r="M356" s="107">
        <v>350</v>
      </c>
      <c r="N356" s="394"/>
      <c r="O356" s="113" t="s">
        <v>4</v>
      </c>
      <c r="P356" s="397"/>
      <c r="Q356" s="114" t="str">
        <f t="shared" si="27"/>
        <v/>
      </c>
      <c r="R356" s="115" t="s">
        <v>4</v>
      </c>
      <c r="S356" s="116" t="str">
        <f t="shared" si="28"/>
        <v/>
      </c>
      <c r="T356" s="233"/>
      <c r="U356" s="234"/>
    </row>
    <row r="357" spans="6:21" ht="17.25" x14ac:dyDescent="0.2">
      <c r="F357" s="88">
        <f t="shared" si="29"/>
        <v>0</v>
      </c>
      <c r="G357" s="88" t="str">
        <f t="shared" si="30"/>
        <v/>
      </c>
      <c r="H357" s="88" t="str">
        <f t="shared" si="31"/>
        <v/>
      </c>
      <c r="I357" s="88">
        <f>IF($G357="",0,COUNTIF($G$7:$G357,$H357))</f>
        <v>0</v>
      </c>
      <c r="J357" s="88"/>
      <c r="K357" s="296" t="str">
        <f>Language!$E$57</f>
        <v>doppelt</v>
      </c>
      <c r="L357" s="270" t="str">
        <f>IF(Calc!$F$26=0,"",IF(OR($M357&gt;Calc!$B$24,MOD($M357-1,Calc!$F$26)&gt;0),"",QUOTIENT($M357-1,Calc!$F$26)+1))</f>
        <v/>
      </c>
      <c r="M357" s="107">
        <v>351</v>
      </c>
      <c r="N357" s="394"/>
      <c r="O357" s="113" t="s">
        <v>4</v>
      </c>
      <c r="P357" s="397"/>
      <c r="Q357" s="114" t="str">
        <f t="shared" si="27"/>
        <v/>
      </c>
      <c r="R357" s="115" t="s">
        <v>4</v>
      </c>
      <c r="S357" s="116" t="str">
        <f t="shared" si="28"/>
        <v/>
      </c>
      <c r="T357" s="233"/>
      <c r="U357" s="234"/>
    </row>
    <row r="358" spans="6:21" ht="17.25" x14ac:dyDescent="0.2">
      <c r="F358" s="88">
        <f t="shared" si="29"/>
        <v>0</v>
      </c>
      <c r="G358" s="88" t="str">
        <f t="shared" si="30"/>
        <v/>
      </c>
      <c r="H358" s="88" t="str">
        <f t="shared" si="31"/>
        <v/>
      </c>
      <c r="I358" s="88">
        <f>IF($G358="",0,COUNTIF($G$7:$G358,$H358))</f>
        <v>0</v>
      </c>
      <c r="J358" s="88"/>
      <c r="K358" s="296" t="str">
        <f>Language!$E$57</f>
        <v>doppelt</v>
      </c>
      <c r="L358" s="270" t="str">
        <f>IF(Calc!$F$26=0,"",IF(OR($M358&gt;Calc!$B$24,MOD($M358-1,Calc!$F$26)&gt;0),"",QUOTIENT($M358-1,Calc!$F$26)+1))</f>
        <v/>
      </c>
      <c r="M358" s="107">
        <v>352</v>
      </c>
      <c r="N358" s="394"/>
      <c r="O358" s="113" t="s">
        <v>4</v>
      </c>
      <c r="P358" s="397"/>
      <c r="Q358" s="114" t="str">
        <f t="shared" si="27"/>
        <v/>
      </c>
      <c r="R358" s="115" t="s">
        <v>4</v>
      </c>
      <c r="S358" s="116" t="str">
        <f t="shared" si="28"/>
        <v/>
      </c>
      <c r="T358" s="233"/>
      <c r="U358" s="234"/>
    </row>
    <row r="359" spans="6:21" ht="17.25" x14ac:dyDescent="0.2">
      <c r="F359" s="88">
        <f t="shared" si="29"/>
        <v>0</v>
      </c>
      <c r="G359" s="88" t="str">
        <f t="shared" si="30"/>
        <v/>
      </c>
      <c r="H359" s="88" t="str">
        <f t="shared" si="31"/>
        <v/>
      </c>
      <c r="I359" s="88">
        <f>IF($G359="",0,COUNTIF($G$7:$G359,$H359))</f>
        <v>0</v>
      </c>
      <c r="J359" s="88"/>
      <c r="K359" s="296" t="str">
        <f>Language!$E$57</f>
        <v>doppelt</v>
      </c>
      <c r="L359" s="270" t="str">
        <f>IF(Calc!$F$26=0,"",IF(OR($M359&gt;Calc!$B$24,MOD($M359-1,Calc!$F$26)&gt;0),"",QUOTIENT($M359-1,Calc!$F$26)+1))</f>
        <v/>
      </c>
      <c r="M359" s="107">
        <v>353</v>
      </c>
      <c r="N359" s="394"/>
      <c r="O359" s="113" t="s">
        <v>4</v>
      </c>
      <c r="P359" s="397"/>
      <c r="Q359" s="114" t="str">
        <f t="shared" si="27"/>
        <v/>
      </c>
      <c r="R359" s="115" t="s">
        <v>4</v>
      </c>
      <c r="S359" s="116" t="str">
        <f t="shared" si="28"/>
        <v/>
      </c>
      <c r="T359" s="233"/>
      <c r="U359" s="234"/>
    </row>
    <row r="360" spans="6:21" ht="17.25" x14ac:dyDescent="0.2">
      <c r="F360" s="88">
        <f t="shared" si="29"/>
        <v>0</v>
      </c>
      <c r="G360" s="88" t="str">
        <f t="shared" si="30"/>
        <v/>
      </c>
      <c r="H360" s="88" t="str">
        <f t="shared" si="31"/>
        <v/>
      </c>
      <c r="I360" s="88">
        <f>IF($G360="",0,COUNTIF($G$7:$G360,$H360))</f>
        <v>0</v>
      </c>
      <c r="J360" s="88"/>
      <c r="K360" s="296" t="str">
        <f>Language!$E$57</f>
        <v>doppelt</v>
      </c>
      <c r="L360" s="270" t="str">
        <f>IF(Calc!$F$26=0,"",IF(OR($M360&gt;Calc!$B$24,MOD($M360-1,Calc!$F$26)&gt;0),"",QUOTIENT($M360-1,Calc!$F$26)+1))</f>
        <v/>
      </c>
      <c r="M360" s="107">
        <v>354</v>
      </c>
      <c r="N360" s="394"/>
      <c r="O360" s="113" t="s">
        <v>4</v>
      </c>
      <c r="P360" s="397"/>
      <c r="Q360" s="114" t="str">
        <f t="shared" si="27"/>
        <v/>
      </c>
      <c r="R360" s="115" t="s">
        <v>4</v>
      </c>
      <c r="S360" s="116" t="str">
        <f t="shared" si="28"/>
        <v/>
      </c>
      <c r="T360" s="233"/>
      <c r="U360" s="234"/>
    </row>
    <row r="361" spans="6:21" ht="17.25" x14ac:dyDescent="0.2">
      <c r="F361" s="88">
        <f t="shared" si="29"/>
        <v>0</v>
      </c>
      <c r="G361" s="88" t="str">
        <f t="shared" si="30"/>
        <v/>
      </c>
      <c r="H361" s="88" t="str">
        <f t="shared" si="31"/>
        <v/>
      </c>
      <c r="I361" s="88">
        <f>IF($G361="",0,COUNTIF($G$7:$G361,$H361))</f>
        <v>0</v>
      </c>
      <c r="J361" s="88"/>
      <c r="K361" s="296" t="str">
        <f>Language!$E$57</f>
        <v>doppelt</v>
      </c>
      <c r="L361" s="270" t="str">
        <f>IF(Calc!$F$26=0,"",IF(OR($M361&gt;Calc!$B$24,MOD($M361-1,Calc!$F$26)&gt;0),"",QUOTIENT($M361-1,Calc!$F$26)+1))</f>
        <v/>
      </c>
      <c r="M361" s="107">
        <v>355</v>
      </c>
      <c r="N361" s="394"/>
      <c r="O361" s="113" t="s">
        <v>4</v>
      </c>
      <c r="P361" s="397"/>
      <c r="Q361" s="114" t="str">
        <f t="shared" si="27"/>
        <v/>
      </c>
      <c r="R361" s="115" t="s">
        <v>4</v>
      </c>
      <c r="S361" s="116" t="str">
        <f t="shared" si="28"/>
        <v/>
      </c>
      <c r="T361" s="233"/>
      <c r="U361" s="234"/>
    </row>
    <row r="362" spans="6:21" ht="17.25" x14ac:dyDescent="0.2">
      <c r="F362" s="88">
        <f t="shared" si="29"/>
        <v>0</v>
      </c>
      <c r="G362" s="88" t="str">
        <f t="shared" si="30"/>
        <v/>
      </c>
      <c r="H362" s="88" t="str">
        <f t="shared" si="31"/>
        <v/>
      </c>
      <c r="I362" s="88">
        <f>IF($G362="",0,COUNTIF($G$7:$G362,$H362))</f>
        <v>0</v>
      </c>
      <c r="J362" s="88"/>
      <c r="K362" s="296" t="str">
        <f>Language!$E$57</f>
        <v>doppelt</v>
      </c>
      <c r="L362" s="270" t="str">
        <f>IF(Calc!$F$26=0,"",IF(OR($M362&gt;Calc!$B$24,MOD($M362-1,Calc!$F$26)&gt;0),"",QUOTIENT($M362-1,Calc!$F$26)+1))</f>
        <v/>
      </c>
      <c r="M362" s="107">
        <v>356</v>
      </c>
      <c r="N362" s="394"/>
      <c r="O362" s="113" t="s">
        <v>4</v>
      </c>
      <c r="P362" s="397"/>
      <c r="Q362" s="114" t="str">
        <f t="shared" si="27"/>
        <v/>
      </c>
      <c r="R362" s="115" t="s">
        <v>4</v>
      </c>
      <c r="S362" s="116" t="str">
        <f t="shared" si="28"/>
        <v/>
      </c>
      <c r="T362" s="233"/>
      <c r="U362" s="234"/>
    </row>
    <row r="363" spans="6:21" ht="17.25" x14ac:dyDescent="0.2">
      <c r="F363" s="88">
        <f t="shared" si="29"/>
        <v>0</v>
      </c>
      <c r="G363" s="88" t="str">
        <f t="shared" si="30"/>
        <v/>
      </c>
      <c r="H363" s="88" t="str">
        <f t="shared" si="31"/>
        <v/>
      </c>
      <c r="I363" s="88">
        <f>IF($G363="",0,COUNTIF($G$7:$G363,$H363))</f>
        <v>0</v>
      </c>
      <c r="J363" s="88"/>
      <c r="K363" s="296" t="str">
        <f>Language!$E$57</f>
        <v>doppelt</v>
      </c>
      <c r="L363" s="270" t="str">
        <f>IF(Calc!$F$26=0,"",IF(OR($M363&gt;Calc!$B$24,MOD($M363-1,Calc!$F$26)&gt;0),"",QUOTIENT($M363-1,Calc!$F$26)+1))</f>
        <v/>
      </c>
      <c r="M363" s="107">
        <v>357</v>
      </c>
      <c r="N363" s="394"/>
      <c r="O363" s="113" t="s">
        <v>4</v>
      </c>
      <c r="P363" s="397"/>
      <c r="Q363" s="114" t="str">
        <f t="shared" si="27"/>
        <v/>
      </c>
      <c r="R363" s="115" t="s">
        <v>4</v>
      </c>
      <c r="S363" s="116" t="str">
        <f t="shared" si="28"/>
        <v/>
      </c>
      <c r="T363" s="233"/>
      <c r="U363" s="234"/>
    </row>
    <row r="364" spans="6:21" ht="17.25" x14ac:dyDescent="0.2">
      <c r="F364" s="88">
        <f t="shared" si="29"/>
        <v>0</v>
      </c>
      <c r="G364" s="88" t="str">
        <f t="shared" si="30"/>
        <v/>
      </c>
      <c r="H364" s="88" t="str">
        <f t="shared" si="31"/>
        <v/>
      </c>
      <c r="I364" s="88">
        <f>IF($G364="",0,COUNTIF($G$7:$G364,$H364))</f>
        <v>0</v>
      </c>
      <c r="J364" s="88"/>
      <c r="K364" s="296" t="str">
        <f>Language!$E$57</f>
        <v>doppelt</v>
      </c>
      <c r="L364" s="270" t="str">
        <f>IF(Calc!$F$26=0,"",IF(OR($M364&gt;Calc!$B$24,MOD($M364-1,Calc!$F$26)&gt;0),"",QUOTIENT($M364-1,Calc!$F$26)+1))</f>
        <v/>
      </c>
      <c r="M364" s="107">
        <v>358</v>
      </c>
      <c r="N364" s="394"/>
      <c r="O364" s="113" t="s">
        <v>4</v>
      </c>
      <c r="P364" s="397"/>
      <c r="Q364" s="114" t="str">
        <f t="shared" si="27"/>
        <v/>
      </c>
      <c r="R364" s="115" t="s">
        <v>4</v>
      </c>
      <c r="S364" s="116" t="str">
        <f t="shared" si="28"/>
        <v/>
      </c>
      <c r="T364" s="233"/>
      <c r="U364" s="234"/>
    </row>
    <row r="365" spans="6:21" ht="17.25" x14ac:dyDescent="0.2">
      <c r="F365" s="88">
        <f t="shared" si="29"/>
        <v>0</v>
      </c>
      <c r="G365" s="88" t="str">
        <f t="shared" si="30"/>
        <v/>
      </c>
      <c r="H365" s="88" t="str">
        <f t="shared" si="31"/>
        <v/>
      </c>
      <c r="I365" s="88">
        <f>IF($G365="",0,COUNTIF($G$7:$G365,$H365))</f>
        <v>0</v>
      </c>
      <c r="J365" s="88"/>
      <c r="K365" s="296" t="str">
        <f>Language!$E$57</f>
        <v>doppelt</v>
      </c>
      <c r="L365" s="270" t="str">
        <f>IF(Calc!$F$26=0,"",IF(OR($M365&gt;Calc!$B$24,MOD($M365-1,Calc!$F$26)&gt;0),"",QUOTIENT($M365-1,Calc!$F$26)+1))</f>
        <v/>
      </c>
      <c r="M365" s="107">
        <v>359</v>
      </c>
      <c r="N365" s="394"/>
      <c r="O365" s="113" t="s">
        <v>4</v>
      </c>
      <c r="P365" s="397"/>
      <c r="Q365" s="114" t="str">
        <f t="shared" si="27"/>
        <v/>
      </c>
      <c r="R365" s="115" t="s">
        <v>4</v>
      </c>
      <c r="S365" s="116" t="str">
        <f t="shared" si="28"/>
        <v/>
      </c>
      <c r="T365" s="233"/>
      <c r="U365" s="234"/>
    </row>
    <row r="366" spans="6:21" ht="17.25" x14ac:dyDescent="0.2">
      <c r="F366" s="88">
        <f t="shared" si="29"/>
        <v>0</v>
      </c>
      <c r="G366" s="88" t="str">
        <f t="shared" si="30"/>
        <v/>
      </c>
      <c r="H366" s="88" t="str">
        <f t="shared" si="31"/>
        <v/>
      </c>
      <c r="I366" s="88">
        <f>IF($G366="",0,COUNTIF($G$7:$G366,$H366))</f>
        <v>0</v>
      </c>
      <c r="J366" s="88"/>
      <c r="K366" s="296" t="str">
        <f>Language!$E$57</f>
        <v>doppelt</v>
      </c>
      <c r="L366" s="270" t="str">
        <f>IF(Calc!$F$26=0,"",IF(OR($M366&gt;Calc!$B$24,MOD($M366-1,Calc!$F$26)&gt;0),"",QUOTIENT($M366-1,Calc!$F$26)+1))</f>
        <v/>
      </c>
      <c r="M366" s="107">
        <v>360</v>
      </c>
      <c r="N366" s="394"/>
      <c r="O366" s="113" t="s">
        <v>4</v>
      </c>
      <c r="P366" s="397"/>
      <c r="Q366" s="114" t="str">
        <f t="shared" si="27"/>
        <v/>
      </c>
      <c r="R366" s="115" t="s">
        <v>4</v>
      </c>
      <c r="S366" s="116" t="str">
        <f t="shared" si="28"/>
        <v/>
      </c>
      <c r="T366" s="233"/>
      <c r="U366" s="234"/>
    </row>
    <row r="367" spans="6:21" ht="17.25" x14ac:dyDescent="0.2">
      <c r="F367" s="88">
        <f t="shared" si="29"/>
        <v>0</v>
      </c>
      <c r="G367" s="88" t="str">
        <f t="shared" si="30"/>
        <v/>
      </c>
      <c r="H367" s="88" t="str">
        <f t="shared" si="31"/>
        <v/>
      </c>
      <c r="I367" s="88">
        <f>IF($G367="",0,COUNTIF($G$7:$G367,$H367))</f>
        <v>0</v>
      </c>
      <c r="J367" s="88"/>
      <c r="K367" s="296" t="str">
        <f>Language!$E$57</f>
        <v>doppelt</v>
      </c>
      <c r="L367" s="270" t="str">
        <f>IF(Calc!$F$26=0,"",IF(OR($M367&gt;Calc!$B$24,MOD($M367-1,Calc!$F$26)&gt;0),"",QUOTIENT($M367-1,Calc!$F$26)+1))</f>
        <v/>
      </c>
      <c r="M367" s="107">
        <v>361</v>
      </c>
      <c r="N367" s="394"/>
      <c r="O367" s="113" t="s">
        <v>4</v>
      </c>
      <c r="P367" s="397"/>
      <c r="Q367" s="114" t="str">
        <f t="shared" si="27"/>
        <v/>
      </c>
      <c r="R367" s="115" t="s">
        <v>4</v>
      </c>
      <c r="S367" s="116" t="str">
        <f t="shared" si="28"/>
        <v/>
      </c>
      <c r="T367" s="233"/>
      <c r="U367" s="234"/>
    </row>
    <row r="368" spans="6:21" ht="17.25" x14ac:dyDescent="0.2">
      <c r="F368" s="88">
        <f t="shared" si="29"/>
        <v>0</v>
      </c>
      <c r="G368" s="88" t="str">
        <f t="shared" si="30"/>
        <v/>
      </c>
      <c r="H368" s="88" t="str">
        <f t="shared" si="31"/>
        <v/>
      </c>
      <c r="I368" s="88">
        <f>IF($G368="",0,COUNTIF($G$7:$G368,$H368))</f>
        <v>0</v>
      </c>
      <c r="J368" s="88"/>
      <c r="K368" s="296" t="str">
        <f>Language!$E$57</f>
        <v>doppelt</v>
      </c>
      <c r="L368" s="270" t="str">
        <f>IF(Calc!$F$26=0,"",IF(OR($M368&gt;Calc!$B$24,MOD($M368-1,Calc!$F$26)&gt;0),"",QUOTIENT($M368-1,Calc!$F$26)+1))</f>
        <v/>
      </c>
      <c r="M368" s="107">
        <v>362</v>
      </c>
      <c r="N368" s="394"/>
      <c r="O368" s="113" t="s">
        <v>4</v>
      </c>
      <c r="P368" s="397"/>
      <c r="Q368" s="114" t="str">
        <f t="shared" si="27"/>
        <v/>
      </c>
      <c r="R368" s="115" t="s">
        <v>4</v>
      </c>
      <c r="S368" s="116" t="str">
        <f t="shared" si="28"/>
        <v/>
      </c>
      <c r="T368" s="233"/>
      <c r="U368" s="234"/>
    </row>
    <row r="369" spans="6:21" ht="17.25" x14ac:dyDescent="0.2">
      <c r="F369" s="88">
        <f t="shared" si="29"/>
        <v>0</v>
      </c>
      <c r="G369" s="88" t="str">
        <f t="shared" si="30"/>
        <v/>
      </c>
      <c r="H369" s="88" t="str">
        <f t="shared" si="31"/>
        <v/>
      </c>
      <c r="I369" s="88">
        <f>IF($G369="",0,COUNTIF($G$7:$G369,$H369))</f>
        <v>0</v>
      </c>
      <c r="J369" s="88"/>
      <c r="K369" s="296" t="str">
        <f>Language!$E$57</f>
        <v>doppelt</v>
      </c>
      <c r="L369" s="270" t="str">
        <f>IF(Calc!$F$26=0,"",IF(OR($M369&gt;Calc!$B$24,MOD($M369-1,Calc!$F$26)&gt;0),"",QUOTIENT($M369-1,Calc!$F$26)+1))</f>
        <v/>
      </c>
      <c r="M369" s="107">
        <v>363</v>
      </c>
      <c r="N369" s="394"/>
      <c r="O369" s="113" t="s">
        <v>4</v>
      </c>
      <c r="P369" s="397"/>
      <c r="Q369" s="114" t="str">
        <f t="shared" si="27"/>
        <v/>
      </c>
      <c r="R369" s="115" t="s">
        <v>4</v>
      </c>
      <c r="S369" s="116" t="str">
        <f t="shared" si="28"/>
        <v/>
      </c>
      <c r="T369" s="233"/>
      <c r="U369" s="234"/>
    </row>
    <row r="370" spans="6:21" ht="17.25" x14ac:dyDescent="0.2">
      <c r="F370" s="88">
        <f t="shared" si="29"/>
        <v>0</v>
      </c>
      <c r="G370" s="88" t="str">
        <f t="shared" si="30"/>
        <v/>
      </c>
      <c r="H370" s="88" t="str">
        <f t="shared" si="31"/>
        <v/>
      </c>
      <c r="I370" s="88">
        <f>IF($G370="",0,COUNTIF($G$7:$G370,$H370))</f>
        <v>0</v>
      </c>
      <c r="J370" s="88"/>
      <c r="K370" s="296" t="str">
        <f>Language!$E$57</f>
        <v>doppelt</v>
      </c>
      <c r="L370" s="270" t="str">
        <f>IF(Calc!$F$26=0,"",IF(OR($M370&gt;Calc!$B$24,MOD($M370-1,Calc!$F$26)&gt;0),"",QUOTIENT($M370-1,Calc!$F$26)+1))</f>
        <v/>
      </c>
      <c r="M370" s="107">
        <v>364</v>
      </c>
      <c r="N370" s="394"/>
      <c r="O370" s="113" t="s">
        <v>4</v>
      </c>
      <c r="P370" s="397"/>
      <c r="Q370" s="114" t="str">
        <f t="shared" si="27"/>
        <v/>
      </c>
      <c r="R370" s="115" t="s">
        <v>4</v>
      </c>
      <c r="S370" s="116" t="str">
        <f t="shared" si="28"/>
        <v/>
      </c>
      <c r="T370" s="233"/>
      <c r="U370" s="234"/>
    </row>
    <row r="371" spans="6:21" ht="17.25" x14ac:dyDescent="0.2">
      <c r="F371" s="88">
        <f t="shared" si="29"/>
        <v>0</v>
      </c>
      <c r="G371" s="88" t="str">
        <f t="shared" si="30"/>
        <v/>
      </c>
      <c r="H371" s="88" t="str">
        <f t="shared" si="31"/>
        <v/>
      </c>
      <c r="I371" s="88">
        <f>IF($G371="",0,COUNTIF($G$7:$G371,$H371))</f>
        <v>0</v>
      </c>
      <c r="J371" s="88"/>
      <c r="K371" s="296" t="str">
        <f>Language!$E$57</f>
        <v>doppelt</v>
      </c>
      <c r="L371" s="270" t="str">
        <f>IF(Calc!$F$26=0,"",IF(OR($M371&gt;Calc!$B$24,MOD($M371-1,Calc!$F$26)&gt;0),"",QUOTIENT($M371-1,Calc!$F$26)+1))</f>
        <v/>
      </c>
      <c r="M371" s="107">
        <v>365</v>
      </c>
      <c r="N371" s="394"/>
      <c r="O371" s="113" t="s">
        <v>4</v>
      </c>
      <c r="P371" s="397"/>
      <c r="Q371" s="114" t="str">
        <f t="shared" si="27"/>
        <v/>
      </c>
      <c r="R371" s="115" t="s">
        <v>4</v>
      </c>
      <c r="S371" s="116" t="str">
        <f t="shared" si="28"/>
        <v/>
      </c>
      <c r="T371" s="233"/>
      <c r="U371" s="234"/>
    </row>
    <row r="372" spans="6:21" ht="17.25" x14ac:dyDescent="0.2">
      <c r="F372" s="88">
        <f t="shared" si="29"/>
        <v>0</v>
      </c>
      <c r="G372" s="88" t="str">
        <f t="shared" si="30"/>
        <v/>
      </c>
      <c r="H372" s="88" t="str">
        <f t="shared" si="31"/>
        <v/>
      </c>
      <c r="I372" s="88">
        <f>IF($G372="",0,COUNTIF($G$7:$G372,$H372))</f>
        <v>0</v>
      </c>
      <c r="J372" s="88"/>
      <c r="K372" s="296" t="str">
        <f>Language!$E$57</f>
        <v>doppelt</v>
      </c>
      <c r="L372" s="270" t="str">
        <f>IF(Calc!$F$26=0,"",IF(OR($M372&gt;Calc!$B$24,MOD($M372-1,Calc!$F$26)&gt;0),"",QUOTIENT($M372-1,Calc!$F$26)+1))</f>
        <v/>
      </c>
      <c r="M372" s="107">
        <v>366</v>
      </c>
      <c r="N372" s="394"/>
      <c r="O372" s="113" t="s">
        <v>4</v>
      </c>
      <c r="P372" s="397"/>
      <c r="Q372" s="114" t="str">
        <f t="shared" si="27"/>
        <v/>
      </c>
      <c r="R372" s="115" t="s">
        <v>4</v>
      </c>
      <c r="S372" s="116" t="str">
        <f t="shared" si="28"/>
        <v/>
      </c>
      <c r="T372" s="233"/>
      <c r="U372" s="234"/>
    </row>
    <row r="373" spans="6:21" ht="17.25" x14ac:dyDescent="0.2">
      <c r="F373" s="88">
        <f t="shared" si="29"/>
        <v>0</v>
      </c>
      <c r="G373" s="88" t="str">
        <f t="shared" si="30"/>
        <v/>
      </c>
      <c r="H373" s="88" t="str">
        <f t="shared" si="31"/>
        <v/>
      </c>
      <c r="I373" s="88">
        <f>IF($G373="",0,COUNTIF($G$7:$G373,$H373))</f>
        <v>0</v>
      </c>
      <c r="J373" s="88"/>
      <c r="K373" s="296" t="str">
        <f>Language!$E$57</f>
        <v>doppelt</v>
      </c>
      <c r="L373" s="270" t="str">
        <f>IF(Calc!$F$26=0,"",IF(OR($M373&gt;Calc!$B$24,MOD($M373-1,Calc!$F$26)&gt;0),"",QUOTIENT($M373-1,Calc!$F$26)+1))</f>
        <v/>
      </c>
      <c r="M373" s="107">
        <v>367</v>
      </c>
      <c r="N373" s="394"/>
      <c r="O373" s="113" t="s">
        <v>4</v>
      </c>
      <c r="P373" s="397"/>
      <c r="Q373" s="114" t="str">
        <f t="shared" si="27"/>
        <v/>
      </c>
      <c r="R373" s="115" t="s">
        <v>4</v>
      </c>
      <c r="S373" s="116" t="str">
        <f t="shared" si="28"/>
        <v/>
      </c>
      <c r="T373" s="233"/>
      <c r="U373" s="234"/>
    </row>
    <row r="374" spans="6:21" ht="17.25" x14ac:dyDescent="0.2">
      <c r="F374" s="88">
        <f t="shared" si="29"/>
        <v>0</v>
      </c>
      <c r="G374" s="88" t="str">
        <f t="shared" si="30"/>
        <v/>
      </c>
      <c r="H374" s="88" t="str">
        <f t="shared" si="31"/>
        <v/>
      </c>
      <c r="I374" s="88">
        <f>IF($G374="",0,COUNTIF($G$7:$G374,$H374))</f>
        <v>0</v>
      </c>
      <c r="J374" s="88"/>
      <c r="K374" s="296" t="str">
        <f>Language!$E$57</f>
        <v>doppelt</v>
      </c>
      <c r="L374" s="270" t="str">
        <f>IF(Calc!$F$26=0,"",IF(OR($M374&gt;Calc!$B$24,MOD($M374-1,Calc!$F$26)&gt;0),"",QUOTIENT($M374-1,Calc!$F$26)+1))</f>
        <v/>
      </c>
      <c r="M374" s="107">
        <v>368</v>
      </c>
      <c r="N374" s="394"/>
      <c r="O374" s="113" t="s">
        <v>4</v>
      </c>
      <c r="P374" s="397"/>
      <c r="Q374" s="114" t="str">
        <f t="shared" si="27"/>
        <v/>
      </c>
      <c r="R374" s="115" t="s">
        <v>4</v>
      </c>
      <c r="S374" s="116" t="str">
        <f t="shared" si="28"/>
        <v/>
      </c>
      <c r="T374" s="233"/>
      <c r="U374" s="234"/>
    </row>
    <row r="375" spans="6:21" ht="17.25" x14ac:dyDescent="0.2">
      <c r="F375" s="88">
        <f t="shared" si="29"/>
        <v>0</v>
      </c>
      <c r="G375" s="88" t="str">
        <f t="shared" si="30"/>
        <v/>
      </c>
      <c r="H375" s="88" t="str">
        <f t="shared" si="31"/>
        <v/>
      </c>
      <c r="I375" s="88">
        <f>IF($G375="",0,COUNTIF($G$7:$G375,$H375))</f>
        <v>0</v>
      </c>
      <c r="J375" s="88"/>
      <c r="K375" s="296" t="str">
        <f>Language!$E$57</f>
        <v>doppelt</v>
      </c>
      <c r="L375" s="270" t="str">
        <f>IF(Calc!$F$26=0,"",IF(OR($M375&gt;Calc!$B$24,MOD($M375-1,Calc!$F$26)&gt;0),"",QUOTIENT($M375-1,Calc!$F$26)+1))</f>
        <v/>
      </c>
      <c r="M375" s="107">
        <v>369</v>
      </c>
      <c r="N375" s="394"/>
      <c r="O375" s="113" t="s">
        <v>4</v>
      </c>
      <c r="P375" s="397"/>
      <c r="Q375" s="114" t="str">
        <f t="shared" si="27"/>
        <v/>
      </c>
      <c r="R375" s="115" t="s">
        <v>4</v>
      </c>
      <c r="S375" s="116" t="str">
        <f t="shared" si="28"/>
        <v/>
      </c>
      <c r="T375" s="233"/>
      <c r="U375" s="234"/>
    </row>
    <row r="376" spans="6:21" ht="17.25" x14ac:dyDescent="0.2">
      <c r="F376" s="88">
        <f t="shared" si="29"/>
        <v>0</v>
      </c>
      <c r="G376" s="88" t="str">
        <f t="shared" si="30"/>
        <v/>
      </c>
      <c r="H376" s="88" t="str">
        <f t="shared" si="31"/>
        <v/>
      </c>
      <c r="I376" s="88">
        <f>IF($G376="",0,COUNTIF($G$7:$G376,$H376))</f>
        <v>0</v>
      </c>
      <c r="J376" s="88"/>
      <c r="K376" s="296" t="str">
        <f>Language!$E$57</f>
        <v>doppelt</v>
      </c>
      <c r="L376" s="270" t="str">
        <f>IF(Calc!$F$26=0,"",IF(OR($M376&gt;Calc!$B$24,MOD($M376-1,Calc!$F$26)&gt;0),"",QUOTIENT($M376-1,Calc!$F$26)+1))</f>
        <v/>
      </c>
      <c r="M376" s="107">
        <v>370</v>
      </c>
      <c r="N376" s="394"/>
      <c r="O376" s="113" t="s">
        <v>4</v>
      </c>
      <c r="P376" s="397"/>
      <c r="Q376" s="114" t="str">
        <f t="shared" si="27"/>
        <v/>
      </c>
      <c r="R376" s="115" t="s">
        <v>4</v>
      </c>
      <c r="S376" s="116" t="str">
        <f t="shared" si="28"/>
        <v/>
      </c>
      <c r="T376" s="233"/>
      <c r="U376" s="234"/>
    </row>
    <row r="377" spans="6:21" ht="17.25" x14ac:dyDescent="0.2">
      <c r="F377" s="88">
        <f t="shared" si="29"/>
        <v>0</v>
      </c>
      <c r="G377" s="88" t="str">
        <f t="shared" si="30"/>
        <v/>
      </c>
      <c r="H377" s="88" t="str">
        <f t="shared" si="31"/>
        <v/>
      </c>
      <c r="I377" s="88">
        <f>IF($G377="",0,COUNTIF($G$7:$G377,$H377))</f>
        <v>0</v>
      </c>
      <c r="J377" s="88"/>
      <c r="K377" s="296" t="str">
        <f>Language!$E$57</f>
        <v>doppelt</v>
      </c>
      <c r="L377" s="270" t="str">
        <f>IF(Calc!$F$26=0,"",IF(OR($M377&gt;Calc!$B$24,MOD($M377-1,Calc!$F$26)&gt;0),"",QUOTIENT($M377-1,Calc!$F$26)+1))</f>
        <v/>
      </c>
      <c r="M377" s="107">
        <v>371</v>
      </c>
      <c r="N377" s="394"/>
      <c r="O377" s="113" t="s">
        <v>4</v>
      </c>
      <c r="P377" s="397"/>
      <c r="Q377" s="114" t="str">
        <f t="shared" si="27"/>
        <v/>
      </c>
      <c r="R377" s="115" t="s">
        <v>4</v>
      </c>
      <c r="S377" s="116" t="str">
        <f t="shared" si="28"/>
        <v/>
      </c>
      <c r="T377" s="233"/>
      <c r="U377" s="234"/>
    </row>
    <row r="378" spans="6:21" ht="17.25" x14ac:dyDescent="0.2">
      <c r="F378" s="88">
        <f t="shared" si="29"/>
        <v>0</v>
      </c>
      <c r="G378" s="88" t="str">
        <f t="shared" si="30"/>
        <v/>
      </c>
      <c r="H378" s="88" t="str">
        <f t="shared" si="31"/>
        <v/>
      </c>
      <c r="I378" s="88">
        <f>IF($G378="",0,COUNTIF($G$7:$G378,$H378))</f>
        <v>0</v>
      </c>
      <c r="J378" s="88"/>
      <c r="K378" s="296" t="str">
        <f>Language!$E$57</f>
        <v>doppelt</v>
      </c>
      <c r="L378" s="270" t="str">
        <f>IF(Calc!$F$26=0,"",IF(OR($M378&gt;Calc!$B$24,MOD($M378-1,Calc!$F$26)&gt;0),"",QUOTIENT($M378-1,Calc!$F$26)+1))</f>
        <v/>
      </c>
      <c r="M378" s="107">
        <v>372</v>
      </c>
      <c r="N378" s="394"/>
      <c r="O378" s="113" t="s">
        <v>4</v>
      </c>
      <c r="P378" s="397"/>
      <c r="Q378" s="114" t="str">
        <f t="shared" si="27"/>
        <v/>
      </c>
      <c r="R378" s="115" t="s">
        <v>4</v>
      </c>
      <c r="S378" s="116" t="str">
        <f t="shared" si="28"/>
        <v/>
      </c>
      <c r="T378" s="233"/>
      <c r="U378" s="234"/>
    </row>
    <row r="379" spans="6:21" ht="17.25" x14ac:dyDescent="0.2">
      <c r="F379" s="88">
        <f t="shared" si="29"/>
        <v>0</v>
      </c>
      <c r="G379" s="88" t="str">
        <f t="shared" si="30"/>
        <v/>
      </c>
      <c r="H379" s="88" t="str">
        <f t="shared" si="31"/>
        <v/>
      </c>
      <c r="I379" s="88">
        <f>IF($G379="",0,COUNTIF($G$7:$G379,$H379))</f>
        <v>0</v>
      </c>
      <c r="J379" s="88"/>
      <c r="K379" s="296" t="str">
        <f>Language!$E$57</f>
        <v>doppelt</v>
      </c>
      <c r="L379" s="270" t="str">
        <f>IF(Calc!$F$26=0,"",IF(OR($M379&gt;Calc!$B$24,MOD($M379-1,Calc!$F$26)&gt;0),"",QUOTIENT($M379-1,Calc!$F$26)+1))</f>
        <v/>
      </c>
      <c r="M379" s="107">
        <v>373</v>
      </c>
      <c r="N379" s="394"/>
      <c r="O379" s="113" t="s">
        <v>4</v>
      </c>
      <c r="P379" s="397"/>
      <c r="Q379" s="114" t="str">
        <f t="shared" si="27"/>
        <v/>
      </c>
      <c r="R379" s="115" t="s">
        <v>4</v>
      </c>
      <c r="S379" s="116" t="str">
        <f t="shared" si="28"/>
        <v/>
      </c>
      <c r="T379" s="233"/>
      <c r="U379" s="234"/>
    </row>
    <row r="380" spans="6:21" ht="17.25" x14ac:dyDescent="0.2">
      <c r="F380" s="88">
        <f t="shared" si="29"/>
        <v>0</v>
      </c>
      <c r="G380" s="88" t="str">
        <f t="shared" si="30"/>
        <v/>
      </c>
      <c r="H380" s="88" t="str">
        <f t="shared" si="31"/>
        <v/>
      </c>
      <c r="I380" s="88">
        <f>IF($G380="",0,COUNTIF($G$7:$G380,$H380))</f>
        <v>0</v>
      </c>
      <c r="J380" s="88"/>
      <c r="K380" s="296" t="str">
        <f>Language!$E$57</f>
        <v>doppelt</v>
      </c>
      <c r="L380" s="270" t="str">
        <f>IF(Calc!$F$26=0,"",IF(OR($M380&gt;Calc!$B$24,MOD($M380-1,Calc!$F$26)&gt;0),"",QUOTIENT($M380-1,Calc!$F$26)+1))</f>
        <v/>
      </c>
      <c r="M380" s="107">
        <v>374</v>
      </c>
      <c r="N380" s="394"/>
      <c r="O380" s="113" t="s">
        <v>4</v>
      </c>
      <c r="P380" s="397"/>
      <c r="Q380" s="114" t="str">
        <f t="shared" si="27"/>
        <v/>
      </c>
      <c r="R380" s="115" t="s">
        <v>4</v>
      </c>
      <c r="S380" s="116" t="str">
        <f t="shared" si="28"/>
        <v/>
      </c>
      <c r="T380" s="233"/>
      <c r="U380" s="234"/>
    </row>
    <row r="381" spans="6:21" ht="17.25" x14ac:dyDescent="0.2">
      <c r="F381" s="88">
        <f t="shared" si="29"/>
        <v>0</v>
      </c>
      <c r="G381" s="88" t="str">
        <f t="shared" si="30"/>
        <v/>
      </c>
      <c r="H381" s="88" t="str">
        <f t="shared" si="31"/>
        <v/>
      </c>
      <c r="I381" s="88">
        <f>IF($G381="",0,COUNTIF($G$7:$G381,$H381))</f>
        <v>0</v>
      </c>
      <c r="J381" s="88"/>
      <c r="K381" s="296" t="str">
        <f>Language!$E$57</f>
        <v>doppelt</v>
      </c>
      <c r="L381" s="270" t="str">
        <f>IF(Calc!$F$26=0,"",IF(OR($M381&gt;Calc!$B$24,MOD($M381-1,Calc!$F$26)&gt;0),"",QUOTIENT($M381-1,Calc!$F$26)+1))</f>
        <v/>
      </c>
      <c r="M381" s="107">
        <v>375</v>
      </c>
      <c r="N381" s="394"/>
      <c r="O381" s="113" t="s">
        <v>4</v>
      </c>
      <c r="P381" s="397"/>
      <c r="Q381" s="114" t="str">
        <f t="shared" si="27"/>
        <v/>
      </c>
      <c r="R381" s="115" t="s">
        <v>4</v>
      </c>
      <c r="S381" s="116" t="str">
        <f t="shared" si="28"/>
        <v/>
      </c>
      <c r="T381" s="233"/>
      <c r="U381" s="234"/>
    </row>
    <row r="382" spans="6:21" ht="17.25" x14ac:dyDescent="0.2">
      <c r="F382" s="88">
        <f t="shared" si="29"/>
        <v>0</v>
      </c>
      <c r="G382" s="88" t="str">
        <f t="shared" si="30"/>
        <v/>
      </c>
      <c r="H382" s="88" t="str">
        <f t="shared" si="31"/>
        <v/>
      </c>
      <c r="I382" s="88">
        <f>IF($G382="",0,COUNTIF($G$7:$G382,$H382))</f>
        <v>0</v>
      </c>
      <c r="J382" s="88"/>
      <c r="K382" s="296" t="str">
        <f>Language!$E$57</f>
        <v>doppelt</v>
      </c>
      <c r="L382" s="270" t="str">
        <f>IF(Calc!$F$26=0,"",IF(OR($M382&gt;Calc!$B$24,MOD($M382-1,Calc!$F$26)&gt;0),"",QUOTIENT($M382-1,Calc!$F$26)+1))</f>
        <v/>
      </c>
      <c r="M382" s="107">
        <v>376</v>
      </c>
      <c r="N382" s="394"/>
      <c r="O382" s="113" t="s">
        <v>4</v>
      </c>
      <c r="P382" s="397"/>
      <c r="Q382" s="114" t="str">
        <f t="shared" si="27"/>
        <v/>
      </c>
      <c r="R382" s="115" t="s">
        <v>4</v>
      </c>
      <c r="S382" s="116" t="str">
        <f t="shared" si="28"/>
        <v/>
      </c>
      <c r="T382" s="233"/>
      <c r="U382" s="234"/>
    </row>
    <row r="383" spans="6:21" ht="17.25" x14ac:dyDescent="0.2">
      <c r="F383" s="88">
        <f t="shared" si="29"/>
        <v>0</v>
      </c>
      <c r="G383" s="88" t="str">
        <f t="shared" si="30"/>
        <v/>
      </c>
      <c r="H383" s="88" t="str">
        <f t="shared" si="31"/>
        <v/>
      </c>
      <c r="I383" s="88">
        <f>IF($G383="",0,COUNTIF($G$7:$G383,$H383))</f>
        <v>0</v>
      </c>
      <c r="J383" s="88"/>
      <c r="K383" s="296" t="str">
        <f>Language!$E$57</f>
        <v>doppelt</v>
      </c>
      <c r="L383" s="270" t="str">
        <f>IF(Calc!$F$26=0,"",IF(OR($M383&gt;Calc!$B$24,MOD($M383-1,Calc!$F$26)&gt;0),"",QUOTIENT($M383-1,Calc!$F$26)+1))</f>
        <v/>
      </c>
      <c r="M383" s="107">
        <v>377</v>
      </c>
      <c r="N383" s="394"/>
      <c r="O383" s="113" t="s">
        <v>4</v>
      </c>
      <c r="P383" s="397"/>
      <c r="Q383" s="114" t="str">
        <f t="shared" si="27"/>
        <v/>
      </c>
      <c r="R383" s="115" t="s">
        <v>4</v>
      </c>
      <c r="S383" s="116" t="str">
        <f t="shared" si="28"/>
        <v/>
      </c>
      <c r="T383" s="233"/>
      <c r="U383" s="234"/>
    </row>
    <row r="384" spans="6:21" ht="17.25" x14ac:dyDescent="0.2">
      <c r="F384" s="88">
        <f t="shared" si="29"/>
        <v>0</v>
      </c>
      <c r="G384" s="88" t="str">
        <f t="shared" si="30"/>
        <v/>
      </c>
      <c r="H384" s="88" t="str">
        <f t="shared" si="31"/>
        <v/>
      </c>
      <c r="I384" s="88">
        <f>IF($G384="",0,COUNTIF($G$7:$G384,$H384))</f>
        <v>0</v>
      </c>
      <c r="J384" s="88"/>
      <c r="K384" s="296" t="str">
        <f>Language!$E$57</f>
        <v>doppelt</v>
      </c>
      <c r="L384" s="270" t="str">
        <f>IF(Calc!$F$26=0,"",IF(OR($M384&gt;Calc!$B$24,MOD($M384-1,Calc!$F$26)&gt;0),"",QUOTIENT($M384-1,Calc!$F$26)+1))</f>
        <v/>
      </c>
      <c r="M384" s="107">
        <v>378</v>
      </c>
      <c r="N384" s="394"/>
      <c r="O384" s="113" t="s">
        <v>4</v>
      </c>
      <c r="P384" s="397"/>
      <c r="Q384" s="114" t="str">
        <f t="shared" si="27"/>
        <v/>
      </c>
      <c r="R384" s="115" t="s">
        <v>4</v>
      </c>
      <c r="S384" s="116" t="str">
        <f t="shared" si="28"/>
        <v/>
      </c>
      <c r="T384" s="233"/>
      <c r="U384" s="234"/>
    </row>
    <row r="385" spans="6:21" ht="17.25" x14ac:dyDescent="0.2">
      <c r="F385" s="88">
        <f t="shared" si="29"/>
        <v>0</v>
      </c>
      <c r="G385" s="88" t="str">
        <f t="shared" si="30"/>
        <v/>
      </c>
      <c r="H385" s="88" t="str">
        <f t="shared" si="31"/>
        <v/>
      </c>
      <c r="I385" s="88">
        <f>IF($G385="",0,COUNTIF($G$7:$G385,$H385))</f>
        <v>0</v>
      </c>
      <c r="J385" s="88"/>
      <c r="K385" s="296" t="str">
        <f>Language!$E$57</f>
        <v>doppelt</v>
      </c>
      <c r="L385" s="270" t="str">
        <f>IF(Calc!$F$26=0,"",IF(OR($M385&gt;Calc!$B$24,MOD($M385-1,Calc!$F$26)&gt;0),"",QUOTIENT($M385-1,Calc!$F$26)+1))</f>
        <v/>
      </c>
      <c r="M385" s="107">
        <v>379</v>
      </c>
      <c r="N385" s="394"/>
      <c r="O385" s="113" t="s">
        <v>4</v>
      </c>
      <c r="P385" s="397"/>
      <c r="Q385" s="114" t="str">
        <f t="shared" si="27"/>
        <v/>
      </c>
      <c r="R385" s="115" t="s">
        <v>4</v>
      </c>
      <c r="S385" s="116" t="str">
        <f t="shared" si="28"/>
        <v/>
      </c>
      <c r="T385" s="233"/>
      <c r="U385" s="234"/>
    </row>
    <row r="386" spans="6:21" ht="18" thickBot="1" x14ac:dyDescent="0.25">
      <c r="F386" s="88">
        <f t="shared" si="29"/>
        <v>0</v>
      </c>
      <c r="G386" s="88" t="str">
        <f t="shared" si="30"/>
        <v/>
      </c>
      <c r="H386" s="88" t="str">
        <f t="shared" si="31"/>
        <v/>
      </c>
      <c r="I386" s="88">
        <f>IF($G386="",0,COUNTIF($G$7:$G386,$H386))</f>
        <v>0</v>
      </c>
      <c r="J386" s="88"/>
      <c r="K386" s="296" t="str">
        <f>Language!$E$57</f>
        <v>doppelt</v>
      </c>
      <c r="L386" s="271"/>
      <c r="M386" s="108">
        <v>380</v>
      </c>
      <c r="N386" s="396"/>
      <c r="O386" s="246" t="s">
        <v>4</v>
      </c>
      <c r="P386" s="399"/>
      <c r="Q386" s="151" t="str">
        <f t="shared" si="27"/>
        <v/>
      </c>
      <c r="R386" s="152" t="s">
        <v>4</v>
      </c>
      <c r="S386" s="153" t="str">
        <f t="shared" si="28"/>
        <v/>
      </c>
      <c r="T386" s="235"/>
      <c r="U386" s="236"/>
    </row>
    <row r="387" spans="6:21" x14ac:dyDescent="0.25"/>
    <row r="388" spans="6:21" x14ac:dyDescent="0.25"/>
    <row r="389" spans="6:21" x14ac:dyDescent="0.25"/>
    <row r="390" spans="6:21" x14ac:dyDescent="0.25"/>
  </sheetData>
  <sheetProtection sheet="1" objects="1" scenarios="1" selectLockedCells="1"/>
  <mergeCells count="4">
    <mergeCell ref="C5:D5"/>
    <mergeCell ref="N6:P6"/>
    <mergeCell ref="Q6:S6"/>
    <mergeCell ref="Q2:T2"/>
  </mergeCells>
  <phoneticPr fontId="50" type="noConversion"/>
  <conditionalFormatting sqref="Q2 U2:W2">
    <cfRule type="expression" dxfId="92" priority="64">
      <formula>$F$6&gt;2</formula>
    </cfRule>
  </conditionalFormatting>
  <conditionalFormatting sqref="Q4:S4">
    <cfRule type="expression" dxfId="91" priority="63">
      <formula>$F$6=2</formula>
    </cfRule>
  </conditionalFormatting>
  <conditionalFormatting sqref="C5:E5">
    <cfRule type="expression" dxfId="90" priority="31">
      <formula>$B$6&gt;1</formula>
    </cfRule>
  </conditionalFormatting>
  <conditionalFormatting sqref="D7 D26">
    <cfRule type="expression" dxfId="89" priority="30">
      <formula>$B7&gt;1</formula>
    </cfRule>
  </conditionalFormatting>
  <conditionalFormatting sqref="D8 D10 D12 D14 D16 D18 D20 D22 D24">
    <cfRule type="expression" dxfId="88" priority="29">
      <formula>$B8&gt;1</formula>
    </cfRule>
  </conditionalFormatting>
  <conditionalFormatting sqref="D9 D11 D13 D15 D17 D19 D21 D23 D25">
    <cfRule type="expression" dxfId="87" priority="28">
      <formula>$B9&gt;1</formula>
    </cfRule>
  </conditionalFormatting>
  <conditionalFormatting sqref="N7:P386">
    <cfRule type="expression" dxfId="86" priority="11">
      <formula>$F7&gt;=100</formula>
    </cfRule>
  </conditionalFormatting>
  <conditionalFormatting sqref="N8:N158">
    <cfRule type="expression" dxfId="85" priority="8">
      <formula>$F8=100</formula>
    </cfRule>
  </conditionalFormatting>
  <conditionalFormatting sqref="E7 E26">
    <cfRule type="expression" dxfId="84" priority="6">
      <formula>$B7&gt;1</formula>
    </cfRule>
  </conditionalFormatting>
  <conditionalFormatting sqref="E8 E10 E12 E14 E16 E18 E20 E22 E24">
    <cfRule type="expression" dxfId="83" priority="5">
      <formula>$B8&gt;1</formula>
    </cfRule>
  </conditionalFormatting>
  <conditionalFormatting sqref="E9 E11 E13 E15 E17 E19 E21 E23 E25">
    <cfRule type="expression" dxfId="82" priority="4">
      <formula>$B9&gt;1</formula>
    </cfRule>
  </conditionalFormatting>
  <conditionalFormatting sqref="K7:K386">
    <cfRule type="expression" dxfId="81" priority="1">
      <formula>$F7=101</formula>
    </cfRule>
  </conditionalFormatting>
  <dataValidations count="2">
    <dataValidation type="whole" allowBlank="1" showInputMessage="1" showErrorMessage="1" sqref="O7:O386" xr:uid="{152523AC-22D4-44F7-B6F4-056F2CC1194A}">
      <formula1>1</formula1>
      <formula2>20</formula2>
    </dataValidation>
    <dataValidation type="whole" allowBlank="1" showInputMessage="1" showErrorMessage="1" sqref="N7:N386 P7:P386" xr:uid="{38B2BB24-5E51-4314-BBAE-E6941F0D4C06}">
      <formula1>1</formula1>
      <formula2>9999</formula2>
    </dataValidation>
  </dataValidations>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2" id="{BE9EC470-2BC5-4260-9D0B-81220DA61778}">
            <xm:f>$M7=Calc!$B$24/2</xm:f>
            <x14:dxf>
              <border>
                <bottom style="dashDot">
                  <color rgb="FFDA0000"/>
                </bottom>
                <vertical/>
                <horizontal/>
              </border>
            </x14:dxf>
          </x14:cfRule>
          <x14:cfRule type="expression" priority="3" id="{7EA3DAB8-C222-4F9E-BA83-856D448698AD}">
            <xm:f>$M7=Calc!$B$24</xm:f>
            <x14:dxf>
              <border>
                <bottom style="thin">
                  <color rgb="FFDA0000"/>
                </bottom>
                <vertical/>
                <horizontal/>
              </border>
            </x14:dxf>
          </x14:cfRule>
          <x14:cfRule type="expression" priority="7" id="{A6BA3912-6F87-4B3F-B780-0E0B19604F8F}">
            <xm:f>AND($M7&lt;Calc!$B$24,Calc!$F$24&gt;1,MOD($M7,Calc!$F$26)=0,$M7&lt;&gt;Calc!$B$24/2)</xm:f>
            <x14:dxf>
              <border>
                <bottom style="thin">
                  <color theme="4"/>
                </bottom>
                <vertical/>
                <horizontal/>
              </border>
            </x14:dxf>
          </x14:cfRule>
          <xm:sqref>L7:U385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B1:W101"/>
  <sheetViews>
    <sheetView zoomScaleNormal="100" workbookViewId="0">
      <selection activeCell="B2" sqref="B2"/>
    </sheetView>
  </sheetViews>
  <sheetFormatPr baseColWidth="10" defaultColWidth="2.7109375" defaultRowHeight="12" x14ac:dyDescent="0.2"/>
  <cols>
    <col min="1" max="2" width="4.7109375" style="5" customWidth="1"/>
    <col min="3" max="3" width="8.140625" style="5" customWidth="1"/>
    <col min="4" max="4" width="9.140625" style="5" customWidth="1"/>
    <col min="5" max="5" width="7.140625" style="5" customWidth="1"/>
    <col min="6" max="6" width="18" style="194" customWidth="1"/>
    <col min="7" max="7" width="7.42578125" style="5" customWidth="1"/>
    <col min="8" max="9" width="6.42578125" style="5" customWidth="1"/>
    <col min="10" max="10" width="8.28515625" style="5" customWidth="1"/>
    <col min="11" max="11" width="7.42578125" style="5" customWidth="1"/>
    <col min="12" max="12" width="8.7109375" style="5" customWidth="1"/>
    <col min="13" max="13" width="7.5703125" style="5" customWidth="1"/>
    <col min="14" max="14" width="7.140625" style="5" customWidth="1"/>
    <col min="15" max="15" width="7.7109375" style="5" customWidth="1"/>
    <col min="16" max="16" width="4.7109375" style="5" customWidth="1"/>
    <col min="17" max="17" width="21" style="5" customWidth="1"/>
    <col min="18" max="18" width="15.140625" style="5" customWidth="1"/>
    <col min="19" max="19" width="11.42578125" style="5" customWidth="1"/>
    <col min="20" max="20" width="10.5703125" style="5" customWidth="1"/>
    <col min="21" max="21" width="9.5703125" style="5" customWidth="1"/>
    <col min="22" max="22" width="7" style="5" customWidth="1"/>
    <col min="23" max="24" width="8.42578125" style="5" customWidth="1"/>
    <col min="25" max="48" width="4.7109375" style="5" customWidth="1"/>
    <col min="49" max="59" width="6.7109375" style="5" customWidth="1"/>
    <col min="60" max="16384" width="2.7109375" style="5"/>
  </cols>
  <sheetData>
    <row r="1" spans="2:23" s="2" customFormat="1" ht="12.75" thickBot="1" x14ac:dyDescent="0.25">
      <c r="F1" s="187"/>
      <c r="Q1" s="191" t="s">
        <v>464</v>
      </c>
    </row>
    <row r="2" spans="2:23" s="2" customFormat="1" ht="18.75" customHeight="1" thickBot="1" x14ac:dyDescent="0.25">
      <c r="B2" s="410">
        <f>IF(Results!$R$6&gt;0,Results!$R$6,38)</f>
        <v>38</v>
      </c>
      <c r="C2" s="3"/>
      <c r="D2" s="3"/>
      <c r="E2" s="3"/>
      <c r="F2" s="187"/>
      <c r="G2" s="1"/>
      <c r="H2" s="1"/>
      <c r="I2" s="1"/>
      <c r="J2" s="1"/>
      <c r="K2" s="1"/>
      <c r="L2" s="1"/>
      <c r="M2" s="1"/>
      <c r="N2" s="3"/>
      <c r="O2" s="1"/>
      <c r="P2" s="1"/>
      <c r="Q2" s="1"/>
    </row>
    <row r="3" spans="2:23" s="2" customFormat="1" ht="13.5" customHeight="1" thickBot="1" x14ac:dyDescent="0.25">
      <c r="B3" s="1"/>
      <c r="C3" s="3"/>
      <c r="D3" s="3"/>
      <c r="E3" s="3"/>
      <c r="F3" s="11" t="s">
        <v>90</v>
      </c>
      <c r="G3" s="42" t="s">
        <v>95</v>
      </c>
      <c r="H3" s="42" t="s">
        <v>96</v>
      </c>
      <c r="I3" s="11" t="s">
        <v>97</v>
      </c>
      <c r="J3" s="11" t="s">
        <v>98</v>
      </c>
      <c r="K3" s="11" t="s">
        <v>91</v>
      </c>
      <c r="L3" s="12" t="s">
        <v>92</v>
      </c>
      <c r="M3" s="12" t="s">
        <v>93</v>
      </c>
      <c r="N3" s="12" t="s">
        <v>94</v>
      </c>
      <c r="O3" s="12" t="s">
        <v>534</v>
      </c>
      <c r="Q3" s="11" t="s">
        <v>90</v>
      </c>
      <c r="R3" s="133" t="s">
        <v>99</v>
      </c>
      <c r="S3" s="6" t="s">
        <v>483</v>
      </c>
      <c r="T3" s="120" t="s">
        <v>146</v>
      </c>
      <c r="U3" s="134"/>
      <c r="V3" s="134"/>
      <c r="W3" s="132"/>
    </row>
    <row r="4" spans="2:23" s="2" customFormat="1" ht="12.75" thickTop="1" x14ac:dyDescent="0.2">
      <c r="B4" s="1">
        <v>1</v>
      </c>
      <c r="C4" s="8">
        <f ca="1">RANK(D4,$D$4:$D$23,1)</f>
        <v>17</v>
      </c>
      <c r="D4" s="3">
        <f ca="1">E4+ROW()/1000</f>
        <v>17.004000000000001</v>
      </c>
      <c r="E4" s="3">
        <f ca="1">RANK(T4,T$4:T$23,1)</f>
        <v>17</v>
      </c>
      <c r="F4" s="187" t="str">
        <f>Calc2!$C4</f>
        <v>1. FC Heidenheim 1846</v>
      </c>
      <c r="G4" s="1">
        <f ca="1">SUMIFS(OFFSET(Calc2!$H$4,,,$F$26*$B$2,1),OFFSET(Calc2!$F$4,,,$F$26*$B$2,1),$F4)+SUMIFS(OFFSET(Calc2!$I$4,,,$F$26*$B$2,1),OFFSET(Calc2!$G$4,,,$F$26*$B$2,1),$F4)</f>
        <v>41</v>
      </c>
      <c r="H4" s="1">
        <f ca="1">SUMIFS(OFFSET(Calc2!$I$4,,,$F$26*$B$2,1),OFFSET(Calc2!$F$4,,,$F$26*$B$2,1),$F4)+SUMIFS(OFFSET(Calc2!$H$4,,,$F$26*$B$2,1),OFFSET(Calc2!$G$4,,,$F$26*$B$2,1),$F4)</f>
        <v>72</v>
      </c>
      <c r="I4" s="134">
        <f t="shared" ref="I4" ca="1" si="0">G4-H4</f>
        <v>-31</v>
      </c>
      <c r="J4" s="12">
        <f ca="1">L4*Settings!$C$3+M4+O4</f>
        <v>26</v>
      </c>
      <c r="K4" s="1">
        <f ca="1">L4+M4+N4</f>
        <v>34</v>
      </c>
      <c r="L4" s="1">
        <f t="array" aca="1" ref="L4" ca="1">SUMPRODUCT((OFFSET(Calc2!$F$4,,,$F$26*$B$2,1)=F4)*(OFFSET(Calc2!$H$4,,,$F$26*$B$2,1)&gt;OFFSET(Calc2!$I$4,,,$F$26*$B$2,1)))+SUMPRODUCT((OFFSET(Calc2!$G$4,,,$F$26*$B$2,1)=F4)*(OFFSET(Calc2!$H$4,,,$F$26*$B$2,1)&lt;OFFSET(Calc2!$I$4,,,$F$26*$B$2,1)))</f>
        <v>6</v>
      </c>
      <c r="M4" s="1">
        <f t="array" aca="1" ref="M4" ca="1">SUMPRODUCT((OFFSET(Calc2!$F$4,,,$F$26*$B$2,2)=F4)*(OFFSET(Calc2!$H$4,,,$F$26*$B$2,1)=OFFSET(Calc2!$I$4,,,$F$26*$B$2,1))*(OFFSET(Calc2!$H$4,,,$F$26*$B$2,1)&lt;&gt;"")*(OFFSET(Calc2!$I$4,,,$F$26*$B$2,1)&lt;&gt;""))</f>
        <v>8</v>
      </c>
      <c r="N4" s="1">
        <f t="array" aca="1" ref="N4" ca="1">SUMPRODUCT((OFFSET(Calc2!$F$4,,,$F$26*$B$2,1)=F4)*(OFFSET(Calc2!$H$4,,,$F$26*$B$2,1)&lt;OFFSET(Calc2!$I$4,,,$F$26*$B$2,1)))+SUMPRODUCT((OFFSET(Calc2!$G$4,,,$F$26*$B$2,1)=F4)*(OFFSET(Calc2!$H$4,,,$F$26*$B$2,1)&gt;OFFSET(Calc2!$I$4,,,$F$26*$B$2,1)))</f>
        <v>20</v>
      </c>
      <c r="O4" s="132">
        <f ca="1">SUMPRODUCT((F4=OFFSET(Calc2!$F$4,,,$F$26*$B$2,1))*OFFSET(Calc2!$O$4,,,$F$26*$B$2,1))+SUMPRODUCT((F4=OFFSET(Calc2!$G$4,,,$F$26*$B$2,1))*OFFSET(Calc2!$P$4,,,$F$26*$B$2,1))</f>
        <v>0</v>
      </c>
      <c r="Q4" s="2" t="str">
        <f>Calc2!$C4</f>
        <v>1. FC Heidenheim 1846</v>
      </c>
      <c r="R4" s="13">
        <f t="shared" ref="R4:R23" ca="1" si="1">J4*FactorPts+(I4+GDzero)*FactorGD+G4*FactorGF</f>
        <v>26499969041</v>
      </c>
      <c r="S4" s="7">
        <f>Tie_Break!$D7</f>
        <v>0</v>
      </c>
      <c r="T4" s="8">
        <f ca="1">RANK($R4,$R$4:$R$23)+(9-$S4)/10000+(F4="")*1000</f>
        <v>17.000900000000001</v>
      </c>
      <c r="U4" s="134"/>
      <c r="V4" s="134"/>
      <c r="W4" s="4"/>
    </row>
    <row r="5" spans="2:23" s="2" customFormat="1" x14ac:dyDescent="0.2">
      <c r="B5" s="1">
        <v>2</v>
      </c>
      <c r="C5" s="9">
        <f t="shared" ref="C5:C23" ca="1" si="2">RANK(D5,$D$4:$D$23,1)</f>
        <v>14</v>
      </c>
      <c r="D5" s="134">
        <f t="shared" ref="D5:D23" ca="1" si="3">E5+ROW()/1000</f>
        <v>14.005000000000001</v>
      </c>
      <c r="E5" s="134">
        <f t="shared" ref="E5:E23" ca="1" si="4">RANK(T5,T$4:T$23,1)</f>
        <v>14</v>
      </c>
      <c r="F5" s="187" t="str">
        <f>Calc2!$C5</f>
        <v>1. FC Köln</v>
      </c>
      <c r="G5" s="1">
        <f ca="1">SUMIFS(OFFSET(Calc2!$H$4,,,$F$26*$B$2,1),OFFSET(Calc2!$F$4,,,$F$26*$B$2,1),$F5)+SUMIFS(OFFSET(Calc2!$I$4,,,$F$26*$B$2,1),OFFSET(Calc2!$G$4,,,$F$26*$B$2,1),$F5)</f>
        <v>49</v>
      </c>
      <c r="H5" s="1">
        <f ca="1">SUMIFS(OFFSET(Calc2!$I$4,,,$F$26*$B$2,1),OFFSET(Calc2!$F$4,,,$F$26*$B$2,1),$F5)+SUMIFS(OFFSET(Calc2!$H$4,,,$F$26*$B$2,1),OFFSET(Calc2!$G$4,,,$F$26*$B$2,1),$F5)</f>
        <v>63</v>
      </c>
      <c r="I5" s="134">
        <f t="shared" ref="I5:I23" ca="1" si="5">G5-H5</f>
        <v>-14</v>
      </c>
      <c r="J5" s="12">
        <f ca="1">L5*Settings!$C$3+M5+O5</f>
        <v>32</v>
      </c>
      <c r="K5" s="1">
        <f t="shared" ref="K5:K23" ca="1" si="6">L5+M5+N5</f>
        <v>34</v>
      </c>
      <c r="L5" s="1">
        <f t="array" aca="1" ref="L5" ca="1">SUMPRODUCT((OFFSET(Calc2!$F$4,,,$F$26*$B$2,1)=F5)*(OFFSET(Calc2!$H$4,,,$F$26*$B$2,1)&gt;OFFSET(Calc2!$I$4,,,$F$26*$B$2,1)))+SUMPRODUCT((OFFSET(Calc2!$G$4,,,$F$26*$B$2,1)=F5)*(OFFSET(Calc2!$H$4,,,$F$26*$B$2,1)&lt;OFFSET(Calc2!$I$4,,,$F$26*$B$2,1)))</f>
        <v>7</v>
      </c>
      <c r="M5" s="1">
        <f t="array" aca="1" ref="M5" ca="1">SUMPRODUCT((OFFSET(Calc2!$F$4,,,$F$26*$B$2,2)=F5)*(OFFSET(Calc2!$H$4,,,$F$26*$B$2,1)=OFFSET(Calc2!$I$4,,,$F$26*$B$2,1))*(OFFSET(Calc2!$H$4,,,$F$26*$B$2,1)&lt;&gt;"")*(OFFSET(Calc2!$I$4,,,$F$26*$B$2,1)&lt;&gt;""))</f>
        <v>11</v>
      </c>
      <c r="N5" s="1">
        <f t="array" aca="1" ref="N5" ca="1">SUMPRODUCT((OFFSET(Calc2!$F$4,,,$F$26*$B$2,1)=F5)*(OFFSET(Calc2!$H$4,,,$F$26*$B$2,1)&lt;OFFSET(Calc2!$I$4,,,$F$26*$B$2,1)))+SUMPRODUCT((OFFSET(Calc2!$G$4,,,$F$26*$B$2,1)=F5)*(OFFSET(Calc2!$H$4,,,$F$26*$B$2,1)&gt;OFFSET(Calc2!$I$4,,,$F$26*$B$2,1)))</f>
        <v>16</v>
      </c>
      <c r="O5" s="132">
        <f ca="1">SUMPRODUCT((F5=OFFSET(Calc2!$F$4,,,$F$26*$B$2,1))*OFFSET(Calc2!$O$4,,,$F$26*$B$2,1))+SUMPRODUCT((F5=OFFSET(Calc2!$G$4,,,$F$26*$B$2,1))*OFFSET(Calc2!$P$4,,,$F$26*$B$2,1))</f>
        <v>0</v>
      </c>
      <c r="Q5" s="2" t="str">
        <f>Calc2!$C5</f>
        <v>1. FC Köln</v>
      </c>
      <c r="R5" s="13">
        <f t="shared" ca="1" si="1"/>
        <v>32499986049</v>
      </c>
      <c r="S5" s="7">
        <f>Tie_Break!$D8</f>
        <v>0</v>
      </c>
      <c r="T5" s="9">
        <f ca="1">RANK($R5,$R$4:$R$23)+(9-$S5)/10000+(F5="")*1000</f>
        <v>14.0009</v>
      </c>
      <c r="U5" s="134"/>
      <c r="V5" s="134"/>
      <c r="W5" s="4"/>
    </row>
    <row r="6" spans="2:23" s="2" customFormat="1" x14ac:dyDescent="0.2">
      <c r="B6" s="1">
        <v>3</v>
      </c>
      <c r="C6" s="9">
        <f t="shared" ca="1" si="2"/>
        <v>11</v>
      </c>
      <c r="D6" s="134">
        <f t="shared" ca="1" si="3"/>
        <v>11.006</v>
      </c>
      <c r="E6" s="134">
        <f t="shared" ca="1" si="4"/>
        <v>11</v>
      </c>
      <c r="F6" s="187" t="str">
        <f>Calc2!$C6</f>
        <v>1. FC Union Berlin</v>
      </c>
      <c r="G6" s="1">
        <f ca="1">SUMIFS(OFFSET(Calc2!$H$4,,,$F$26*$B$2,1),OFFSET(Calc2!$F$4,,,$F$26*$B$2,1),$F6)+SUMIFS(OFFSET(Calc2!$I$4,,,$F$26*$B$2,1),OFFSET(Calc2!$G$4,,,$F$26*$B$2,1),$F6)</f>
        <v>42</v>
      </c>
      <c r="H6" s="1">
        <f ca="1">SUMIFS(OFFSET(Calc2!$I$4,,,$F$26*$B$2,1),OFFSET(Calc2!$F$4,,,$F$26*$B$2,1),$F6)+SUMIFS(OFFSET(Calc2!$H$4,,,$F$26*$B$2,1),OFFSET(Calc2!$G$4,,,$F$26*$B$2,1),$F6)</f>
        <v>57</v>
      </c>
      <c r="I6" s="134">
        <f t="shared" ca="1" si="5"/>
        <v>-15</v>
      </c>
      <c r="J6" s="12">
        <f ca="1">L6*Settings!$C$3+M6+O6</f>
        <v>39</v>
      </c>
      <c r="K6" s="1">
        <f t="shared" ca="1" si="6"/>
        <v>34</v>
      </c>
      <c r="L6" s="1">
        <f t="array" aca="1" ref="L6" ca="1">SUMPRODUCT((OFFSET(Calc2!$F$4,,,$F$26*$B$2,1)=F6)*(OFFSET(Calc2!$H$4,,,$F$26*$B$2,1)&gt;OFFSET(Calc2!$I$4,,,$F$26*$B$2,1)))+SUMPRODUCT((OFFSET(Calc2!$G$4,,,$F$26*$B$2,1)=F6)*(OFFSET(Calc2!$H$4,,,$F$26*$B$2,1)&lt;OFFSET(Calc2!$I$4,,,$F$26*$B$2,1)))</f>
        <v>10</v>
      </c>
      <c r="M6" s="1">
        <f t="array" aca="1" ref="M6" ca="1">SUMPRODUCT((OFFSET(Calc2!$F$4,,,$F$26*$B$2,2)=F6)*(OFFSET(Calc2!$H$4,,,$F$26*$B$2,1)=OFFSET(Calc2!$I$4,,,$F$26*$B$2,1))*(OFFSET(Calc2!$H$4,,,$F$26*$B$2,1)&lt;&gt;"")*(OFFSET(Calc2!$I$4,,,$F$26*$B$2,1)&lt;&gt;""))</f>
        <v>9</v>
      </c>
      <c r="N6" s="1">
        <f t="array" aca="1" ref="N6" ca="1">SUMPRODUCT((OFFSET(Calc2!$F$4,,,$F$26*$B$2,1)=F6)*(OFFSET(Calc2!$H$4,,,$F$26*$B$2,1)&lt;OFFSET(Calc2!$I$4,,,$F$26*$B$2,1)))+SUMPRODUCT((OFFSET(Calc2!$G$4,,,$F$26*$B$2,1)=F6)*(OFFSET(Calc2!$H$4,,,$F$26*$B$2,1)&gt;OFFSET(Calc2!$I$4,,,$F$26*$B$2,1)))</f>
        <v>15</v>
      </c>
      <c r="O6" s="132">
        <f ca="1">SUMPRODUCT((F6=OFFSET(Calc2!$F$4,,,$F$26*$B$2,1))*OFFSET(Calc2!$O$4,,,$F$26*$B$2,1))+SUMPRODUCT((F6=OFFSET(Calc2!$G$4,,,$F$26*$B$2,1))*OFFSET(Calc2!$P$4,,,$F$26*$B$2,1))</f>
        <v>0</v>
      </c>
      <c r="Q6" s="2" t="str">
        <f>Calc2!$C6</f>
        <v>1. FC Union Berlin</v>
      </c>
      <c r="R6" s="13">
        <f t="shared" ca="1" si="1"/>
        <v>39499985042</v>
      </c>
      <c r="S6" s="7">
        <f>Tie_Break!$D9</f>
        <v>0</v>
      </c>
      <c r="T6" s="9">
        <f t="shared" ref="T6:T22" ca="1" si="7">RANK($R6,$R$4:$R$23)+(9-$S6)/10000+(F6="")*1000</f>
        <v>11.0009</v>
      </c>
      <c r="U6" s="134"/>
      <c r="V6" s="134"/>
      <c r="W6" s="4"/>
    </row>
    <row r="7" spans="2:23" s="2" customFormat="1" x14ac:dyDescent="0.2">
      <c r="B7" s="1">
        <v>4</v>
      </c>
      <c r="C7" s="9">
        <f t="shared" ca="1" si="2"/>
        <v>10</v>
      </c>
      <c r="D7" s="134">
        <f t="shared" ca="1" si="3"/>
        <v>10.007</v>
      </c>
      <c r="E7" s="134">
        <f t="shared" ca="1" si="4"/>
        <v>10</v>
      </c>
      <c r="F7" s="187" t="str">
        <f>Calc2!$C7</f>
        <v>1. FSV Mainz 05</v>
      </c>
      <c r="G7" s="1">
        <f ca="1">SUMIFS(OFFSET(Calc2!$H$4,,,$F$26*$B$2,1),OFFSET(Calc2!$F$4,,,$F$26*$B$2,1),$F7)+SUMIFS(OFFSET(Calc2!$I$4,,,$F$26*$B$2,1),OFFSET(Calc2!$G$4,,,$F$26*$B$2,1),$F7)</f>
        <v>43</v>
      </c>
      <c r="H7" s="1">
        <f ca="1">SUMIFS(OFFSET(Calc2!$I$4,,,$F$26*$B$2,1),OFFSET(Calc2!$F$4,,,$F$26*$B$2,1),$F7)+SUMIFS(OFFSET(Calc2!$H$4,,,$F$26*$B$2,1),OFFSET(Calc2!$G$4,,,$F$26*$B$2,1),$F7)</f>
        <v>51</v>
      </c>
      <c r="I7" s="134">
        <f t="shared" ca="1" si="5"/>
        <v>-8</v>
      </c>
      <c r="J7" s="12">
        <f ca="1">L7*Settings!$C$3+M7+O7</f>
        <v>40</v>
      </c>
      <c r="K7" s="1">
        <f t="shared" ca="1" si="6"/>
        <v>34</v>
      </c>
      <c r="L7" s="1">
        <f t="array" aca="1" ref="L7" ca="1">SUMPRODUCT((OFFSET(Calc2!$F$4,,,$F$26*$B$2,1)=F7)*(OFFSET(Calc2!$H$4,,,$F$26*$B$2,1)&gt;OFFSET(Calc2!$I$4,,,$F$26*$B$2,1)))+SUMPRODUCT((OFFSET(Calc2!$G$4,,,$F$26*$B$2,1)=F7)*(OFFSET(Calc2!$H$4,,,$F$26*$B$2,1)&lt;OFFSET(Calc2!$I$4,,,$F$26*$B$2,1)))</f>
        <v>10</v>
      </c>
      <c r="M7" s="1">
        <f t="array" aca="1" ref="M7" ca="1">SUMPRODUCT((OFFSET(Calc2!$F$4,,,$F$26*$B$2,2)=F7)*(OFFSET(Calc2!$H$4,,,$F$26*$B$2,1)=OFFSET(Calc2!$I$4,,,$F$26*$B$2,1))*(OFFSET(Calc2!$H$4,,,$F$26*$B$2,1)&lt;&gt;"")*(OFFSET(Calc2!$I$4,,,$F$26*$B$2,1)&lt;&gt;""))</f>
        <v>10</v>
      </c>
      <c r="N7" s="1">
        <f t="array" aca="1" ref="N7" ca="1">SUMPRODUCT((OFFSET(Calc2!$F$4,,,$F$26*$B$2,1)=F7)*(OFFSET(Calc2!$H$4,,,$F$26*$B$2,1)&lt;OFFSET(Calc2!$I$4,,,$F$26*$B$2,1)))+SUMPRODUCT((OFFSET(Calc2!$G$4,,,$F$26*$B$2,1)=F7)*(OFFSET(Calc2!$H$4,,,$F$26*$B$2,1)&gt;OFFSET(Calc2!$I$4,,,$F$26*$B$2,1)))</f>
        <v>14</v>
      </c>
      <c r="O7" s="132">
        <f ca="1">SUMPRODUCT((F7=OFFSET(Calc2!$F$4,,,$F$26*$B$2,1))*OFFSET(Calc2!$O$4,,,$F$26*$B$2,1))+SUMPRODUCT((F7=OFFSET(Calc2!$G$4,,,$F$26*$B$2,1))*OFFSET(Calc2!$P$4,,,$F$26*$B$2,1))</f>
        <v>0</v>
      </c>
      <c r="Q7" s="2" t="str">
        <f>Calc2!$C7</f>
        <v>1. FSV Mainz 05</v>
      </c>
      <c r="R7" s="13">
        <f t="shared" ca="1" si="1"/>
        <v>40499992043</v>
      </c>
      <c r="S7" s="7">
        <f>Tie_Break!$D10</f>
        <v>0</v>
      </c>
      <c r="T7" s="9">
        <f t="shared" ca="1" si="7"/>
        <v>10.0009</v>
      </c>
      <c r="U7" s="134"/>
      <c r="V7" s="134"/>
      <c r="W7" s="4"/>
    </row>
    <row r="8" spans="2:23" s="2" customFormat="1" x14ac:dyDescent="0.2">
      <c r="B8" s="1">
        <v>5</v>
      </c>
      <c r="C8" s="9">
        <f t="shared" ca="1" si="2"/>
        <v>6</v>
      </c>
      <c r="D8" s="134">
        <f t="shared" ca="1" si="3"/>
        <v>6.008</v>
      </c>
      <c r="E8" s="134">
        <f t="shared" ca="1" si="4"/>
        <v>6</v>
      </c>
      <c r="F8" s="187" t="str">
        <f>Calc2!$C8</f>
        <v>Bayer 04 Leverkusen</v>
      </c>
      <c r="G8" s="1">
        <f ca="1">SUMIFS(OFFSET(Calc2!$H$4,,,$F$26*$B$2,1),OFFSET(Calc2!$F$4,,,$F$26*$B$2,1),$F8)+SUMIFS(OFFSET(Calc2!$I$4,,,$F$26*$B$2,1),OFFSET(Calc2!$G$4,,,$F$26*$B$2,1),$F8)</f>
        <v>68</v>
      </c>
      <c r="H8" s="1">
        <f ca="1">SUMIFS(OFFSET(Calc2!$I$4,,,$F$26*$B$2,1),OFFSET(Calc2!$F$4,,,$F$26*$B$2,1),$F8)+SUMIFS(OFFSET(Calc2!$H$4,,,$F$26*$B$2,1),OFFSET(Calc2!$G$4,,,$F$26*$B$2,1),$F8)</f>
        <v>47</v>
      </c>
      <c r="I8" s="134">
        <f t="shared" ca="1" si="5"/>
        <v>21</v>
      </c>
      <c r="J8" s="12">
        <f ca="1">L8*Settings!$C$3+M8+O8</f>
        <v>59</v>
      </c>
      <c r="K8" s="1">
        <f t="shared" ca="1" si="6"/>
        <v>34</v>
      </c>
      <c r="L8" s="1">
        <f t="array" aca="1" ref="L8" ca="1">SUMPRODUCT((OFFSET(Calc2!$F$4,,,$F$26*$B$2,1)=F8)*(OFFSET(Calc2!$H$4,,,$F$26*$B$2,1)&gt;OFFSET(Calc2!$I$4,,,$F$26*$B$2,1)))+SUMPRODUCT((OFFSET(Calc2!$G$4,,,$F$26*$B$2,1)=F8)*(OFFSET(Calc2!$H$4,,,$F$26*$B$2,1)&lt;OFFSET(Calc2!$I$4,,,$F$26*$B$2,1)))</f>
        <v>17</v>
      </c>
      <c r="M8" s="1">
        <f t="array" aca="1" ref="M8" ca="1">SUMPRODUCT((OFFSET(Calc2!$F$4,,,$F$26*$B$2,2)=F8)*(OFFSET(Calc2!$H$4,,,$F$26*$B$2,1)=OFFSET(Calc2!$I$4,,,$F$26*$B$2,1))*(OFFSET(Calc2!$H$4,,,$F$26*$B$2,1)&lt;&gt;"")*(OFFSET(Calc2!$I$4,,,$F$26*$B$2,1)&lt;&gt;""))</f>
        <v>8</v>
      </c>
      <c r="N8" s="1">
        <f t="array" aca="1" ref="N8" ca="1">SUMPRODUCT((OFFSET(Calc2!$F$4,,,$F$26*$B$2,1)=F8)*(OFFSET(Calc2!$H$4,,,$F$26*$B$2,1)&lt;OFFSET(Calc2!$I$4,,,$F$26*$B$2,1)))+SUMPRODUCT((OFFSET(Calc2!$G$4,,,$F$26*$B$2,1)=F8)*(OFFSET(Calc2!$H$4,,,$F$26*$B$2,1)&gt;OFFSET(Calc2!$I$4,,,$F$26*$B$2,1)))</f>
        <v>9</v>
      </c>
      <c r="O8" s="132">
        <f ca="1">SUMPRODUCT((F8=OFFSET(Calc2!$F$4,,,$F$26*$B$2,1))*OFFSET(Calc2!$O$4,,,$F$26*$B$2,1))+SUMPRODUCT((F8=OFFSET(Calc2!$G$4,,,$F$26*$B$2,1))*OFFSET(Calc2!$P$4,,,$F$26*$B$2,1))</f>
        <v>0</v>
      </c>
      <c r="Q8" s="2" t="str">
        <f>Calc2!$C8</f>
        <v>Bayer 04 Leverkusen</v>
      </c>
      <c r="R8" s="13">
        <f t="shared" ca="1" si="1"/>
        <v>59500021068</v>
      </c>
      <c r="S8" s="7">
        <f>Tie_Break!$D11</f>
        <v>0</v>
      </c>
      <c r="T8" s="9">
        <f t="shared" ca="1" si="7"/>
        <v>6.0008999999999997</v>
      </c>
      <c r="U8" s="134"/>
      <c r="V8" s="134"/>
      <c r="W8" s="4"/>
    </row>
    <row r="9" spans="2:23" s="2" customFormat="1" x14ac:dyDescent="0.2">
      <c r="B9" s="1">
        <v>6</v>
      </c>
      <c r="C9" s="9">
        <f t="shared" ca="1" si="2"/>
        <v>2</v>
      </c>
      <c r="D9" s="134">
        <f t="shared" ca="1" si="3"/>
        <v>2.0089999999999999</v>
      </c>
      <c r="E9" s="134">
        <f t="shared" ca="1" si="4"/>
        <v>2</v>
      </c>
      <c r="F9" s="187" t="str">
        <f>Calc2!$C9</f>
        <v>Borussia Dortmund</v>
      </c>
      <c r="G9" s="1">
        <f ca="1">SUMIFS(OFFSET(Calc2!$H$4,,,$F$26*$B$2,1),OFFSET(Calc2!$F$4,,,$F$26*$B$2,1),$F9)+SUMIFS(OFFSET(Calc2!$I$4,,,$F$26*$B$2,1),OFFSET(Calc2!$G$4,,,$F$26*$B$2,1),$F9)</f>
        <v>70</v>
      </c>
      <c r="H9" s="1">
        <f ca="1">SUMIFS(OFFSET(Calc2!$I$4,,,$F$26*$B$2,1),OFFSET(Calc2!$F$4,,,$F$26*$B$2,1),$F9)+SUMIFS(OFFSET(Calc2!$H$4,,,$F$26*$B$2,1),OFFSET(Calc2!$G$4,,,$F$26*$B$2,1),$F9)</f>
        <v>34</v>
      </c>
      <c r="I9" s="134">
        <f t="shared" ca="1" si="5"/>
        <v>36</v>
      </c>
      <c r="J9" s="12">
        <f ca="1">L9*Settings!$C$3+M9+O9</f>
        <v>73</v>
      </c>
      <c r="K9" s="1">
        <f t="shared" ca="1" si="6"/>
        <v>34</v>
      </c>
      <c r="L9" s="1">
        <f t="array" aca="1" ref="L9" ca="1">SUMPRODUCT((OFFSET(Calc2!$F$4,,,$F$26*$B$2,1)=F9)*(OFFSET(Calc2!$H$4,,,$F$26*$B$2,1)&gt;OFFSET(Calc2!$I$4,,,$F$26*$B$2,1)))+SUMPRODUCT((OFFSET(Calc2!$G$4,,,$F$26*$B$2,1)=F9)*(OFFSET(Calc2!$H$4,,,$F$26*$B$2,1)&lt;OFFSET(Calc2!$I$4,,,$F$26*$B$2,1)))</f>
        <v>22</v>
      </c>
      <c r="M9" s="1">
        <f t="array" aca="1" ref="M9" ca="1">SUMPRODUCT((OFFSET(Calc2!$F$4,,,$F$26*$B$2,2)=F9)*(OFFSET(Calc2!$H$4,,,$F$26*$B$2,1)=OFFSET(Calc2!$I$4,,,$F$26*$B$2,1))*(OFFSET(Calc2!$H$4,,,$F$26*$B$2,1)&lt;&gt;"")*(OFFSET(Calc2!$I$4,,,$F$26*$B$2,1)&lt;&gt;""))</f>
        <v>7</v>
      </c>
      <c r="N9" s="1">
        <f t="array" aca="1" ref="N9" ca="1">SUMPRODUCT((OFFSET(Calc2!$F$4,,,$F$26*$B$2,1)=F9)*(OFFSET(Calc2!$H$4,,,$F$26*$B$2,1)&lt;OFFSET(Calc2!$I$4,,,$F$26*$B$2,1)))+SUMPRODUCT((OFFSET(Calc2!$G$4,,,$F$26*$B$2,1)=F9)*(OFFSET(Calc2!$H$4,,,$F$26*$B$2,1)&gt;OFFSET(Calc2!$I$4,,,$F$26*$B$2,1)))</f>
        <v>5</v>
      </c>
      <c r="O9" s="132">
        <f ca="1">SUMPRODUCT((F9=OFFSET(Calc2!$F$4,,,$F$26*$B$2,1))*OFFSET(Calc2!$O$4,,,$F$26*$B$2,1))+SUMPRODUCT((F9=OFFSET(Calc2!$G$4,,,$F$26*$B$2,1))*OFFSET(Calc2!$P$4,,,$F$26*$B$2,1))</f>
        <v>0</v>
      </c>
      <c r="Q9" s="2" t="str">
        <f>Calc2!$C9</f>
        <v>Borussia Dortmund</v>
      </c>
      <c r="R9" s="13">
        <f t="shared" ca="1" si="1"/>
        <v>73500036070</v>
      </c>
      <c r="S9" s="7">
        <f>Tie_Break!$D12</f>
        <v>0</v>
      </c>
      <c r="T9" s="9">
        <f t="shared" ca="1" si="7"/>
        <v>2.0009000000000001</v>
      </c>
      <c r="U9" s="134"/>
      <c r="V9" s="134"/>
      <c r="W9" s="4"/>
    </row>
    <row r="10" spans="2:23" s="2" customFormat="1" x14ac:dyDescent="0.2">
      <c r="B10" s="1">
        <v>7</v>
      </c>
      <c r="C10" s="9">
        <f t="shared" ca="1" si="2"/>
        <v>12</v>
      </c>
      <c r="D10" s="134">
        <f t="shared" ca="1" si="3"/>
        <v>12.01</v>
      </c>
      <c r="E10" s="134">
        <f t="shared" ca="1" si="4"/>
        <v>12</v>
      </c>
      <c r="F10" s="187" t="str">
        <f>Calc2!$C10</f>
        <v>Borussia Mönchengladbach</v>
      </c>
      <c r="G10" s="1">
        <f ca="1">SUMIFS(OFFSET(Calc2!$H$4,,,$F$26*$B$2,1),OFFSET(Calc2!$F$4,,,$F$26*$B$2,1),$F10)+SUMIFS(OFFSET(Calc2!$I$4,,,$F$26*$B$2,1),OFFSET(Calc2!$G$4,,,$F$26*$B$2,1),$F10)</f>
        <v>42</v>
      </c>
      <c r="H10" s="1">
        <f ca="1">SUMIFS(OFFSET(Calc2!$I$4,,,$F$26*$B$2,1),OFFSET(Calc2!$F$4,,,$F$26*$B$2,1),$F10)+SUMIFS(OFFSET(Calc2!$H$4,,,$F$26*$B$2,1),OFFSET(Calc2!$G$4,,,$F$26*$B$2,1),$F10)</f>
        <v>53</v>
      </c>
      <c r="I10" s="134">
        <f t="shared" ca="1" si="5"/>
        <v>-11</v>
      </c>
      <c r="J10" s="12">
        <f ca="1">L10*Settings!$C$3+M10+O10</f>
        <v>38</v>
      </c>
      <c r="K10" s="1">
        <f t="shared" ca="1" si="6"/>
        <v>34</v>
      </c>
      <c r="L10" s="1">
        <f t="array" aca="1" ref="L10" ca="1">SUMPRODUCT((OFFSET(Calc2!$F$4,,,$F$26*$B$2,1)=F10)*(OFFSET(Calc2!$H$4,,,$F$26*$B$2,1)&gt;OFFSET(Calc2!$I$4,,,$F$26*$B$2,1)))+SUMPRODUCT((OFFSET(Calc2!$G$4,,,$F$26*$B$2,1)=F10)*(OFFSET(Calc2!$H$4,,,$F$26*$B$2,1)&lt;OFFSET(Calc2!$I$4,,,$F$26*$B$2,1)))</f>
        <v>9</v>
      </c>
      <c r="M10" s="1">
        <f t="array" aca="1" ref="M10" ca="1">SUMPRODUCT((OFFSET(Calc2!$F$4,,,$F$26*$B$2,2)=F10)*(OFFSET(Calc2!$H$4,,,$F$26*$B$2,1)=OFFSET(Calc2!$I$4,,,$F$26*$B$2,1))*(OFFSET(Calc2!$H$4,,,$F$26*$B$2,1)&lt;&gt;"")*(OFFSET(Calc2!$I$4,,,$F$26*$B$2,1)&lt;&gt;""))</f>
        <v>11</v>
      </c>
      <c r="N10" s="1">
        <f t="array" aca="1" ref="N10" ca="1">SUMPRODUCT((OFFSET(Calc2!$F$4,,,$F$26*$B$2,1)=F10)*(OFFSET(Calc2!$H$4,,,$F$26*$B$2,1)&lt;OFFSET(Calc2!$I$4,,,$F$26*$B$2,1)))+SUMPRODUCT((OFFSET(Calc2!$G$4,,,$F$26*$B$2,1)=F10)*(OFFSET(Calc2!$H$4,,,$F$26*$B$2,1)&gt;OFFSET(Calc2!$I$4,,,$F$26*$B$2,1)))</f>
        <v>14</v>
      </c>
      <c r="O10" s="132">
        <f ca="1">SUMPRODUCT((F10=OFFSET(Calc2!$F$4,,,$F$26*$B$2,1))*OFFSET(Calc2!$O$4,,,$F$26*$B$2,1))+SUMPRODUCT((F10=OFFSET(Calc2!$G$4,,,$F$26*$B$2,1))*OFFSET(Calc2!$P$4,,,$F$26*$B$2,1))</f>
        <v>0</v>
      </c>
      <c r="Q10" s="2" t="str">
        <f>Calc2!$C10</f>
        <v>Borussia Mönchengladbach</v>
      </c>
      <c r="R10" s="13">
        <f t="shared" ca="1" si="1"/>
        <v>38499989042</v>
      </c>
      <c r="S10" s="7">
        <f>Tie_Break!$D13</f>
        <v>0</v>
      </c>
      <c r="T10" s="9">
        <f t="shared" ca="1" si="7"/>
        <v>12.0009</v>
      </c>
      <c r="U10" s="134"/>
      <c r="V10" s="134"/>
      <c r="W10" s="4"/>
    </row>
    <row r="11" spans="2:23" s="2" customFormat="1" x14ac:dyDescent="0.2">
      <c r="B11" s="1">
        <v>8</v>
      </c>
      <c r="C11" s="9">
        <f t="shared" ca="1" si="2"/>
        <v>8</v>
      </c>
      <c r="D11" s="134">
        <f t="shared" ca="1" si="3"/>
        <v>8.0109999999999992</v>
      </c>
      <c r="E11" s="134">
        <f t="shared" ca="1" si="4"/>
        <v>8</v>
      </c>
      <c r="F11" s="187" t="str">
        <f>Calc2!$C11</f>
        <v>Eintracht Frankfurt</v>
      </c>
      <c r="G11" s="1">
        <f ca="1">SUMIFS(OFFSET(Calc2!$H$4,,,$F$26*$B$2,1),OFFSET(Calc2!$F$4,,,$F$26*$B$2,1),$F11)+SUMIFS(OFFSET(Calc2!$I$4,,,$F$26*$B$2,1),OFFSET(Calc2!$G$4,,,$F$26*$B$2,1),$F11)</f>
        <v>61</v>
      </c>
      <c r="H11" s="1">
        <f ca="1">SUMIFS(OFFSET(Calc2!$I$4,,,$F$26*$B$2,1),OFFSET(Calc2!$F$4,,,$F$26*$B$2,1),$F11)+SUMIFS(OFFSET(Calc2!$H$4,,,$F$26*$B$2,1),OFFSET(Calc2!$G$4,,,$F$26*$B$2,1),$F11)</f>
        <v>65</v>
      </c>
      <c r="I11" s="134">
        <f t="shared" ca="1" si="5"/>
        <v>-4</v>
      </c>
      <c r="J11" s="12">
        <f ca="1">L11*Settings!$C$3+M11+O11</f>
        <v>44</v>
      </c>
      <c r="K11" s="1">
        <f t="shared" ca="1" si="6"/>
        <v>34</v>
      </c>
      <c r="L11" s="1">
        <f t="array" aca="1" ref="L11" ca="1">SUMPRODUCT((OFFSET(Calc2!$F$4,,,$F$26*$B$2,1)=F11)*(OFFSET(Calc2!$H$4,,,$F$26*$B$2,1)&gt;OFFSET(Calc2!$I$4,,,$F$26*$B$2,1)))+SUMPRODUCT((OFFSET(Calc2!$G$4,,,$F$26*$B$2,1)=F11)*(OFFSET(Calc2!$H$4,,,$F$26*$B$2,1)&lt;OFFSET(Calc2!$I$4,,,$F$26*$B$2,1)))</f>
        <v>11</v>
      </c>
      <c r="M11" s="1">
        <f t="array" aca="1" ref="M11" ca="1">SUMPRODUCT((OFFSET(Calc2!$F$4,,,$F$26*$B$2,2)=F11)*(OFFSET(Calc2!$H$4,,,$F$26*$B$2,1)=OFFSET(Calc2!$I$4,,,$F$26*$B$2,1))*(OFFSET(Calc2!$H$4,,,$F$26*$B$2,1)&lt;&gt;"")*(OFFSET(Calc2!$I$4,,,$F$26*$B$2,1)&lt;&gt;""))</f>
        <v>11</v>
      </c>
      <c r="N11" s="1">
        <f t="array" aca="1" ref="N11" ca="1">SUMPRODUCT((OFFSET(Calc2!$F$4,,,$F$26*$B$2,1)=F11)*(OFFSET(Calc2!$H$4,,,$F$26*$B$2,1)&lt;OFFSET(Calc2!$I$4,,,$F$26*$B$2,1)))+SUMPRODUCT((OFFSET(Calc2!$G$4,,,$F$26*$B$2,1)=F11)*(OFFSET(Calc2!$H$4,,,$F$26*$B$2,1)&gt;OFFSET(Calc2!$I$4,,,$F$26*$B$2,1)))</f>
        <v>12</v>
      </c>
      <c r="O11" s="132">
        <f ca="1">SUMPRODUCT((F11=OFFSET(Calc2!$F$4,,,$F$26*$B$2,1))*OFFSET(Calc2!$O$4,,,$F$26*$B$2,1))+SUMPRODUCT((F11=OFFSET(Calc2!$G$4,,,$F$26*$B$2,1))*OFFSET(Calc2!$P$4,,,$F$26*$B$2,1))</f>
        <v>0</v>
      </c>
      <c r="Q11" s="2" t="str">
        <f>Calc2!$C11</f>
        <v>Eintracht Frankfurt</v>
      </c>
      <c r="R11" s="13">
        <f t="shared" ca="1" si="1"/>
        <v>44499996061</v>
      </c>
      <c r="S11" s="7">
        <f>Tie_Break!$D14</f>
        <v>0</v>
      </c>
      <c r="T11" s="9">
        <f t="shared" ca="1" si="7"/>
        <v>8.0008999999999997</v>
      </c>
      <c r="U11" s="134"/>
      <c r="V11" s="134"/>
      <c r="W11" s="4"/>
    </row>
    <row r="12" spans="2:23" s="2" customFormat="1" x14ac:dyDescent="0.2">
      <c r="B12" s="1">
        <v>9</v>
      </c>
      <c r="C12" s="9">
        <f t="shared" ca="1" si="2"/>
        <v>9</v>
      </c>
      <c r="D12" s="134">
        <f t="shared" ca="1" si="3"/>
        <v>9.0120000000000005</v>
      </c>
      <c r="E12" s="134">
        <f t="shared" ca="1" si="4"/>
        <v>9</v>
      </c>
      <c r="F12" s="187" t="str">
        <f>Calc2!$C12</f>
        <v>FC Augsburg</v>
      </c>
      <c r="G12" s="1">
        <f ca="1">SUMIFS(OFFSET(Calc2!$H$4,,,$F$26*$B$2,1),OFFSET(Calc2!$F$4,,,$F$26*$B$2,1),$F12)+SUMIFS(OFFSET(Calc2!$I$4,,,$F$26*$B$2,1),OFFSET(Calc2!$G$4,,,$F$26*$B$2,1),$F12)</f>
        <v>45</v>
      </c>
      <c r="H12" s="1">
        <f ca="1">SUMIFS(OFFSET(Calc2!$I$4,,,$F$26*$B$2,1),OFFSET(Calc2!$F$4,,,$F$26*$B$2,1),$F12)+SUMIFS(OFFSET(Calc2!$H$4,,,$F$26*$B$2,1),OFFSET(Calc2!$G$4,,,$F$26*$B$2,1),$F12)</f>
        <v>61</v>
      </c>
      <c r="I12" s="134">
        <f t="shared" ca="1" si="5"/>
        <v>-16</v>
      </c>
      <c r="J12" s="12">
        <f ca="1">L12*Settings!$C$3+M12+O12</f>
        <v>43</v>
      </c>
      <c r="K12" s="1">
        <f t="shared" ca="1" si="6"/>
        <v>34</v>
      </c>
      <c r="L12" s="1">
        <f t="array" aca="1" ref="L12" ca="1">SUMPRODUCT((OFFSET(Calc2!$F$4,,,$F$26*$B$2,1)=F12)*(OFFSET(Calc2!$H$4,,,$F$26*$B$2,1)&gt;OFFSET(Calc2!$I$4,,,$F$26*$B$2,1)))+SUMPRODUCT((OFFSET(Calc2!$G$4,,,$F$26*$B$2,1)=F12)*(OFFSET(Calc2!$H$4,,,$F$26*$B$2,1)&lt;OFFSET(Calc2!$I$4,,,$F$26*$B$2,1)))</f>
        <v>12</v>
      </c>
      <c r="M12" s="1">
        <f t="array" aca="1" ref="M12" ca="1">SUMPRODUCT((OFFSET(Calc2!$F$4,,,$F$26*$B$2,2)=F12)*(OFFSET(Calc2!$H$4,,,$F$26*$B$2,1)=OFFSET(Calc2!$I$4,,,$F$26*$B$2,1))*(OFFSET(Calc2!$H$4,,,$F$26*$B$2,1)&lt;&gt;"")*(OFFSET(Calc2!$I$4,,,$F$26*$B$2,1)&lt;&gt;""))</f>
        <v>7</v>
      </c>
      <c r="N12" s="1">
        <f t="array" aca="1" ref="N12" ca="1">SUMPRODUCT((OFFSET(Calc2!$F$4,,,$F$26*$B$2,1)=F12)*(OFFSET(Calc2!$H$4,,,$F$26*$B$2,1)&lt;OFFSET(Calc2!$I$4,,,$F$26*$B$2,1)))+SUMPRODUCT((OFFSET(Calc2!$G$4,,,$F$26*$B$2,1)=F12)*(OFFSET(Calc2!$H$4,,,$F$26*$B$2,1)&gt;OFFSET(Calc2!$I$4,,,$F$26*$B$2,1)))</f>
        <v>15</v>
      </c>
      <c r="O12" s="132">
        <f ca="1">SUMPRODUCT((F12=OFFSET(Calc2!$F$4,,,$F$26*$B$2,1))*OFFSET(Calc2!$O$4,,,$F$26*$B$2,1))+SUMPRODUCT((F12=OFFSET(Calc2!$G$4,,,$F$26*$B$2,1))*OFFSET(Calc2!$P$4,,,$F$26*$B$2,1))</f>
        <v>0</v>
      </c>
      <c r="Q12" s="2" t="str">
        <f>Calc2!$C12</f>
        <v>FC Augsburg</v>
      </c>
      <c r="R12" s="13">
        <f t="shared" ca="1" si="1"/>
        <v>43499984045</v>
      </c>
      <c r="S12" s="134">
        <f>Tie_Break!$D15</f>
        <v>0</v>
      </c>
      <c r="T12" s="9">
        <f t="shared" ca="1" si="7"/>
        <v>9.0008999999999997</v>
      </c>
      <c r="U12" s="134"/>
      <c r="V12" s="134"/>
      <c r="W12" s="4"/>
    </row>
    <row r="13" spans="2:23" s="2" customFormat="1" x14ac:dyDescent="0.2">
      <c r="B13" s="1">
        <v>10</v>
      </c>
      <c r="C13" s="9">
        <f t="shared" ca="1" si="2"/>
        <v>1</v>
      </c>
      <c r="D13" s="134">
        <f t="shared" ca="1" si="3"/>
        <v>1.0129999999999999</v>
      </c>
      <c r="E13" s="134">
        <f t="shared" ca="1" si="4"/>
        <v>1</v>
      </c>
      <c r="F13" s="187" t="str">
        <f>Calc2!$C13</f>
        <v>FC Bayern München</v>
      </c>
      <c r="G13" s="1">
        <f ca="1">SUMIFS(OFFSET(Calc2!$H$4,,,$F$26*$B$2,1),OFFSET(Calc2!$F$4,,,$F$26*$B$2,1),$F13)+SUMIFS(OFFSET(Calc2!$I$4,,,$F$26*$B$2,1),OFFSET(Calc2!$G$4,,,$F$26*$B$2,1),$F13)</f>
        <v>122</v>
      </c>
      <c r="H13" s="1">
        <f ca="1">SUMIFS(OFFSET(Calc2!$I$4,,,$F$26*$B$2,1),OFFSET(Calc2!$F$4,,,$F$26*$B$2,1),$F13)+SUMIFS(OFFSET(Calc2!$H$4,,,$F$26*$B$2,1),OFFSET(Calc2!$G$4,,,$F$26*$B$2,1),$F13)</f>
        <v>36</v>
      </c>
      <c r="I13" s="134">
        <f t="shared" ca="1" si="5"/>
        <v>86</v>
      </c>
      <c r="J13" s="12">
        <f ca="1">L13*Settings!$C$3+M13+O13</f>
        <v>89</v>
      </c>
      <c r="K13" s="1">
        <f t="shared" ca="1" si="6"/>
        <v>34</v>
      </c>
      <c r="L13" s="1">
        <f t="array" aca="1" ref="L13" ca="1">SUMPRODUCT((OFFSET(Calc2!$F$4,,,$F$26*$B$2,1)=F13)*(OFFSET(Calc2!$H$4,,,$F$26*$B$2,1)&gt;OFFSET(Calc2!$I$4,,,$F$26*$B$2,1)))+SUMPRODUCT((OFFSET(Calc2!$G$4,,,$F$26*$B$2,1)=F13)*(OFFSET(Calc2!$H$4,,,$F$26*$B$2,1)&lt;OFFSET(Calc2!$I$4,,,$F$26*$B$2,1)))</f>
        <v>28</v>
      </c>
      <c r="M13" s="1">
        <f t="array" aca="1" ref="M13" ca="1">SUMPRODUCT((OFFSET(Calc2!$F$4,,,$F$26*$B$2,2)=F13)*(OFFSET(Calc2!$H$4,,,$F$26*$B$2,1)=OFFSET(Calc2!$I$4,,,$F$26*$B$2,1))*(OFFSET(Calc2!$H$4,,,$F$26*$B$2,1)&lt;&gt;"")*(OFFSET(Calc2!$I$4,,,$F$26*$B$2,1)&lt;&gt;""))</f>
        <v>5</v>
      </c>
      <c r="N13" s="1">
        <f t="array" aca="1" ref="N13" ca="1">SUMPRODUCT((OFFSET(Calc2!$F$4,,,$F$26*$B$2,1)=F13)*(OFFSET(Calc2!$H$4,,,$F$26*$B$2,1)&lt;OFFSET(Calc2!$I$4,,,$F$26*$B$2,1)))+SUMPRODUCT((OFFSET(Calc2!$G$4,,,$F$26*$B$2,1)=F13)*(OFFSET(Calc2!$H$4,,,$F$26*$B$2,1)&gt;OFFSET(Calc2!$I$4,,,$F$26*$B$2,1)))</f>
        <v>1</v>
      </c>
      <c r="O13" s="132">
        <f ca="1">SUMPRODUCT((F13=OFFSET(Calc2!$F$4,,,$F$26*$B$2,1))*OFFSET(Calc2!$O$4,,,$F$26*$B$2,1))+SUMPRODUCT((F13=OFFSET(Calc2!$G$4,,,$F$26*$B$2,1))*OFFSET(Calc2!$P$4,,,$F$26*$B$2,1))</f>
        <v>0</v>
      </c>
      <c r="Q13" s="2" t="str">
        <f>Calc2!$C13</f>
        <v>FC Bayern München</v>
      </c>
      <c r="R13" s="13">
        <f t="shared" ca="1" si="1"/>
        <v>89500086122</v>
      </c>
      <c r="S13" s="134">
        <f>Tie_Break!$D16</f>
        <v>0</v>
      </c>
      <c r="T13" s="9">
        <f t="shared" ca="1" si="7"/>
        <v>1.0008999999999999</v>
      </c>
      <c r="V13" s="134"/>
    </row>
    <row r="14" spans="2:23" s="2" customFormat="1" x14ac:dyDescent="0.2">
      <c r="B14" s="1">
        <v>11</v>
      </c>
      <c r="C14" s="9">
        <f t="shared" ca="1" si="2"/>
        <v>18</v>
      </c>
      <c r="D14" s="134">
        <f t="shared" ca="1" si="3"/>
        <v>18.013999999999999</v>
      </c>
      <c r="E14" s="134">
        <f t="shared" ca="1" si="4"/>
        <v>18</v>
      </c>
      <c r="F14" s="187" t="str">
        <f>Calc2!$C14</f>
        <v>FC St. Pauli</v>
      </c>
      <c r="G14" s="1">
        <f ca="1">SUMIFS(OFFSET(Calc2!$H$4,,,$F$26*$B$2,1),OFFSET(Calc2!$F$4,,,$F$26*$B$2,1),$F14)+SUMIFS(OFFSET(Calc2!$I$4,,,$F$26*$B$2,1),OFFSET(Calc2!$G$4,,,$F$26*$B$2,1),$F14)</f>
        <v>29</v>
      </c>
      <c r="H14" s="1">
        <f ca="1">SUMIFS(OFFSET(Calc2!$I$4,,,$F$26*$B$2,1),OFFSET(Calc2!$F$4,,,$F$26*$B$2,1),$F14)+SUMIFS(OFFSET(Calc2!$H$4,,,$F$26*$B$2,1),OFFSET(Calc2!$G$4,,,$F$26*$B$2,1),$F14)</f>
        <v>60</v>
      </c>
      <c r="I14" s="134">
        <f t="shared" ca="1" si="5"/>
        <v>-31</v>
      </c>
      <c r="J14" s="12">
        <f ca="1">L14*Settings!$C$3+M14+O14</f>
        <v>26</v>
      </c>
      <c r="K14" s="1">
        <f t="shared" ca="1" si="6"/>
        <v>34</v>
      </c>
      <c r="L14" s="1">
        <f t="array" aca="1" ref="L14" ca="1">SUMPRODUCT((OFFSET(Calc2!$F$4,,,$F$26*$B$2,1)=F14)*(OFFSET(Calc2!$H$4,,,$F$26*$B$2,1)&gt;OFFSET(Calc2!$I$4,,,$F$26*$B$2,1)))+SUMPRODUCT((OFFSET(Calc2!$G$4,,,$F$26*$B$2,1)=F14)*(OFFSET(Calc2!$H$4,,,$F$26*$B$2,1)&lt;OFFSET(Calc2!$I$4,,,$F$26*$B$2,1)))</f>
        <v>6</v>
      </c>
      <c r="M14" s="1">
        <f t="array" aca="1" ref="M14" ca="1">SUMPRODUCT((OFFSET(Calc2!$F$4,,,$F$26*$B$2,2)=F14)*(OFFSET(Calc2!$H$4,,,$F$26*$B$2,1)=OFFSET(Calc2!$I$4,,,$F$26*$B$2,1))*(OFFSET(Calc2!$H$4,,,$F$26*$B$2,1)&lt;&gt;"")*(OFFSET(Calc2!$I$4,,,$F$26*$B$2,1)&lt;&gt;""))</f>
        <v>8</v>
      </c>
      <c r="N14" s="1">
        <f t="array" aca="1" ref="N14" ca="1">SUMPRODUCT((OFFSET(Calc2!$F$4,,,$F$26*$B$2,1)=F14)*(OFFSET(Calc2!$H$4,,,$F$26*$B$2,1)&lt;OFFSET(Calc2!$I$4,,,$F$26*$B$2,1)))+SUMPRODUCT((OFFSET(Calc2!$G$4,,,$F$26*$B$2,1)=F14)*(OFFSET(Calc2!$H$4,,,$F$26*$B$2,1)&gt;OFFSET(Calc2!$I$4,,,$F$26*$B$2,1)))</f>
        <v>20</v>
      </c>
      <c r="O14" s="132">
        <f ca="1">SUMPRODUCT((F14=OFFSET(Calc2!$F$4,,,$F$26*$B$2,1))*OFFSET(Calc2!$O$4,,,$F$26*$B$2,1))+SUMPRODUCT((F14=OFFSET(Calc2!$G$4,,,$F$26*$B$2,1))*OFFSET(Calc2!$P$4,,,$F$26*$B$2,1))</f>
        <v>0</v>
      </c>
      <c r="Q14" s="2" t="str">
        <f>Calc2!$C14</f>
        <v>FC St. Pauli</v>
      </c>
      <c r="R14" s="13">
        <f t="shared" ca="1" si="1"/>
        <v>26499969029</v>
      </c>
      <c r="S14" s="134">
        <f>Tie_Break!$D17</f>
        <v>0</v>
      </c>
      <c r="T14" s="9">
        <f t="shared" ca="1" si="7"/>
        <v>18.000900000000001</v>
      </c>
      <c r="V14" s="134"/>
    </row>
    <row r="15" spans="2:23" s="2" customFormat="1" x14ac:dyDescent="0.2">
      <c r="B15" s="1">
        <v>12</v>
      </c>
      <c r="C15" s="9">
        <f t="shared" ca="1" si="2"/>
        <v>13</v>
      </c>
      <c r="D15" s="134">
        <f t="shared" ca="1" si="3"/>
        <v>13.015000000000001</v>
      </c>
      <c r="E15" s="134">
        <f t="shared" ca="1" si="4"/>
        <v>13</v>
      </c>
      <c r="F15" s="187" t="str">
        <f>Calc2!$C15</f>
        <v>Hamburger SV</v>
      </c>
      <c r="G15" s="1">
        <f ca="1">SUMIFS(OFFSET(Calc2!$H$4,,,$F$26*$B$2,1),OFFSET(Calc2!$F$4,,,$F$26*$B$2,1),$F15)+SUMIFS(OFFSET(Calc2!$I$4,,,$F$26*$B$2,1),OFFSET(Calc2!$G$4,,,$F$26*$B$2,1),$F15)</f>
        <v>40</v>
      </c>
      <c r="H15" s="1">
        <f ca="1">SUMIFS(OFFSET(Calc2!$I$4,,,$F$26*$B$2,1),OFFSET(Calc2!$F$4,,,$F$26*$B$2,1),$F15)+SUMIFS(OFFSET(Calc2!$H$4,,,$F$26*$B$2,1),OFFSET(Calc2!$G$4,,,$F$26*$B$2,1),$F15)</f>
        <v>54</v>
      </c>
      <c r="I15" s="134">
        <f t="shared" ca="1" si="5"/>
        <v>-14</v>
      </c>
      <c r="J15" s="12">
        <f ca="1">L15*Settings!$C$3+M15+O15</f>
        <v>38</v>
      </c>
      <c r="K15" s="1">
        <f t="shared" ca="1" si="6"/>
        <v>34</v>
      </c>
      <c r="L15" s="1">
        <f t="array" aca="1" ref="L15" ca="1">SUMPRODUCT((OFFSET(Calc2!$F$4,,,$F$26*$B$2,1)=F15)*(OFFSET(Calc2!$H$4,,,$F$26*$B$2,1)&gt;OFFSET(Calc2!$I$4,,,$F$26*$B$2,1)))+SUMPRODUCT((OFFSET(Calc2!$G$4,,,$F$26*$B$2,1)=F15)*(OFFSET(Calc2!$H$4,,,$F$26*$B$2,1)&lt;OFFSET(Calc2!$I$4,,,$F$26*$B$2,1)))</f>
        <v>9</v>
      </c>
      <c r="M15" s="1">
        <f t="array" aca="1" ref="M15" ca="1">SUMPRODUCT((OFFSET(Calc2!$F$4,,,$F$26*$B$2,2)=F15)*(OFFSET(Calc2!$H$4,,,$F$26*$B$2,1)=OFFSET(Calc2!$I$4,,,$F$26*$B$2,1))*(OFFSET(Calc2!$H$4,,,$F$26*$B$2,1)&lt;&gt;"")*(OFFSET(Calc2!$I$4,,,$F$26*$B$2,1)&lt;&gt;""))</f>
        <v>11</v>
      </c>
      <c r="N15" s="1">
        <f t="array" aca="1" ref="N15" ca="1">SUMPRODUCT((OFFSET(Calc2!$F$4,,,$F$26*$B$2,1)=F15)*(OFFSET(Calc2!$H$4,,,$F$26*$B$2,1)&lt;OFFSET(Calc2!$I$4,,,$F$26*$B$2,1)))+SUMPRODUCT((OFFSET(Calc2!$G$4,,,$F$26*$B$2,1)=F15)*(OFFSET(Calc2!$H$4,,,$F$26*$B$2,1)&gt;OFFSET(Calc2!$I$4,,,$F$26*$B$2,1)))</f>
        <v>14</v>
      </c>
      <c r="O15" s="132">
        <f ca="1">SUMPRODUCT((F15=OFFSET(Calc2!$F$4,,,$F$26*$B$2,1))*OFFSET(Calc2!$O$4,,,$F$26*$B$2,1))+SUMPRODUCT((F15=OFFSET(Calc2!$G$4,,,$F$26*$B$2,1))*OFFSET(Calc2!$P$4,,,$F$26*$B$2,1))</f>
        <v>0</v>
      </c>
      <c r="Q15" s="2" t="str">
        <f>Calc2!$C15</f>
        <v>Hamburger SV</v>
      </c>
      <c r="R15" s="13">
        <f t="shared" ca="1" si="1"/>
        <v>38499986040</v>
      </c>
      <c r="S15" s="134">
        <f>Tie_Break!$D18</f>
        <v>0</v>
      </c>
      <c r="T15" s="9">
        <f t="shared" ca="1" si="7"/>
        <v>13.0009</v>
      </c>
      <c r="V15" s="134"/>
    </row>
    <row r="16" spans="2:23" s="2" customFormat="1" x14ac:dyDescent="0.2">
      <c r="B16" s="1">
        <v>13</v>
      </c>
      <c r="C16" s="9">
        <f t="shared" ca="1" si="2"/>
        <v>3</v>
      </c>
      <c r="D16" s="134">
        <f t="shared" ca="1" si="3"/>
        <v>3.016</v>
      </c>
      <c r="E16" s="134">
        <f t="shared" ca="1" si="4"/>
        <v>3</v>
      </c>
      <c r="F16" s="187" t="str">
        <f>Calc2!$C16</f>
        <v>RB Leipzig</v>
      </c>
      <c r="G16" s="1">
        <f ca="1">SUMIFS(OFFSET(Calc2!$H$4,,,$F$26*$B$2,1),OFFSET(Calc2!$F$4,,,$F$26*$B$2,1),$F16)+SUMIFS(OFFSET(Calc2!$I$4,,,$F$26*$B$2,1),OFFSET(Calc2!$G$4,,,$F$26*$B$2,1),$F16)</f>
        <v>66</v>
      </c>
      <c r="H16" s="1">
        <f ca="1">SUMIFS(OFFSET(Calc2!$I$4,,,$F$26*$B$2,1),OFFSET(Calc2!$F$4,,,$F$26*$B$2,1),$F16)+SUMIFS(OFFSET(Calc2!$H$4,,,$F$26*$B$2,1),OFFSET(Calc2!$G$4,,,$F$26*$B$2,1),$F16)</f>
        <v>47</v>
      </c>
      <c r="I16" s="134">
        <f t="shared" ca="1" si="5"/>
        <v>19</v>
      </c>
      <c r="J16" s="12">
        <f ca="1">L16*Settings!$C$3+M16+O16</f>
        <v>65</v>
      </c>
      <c r="K16" s="1">
        <f t="shared" ca="1" si="6"/>
        <v>34</v>
      </c>
      <c r="L16" s="1">
        <f t="array" aca="1" ref="L16" ca="1">SUMPRODUCT((OFFSET(Calc2!$F$4,,,$F$26*$B$2,1)=F16)*(OFFSET(Calc2!$H$4,,,$F$26*$B$2,1)&gt;OFFSET(Calc2!$I$4,,,$F$26*$B$2,1)))+SUMPRODUCT((OFFSET(Calc2!$G$4,,,$F$26*$B$2,1)=F16)*(OFFSET(Calc2!$H$4,,,$F$26*$B$2,1)&lt;OFFSET(Calc2!$I$4,,,$F$26*$B$2,1)))</f>
        <v>20</v>
      </c>
      <c r="M16" s="1">
        <f t="array" aca="1" ref="M16" ca="1">SUMPRODUCT((OFFSET(Calc2!$F$4,,,$F$26*$B$2,2)=F16)*(OFFSET(Calc2!$H$4,,,$F$26*$B$2,1)=OFFSET(Calc2!$I$4,,,$F$26*$B$2,1))*(OFFSET(Calc2!$H$4,,,$F$26*$B$2,1)&lt;&gt;"")*(OFFSET(Calc2!$I$4,,,$F$26*$B$2,1)&lt;&gt;""))</f>
        <v>5</v>
      </c>
      <c r="N16" s="1">
        <f t="array" aca="1" ref="N16" ca="1">SUMPRODUCT((OFFSET(Calc2!$F$4,,,$F$26*$B$2,1)=F16)*(OFFSET(Calc2!$H$4,,,$F$26*$B$2,1)&lt;OFFSET(Calc2!$I$4,,,$F$26*$B$2,1)))+SUMPRODUCT((OFFSET(Calc2!$G$4,,,$F$26*$B$2,1)=F16)*(OFFSET(Calc2!$H$4,,,$F$26*$B$2,1)&gt;OFFSET(Calc2!$I$4,,,$F$26*$B$2,1)))</f>
        <v>9</v>
      </c>
      <c r="O16" s="132">
        <f ca="1">SUMPRODUCT((F16=OFFSET(Calc2!$F$4,,,$F$26*$B$2,1))*OFFSET(Calc2!$O$4,,,$F$26*$B$2,1))+SUMPRODUCT((F16=OFFSET(Calc2!$G$4,,,$F$26*$B$2,1))*OFFSET(Calc2!$P$4,,,$F$26*$B$2,1))</f>
        <v>0</v>
      </c>
      <c r="Q16" s="2" t="str">
        <f>Calc2!$C16</f>
        <v>RB Leipzig</v>
      </c>
      <c r="R16" s="13">
        <f t="shared" ca="1" si="1"/>
        <v>65500019066</v>
      </c>
      <c r="S16" s="134">
        <f>Tie_Break!$D19</f>
        <v>0</v>
      </c>
      <c r="T16" s="9">
        <f t="shared" ca="1" si="7"/>
        <v>3.0009000000000001</v>
      </c>
      <c r="U16" s="1"/>
      <c r="V16" s="134"/>
      <c r="W16" s="1"/>
    </row>
    <row r="17" spans="2:23" s="2" customFormat="1" x14ac:dyDescent="0.2">
      <c r="B17" s="1">
        <v>14</v>
      </c>
      <c r="C17" s="9">
        <f t="shared" ca="1" si="2"/>
        <v>7</v>
      </c>
      <c r="D17" s="134">
        <f t="shared" ca="1" si="3"/>
        <v>7.0170000000000003</v>
      </c>
      <c r="E17" s="134">
        <f t="shared" ca="1" si="4"/>
        <v>7</v>
      </c>
      <c r="F17" s="187" t="str">
        <f>Calc2!$C17</f>
        <v>SC Freiburg</v>
      </c>
      <c r="G17" s="1">
        <f ca="1">SUMIFS(OFFSET(Calc2!$H$4,,,$F$26*$B$2,1),OFFSET(Calc2!$F$4,,,$F$26*$B$2,1),$F17)+SUMIFS(OFFSET(Calc2!$I$4,,,$F$26*$B$2,1),OFFSET(Calc2!$G$4,,,$F$26*$B$2,1),$F17)</f>
        <v>51</v>
      </c>
      <c r="H17" s="1">
        <f ca="1">SUMIFS(OFFSET(Calc2!$I$4,,,$F$26*$B$2,1),OFFSET(Calc2!$F$4,,,$F$26*$B$2,1),$F17)+SUMIFS(OFFSET(Calc2!$H$4,,,$F$26*$B$2,1),OFFSET(Calc2!$G$4,,,$F$26*$B$2,1),$F17)</f>
        <v>57</v>
      </c>
      <c r="I17" s="134">
        <f t="shared" ca="1" si="5"/>
        <v>-6</v>
      </c>
      <c r="J17" s="12">
        <f ca="1">L17*Settings!$C$3+M17+O17</f>
        <v>47</v>
      </c>
      <c r="K17" s="1">
        <f t="shared" ca="1" si="6"/>
        <v>34</v>
      </c>
      <c r="L17" s="1">
        <f t="array" aca="1" ref="L17" ca="1">SUMPRODUCT((OFFSET(Calc2!$F$4,,,$F$26*$B$2,1)=F17)*(OFFSET(Calc2!$H$4,,,$F$26*$B$2,1)&gt;OFFSET(Calc2!$I$4,,,$F$26*$B$2,1)))+SUMPRODUCT((OFFSET(Calc2!$G$4,,,$F$26*$B$2,1)=F17)*(OFFSET(Calc2!$H$4,,,$F$26*$B$2,1)&lt;OFFSET(Calc2!$I$4,,,$F$26*$B$2,1)))</f>
        <v>13</v>
      </c>
      <c r="M17" s="1">
        <f t="array" aca="1" ref="M17" ca="1">SUMPRODUCT((OFFSET(Calc2!$F$4,,,$F$26*$B$2,2)=F17)*(OFFSET(Calc2!$H$4,,,$F$26*$B$2,1)=OFFSET(Calc2!$I$4,,,$F$26*$B$2,1))*(OFFSET(Calc2!$H$4,,,$F$26*$B$2,1)&lt;&gt;"")*(OFFSET(Calc2!$I$4,,,$F$26*$B$2,1)&lt;&gt;""))</f>
        <v>8</v>
      </c>
      <c r="N17" s="1">
        <f t="array" aca="1" ref="N17" ca="1">SUMPRODUCT((OFFSET(Calc2!$F$4,,,$F$26*$B$2,1)=F17)*(OFFSET(Calc2!$H$4,,,$F$26*$B$2,1)&lt;OFFSET(Calc2!$I$4,,,$F$26*$B$2,1)))+SUMPRODUCT((OFFSET(Calc2!$G$4,,,$F$26*$B$2,1)=F17)*(OFFSET(Calc2!$H$4,,,$F$26*$B$2,1)&gt;OFFSET(Calc2!$I$4,,,$F$26*$B$2,1)))</f>
        <v>13</v>
      </c>
      <c r="O17" s="132">
        <f ca="1">SUMPRODUCT((F17=OFFSET(Calc2!$F$4,,,$F$26*$B$2,1))*OFFSET(Calc2!$O$4,,,$F$26*$B$2,1))+SUMPRODUCT((F17=OFFSET(Calc2!$G$4,,,$F$26*$B$2,1))*OFFSET(Calc2!$P$4,,,$F$26*$B$2,1))</f>
        <v>0</v>
      </c>
      <c r="Q17" s="2" t="str">
        <f>Calc2!$C17</f>
        <v>SC Freiburg</v>
      </c>
      <c r="R17" s="13">
        <f t="shared" ca="1" si="1"/>
        <v>47499994051</v>
      </c>
      <c r="S17" s="134">
        <f>Tie_Break!$D20</f>
        <v>0</v>
      </c>
      <c r="T17" s="9">
        <f t="shared" ca="1" si="7"/>
        <v>7.0008999999999997</v>
      </c>
      <c r="V17" s="134"/>
    </row>
    <row r="18" spans="2:23" s="2" customFormat="1" x14ac:dyDescent="0.2">
      <c r="B18" s="1">
        <v>15</v>
      </c>
      <c r="C18" s="9">
        <f t="shared" ca="1" si="2"/>
        <v>15</v>
      </c>
      <c r="D18" s="134">
        <f t="shared" ca="1" si="3"/>
        <v>15.018000000000001</v>
      </c>
      <c r="E18" s="134">
        <f t="shared" ca="1" si="4"/>
        <v>15</v>
      </c>
      <c r="F18" s="187" t="str">
        <f>Calc2!$C18</f>
        <v>SV Werder Bremen</v>
      </c>
      <c r="G18" s="1">
        <f ca="1">SUMIFS(OFFSET(Calc2!$H$4,,,$F$26*$B$2,1),OFFSET(Calc2!$F$4,,,$F$26*$B$2,1),$F18)+SUMIFS(OFFSET(Calc2!$I$4,,,$F$26*$B$2,1),OFFSET(Calc2!$G$4,,,$F$26*$B$2,1),$F18)</f>
        <v>37</v>
      </c>
      <c r="H18" s="1">
        <f ca="1">SUMIFS(OFFSET(Calc2!$I$4,,,$F$26*$B$2,1),OFFSET(Calc2!$F$4,,,$F$26*$B$2,1),$F18)+SUMIFS(OFFSET(Calc2!$H$4,,,$F$26*$B$2,1),OFFSET(Calc2!$G$4,,,$F$26*$B$2,1),$F18)</f>
        <v>60</v>
      </c>
      <c r="I18" s="134">
        <f t="shared" ca="1" si="5"/>
        <v>-23</v>
      </c>
      <c r="J18" s="12">
        <f ca="1">L18*Settings!$C$3+M18+O18</f>
        <v>32</v>
      </c>
      <c r="K18" s="1">
        <f t="shared" ca="1" si="6"/>
        <v>34</v>
      </c>
      <c r="L18" s="1">
        <f t="array" aca="1" ref="L18" ca="1">SUMPRODUCT((OFFSET(Calc2!$F$4,,,$F$26*$B$2,1)=F18)*(OFFSET(Calc2!$H$4,,,$F$26*$B$2,1)&gt;OFFSET(Calc2!$I$4,,,$F$26*$B$2,1)))+SUMPRODUCT((OFFSET(Calc2!$G$4,,,$F$26*$B$2,1)=F18)*(OFFSET(Calc2!$H$4,,,$F$26*$B$2,1)&lt;OFFSET(Calc2!$I$4,,,$F$26*$B$2,1)))</f>
        <v>8</v>
      </c>
      <c r="M18" s="1">
        <f t="array" aca="1" ref="M18" ca="1">SUMPRODUCT((OFFSET(Calc2!$F$4,,,$F$26*$B$2,2)=F18)*(OFFSET(Calc2!$H$4,,,$F$26*$B$2,1)=OFFSET(Calc2!$I$4,,,$F$26*$B$2,1))*(OFFSET(Calc2!$H$4,,,$F$26*$B$2,1)&lt;&gt;"")*(OFFSET(Calc2!$I$4,,,$F$26*$B$2,1)&lt;&gt;""))</f>
        <v>8</v>
      </c>
      <c r="N18" s="1">
        <f t="array" aca="1" ref="N18" ca="1">SUMPRODUCT((OFFSET(Calc2!$F$4,,,$F$26*$B$2,1)=F18)*(OFFSET(Calc2!$H$4,,,$F$26*$B$2,1)&lt;OFFSET(Calc2!$I$4,,,$F$26*$B$2,1)))+SUMPRODUCT((OFFSET(Calc2!$G$4,,,$F$26*$B$2,1)=F18)*(OFFSET(Calc2!$H$4,,,$F$26*$B$2,1)&gt;OFFSET(Calc2!$I$4,,,$F$26*$B$2,1)))</f>
        <v>18</v>
      </c>
      <c r="O18" s="132">
        <f ca="1">SUMPRODUCT((F18=OFFSET(Calc2!$F$4,,,$F$26*$B$2,1))*OFFSET(Calc2!$O$4,,,$F$26*$B$2,1))+SUMPRODUCT((F18=OFFSET(Calc2!$G$4,,,$F$26*$B$2,1))*OFFSET(Calc2!$P$4,,,$F$26*$B$2,1))</f>
        <v>0</v>
      </c>
      <c r="Q18" s="2" t="str">
        <f>Calc2!$C18</f>
        <v>SV Werder Bremen</v>
      </c>
      <c r="R18" s="13">
        <f t="shared" ca="1" si="1"/>
        <v>32499977037</v>
      </c>
      <c r="S18" s="134">
        <f>Tie_Break!$D21</f>
        <v>0</v>
      </c>
      <c r="T18" s="9">
        <f t="shared" ca="1" si="7"/>
        <v>15.0009</v>
      </c>
      <c r="V18" s="134"/>
    </row>
    <row r="19" spans="2:23" s="2" customFormat="1" x14ac:dyDescent="0.2">
      <c r="B19" s="1">
        <v>16</v>
      </c>
      <c r="C19" s="9">
        <f t="shared" ca="1" si="2"/>
        <v>5</v>
      </c>
      <c r="D19" s="134">
        <f t="shared" ca="1" si="3"/>
        <v>5.0190000000000001</v>
      </c>
      <c r="E19" s="134">
        <f t="shared" ca="1" si="4"/>
        <v>5</v>
      </c>
      <c r="F19" s="187" t="str">
        <f>Calc2!$C19</f>
        <v>TSG Hoffenheim</v>
      </c>
      <c r="G19" s="1">
        <f ca="1">SUMIFS(OFFSET(Calc2!$H$4,,,$F$26*$B$2,1),OFFSET(Calc2!$F$4,,,$F$26*$B$2,1),$F19)+SUMIFS(OFFSET(Calc2!$I$4,,,$F$26*$B$2,1),OFFSET(Calc2!$G$4,,,$F$26*$B$2,1),$F19)</f>
        <v>65</v>
      </c>
      <c r="H19" s="1">
        <f ca="1">SUMIFS(OFFSET(Calc2!$I$4,,,$F$26*$B$2,1),OFFSET(Calc2!$F$4,,,$F$26*$B$2,1),$F19)+SUMIFS(OFFSET(Calc2!$H$4,,,$F$26*$B$2,1),OFFSET(Calc2!$G$4,,,$F$26*$B$2,1),$F19)</f>
        <v>52</v>
      </c>
      <c r="I19" s="134">
        <f t="shared" ca="1" si="5"/>
        <v>13</v>
      </c>
      <c r="J19" s="12">
        <f ca="1">L19*Settings!$C$3+M19+O19</f>
        <v>61</v>
      </c>
      <c r="K19" s="1">
        <f t="shared" ca="1" si="6"/>
        <v>34</v>
      </c>
      <c r="L19" s="1">
        <f t="array" aca="1" ref="L19" ca="1">SUMPRODUCT((OFFSET(Calc2!$F$4,,,$F$26*$B$2,1)=F19)*(OFFSET(Calc2!$H$4,,,$F$26*$B$2,1)&gt;OFFSET(Calc2!$I$4,,,$F$26*$B$2,1)))+SUMPRODUCT((OFFSET(Calc2!$G$4,,,$F$26*$B$2,1)=F19)*(OFFSET(Calc2!$H$4,,,$F$26*$B$2,1)&lt;OFFSET(Calc2!$I$4,,,$F$26*$B$2,1)))</f>
        <v>18</v>
      </c>
      <c r="M19" s="1">
        <f t="array" aca="1" ref="M19" ca="1">SUMPRODUCT((OFFSET(Calc2!$F$4,,,$F$26*$B$2,2)=F19)*(OFFSET(Calc2!$H$4,,,$F$26*$B$2,1)=OFFSET(Calc2!$I$4,,,$F$26*$B$2,1))*(OFFSET(Calc2!$H$4,,,$F$26*$B$2,1)&lt;&gt;"")*(OFFSET(Calc2!$I$4,,,$F$26*$B$2,1)&lt;&gt;""))</f>
        <v>7</v>
      </c>
      <c r="N19" s="1">
        <f t="array" aca="1" ref="N19" ca="1">SUMPRODUCT((OFFSET(Calc2!$F$4,,,$F$26*$B$2,1)=F19)*(OFFSET(Calc2!$H$4,,,$F$26*$B$2,1)&lt;OFFSET(Calc2!$I$4,,,$F$26*$B$2,1)))+SUMPRODUCT((OFFSET(Calc2!$G$4,,,$F$26*$B$2,1)=F19)*(OFFSET(Calc2!$H$4,,,$F$26*$B$2,1)&gt;OFFSET(Calc2!$I$4,,,$F$26*$B$2,1)))</f>
        <v>9</v>
      </c>
      <c r="O19" s="132">
        <f ca="1">SUMPRODUCT((F19=OFFSET(Calc2!$F$4,,,$F$26*$B$2,1))*OFFSET(Calc2!$O$4,,,$F$26*$B$2,1))+SUMPRODUCT((F19=OFFSET(Calc2!$G$4,,,$F$26*$B$2,1))*OFFSET(Calc2!$P$4,,,$F$26*$B$2,1))</f>
        <v>0</v>
      </c>
      <c r="Q19" s="2" t="str">
        <f>Calc2!$C19</f>
        <v>TSG Hoffenheim</v>
      </c>
      <c r="R19" s="13">
        <f t="shared" ca="1" si="1"/>
        <v>61500013065</v>
      </c>
      <c r="S19" s="134">
        <f>Tie_Break!$D22</f>
        <v>0</v>
      </c>
      <c r="T19" s="9">
        <f t="shared" ca="1" si="7"/>
        <v>5.0008999999999997</v>
      </c>
      <c r="V19" s="134"/>
    </row>
    <row r="20" spans="2:23" s="2" customFormat="1" x14ac:dyDescent="0.2">
      <c r="B20" s="1">
        <v>17</v>
      </c>
      <c r="C20" s="9">
        <f t="shared" ca="1" si="2"/>
        <v>4</v>
      </c>
      <c r="D20" s="134">
        <f t="shared" ca="1" si="3"/>
        <v>4.0199999999999996</v>
      </c>
      <c r="E20" s="134">
        <f t="shared" ca="1" si="4"/>
        <v>4</v>
      </c>
      <c r="F20" s="187" t="str">
        <f>Calc2!$C20</f>
        <v>VfB Stuttgart</v>
      </c>
      <c r="G20" s="1">
        <f ca="1">SUMIFS(OFFSET(Calc2!$H$4,,,$F$26*$B$2,1),OFFSET(Calc2!$F$4,,,$F$26*$B$2,1),$F20)+SUMIFS(OFFSET(Calc2!$I$4,,,$F$26*$B$2,1),OFFSET(Calc2!$G$4,,,$F$26*$B$2,1),$F20)</f>
        <v>71</v>
      </c>
      <c r="H20" s="1">
        <f ca="1">SUMIFS(OFFSET(Calc2!$I$4,,,$F$26*$B$2,1),OFFSET(Calc2!$F$4,,,$F$26*$B$2,1),$F20)+SUMIFS(OFFSET(Calc2!$H$4,,,$F$26*$B$2,1),OFFSET(Calc2!$G$4,,,$F$26*$B$2,1),$F20)</f>
        <v>49</v>
      </c>
      <c r="I20" s="134">
        <f t="shared" ca="1" si="5"/>
        <v>22</v>
      </c>
      <c r="J20" s="12">
        <f ca="1">L20*Settings!$C$3+M20+O20</f>
        <v>62</v>
      </c>
      <c r="K20" s="1">
        <f t="shared" ca="1" si="6"/>
        <v>34</v>
      </c>
      <c r="L20" s="1">
        <f t="array" aca="1" ref="L20" ca="1">SUMPRODUCT((OFFSET(Calc2!$F$4,,,$F$26*$B$2,1)=F20)*(OFFSET(Calc2!$H$4,,,$F$26*$B$2,1)&gt;OFFSET(Calc2!$I$4,,,$F$26*$B$2,1)))+SUMPRODUCT((OFFSET(Calc2!$G$4,,,$F$26*$B$2,1)=F20)*(OFFSET(Calc2!$H$4,,,$F$26*$B$2,1)&lt;OFFSET(Calc2!$I$4,,,$F$26*$B$2,1)))</f>
        <v>18</v>
      </c>
      <c r="M20" s="1">
        <f t="array" aca="1" ref="M20" ca="1">SUMPRODUCT((OFFSET(Calc2!$F$4,,,$F$26*$B$2,2)=F20)*(OFFSET(Calc2!$H$4,,,$F$26*$B$2,1)=OFFSET(Calc2!$I$4,,,$F$26*$B$2,1))*(OFFSET(Calc2!$H$4,,,$F$26*$B$2,1)&lt;&gt;"")*(OFFSET(Calc2!$I$4,,,$F$26*$B$2,1)&lt;&gt;""))</f>
        <v>8</v>
      </c>
      <c r="N20" s="1">
        <f t="array" aca="1" ref="N20" ca="1">SUMPRODUCT((OFFSET(Calc2!$F$4,,,$F$26*$B$2,1)=F20)*(OFFSET(Calc2!$H$4,,,$F$26*$B$2,1)&lt;OFFSET(Calc2!$I$4,,,$F$26*$B$2,1)))+SUMPRODUCT((OFFSET(Calc2!$G$4,,,$F$26*$B$2,1)=F20)*(OFFSET(Calc2!$H$4,,,$F$26*$B$2,1)&gt;OFFSET(Calc2!$I$4,,,$F$26*$B$2,1)))</f>
        <v>8</v>
      </c>
      <c r="O20" s="132">
        <f ca="1">SUMPRODUCT((F20=OFFSET(Calc2!$F$4,,,$F$26*$B$2,1))*OFFSET(Calc2!$O$4,,,$F$26*$B$2,1))+SUMPRODUCT((F20=OFFSET(Calc2!$G$4,,,$F$26*$B$2,1))*OFFSET(Calc2!$P$4,,,$F$26*$B$2,1))</f>
        <v>0</v>
      </c>
      <c r="Q20" s="2" t="str">
        <f>Calc2!$C20</f>
        <v>VfB Stuttgart</v>
      </c>
      <c r="R20" s="13">
        <f t="shared" ca="1" si="1"/>
        <v>62500022071</v>
      </c>
      <c r="S20" s="134">
        <f>Tie_Break!$D23</f>
        <v>0</v>
      </c>
      <c r="T20" s="9">
        <f t="shared" ca="1" si="7"/>
        <v>4.0008999999999997</v>
      </c>
      <c r="V20" s="134"/>
    </row>
    <row r="21" spans="2:23" s="2" customFormat="1" x14ac:dyDescent="0.2">
      <c r="B21" s="1">
        <v>18</v>
      </c>
      <c r="C21" s="9">
        <f t="shared" ca="1" si="2"/>
        <v>16</v>
      </c>
      <c r="D21" s="134">
        <f t="shared" ca="1" si="3"/>
        <v>16.021000000000001</v>
      </c>
      <c r="E21" s="134">
        <f t="shared" ca="1" si="4"/>
        <v>16</v>
      </c>
      <c r="F21" s="187" t="str">
        <f>Calc2!$C21</f>
        <v>VfL Wolfsburg</v>
      </c>
      <c r="G21" s="1">
        <f ca="1">SUMIFS(OFFSET(Calc2!$H$4,,,$F$26*$B$2,1),OFFSET(Calc2!$F$4,,,$F$26*$B$2,1),$F21)+SUMIFS(OFFSET(Calc2!$I$4,,,$F$26*$B$2,1),OFFSET(Calc2!$G$4,,,$F$26*$B$2,1),$F21)</f>
        <v>45</v>
      </c>
      <c r="H21" s="1">
        <f ca="1">SUMIFS(OFFSET(Calc2!$I$4,,,$F$26*$B$2,1),OFFSET(Calc2!$F$4,,,$F$26*$B$2,1),$F21)+SUMIFS(OFFSET(Calc2!$H$4,,,$F$26*$B$2,1),OFFSET(Calc2!$G$4,,,$F$26*$B$2,1),$F21)</f>
        <v>69</v>
      </c>
      <c r="I21" s="134">
        <f t="shared" ca="1" si="5"/>
        <v>-24</v>
      </c>
      <c r="J21" s="12">
        <f ca="1">L21*Settings!$C$3+M21+O21</f>
        <v>29</v>
      </c>
      <c r="K21" s="1">
        <f t="shared" ca="1" si="6"/>
        <v>34</v>
      </c>
      <c r="L21" s="1">
        <f t="array" aca="1" ref="L21" ca="1">SUMPRODUCT((OFFSET(Calc2!$F$4,,,$F$26*$B$2,1)=F21)*(OFFSET(Calc2!$H$4,,,$F$26*$B$2,1)&gt;OFFSET(Calc2!$I$4,,,$F$26*$B$2,1)))+SUMPRODUCT((OFFSET(Calc2!$G$4,,,$F$26*$B$2,1)=F21)*(OFFSET(Calc2!$H$4,,,$F$26*$B$2,1)&lt;OFFSET(Calc2!$I$4,,,$F$26*$B$2,1)))</f>
        <v>7</v>
      </c>
      <c r="M21" s="1">
        <f t="array" aca="1" ref="M21" ca="1">SUMPRODUCT((OFFSET(Calc2!$F$4,,,$F$26*$B$2,2)=F21)*(OFFSET(Calc2!$H$4,,,$F$26*$B$2,1)=OFFSET(Calc2!$I$4,,,$F$26*$B$2,1))*(OFFSET(Calc2!$H$4,,,$F$26*$B$2,1)&lt;&gt;"")*(OFFSET(Calc2!$I$4,,,$F$26*$B$2,1)&lt;&gt;""))</f>
        <v>8</v>
      </c>
      <c r="N21" s="1">
        <f t="array" aca="1" ref="N21" ca="1">SUMPRODUCT((OFFSET(Calc2!$F$4,,,$F$26*$B$2,1)=F21)*(OFFSET(Calc2!$H$4,,,$F$26*$B$2,1)&lt;OFFSET(Calc2!$I$4,,,$F$26*$B$2,1)))+SUMPRODUCT((OFFSET(Calc2!$G$4,,,$F$26*$B$2,1)=F21)*(OFFSET(Calc2!$H$4,,,$F$26*$B$2,1)&gt;OFFSET(Calc2!$I$4,,,$F$26*$B$2,1)))</f>
        <v>19</v>
      </c>
      <c r="O21" s="132">
        <f ca="1">SUMPRODUCT((F21=OFFSET(Calc2!$F$4,,,$F$26*$B$2,1))*OFFSET(Calc2!$O$4,,,$F$26*$B$2,1))+SUMPRODUCT((F21=OFFSET(Calc2!$G$4,,,$F$26*$B$2,1))*OFFSET(Calc2!$P$4,,,$F$26*$B$2,1))</f>
        <v>0</v>
      </c>
      <c r="Q21" s="2" t="str">
        <f>Calc2!$C21</f>
        <v>VfL Wolfsburg</v>
      </c>
      <c r="R21" s="13">
        <f t="shared" ca="1" si="1"/>
        <v>29499976045</v>
      </c>
      <c r="S21" s="134">
        <f>Tie_Break!$D24</f>
        <v>0</v>
      </c>
      <c r="T21" s="9">
        <f t="shared" ca="1" si="7"/>
        <v>16.000900000000001</v>
      </c>
      <c r="V21" s="134"/>
    </row>
    <row r="22" spans="2:23" s="2" customFormat="1" x14ac:dyDescent="0.2">
      <c r="B22" s="1">
        <v>19</v>
      </c>
      <c r="C22" s="9">
        <f t="shared" ca="1" si="2"/>
        <v>19</v>
      </c>
      <c r="D22" s="134">
        <f t="shared" ca="1" si="3"/>
        <v>19.021999999999998</v>
      </c>
      <c r="E22" s="134">
        <f t="shared" ca="1" si="4"/>
        <v>19</v>
      </c>
      <c r="F22" s="187" t="str">
        <f>Calc2!$C22</f>
        <v/>
      </c>
      <c r="G22" s="1">
        <f ca="1">SUMIFS(OFFSET(Calc2!$H$4,,,$F$26*$B$2,1),OFFSET(Calc2!$F$4,,,$F$26*$B$2,1),$F22)+SUMIFS(OFFSET(Calc2!$I$4,,,$F$26*$B$2,1),OFFSET(Calc2!$G$4,,,$F$26*$B$2,1),$F22)</f>
        <v>0</v>
      </c>
      <c r="H22" s="1">
        <f ca="1">SUMIFS(OFFSET(Calc2!$I$4,,,$F$26*$B$2,1),OFFSET(Calc2!$F$4,,,$F$26*$B$2,1),$F22)+SUMIFS(OFFSET(Calc2!$H$4,,,$F$26*$B$2,1),OFFSET(Calc2!$G$4,,,$F$26*$B$2,1),$F22)</f>
        <v>0</v>
      </c>
      <c r="I22" s="134">
        <f t="shared" ca="1" si="5"/>
        <v>0</v>
      </c>
      <c r="J22" s="12">
        <f ca="1">L22*Settings!$C$3+M22+O22</f>
        <v>0</v>
      </c>
      <c r="K22" s="1">
        <f t="shared" ca="1" si="6"/>
        <v>0</v>
      </c>
      <c r="L22" s="1">
        <f t="array" aca="1" ref="L22" ca="1">SUMPRODUCT((OFFSET(Calc2!$F$4,,,$F$26*$B$2,1)=F22)*(OFFSET(Calc2!$H$4,,,$F$26*$B$2,1)&gt;OFFSET(Calc2!$I$4,,,$F$26*$B$2,1)))+SUMPRODUCT((OFFSET(Calc2!$G$4,,,$F$26*$B$2,1)=F22)*(OFFSET(Calc2!$H$4,,,$F$26*$B$2,1)&lt;OFFSET(Calc2!$I$4,,,$F$26*$B$2,1)))</f>
        <v>0</v>
      </c>
      <c r="M22" s="1">
        <f t="array" aca="1" ref="M22" ca="1">SUMPRODUCT((OFFSET(Calc2!$F$4,,,$F$26*$B$2,2)=F22)*(OFFSET(Calc2!$H$4,,,$F$26*$B$2,1)=OFFSET(Calc2!$I$4,,,$F$26*$B$2,1))*(OFFSET(Calc2!$H$4,,,$F$26*$B$2,1)&lt;&gt;"")*(OFFSET(Calc2!$I$4,,,$F$26*$B$2,1)&lt;&gt;""))</f>
        <v>0</v>
      </c>
      <c r="N22" s="1">
        <f t="array" aca="1" ref="N22" ca="1">SUMPRODUCT((OFFSET(Calc2!$F$4,,,$F$26*$B$2,1)=F22)*(OFFSET(Calc2!$H$4,,,$F$26*$B$2,1)&lt;OFFSET(Calc2!$I$4,,,$F$26*$B$2,1)))+SUMPRODUCT((OFFSET(Calc2!$G$4,,,$F$26*$B$2,1)=F22)*(OFFSET(Calc2!$H$4,,,$F$26*$B$2,1)&gt;OFFSET(Calc2!$I$4,,,$F$26*$B$2,1)))</f>
        <v>0</v>
      </c>
      <c r="O22" s="132">
        <f ca="1">SUMPRODUCT((F22=OFFSET(Calc2!$F$4,,,$F$26*$B$2,1))*OFFSET(Calc2!$O$4,,,$F$26*$B$2,1))+SUMPRODUCT((F22=OFFSET(Calc2!$G$4,,,$F$26*$B$2,1))*OFFSET(Calc2!$P$4,,,$F$26*$B$2,1))</f>
        <v>0</v>
      </c>
      <c r="Q22" s="2" t="str">
        <f>Calc2!$C22</f>
        <v/>
      </c>
      <c r="R22" s="13">
        <f t="shared" ca="1" si="1"/>
        <v>500000000</v>
      </c>
      <c r="S22" s="134">
        <f>Tie_Break!$D25</f>
        <v>0</v>
      </c>
      <c r="T22" s="9">
        <f t="shared" ca="1" si="7"/>
        <v>1019.0009</v>
      </c>
      <c r="V22" s="134"/>
    </row>
    <row r="23" spans="2:23" s="2" customFormat="1" ht="12.75" thickBot="1" x14ac:dyDescent="0.25">
      <c r="B23" s="1">
        <v>20</v>
      </c>
      <c r="C23" s="10">
        <f t="shared" ca="1" si="2"/>
        <v>20</v>
      </c>
      <c r="D23" s="134">
        <f t="shared" ca="1" si="3"/>
        <v>19.023</v>
      </c>
      <c r="E23" s="134">
        <f t="shared" ca="1" si="4"/>
        <v>19</v>
      </c>
      <c r="F23" s="187" t="str">
        <f>Calc2!$C23</f>
        <v/>
      </c>
      <c r="G23" s="1">
        <f ca="1">SUMIFS(OFFSET(Calc2!$H$4,,,$F$26*$B$2,1),OFFSET(Calc2!$F$4,,,$F$26*$B$2,1),$F23)+SUMIFS(OFFSET(Calc2!$I$4,,,$F$26*$B$2,1),OFFSET(Calc2!$G$4,,,$F$26*$B$2,1),$F23)</f>
        <v>0</v>
      </c>
      <c r="H23" s="1">
        <f ca="1">SUMIFS(OFFSET(Calc2!$I$4,,,$F$26*$B$2,1),OFFSET(Calc2!$F$4,,,$F$26*$B$2,1),$F23)+SUMIFS(OFFSET(Calc2!$H$4,,,$F$26*$B$2,1),OFFSET(Calc2!$G$4,,,$F$26*$B$2,1),$F23)</f>
        <v>0</v>
      </c>
      <c r="I23" s="134">
        <f t="shared" ca="1" si="5"/>
        <v>0</v>
      </c>
      <c r="J23" s="12">
        <f ca="1">L23*Settings!$C$3+M23+O23</f>
        <v>0</v>
      </c>
      <c r="K23" s="1">
        <f t="shared" ca="1" si="6"/>
        <v>0</v>
      </c>
      <c r="L23" s="1">
        <f t="array" aca="1" ref="L23" ca="1">SUMPRODUCT((OFFSET(Calc2!$F$4,,,$F$26*$B$2,1)=F23)*(OFFSET(Calc2!$H$4,,,$F$26*$B$2,1)&gt;OFFSET(Calc2!$I$4,,,$F$26*$B$2,1)))+SUMPRODUCT((OFFSET(Calc2!$G$4,,,$F$26*$B$2,1)=F23)*(OFFSET(Calc2!$H$4,,,$F$26*$B$2,1)&lt;OFFSET(Calc2!$I$4,,,$F$26*$B$2,1)))</f>
        <v>0</v>
      </c>
      <c r="M23" s="1">
        <f t="array" aca="1" ref="M23" ca="1">SUMPRODUCT((OFFSET(Calc2!$F$4,,,$F$26*$B$2,2)=F23)*(OFFSET(Calc2!$H$4,,,$F$26*$B$2,1)=OFFSET(Calc2!$I$4,,,$F$26*$B$2,1))*(OFFSET(Calc2!$H$4,,,$F$26*$B$2,1)&lt;&gt;"")*(OFFSET(Calc2!$I$4,,,$F$26*$B$2,1)&lt;&gt;""))</f>
        <v>0</v>
      </c>
      <c r="N23" s="1">
        <f t="array" aca="1" ref="N23" ca="1">SUMPRODUCT((OFFSET(Calc2!$F$4,,,$F$26*$B$2,1)=F23)*(OFFSET(Calc2!$H$4,,,$F$26*$B$2,1)&lt;OFFSET(Calc2!$I$4,,,$F$26*$B$2,1)))+SUMPRODUCT((OFFSET(Calc2!$G$4,,,$F$26*$B$2,1)=F23)*(OFFSET(Calc2!$H$4,,,$F$26*$B$2,1)&gt;OFFSET(Calc2!$I$4,,,$F$26*$B$2,1)))</f>
        <v>0</v>
      </c>
      <c r="O23" s="132">
        <f ca="1">SUMPRODUCT((F23=OFFSET(Calc2!$F$4,,,$F$26*$B$2,1))*OFFSET(Calc2!$O$4,,,$F$26*$B$2,1))+SUMPRODUCT((F23=OFFSET(Calc2!$G$4,,,$F$26*$B$2,1))*OFFSET(Calc2!$P$4,,,$F$26*$B$2,1))</f>
        <v>0</v>
      </c>
      <c r="Q23" s="2" t="str">
        <f>Calc2!$C23</f>
        <v/>
      </c>
      <c r="R23" s="13">
        <f t="shared" ca="1" si="1"/>
        <v>500000000</v>
      </c>
      <c r="S23" s="134">
        <f>Tie_Break!$D26</f>
        <v>0</v>
      </c>
      <c r="T23" s="10">
        <f ca="1">RANK($R23,$R$4:$R$23)+(9-$S23)/10000+(F23="")*1000</f>
        <v>1019.0009</v>
      </c>
      <c r="V23" s="134"/>
    </row>
    <row r="24" spans="2:23" s="2" customFormat="1" ht="21.75" customHeight="1" thickTop="1" x14ac:dyDescent="0.2">
      <c r="B24" s="12">
        <f>$F$24*($F$24-1)</f>
        <v>306</v>
      </c>
      <c r="F24" s="210">
        <f>20-COUNTBLANK($F$4:$F$23)</f>
        <v>18</v>
      </c>
      <c r="K24" s="12">
        <f ca="1">QUOTIENT(SUM(K4:K23),2)</f>
        <v>306</v>
      </c>
      <c r="Q24" s="4"/>
      <c r="R24" s="1"/>
      <c r="S24" s="1"/>
    </row>
    <row r="25" spans="2:23" s="2" customFormat="1" ht="51" customHeight="1" x14ac:dyDescent="0.2">
      <c r="B25" s="461" t="s">
        <v>465</v>
      </c>
      <c r="C25" s="461"/>
      <c r="F25" s="211" t="s">
        <v>466</v>
      </c>
      <c r="K25" s="211" t="s">
        <v>467</v>
      </c>
      <c r="Q25" s="4"/>
      <c r="R25" s="1"/>
      <c r="S25" s="1"/>
    </row>
    <row r="26" spans="2:23" s="2" customFormat="1" x14ac:dyDescent="0.2">
      <c r="B26" s="2">
        <f>IF(F26&gt;0,B24/F26,0)</f>
        <v>34</v>
      </c>
      <c r="F26" s="210">
        <f>QUOTIENT($F$24,2)</f>
        <v>9</v>
      </c>
      <c r="O26" s="1"/>
      <c r="P26" s="1"/>
      <c r="Q26" s="1"/>
    </row>
    <row r="27" spans="2:23" s="2" customFormat="1" ht="33" customHeight="1" x14ac:dyDescent="0.2">
      <c r="B27" s="461" t="s">
        <v>574</v>
      </c>
      <c r="C27" s="461"/>
      <c r="F27" s="211" t="s">
        <v>478</v>
      </c>
      <c r="O27" s="1"/>
      <c r="P27" s="1"/>
      <c r="Q27" s="1"/>
    </row>
    <row r="28" spans="2:23" s="2" customFormat="1" x14ac:dyDescent="0.2">
      <c r="F28" s="187"/>
      <c r="W28" s="4"/>
    </row>
    <row r="29" spans="2:23" s="2" customFormat="1" x14ac:dyDescent="0.2">
      <c r="F29" s="187"/>
      <c r="W29" s="4"/>
    </row>
    <row r="30" spans="2:23" s="2" customFormat="1" x14ac:dyDescent="0.2">
      <c r="F30" s="187"/>
    </row>
    <row r="31" spans="2:23" s="2" customFormat="1" x14ac:dyDescent="0.2">
      <c r="F31" s="187"/>
    </row>
    <row r="32" spans="2:23" s="2" customFormat="1" x14ac:dyDescent="0.2">
      <c r="F32" s="187"/>
    </row>
    <row r="33" spans="2:13" s="2" customFormat="1" x14ac:dyDescent="0.2">
      <c r="F33" s="187"/>
    </row>
    <row r="34" spans="2:13" s="2" customFormat="1" x14ac:dyDescent="0.2">
      <c r="F34" s="187"/>
    </row>
    <row r="35" spans="2:13" s="2" customFormat="1" x14ac:dyDescent="0.2">
      <c r="F35" s="187"/>
    </row>
    <row r="36" spans="2:13" s="2" customFormat="1" x14ac:dyDescent="0.2">
      <c r="B36" s="4"/>
      <c r="C36" s="4"/>
      <c r="D36" s="4"/>
      <c r="E36" s="4"/>
      <c r="F36" s="191"/>
      <c r="G36" s="4"/>
      <c r="H36" s="4"/>
      <c r="I36" s="4"/>
      <c r="J36" s="4"/>
      <c r="K36" s="4"/>
      <c r="L36" s="4"/>
      <c r="M36" s="4"/>
    </row>
    <row r="37" spans="2:13" s="2" customFormat="1" x14ac:dyDescent="0.2">
      <c r="B37" s="4"/>
      <c r="C37" s="4"/>
      <c r="D37" s="4"/>
      <c r="E37" s="4"/>
      <c r="F37" s="191"/>
      <c r="G37" s="7"/>
      <c r="H37" s="7"/>
      <c r="I37" s="7"/>
      <c r="J37" s="7"/>
      <c r="K37" s="7"/>
      <c r="L37" s="7"/>
      <c r="M37" s="7"/>
    </row>
    <row r="38" spans="2:13" s="2" customFormat="1" x14ac:dyDescent="0.2">
      <c r="B38" s="4"/>
      <c r="C38" s="4"/>
      <c r="D38" s="4"/>
      <c r="E38" s="4"/>
      <c r="F38" s="191"/>
      <c r="G38" s="7"/>
      <c r="H38" s="7"/>
      <c r="I38" s="7"/>
      <c r="J38" s="7"/>
      <c r="K38" s="7"/>
      <c r="L38" s="7"/>
      <c r="M38" s="7"/>
    </row>
    <row r="39" spans="2:13" s="2" customFormat="1" x14ac:dyDescent="0.2">
      <c r="B39" s="4"/>
      <c r="C39" s="4"/>
      <c r="D39" s="4"/>
      <c r="E39" s="4"/>
      <c r="F39" s="191"/>
      <c r="G39" s="7"/>
      <c r="H39" s="7"/>
      <c r="I39" s="7"/>
      <c r="J39" s="7"/>
      <c r="K39" s="7"/>
      <c r="L39" s="7"/>
      <c r="M39" s="7"/>
    </row>
    <row r="40" spans="2:13" s="2" customFormat="1" x14ac:dyDescent="0.2">
      <c r="B40" s="4"/>
      <c r="C40" s="4"/>
      <c r="D40" s="4"/>
      <c r="E40" s="4"/>
      <c r="F40" s="191"/>
      <c r="G40" s="7"/>
      <c r="H40" s="7"/>
      <c r="I40" s="7"/>
      <c r="J40" s="7"/>
      <c r="K40" s="7"/>
      <c r="L40" s="7"/>
      <c r="M40" s="7"/>
    </row>
    <row r="41" spans="2:13" s="2" customFormat="1" x14ac:dyDescent="0.2">
      <c r="B41" s="4"/>
      <c r="C41" s="4"/>
      <c r="D41" s="4"/>
      <c r="E41" s="4"/>
      <c r="F41" s="191"/>
      <c r="G41" s="7"/>
      <c r="H41" s="7"/>
      <c r="I41" s="7"/>
      <c r="J41" s="7"/>
      <c r="K41" s="7"/>
      <c r="L41" s="7"/>
      <c r="M41" s="7"/>
    </row>
    <row r="42" spans="2:13" s="2" customFormat="1" x14ac:dyDescent="0.2">
      <c r="B42" s="4"/>
      <c r="C42" s="4"/>
      <c r="D42" s="4"/>
      <c r="E42" s="4"/>
      <c r="F42" s="191"/>
      <c r="G42" s="7"/>
      <c r="H42" s="7"/>
      <c r="I42" s="7"/>
      <c r="J42" s="7"/>
      <c r="K42" s="7"/>
      <c r="L42" s="7"/>
      <c r="M42" s="7"/>
    </row>
    <row r="43" spans="2:13" s="2" customFormat="1" x14ac:dyDescent="0.2">
      <c r="B43" s="4"/>
      <c r="C43" s="4"/>
      <c r="D43" s="4"/>
      <c r="E43" s="4"/>
      <c r="F43" s="191"/>
      <c r="G43" s="7"/>
      <c r="H43" s="7"/>
      <c r="I43" s="7"/>
      <c r="J43" s="7"/>
      <c r="K43" s="7"/>
      <c r="L43" s="7"/>
      <c r="M43" s="7"/>
    </row>
    <row r="44" spans="2:13" s="2" customFormat="1" x14ac:dyDescent="0.2">
      <c r="B44" s="4"/>
      <c r="C44" s="4"/>
      <c r="D44" s="4"/>
      <c r="E44" s="4"/>
      <c r="F44" s="191"/>
      <c r="G44" s="7"/>
      <c r="H44" s="7"/>
      <c r="I44" s="7"/>
      <c r="J44" s="7"/>
      <c r="K44" s="7"/>
      <c r="L44" s="7"/>
      <c r="M44" s="7"/>
    </row>
    <row r="45" spans="2:13" s="2" customFormat="1" x14ac:dyDescent="0.2">
      <c r="B45" s="4"/>
      <c r="C45" s="4"/>
      <c r="D45" s="4"/>
      <c r="E45" s="4"/>
      <c r="F45" s="191"/>
      <c r="G45" s="7"/>
      <c r="H45" s="7"/>
      <c r="I45" s="7"/>
      <c r="J45" s="7"/>
      <c r="K45" s="7"/>
      <c r="L45" s="7"/>
      <c r="M45" s="7"/>
    </row>
    <row r="46" spans="2:13" s="2" customFormat="1" x14ac:dyDescent="0.2">
      <c r="B46" s="4"/>
      <c r="C46" s="4"/>
      <c r="D46" s="4"/>
      <c r="E46" s="4"/>
      <c r="F46" s="191"/>
      <c r="G46" s="7"/>
      <c r="H46" s="7"/>
      <c r="I46" s="7"/>
      <c r="J46" s="7"/>
      <c r="K46" s="7"/>
      <c r="L46" s="7"/>
      <c r="M46" s="7"/>
    </row>
    <row r="47" spans="2:13" s="2" customFormat="1" x14ac:dyDescent="0.2">
      <c r="B47" s="4"/>
      <c r="C47" s="4"/>
      <c r="D47" s="4"/>
      <c r="E47" s="4"/>
      <c r="F47" s="191"/>
      <c r="G47" s="7"/>
      <c r="H47" s="7"/>
      <c r="I47" s="7"/>
      <c r="J47" s="7"/>
      <c r="K47" s="7"/>
      <c r="L47" s="7"/>
      <c r="M47" s="7"/>
    </row>
    <row r="48" spans="2:13" s="2" customFormat="1" x14ac:dyDescent="0.2">
      <c r="B48" s="4"/>
      <c r="C48" s="4"/>
      <c r="D48" s="4"/>
      <c r="E48" s="4"/>
      <c r="F48" s="191"/>
      <c r="G48" s="7"/>
      <c r="H48" s="7"/>
      <c r="I48" s="7"/>
      <c r="J48" s="7"/>
      <c r="K48" s="7"/>
      <c r="L48" s="7"/>
      <c r="M48" s="7"/>
    </row>
    <row r="49" spans="2:13" s="2" customFormat="1" x14ac:dyDescent="0.2">
      <c r="B49" s="4"/>
      <c r="C49" s="4"/>
      <c r="D49" s="4"/>
      <c r="E49" s="4"/>
      <c r="F49" s="191"/>
      <c r="G49" s="7"/>
      <c r="H49" s="7"/>
      <c r="I49" s="7"/>
      <c r="J49" s="7"/>
      <c r="K49" s="7"/>
      <c r="L49" s="7"/>
      <c r="M49" s="7"/>
    </row>
    <row r="50" spans="2:13" s="2" customFormat="1" x14ac:dyDescent="0.2">
      <c r="B50" s="4"/>
      <c r="C50" s="4"/>
      <c r="D50" s="4"/>
      <c r="E50" s="4"/>
      <c r="F50" s="191"/>
      <c r="G50" s="7"/>
      <c r="H50" s="7"/>
      <c r="I50" s="7"/>
      <c r="J50" s="7"/>
      <c r="K50" s="7"/>
      <c r="L50" s="7"/>
      <c r="M50" s="7"/>
    </row>
    <row r="51" spans="2:13" s="2" customFormat="1" x14ac:dyDescent="0.2">
      <c r="B51" s="4"/>
      <c r="C51" s="4"/>
      <c r="D51" s="4"/>
      <c r="E51" s="4"/>
      <c r="F51" s="191"/>
      <c r="G51" s="7"/>
      <c r="H51" s="7"/>
      <c r="I51" s="7"/>
      <c r="J51" s="7"/>
      <c r="K51" s="7"/>
      <c r="L51" s="7"/>
      <c r="M51" s="7"/>
    </row>
    <row r="52" spans="2:13" s="2" customFormat="1" x14ac:dyDescent="0.2">
      <c r="B52" s="4"/>
      <c r="C52" s="4"/>
      <c r="D52" s="4"/>
      <c r="E52" s="4"/>
      <c r="F52" s="191"/>
      <c r="G52" s="7"/>
      <c r="H52" s="7"/>
      <c r="I52" s="7"/>
      <c r="J52" s="7"/>
      <c r="K52" s="7"/>
      <c r="L52" s="7"/>
      <c r="M52" s="7"/>
    </row>
    <row r="53" spans="2:13" s="2" customFormat="1" x14ac:dyDescent="0.2">
      <c r="B53" s="4"/>
      <c r="C53" s="4"/>
      <c r="D53" s="4"/>
      <c r="E53" s="4"/>
      <c r="F53" s="191"/>
      <c r="G53" s="7"/>
      <c r="H53" s="7"/>
      <c r="I53" s="7"/>
      <c r="J53" s="7"/>
      <c r="K53" s="7"/>
      <c r="L53" s="7"/>
      <c r="M53" s="7"/>
    </row>
    <row r="54" spans="2:13" s="2" customFormat="1" x14ac:dyDescent="0.2">
      <c r="B54" s="4"/>
      <c r="C54" s="4"/>
      <c r="D54" s="4"/>
      <c r="E54" s="4"/>
      <c r="F54" s="191"/>
      <c r="G54" s="7"/>
      <c r="H54" s="7"/>
      <c r="I54" s="7"/>
      <c r="J54" s="7"/>
      <c r="K54" s="7"/>
      <c r="L54" s="7"/>
      <c r="M54" s="7"/>
    </row>
    <row r="55" spans="2:13" s="2" customFormat="1" x14ac:dyDescent="0.2">
      <c r="B55" s="4"/>
      <c r="C55" s="4"/>
      <c r="D55" s="4"/>
      <c r="E55" s="4"/>
      <c r="F55" s="191"/>
      <c r="G55" s="7"/>
      <c r="H55" s="7"/>
      <c r="I55" s="7"/>
      <c r="J55" s="7"/>
      <c r="K55" s="7"/>
      <c r="L55" s="7"/>
      <c r="M55" s="7"/>
    </row>
    <row r="56" spans="2:13" s="2" customFormat="1" x14ac:dyDescent="0.2">
      <c r="B56" s="4"/>
      <c r="C56" s="4"/>
      <c r="D56" s="4"/>
      <c r="E56" s="4"/>
      <c r="F56" s="191"/>
      <c r="G56" s="7"/>
      <c r="H56" s="7"/>
      <c r="I56" s="7"/>
      <c r="J56" s="7"/>
      <c r="K56" s="7"/>
      <c r="L56" s="7"/>
      <c r="M56" s="7"/>
    </row>
    <row r="57" spans="2:13" s="2" customFormat="1" x14ac:dyDescent="0.2">
      <c r="B57" s="4"/>
      <c r="C57" s="4"/>
      <c r="D57" s="4"/>
      <c r="E57" s="4"/>
      <c r="F57" s="191"/>
      <c r="G57" s="7"/>
      <c r="H57" s="7"/>
      <c r="I57" s="7"/>
      <c r="J57" s="7"/>
      <c r="K57" s="7"/>
      <c r="L57" s="7"/>
      <c r="M57" s="7"/>
    </row>
    <row r="58" spans="2:13" s="2" customFormat="1" x14ac:dyDescent="0.2">
      <c r="B58" s="4"/>
      <c r="C58" s="4"/>
      <c r="D58" s="4"/>
      <c r="E58" s="4"/>
      <c r="F58" s="191"/>
      <c r="G58" s="7"/>
      <c r="H58" s="7"/>
      <c r="I58" s="7"/>
      <c r="J58" s="7"/>
      <c r="K58" s="7"/>
      <c r="L58" s="7"/>
      <c r="M58" s="7"/>
    </row>
    <row r="59" spans="2:13" s="2" customFormat="1" x14ac:dyDescent="0.2">
      <c r="B59" s="4"/>
      <c r="C59" s="4"/>
      <c r="D59" s="4"/>
      <c r="E59" s="4"/>
      <c r="F59" s="191"/>
      <c r="G59" s="7"/>
      <c r="H59" s="7"/>
      <c r="I59" s="7"/>
      <c r="J59" s="7"/>
      <c r="K59" s="7"/>
      <c r="L59" s="7"/>
      <c r="M59" s="7"/>
    </row>
    <row r="60" spans="2:13" s="2" customFormat="1" x14ac:dyDescent="0.2">
      <c r="B60" s="4"/>
      <c r="C60" s="4"/>
      <c r="D60" s="4"/>
      <c r="E60" s="4"/>
      <c r="F60" s="191"/>
      <c r="G60" s="7"/>
      <c r="H60" s="7"/>
      <c r="I60" s="7"/>
      <c r="J60" s="7"/>
      <c r="K60" s="7"/>
      <c r="L60" s="7"/>
      <c r="M60" s="7"/>
    </row>
    <row r="61" spans="2:13" s="2" customFormat="1" x14ac:dyDescent="0.2">
      <c r="B61" s="4"/>
      <c r="C61" s="4"/>
      <c r="D61" s="4"/>
      <c r="E61" s="4"/>
      <c r="F61" s="191"/>
      <c r="G61" s="7"/>
      <c r="H61" s="7"/>
      <c r="I61" s="7"/>
      <c r="J61" s="7"/>
      <c r="K61" s="7"/>
      <c r="L61" s="7"/>
      <c r="M61" s="7"/>
    </row>
    <row r="62" spans="2:13" s="2" customFormat="1" x14ac:dyDescent="0.2">
      <c r="B62" s="4"/>
      <c r="C62" s="4"/>
      <c r="D62" s="4"/>
      <c r="E62" s="4"/>
      <c r="F62" s="191"/>
      <c r="G62" s="7"/>
      <c r="H62" s="7"/>
      <c r="I62" s="7"/>
      <c r="J62" s="7"/>
      <c r="K62" s="7"/>
      <c r="L62" s="7"/>
      <c r="M62" s="7"/>
    </row>
    <row r="63" spans="2:13" s="2" customFormat="1" x14ac:dyDescent="0.2">
      <c r="B63" s="4"/>
      <c r="C63" s="4"/>
      <c r="D63" s="4"/>
      <c r="E63" s="4"/>
      <c r="F63" s="191"/>
      <c r="G63" s="7"/>
      <c r="H63" s="7"/>
      <c r="I63" s="7"/>
      <c r="J63" s="7"/>
      <c r="K63" s="7"/>
      <c r="L63" s="7"/>
      <c r="M63" s="7"/>
    </row>
    <row r="64" spans="2:13" s="2" customFormat="1" x14ac:dyDescent="0.2">
      <c r="B64" s="4"/>
      <c r="C64" s="4"/>
      <c r="D64" s="4"/>
      <c r="E64" s="4"/>
      <c r="F64" s="191"/>
      <c r="G64" s="7"/>
      <c r="H64" s="7"/>
      <c r="I64" s="7"/>
      <c r="J64" s="7"/>
      <c r="K64" s="7"/>
      <c r="L64" s="7"/>
      <c r="M64" s="7"/>
    </row>
    <row r="65" spans="2:13" s="2" customFormat="1" x14ac:dyDescent="0.2">
      <c r="B65" s="4"/>
      <c r="C65" s="4"/>
      <c r="D65" s="4"/>
      <c r="E65" s="4"/>
      <c r="F65" s="191"/>
      <c r="G65" s="7"/>
      <c r="H65" s="7"/>
      <c r="I65" s="7"/>
      <c r="J65" s="7"/>
      <c r="K65" s="7"/>
      <c r="L65" s="7"/>
      <c r="M65" s="7"/>
    </row>
    <row r="66" spans="2:13" s="2" customFormat="1" x14ac:dyDescent="0.2">
      <c r="B66" s="4"/>
      <c r="C66" s="4"/>
      <c r="D66" s="4"/>
      <c r="E66" s="4"/>
      <c r="F66" s="191"/>
      <c r="G66" s="7"/>
      <c r="H66" s="7"/>
      <c r="I66" s="7"/>
      <c r="J66" s="7"/>
      <c r="K66" s="7"/>
      <c r="L66" s="7"/>
      <c r="M66" s="7"/>
    </row>
    <row r="67" spans="2:13" s="2" customFormat="1" x14ac:dyDescent="0.2">
      <c r="B67" s="4"/>
      <c r="C67" s="4"/>
      <c r="D67" s="4"/>
      <c r="E67" s="4"/>
      <c r="F67" s="191"/>
      <c r="G67" s="7"/>
      <c r="H67" s="7"/>
      <c r="I67" s="7"/>
      <c r="J67" s="7"/>
      <c r="K67" s="7"/>
      <c r="L67" s="7"/>
      <c r="M67" s="7"/>
    </row>
    <row r="68" spans="2:13" s="2" customFormat="1" x14ac:dyDescent="0.2">
      <c r="B68" s="4"/>
      <c r="C68" s="4"/>
      <c r="D68" s="4"/>
      <c r="E68" s="4"/>
      <c r="F68" s="191"/>
      <c r="G68" s="7"/>
      <c r="H68" s="7"/>
      <c r="I68" s="7"/>
      <c r="J68" s="7"/>
      <c r="K68" s="7"/>
      <c r="L68" s="7"/>
      <c r="M68" s="7"/>
    </row>
    <row r="69" spans="2:13" s="2" customFormat="1" x14ac:dyDescent="0.2">
      <c r="B69" s="4"/>
      <c r="C69" s="4"/>
      <c r="D69" s="4"/>
      <c r="E69" s="4"/>
      <c r="F69" s="191"/>
      <c r="G69" s="7"/>
      <c r="H69" s="7"/>
      <c r="I69" s="7"/>
      <c r="J69" s="7"/>
      <c r="K69" s="7"/>
      <c r="L69" s="7"/>
      <c r="M69" s="7"/>
    </row>
    <row r="70" spans="2:13" s="2" customFormat="1" x14ac:dyDescent="0.2">
      <c r="B70" s="4"/>
      <c r="C70" s="4"/>
      <c r="D70" s="4"/>
      <c r="E70" s="4"/>
      <c r="F70" s="191"/>
      <c r="G70" s="7"/>
      <c r="H70" s="7"/>
      <c r="I70" s="7"/>
      <c r="J70" s="7"/>
      <c r="K70" s="7"/>
      <c r="L70" s="7"/>
      <c r="M70" s="7"/>
    </row>
    <row r="71" spans="2:13" s="2" customFormat="1" x14ac:dyDescent="0.2">
      <c r="B71" s="4"/>
      <c r="C71" s="4"/>
      <c r="D71" s="4"/>
      <c r="E71" s="4"/>
      <c r="F71" s="191"/>
      <c r="G71" s="7"/>
      <c r="H71" s="7"/>
      <c r="I71" s="7"/>
      <c r="J71" s="7"/>
      <c r="K71" s="7"/>
      <c r="L71" s="7"/>
      <c r="M71" s="7"/>
    </row>
    <row r="72" spans="2:13" s="2" customFormat="1" x14ac:dyDescent="0.2">
      <c r="B72" s="4"/>
      <c r="C72" s="4"/>
      <c r="D72" s="4"/>
      <c r="E72" s="4"/>
      <c r="F72" s="191"/>
      <c r="G72" s="7"/>
      <c r="H72" s="7"/>
      <c r="I72" s="7"/>
      <c r="J72" s="7"/>
      <c r="K72" s="7"/>
      <c r="L72" s="7"/>
      <c r="M72" s="7"/>
    </row>
    <row r="73" spans="2:13" s="2" customFormat="1" x14ac:dyDescent="0.2">
      <c r="B73" s="4"/>
      <c r="C73" s="4"/>
      <c r="D73" s="4"/>
      <c r="E73" s="4"/>
      <c r="F73" s="191"/>
      <c r="G73" s="7"/>
      <c r="H73" s="7"/>
      <c r="I73" s="7"/>
      <c r="J73" s="7"/>
      <c r="K73" s="7"/>
      <c r="L73" s="7"/>
      <c r="M73" s="7"/>
    </row>
    <row r="74" spans="2:13" s="2" customFormat="1" x14ac:dyDescent="0.2">
      <c r="B74" s="4"/>
      <c r="C74" s="4"/>
      <c r="D74" s="4"/>
      <c r="E74" s="4"/>
      <c r="F74" s="191"/>
      <c r="G74" s="7"/>
      <c r="H74" s="7"/>
      <c r="I74" s="7"/>
      <c r="J74" s="7"/>
      <c r="K74" s="7"/>
      <c r="L74" s="7"/>
      <c r="M74" s="7"/>
    </row>
    <row r="75" spans="2:13" s="2" customFormat="1" x14ac:dyDescent="0.2">
      <c r="B75" s="4"/>
      <c r="C75" s="4"/>
      <c r="D75" s="4"/>
      <c r="E75" s="4"/>
      <c r="F75" s="191"/>
      <c r="G75" s="7"/>
      <c r="H75" s="7"/>
      <c r="I75" s="7"/>
      <c r="J75" s="7"/>
      <c r="K75" s="7"/>
      <c r="L75" s="7"/>
      <c r="M75" s="7"/>
    </row>
    <row r="76" spans="2:13" s="2" customFormat="1" x14ac:dyDescent="0.2">
      <c r="B76" s="4"/>
      <c r="C76" s="4"/>
      <c r="D76" s="4"/>
      <c r="E76" s="4"/>
      <c r="F76" s="191"/>
      <c r="G76" s="7"/>
      <c r="H76" s="7"/>
      <c r="I76" s="7"/>
      <c r="J76" s="7"/>
      <c r="K76" s="7"/>
      <c r="L76" s="7"/>
      <c r="M76" s="7"/>
    </row>
    <row r="77" spans="2:13" s="2" customFormat="1" x14ac:dyDescent="0.2">
      <c r="B77" s="4"/>
      <c r="C77" s="4"/>
      <c r="D77" s="4"/>
      <c r="E77" s="4"/>
      <c r="F77" s="191"/>
      <c r="G77" s="7"/>
      <c r="H77" s="7"/>
      <c r="I77" s="7"/>
      <c r="J77" s="7"/>
      <c r="K77" s="7"/>
      <c r="L77" s="7"/>
      <c r="M77" s="7"/>
    </row>
    <row r="78" spans="2:13" s="2" customFormat="1" x14ac:dyDescent="0.2">
      <c r="B78" s="4"/>
      <c r="C78" s="4"/>
      <c r="D78" s="4"/>
      <c r="E78" s="4"/>
      <c r="F78" s="191"/>
      <c r="G78" s="7"/>
      <c r="H78" s="7"/>
      <c r="I78" s="7"/>
      <c r="J78" s="7"/>
      <c r="K78" s="7"/>
      <c r="L78" s="7"/>
      <c r="M78" s="7"/>
    </row>
    <row r="79" spans="2:13" s="2" customFormat="1" x14ac:dyDescent="0.2">
      <c r="B79" s="4"/>
      <c r="C79" s="4"/>
      <c r="D79" s="4"/>
      <c r="E79" s="4"/>
      <c r="F79" s="191"/>
      <c r="G79" s="7"/>
      <c r="H79" s="7"/>
      <c r="I79" s="7"/>
      <c r="J79" s="7"/>
      <c r="K79" s="7"/>
      <c r="L79" s="7"/>
      <c r="M79" s="7"/>
    </row>
    <row r="80" spans="2:13" s="2" customFormat="1" x14ac:dyDescent="0.2">
      <c r="B80" s="4"/>
      <c r="C80" s="4"/>
      <c r="D80" s="4"/>
      <c r="E80" s="4"/>
      <c r="F80" s="191"/>
      <c r="G80" s="7"/>
      <c r="H80" s="7"/>
      <c r="I80" s="7"/>
      <c r="J80" s="7"/>
      <c r="K80" s="7"/>
      <c r="L80" s="7"/>
      <c r="M80" s="7"/>
    </row>
    <row r="81" spans="2:13" s="2" customFormat="1" x14ac:dyDescent="0.2">
      <c r="B81" s="4"/>
      <c r="C81" s="4"/>
      <c r="D81" s="4"/>
      <c r="E81" s="4"/>
      <c r="F81" s="191"/>
      <c r="G81" s="7"/>
      <c r="H81" s="7"/>
      <c r="I81" s="7"/>
      <c r="J81" s="7"/>
      <c r="K81" s="7"/>
      <c r="L81" s="7"/>
      <c r="M81" s="7"/>
    </row>
    <row r="82" spans="2:13" s="2" customFormat="1" x14ac:dyDescent="0.2">
      <c r="B82" s="4"/>
      <c r="C82" s="4"/>
      <c r="D82" s="4"/>
      <c r="E82" s="4"/>
      <c r="F82" s="191"/>
      <c r="G82" s="7"/>
      <c r="H82" s="7"/>
      <c r="I82" s="7"/>
      <c r="J82" s="7"/>
      <c r="K82" s="7"/>
      <c r="L82" s="7"/>
      <c r="M82" s="7"/>
    </row>
    <row r="83" spans="2:13" s="2" customFormat="1" x14ac:dyDescent="0.2">
      <c r="B83" s="4"/>
      <c r="C83" s="4"/>
      <c r="D83" s="4"/>
      <c r="E83" s="4"/>
      <c r="F83" s="191"/>
      <c r="G83" s="7"/>
      <c r="H83" s="7"/>
      <c r="I83" s="7"/>
      <c r="J83" s="7"/>
      <c r="K83" s="7"/>
      <c r="L83" s="7"/>
      <c r="M83" s="7"/>
    </row>
    <row r="84" spans="2:13" s="2" customFormat="1" x14ac:dyDescent="0.2">
      <c r="B84" s="4"/>
      <c r="C84" s="4"/>
      <c r="D84" s="4"/>
      <c r="E84" s="4"/>
      <c r="F84" s="191"/>
      <c r="G84" s="7"/>
      <c r="H84" s="7"/>
      <c r="I84" s="7"/>
      <c r="J84" s="7"/>
      <c r="K84" s="7"/>
      <c r="L84" s="7"/>
      <c r="M84" s="7"/>
    </row>
    <row r="85" spans="2:13" s="2" customFormat="1" x14ac:dyDescent="0.2">
      <c r="B85" s="4"/>
      <c r="C85" s="4"/>
      <c r="D85" s="4"/>
      <c r="E85" s="4"/>
      <c r="F85" s="191"/>
      <c r="G85" s="7"/>
      <c r="H85" s="7"/>
      <c r="I85" s="7"/>
      <c r="J85" s="7"/>
      <c r="K85" s="7"/>
      <c r="L85" s="7"/>
      <c r="M85" s="7"/>
    </row>
    <row r="86" spans="2:13" s="2" customFormat="1" x14ac:dyDescent="0.2">
      <c r="B86" s="4"/>
      <c r="C86" s="4"/>
      <c r="D86" s="4"/>
      <c r="E86" s="4"/>
      <c r="F86" s="191"/>
      <c r="G86" s="7"/>
      <c r="H86" s="7"/>
      <c r="I86" s="7"/>
      <c r="J86" s="7"/>
      <c r="K86" s="7"/>
      <c r="L86" s="7"/>
      <c r="M86" s="7"/>
    </row>
    <row r="87" spans="2:13" s="2" customFormat="1" x14ac:dyDescent="0.2">
      <c r="B87" s="4"/>
      <c r="C87" s="4"/>
      <c r="D87" s="4"/>
      <c r="E87" s="4"/>
      <c r="F87" s="191"/>
      <c r="G87" s="7"/>
      <c r="H87" s="7"/>
      <c r="I87" s="7"/>
      <c r="J87" s="7"/>
      <c r="K87" s="7"/>
      <c r="L87" s="7"/>
      <c r="M87" s="7"/>
    </row>
    <row r="88" spans="2:13" s="2" customFormat="1" x14ac:dyDescent="0.2">
      <c r="B88" s="4"/>
      <c r="C88" s="4"/>
      <c r="D88" s="4"/>
      <c r="E88" s="4"/>
      <c r="F88" s="191"/>
      <c r="G88" s="7"/>
      <c r="H88" s="7"/>
      <c r="I88" s="7"/>
      <c r="J88" s="7"/>
      <c r="K88" s="7"/>
      <c r="L88" s="7"/>
      <c r="M88" s="7"/>
    </row>
    <row r="89" spans="2:13" s="2" customFormat="1" x14ac:dyDescent="0.2">
      <c r="B89" s="4"/>
      <c r="C89" s="4"/>
      <c r="D89" s="4"/>
      <c r="E89" s="4"/>
      <c r="F89" s="191"/>
      <c r="G89" s="7"/>
      <c r="H89" s="7"/>
      <c r="I89" s="7"/>
      <c r="J89" s="7"/>
      <c r="K89" s="7"/>
      <c r="L89" s="7"/>
      <c r="M89" s="7"/>
    </row>
    <row r="90" spans="2:13" s="2" customFormat="1" x14ac:dyDescent="0.2">
      <c r="B90" s="4"/>
      <c r="C90" s="4"/>
      <c r="D90" s="4"/>
      <c r="E90" s="4"/>
      <c r="F90" s="191"/>
      <c r="G90" s="7"/>
      <c r="H90" s="7"/>
      <c r="I90" s="7"/>
      <c r="J90" s="7"/>
      <c r="K90" s="7"/>
      <c r="L90" s="7"/>
      <c r="M90" s="7"/>
    </row>
    <row r="91" spans="2:13" s="2" customFormat="1" x14ac:dyDescent="0.2">
      <c r="B91" s="4"/>
      <c r="C91" s="4"/>
      <c r="D91" s="4"/>
      <c r="E91" s="4"/>
      <c r="F91" s="191"/>
      <c r="G91" s="7"/>
      <c r="H91" s="7"/>
      <c r="I91" s="7"/>
      <c r="J91" s="7"/>
      <c r="K91" s="7"/>
      <c r="L91" s="7"/>
      <c r="M91" s="7"/>
    </row>
    <row r="92" spans="2:13" s="2" customFormat="1" x14ac:dyDescent="0.2">
      <c r="B92" s="4"/>
      <c r="C92" s="4"/>
      <c r="D92" s="4"/>
      <c r="E92" s="4"/>
      <c r="F92" s="191"/>
      <c r="G92" s="7"/>
      <c r="H92" s="7"/>
      <c r="I92" s="7"/>
      <c r="J92" s="7"/>
      <c r="K92" s="7"/>
      <c r="L92" s="7"/>
      <c r="M92" s="7"/>
    </row>
    <row r="93" spans="2:13" s="2" customFormat="1" x14ac:dyDescent="0.2">
      <c r="B93" s="4"/>
      <c r="C93" s="4"/>
      <c r="D93" s="4"/>
      <c r="E93" s="4"/>
      <c r="F93" s="191"/>
      <c r="G93" s="7"/>
      <c r="H93" s="7"/>
      <c r="I93" s="7"/>
      <c r="J93" s="7"/>
      <c r="K93" s="7"/>
      <c r="L93" s="7"/>
      <c r="M93" s="7"/>
    </row>
    <row r="94" spans="2:13" s="2" customFormat="1" x14ac:dyDescent="0.2">
      <c r="B94" s="4"/>
      <c r="C94" s="4"/>
      <c r="D94" s="4"/>
      <c r="E94" s="4"/>
      <c r="F94" s="191"/>
      <c r="G94" s="7"/>
      <c r="H94" s="7"/>
      <c r="I94" s="7"/>
      <c r="J94" s="7"/>
      <c r="K94" s="7"/>
      <c r="L94" s="7"/>
      <c r="M94" s="7"/>
    </row>
    <row r="95" spans="2:13" s="2" customFormat="1" x14ac:dyDescent="0.2">
      <c r="B95" s="4"/>
      <c r="C95" s="4"/>
      <c r="D95" s="4"/>
      <c r="E95" s="4"/>
      <c r="F95" s="191"/>
      <c r="G95" s="7"/>
      <c r="H95" s="7"/>
      <c r="I95" s="7"/>
      <c r="J95" s="7"/>
      <c r="K95" s="7"/>
      <c r="L95" s="7"/>
      <c r="M95" s="7"/>
    </row>
    <row r="96" spans="2:13" s="2" customFormat="1" x14ac:dyDescent="0.2">
      <c r="B96" s="4"/>
      <c r="C96" s="4"/>
      <c r="D96" s="4"/>
      <c r="E96" s="4"/>
      <c r="F96" s="191"/>
      <c r="G96" s="7"/>
      <c r="H96" s="7"/>
      <c r="I96" s="7"/>
      <c r="J96" s="7"/>
      <c r="K96" s="7"/>
      <c r="L96" s="7"/>
      <c r="M96" s="7"/>
    </row>
    <row r="97" spans="2:13" s="2" customFormat="1" x14ac:dyDescent="0.2">
      <c r="B97" s="4"/>
      <c r="C97" s="4"/>
      <c r="D97" s="4"/>
      <c r="E97" s="4"/>
      <c r="F97" s="191"/>
      <c r="G97" s="7"/>
      <c r="H97" s="7"/>
      <c r="I97" s="7"/>
      <c r="J97" s="7"/>
      <c r="K97" s="7"/>
      <c r="L97" s="7"/>
      <c r="M97" s="7"/>
    </row>
    <row r="98" spans="2:13" s="2" customFormat="1" x14ac:dyDescent="0.2">
      <c r="B98" s="4"/>
      <c r="C98" s="4"/>
      <c r="D98" s="4"/>
      <c r="E98" s="4"/>
      <c r="F98" s="191"/>
      <c r="G98" s="7"/>
      <c r="H98" s="7"/>
      <c r="I98" s="7"/>
      <c r="J98" s="7"/>
      <c r="K98" s="7"/>
      <c r="L98" s="7"/>
      <c r="M98" s="7"/>
    </row>
    <row r="99" spans="2:13" s="2" customFormat="1" x14ac:dyDescent="0.2">
      <c r="B99" s="4"/>
      <c r="C99" s="4"/>
      <c r="D99" s="4"/>
      <c r="E99" s="4"/>
      <c r="F99" s="191"/>
      <c r="G99" s="7"/>
      <c r="H99" s="7"/>
      <c r="I99" s="7"/>
      <c r="J99" s="7"/>
      <c r="K99" s="7"/>
      <c r="L99" s="7"/>
      <c r="M99" s="7"/>
    </row>
    <row r="100" spans="2:13" s="2" customFormat="1" x14ac:dyDescent="0.2">
      <c r="B100" s="4"/>
      <c r="C100" s="4"/>
      <c r="D100" s="4"/>
      <c r="E100" s="4"/>
      <c r="F100" s="191"/>
      <c r="G100" s="7"/>
      <c r="H100" s="7"/>
      <c r="I100" s="7"/>
      <c r="J100" s="7"/>
      <c r="K100" s="7"/>
      <c r="L100" s="7"/>
      <c r="M100" s="7"/>
    </row>
    <row r="101" spans="2:13" s="2" customFormat="1" x14ac:dyDescent="0.2">
      <c r="B101" s="4"/>
      <c r="C101" s="4"/>
      <c r="D101" s="4"/>
      <c r="E101" s="4"/>
      <c r="F101" s="191"/>
      <c r="G101" s="7"/>
      <c r="H101" s="7"/>
      <c r="I101" s="7"/>
      <c r="J101" s="7"/>
      <c r="K101" s="7"/>
      <c r="L101" s="7"/>
      <c r="M101" s="7"/>
    </row>
  </sheetData>
  <mergeCells count="2">
    <mergeCell ref="B25:C25"/>
    <mergeCell ref="B27:C27"/>
  </mergeCells>
  <phoneticPr fontId="3" type="noConversion"/>
  <pageMargins left="0.78740157499999996" right="0.78740157499999996" top="0.984251969" bottom="0.984251969" header="0.4921259845" footer="0.4921259845"/>
  <pageSetup paperSize="9" orientation="portrait" horizontalDpi="0"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C8AEE-2FC0-40F1-B072-0AAB658EE6D9}">
  <sheetPr codeName="Tabelle2"/>
  <dimension ref="B3:P764"/>
  <sheetViews>
    <sheetView workbookViewId="0"/>
  </sheetViews>
  <sheetFormatPr baseColWidth="10" defaultRowHeight="12.75" x14ac:dyDescent="0.2"/>
  <cols>
    <col min="2" max="2" width="7.7109375" customWidth="1"/>
    <col min="3" max="3" width="22.85546875" customWidth="1"/>
    <col min="4" max="4" width="7" customWidth="1"/>
    <col min="5" max="5" width="7.28515625" customWidth="1"/>
    <col min="6" max="6" width="18.7109375" style="195" customWidth="1"/>
    <col min="7" max="7" width="18.5703125" style="195" customWidth="1"/>
    <col min="8" max="9" width="7.85546875" customWidth="1"/>
    <col min="10" max="10" width="36.28515625" customWidth="1"/>
    <col min="11" max="11" width="7.85546875" customWidth="1"/>
    <col min="13" max="13" width="34.85546875" customWidth="1"/>
  </cols>
  <sheetData>
    <row r="3" spans="2:16" ht="13.5" thickBot="1" x14ac:dyDescent="0.25">
      <c r="B3" s="2"/>
      <c r="C3" s="2"/>
      <c r="D3" s="2"/>
      <c r="E3" s="2"/>
      <c r="F3" s="187"/>
      <c r="G3" s="187"/>
      <c r="H3" s="2"/>
      <c r="I3" s="2"/>
      <c r="J3" s="96" t="s">
        <v>140</v>
      </c>
      <c r="K3" s="96" t="s">
        <v>12</v>
      </c>
      <c r="L3" s="96" t="s">
        <v>134</v>
      </c>
      <c r="M3" s="97" t="s">
        <v>141</v>
      </c>
      <c r="N3" s="96" t="s">
        <v>135</v>
      </c>
      <c r="O3" s="462" t="s">
        <v>533</v>
      </c>
      <c r="P3" s="462"/>
    </row>
    <row r="4" spans="2:16" ht="13.5" thickTop="1" x14ac:dyDescent="0.2">
      <c r="B4" s="24" t="s">
        <v>5</v>
      </c>
      <c r="C4" s="28" t="str">
        <f>IF(Plan!$D7="","",Plan!$D7)</f>
        <v>1. FC Heidenheim 1846</v>
      </c>
      <c r="D4" s="2"/>
      <c r="E4" s="297">
        <v>1</v>
      </c>
      <c r="F4" s="188" t="str">
        <f>Plan!$Q7</f>
        <v>FC Bayern München</v>
      </c>
      <c r="G4" s="189" t="str">
        <f>Plan!$S7</f>
        <v>RB Leipzig</v>
      </c>
      <c r="H4" s="15">
        <f>IF(AND(Results!$R$6&gt;0,$E4-1&gt;=Results!$R$6*Calc!$F$26),"",IF(AND(Results!$I9&lt;&gt;"",Results!$K9&lt;&gt;"",Results!$F9&lt;&gt;Results!$H9,$F4&lt;&gt;"",$G4&lt;&gt;""),Results!$I9,""))</f>
        <v>6</v>
      </c>
      <c r="I4" s="16">
        <f>IF(AND(Results!$R$6&gt;0,$E4-1&gt;=Results!$R$6*Calc!$F$26),"",IF(AND(Results!$I9&lt;&gt;"",Results!$K9&lt;&gt;"",Results!$F9&lt;&gt;Results!$H9,$F4&lt;&gt;"",$G4&lt;&gt;""),Results!$K9,""))</f>
        <v>0</v>
      </c>
      <c r="J4" s="14" t="str">
        <f>IF(Plan!$I7=0,F4&amp;G4,"")</f>
        <v>FC Bayern MünchenRB Leipzig</v>
      </c>
      <c r="K4" s="15">
        <f t="shared" ref="K4:K35" si="0">IF(AND(F4&lt;&gt;"",G4&lt;&gt;"",F4&lt;&gt;G4,H4&lt;&gt;"",I4&lt;&gt;""),1,0)</f>
        <v>1</v>
      </c>
      <c r="L4" s="91" t="str">
        <f>IF(AND(K4&gt;0,Plan!$I7=0),H4&amp;Language!$E$65&amp;I4,"")</f>
        <v>6 : 0</v>
      </c>
      <c r="M4" s="2" t="str">
        <f>IF(Plan!$I7=1,F4&amp;G4,"")</f>
        <v/>
      </c>
      <c r="N4" s="92" t="str">
        <f>IF(AND(K4&gt;0,Plan!$I7=1),H4&amp;Language!$E$65&amp;I4,"")</f>
        <v/>
      </c>
      <c r="O4" s="377">
        <f>IF($H4="",0,Results!$L9)</f>
        <v>0</v>
      </c>
      <c r="P4" s="378">
        <f>IF($I4="",0,Results!$M9)</f>
        <v>0</v>
      </c>
    </row>
    <row r="5" spans="2:16" x14ac:dyDescent="0.2">
      <c r="B5" s="25" t="s">
        <v>6</v>
      </c>
      <c r="C5" s="29" t="str">
        <f>IF(Plan!$D8="","",Plan!$D8)</f>
        <v>1. FC Köln</v>
      </c>
      <c r="D5" s="2"/>
      <c r="E5" s="298">
        <v>2</v>
      </c>
      <c r="F5" s="190" t="str">
        <f>Plan!$Q8</f>
        <v>1. FC Union Berlin</v>
      </c>
      <c r="G5" s="191" t="str">
        <f>Plan!$S8</f>
        <v>VfB Stuttgart</v>
      </c>
      <c r="H5" s="7">
        <f>IF(AND(Results!$R$6&gt;0,$E5-1&gt;=Results!$R$6*Calc!$F$26),"",IF(AND(Results!$I10&lt;&gt;"",Results!$K10&lt;&gt;"",Results!$F10&lt;&gt;Results!$H10,$F5&lt;&gt;"",$G5&lt;&gt;""),Results!$I10,""))</f>
        <v>2</v>
      </c>
      <c r="I5" s="18">
        <f>IF(AND(Results!$R$6&gt;0,$E5-1&gt;=Results!$R$6*Calc!$F$26),"",IF(AND(Results!$I10&lt;&gt;"",Results!$K10&lt;&gt;"",Results!$F10&lt;&gt;Results!$H10,$F5&lt;&gt;"",$G5&lt;&gt;""),Results!$K10,""))</f>
        <v>1</v>
      </c>
      <c r="J5" s="17" t="str">
        <f>IF(Plan!$I8=0,F5&amp;G5,"")</f>
        <v>1. FC Union BerlinVfB Stuttgart</v>
      </c>
      <c r="K5" s="7">
        <f t="shared" si="0"/>
        <v>1</v>
      </c>
      <c r="L5" s="7" t="str">
        <f>IF(AND(K5&gt;0,Plan!$I8=0),H5&amp;Language!$E$65&amp;I5,"")</f>
        <v>2 : 1</v>
      </c>
      <c r="M5" s="2" t="str">
        <f>IF(Plan!$I8=1,F5&amp;G5,"")</f>
        <v/>
      </c>
      <c r="N5" s="93" t="str">
        <f>IF(AND(K5&gt;0,Plan!$I8=1),H5&amp;Language!$E$65&amp;I5,"")</f>
        <v/>
      </c>
      <c r="O5" s="379">
        <f>IF($H5="",0,Results!$L10)</f>
        <v>0</v>
      </c>
      <c r="P5" s="380">
        <f>IF($I5="",0,Results!$M10)</f>
        <v>0</v>
      </c>
    </row>
    <row r="6" spans="2:16" x14ac:dyDescent="0.2">
      <c r="B6" s="25" t="s">
        <v>7</v>
      </c>
      <c r="C6" s="29" t="str">
        <f>IF(Plan!$D9="","",Plan!$D9)</f>
        <v>1. FC Union Berlin</v>
      </c>
      <c r="D6" s="2"/>
      <c r="E6" s="298">
        <v>3</v>
      </c>
      <c r="F6" s="190" t="str">
        <f>Plan!$Q9</f>
        <v>1. FC Heidenheim 1846</v>
      </c>
      <c r="G6" s="191" t="str">
        <f>Plan!$S9</f>
        <v>VfL Wolfsburg</v>
      </c>
      <c r="H6" s="134">
        <f>IF(AND(Results!$R$6&gt;0,$E6-1&gt;=Results!$R$6*Calc!$F$26),"",IF(AND(Results!$I11&lt;&gt;"",Results!$K11&lt;&gt;"",Results!$F11&lt;&gt;Results!$H11,$F6&lt;&gt;"",$G6&lt;&gt;""),Results!$I11,""))</f>
        <v>1</v>
      </c>
      <c r="I6" s="18">
        <f>IF(AND(Results!$R$6&gt;0,$E6-1&gt;=Results!$R$6*Calc!$F$26),"",IF(AND(Results!$I11&lt;&gt;"",Results!$K11&lt;&gt;"",Results!$F11&lt;&gt;Results!$H11,$F6&lt;&gt;"",$G6&lt;&gt;""),Results!$K11,""))</f>
        <v>3</v>
      </c>
      <c r="J6" s="17" t="str">
        <f>IF(Plan!$I9=0,F6&amp;G6,"")</f>
        <v>1. FC Heidenheim 1846VfL Wolfsburg</v>
      </c>
      <c r="K6" s="7">
        <f t="shared" si="0"/>
        <v>1</v>
      </c>
      <c r="L6" s="7" t="str">
        <f>IF(AND(K6&gt;0,Plan!$I9=0),H6&amp;Language!$E$65&amp;I6,"")</f>
        <v>1 : 3</v>
      </c>
      <c r="M6" s="2" t="str">
        <f>IF(Plan!$I9=1,F6&amp;G6,"")</f>
        <v/>
      </c>
      <c r="N6" s="93" t="str">
        <f>IF(AND(K6&gt;0,Plan!$I9=1),H6&amp;Language!$E$65&amp;I6,"")</f>
        <v/>
      </c>
      <c r="O6" s="379">
        <f>IF($H6="",0,Results!$L11)</f>
        <v>0</v>
      </c>
      <c r="P6" s="380">
        <f>IF($I6="",0,Results!$M11)</f>
        <v>0</v>
      </c>
    </row>
    <row r="7" spans="2:16" x14ac:dyDescent="0.2">
      <c r="B7" s="25" t="s">
        <v>8</v>
      </c>
      <c r="C7" s="29" t="str">
        <f>IF(Plan!$D10="","",Plan!$D10)</f>
        <v>1. FSV Mainz 05</v>
      </c>
      <c r="D7" s="2"/>
      <c r="E7" s="298">
        <v>4</v>
      </c>
      <c r="F7" s="190" t="str">
        <f>Plan!$Q10</f>
        <v>SC Freiburg</v>
      </c>
      <c r="G7" s="191" t="str">
        <f>Plan!$S10</f>
        <v>FC Augsburg</v>
      </c>
      <c r="H7" s="134">
        <f>IF(AND(Results!$R$6&gt;0,$E7-1&gt;=Results!$R$6*Calc!$F$26),"",IF(AND(Results!$I12&lt;&gt;"",Results!$K12&lt;&gt;"",Results!$F12&lt;&gt;Results!$H12,$F7&lt;&gt;"",$G7&lt;&gt;""),Results!$I12,""))</f>
        <v>1</v>
      </c>
      <c r="I7" s="18">
        <f>IF(AND(Results!$R$6&gt;0,$E7-1&gt;=Results!$R$6*Calc!$F$26),"",IF(AND(Results!$I12&lt;&gt;"",Results!$K12&lt;&gt;"",Results!$F12&lt;&gt;Results!$H12,$F7&lt;&gt;"",$G7&lt;&gt;""),Results!$K12,""))</f>
        <v>3</v>
      </c>
      <c r="J7" s="17" t="str">
        <f>IF(Plan!$I10=0,F7&amp;G7,"")</f>
        <v>SC FreiburgFC Augsburg</v>
      </c>
      <c r="K7" s="7">
        <f t="shared" si="0"/>
        <v>1</v>
      </c>
      <c r="L7" s="7" t="str">
        <f>IF(AND(K7&gt;0,Plan!$I10=0),H7&amp;Language!$E$65&amp;I7,"")</f>
        <v>1 : 3</v>
      </c>
      <c r="M7" s="2" t="str">
        <f>IF(Plan!$I10=1,F7&amp;G7,"")</f>
        <v/>
      </c>
      <c r="N7" s="93" t="str">
        <f>IF(AND(K7&gt;0,Plan!$I10=1),H7&amp;Language!$E$65&amp;I7,"")</f>
        <v/>
      </c>
      <c r="O7" s="379">
        <f>IF($H7="",0,Results!$L12)</f>
        <v>0</v>
      </c>
      <c r="P7" s="380">
        <f>IF($I7="",0,Results!$M12)</f>
        <v>0</v>
      </c>
    </row>
    <row r="8" spans="2:16" x14ac:dyDescent="0.2">
      <c r="B8" s="25" t="s">
        <v>9</v>
      </c>
      <c r="C8" s="29" t="str">
        <f>IF(Plan!$D11="","",Plan!$D11)</f>
        <v>Bayer 04 Leverkusen</v>
      </c>
      <c r="D8" s="2"/>
      <c r="E8" s="298">
        <v>5</v>
      </c>
      <c r="F8" s="190" t="str">
        <f>Plan!$Q11</f>
        <v>Bayer 04 Leverkusen</v>
      </c>
      <c r="G8" s="191" t="str">
        <f>Plan!$S11</f>
        <v>TSG Hoffenheim</v>
      </c>
      <c r="H8" s="134">
        <f>IF(AND(Results!$R$6&gt;0,$E8-1&gt;=Results!$R$6*Calc!$F$26),"",IF(AND(Results!$I13&lt;&gt;"",Results!$K13&lt;&gt;"",Results!$F13&lt;&gt;Results!$H13,$F8&lt;&gt;"",$G8&lt;&gt;""),Results!$I13,""))</f>
        <v>1</v>
      </c>
      <c r="I8" s="18">
        <f>IF(AND(Results!$R$6&gt;0,$E8-1&gt;=Results!$R$6*Calc!$F$26),"",IF(AND(Results!$I13&lt;&gt;"",Results!$K13&lt;&gt;"",Results!$F13&lt;&gt;Results!$H13,$F8&lt;&gt;"",$G8&lt;&gt;""),Results!$K13,""))</f>
        <v>2</v>
      </c>
      <c r="J8" s="17" t="str">
        <f>IF(Plan!$I11=0,F8&amp;G8,"")</f>
        <v>Bayer 04 LeverkusenTSG Hoffenheim</v>
      </c>
      <c r="K8" s="7">
        <f t="shared" si="0"/>
        <v>1</v>
      </c>
      <c r="L8" s="7" t="str">
        <f>IF(AND(K8&gt;0,Plan!$I11=0),H8&amp;Language!$E$65&amp;I8,"")</f>
        <v>1 : 2</v>
      </c>
      <c r="M8" s="2" t="str">
        <f>IF(Plan!$I11=1,F8&amp;G8,"")</f>
        <v/>
      </c>
      <c r="N8" s="93" t="str">
        <f>IF(AND(K8&gt;0,Plan!$I11=1),H8&amp;Language!$E$65&amp;I8,"")</f>
        <v/>
      </c>
      <c r="O8" s="379">
        <f>IF($H8="",0,Results!$L13)</f>
        <v>0</v>
      </c>
      <c r="P8" s="380">
        <f>IF($I8="",0,Results!$M13)</f>
        <v>0</v>
      </c>
    </row>
    <row r="9" spans="2:16" x14ac:dyDescent="0.2">
      <c r="B9" s="25" t="s">
        <v>10</v>
      </c>
      <c r="C9" s="29" t="str">
        <f>IF(Plan!$D12="","",Plan!$D12)</f>
        <v>Borussia Dortmund</v>
      </c>
      <c r="D9" s="2"/>
      <c r="E9" s="298">
        <v>6</v>
      </c>
      <c r="F9" s="190" t="str">
        <f>Plan!$Q12</f>
        <v>Eintracht Frankfurt</v>
      </c>
      <c r="G9" s="191" t="str">
        <f>Plan!$S12</f>
        <v>SV Werder Bremen</v>
      </c>
      <c r="H9" s="134">
        <f>IF(AND(Results!$R$6&gt;0,$E9-1&gt;=Results!$R$6*Calc!$F$26),"",IF(AND(Results!$I14&lt;&gt;"",Results!$K14&lt;&gt;"",Results!$F14&lt;&gt;Results!$H14,$F9&lt;&gt;"",$G9&lt;&gt;""),Results!$I14,""))</f>
        <v>4</v>
      </c>
      <c r="I9" s="18">
        <f>IF(AND(Results!$R$6&gt;0,$E9-1&gt;=Results!$R$6*Calc!$F$26),"",IF(AND(Results!$I14&lt;&gt;"",Results!$K14&lt;&gt;"",Results!$F14&lt;&gt;Results!$H14,$F9&lt;&gt;"",$G9&lt;&gt;""),Results!$K14,""))</f>
        <v>1</v>
      </c>
      <c r="J9" s="17" t="str">
        <f>IF(Plan!$I12=0,F9&amp;G9,"")</f>
        <v>Eintracht FrankfurtSV Werder Bremen</v>
      </c>
      <c r="K9" s="7">
        <f t="shared" si="0"/>
        <v>1</v>
      </c>
      <c r="L9" s="7" t="str">
        <f>IF(AND(K9&gt;0,Plan!$I12=0),H9&amp;Language!$E$65&amp;I9,"")</f>
        <v>4 : 1</v>
      </c>
      <c r="M9" s="2" t="str">
        <f>IF(Plan!$I12=1,F9&amp;G9,"")</f>
        <v/>
      </c>
      <c r="N9" s="93" t="str">
        <f>IF(AND(K9&gt;0,Plan!$I12=1),H9&amp;Language!$E$65&amp;I9,"")</f>
        <v/>
      </c>
      <c r="O9" s="379">
        <f>IF($H9="",0,Results!$L14)</f>
        <v>0</v>
      </c>
      <c r="P9" s="380">
        <f>IF($I9="",0,Results!$M14)</f>
        <v>0</v>
      </c>
    </row>
    <row r="10" spans="2:16" x14ac:dyDescent="0.2">
      <c r="B10" s="25" t="s">
        <v>13</v>
      </c>
      <c r="C10" s="29" t="str">
        <f>IF(Plan!$D13="","",Plan!$D13)</f>
        <v>Borussia Mönchengladbach</v>
      </c>
      <c r="D10" s="2"/>
      <c r="E10" s="298">
        <v>7</v>
      </c>
      <c r="F10" s="190" t="str">
        <f>Plan!$Q13</f>
        <v>FC St. Pauli</v>
      </c>
      <c r="G10" s="191" t="str">
        <f>Plan!$S13</f>
        <v>Borussia Dortmund</v>
      </c>
      <c r="H10" s="134">
        <f>IF(AND(Results!$R$6&gt;0,$E10-1&gt;=Results!$R$6*Calc!$F$26),"",IF(AND(Results!$I15&lt;&gt;"",Results!$K15&lt;&gt;"",Results!$F15&lt;&gt;Results!$H15,$F10&lt;&gt;"",$G10&lt;&gt;""),Results!$I15,""))</f>
        <v>3</v>
      </c>
      <c r="I10" s="18">
        <f>IF(AND(Results!$R$6&gt;0,$E10-1&gt;=Results!$R$6*Calc!$F$26),"",IF(AND(Results!$I15&lt;&gt;"",Results!$K15&lt;&gt;"",Results!$F15&lt;&gt;Results!$H15,$F10&lt;&gt;"",$G10&lt;&gt;""),Results!$K15,""))</f>
        <v>3</v>
      </c>
      <c r="J10" s="17" t="str">
        <f>IF(Plan!$I13=0,F10&amp;G10,"")</f>
        <v>FC St. PauliBorussia Dortmund</v>
      </c>
      <c r="K10" s="7">
        <f t="shared" si="0"/>
        <v>1</v>
      </c>
      <c r="L10" s="7" t="str">
        <f>IF(AND(K10&gt;0,Plan!$I13=0),H10&amp;Language!$E$65&amp;I10,"")</f>
        <v>3 : 3</v>
      </c>
      <c r="M10" s="2" t="str">
        <f>IF(Plan!$I13=1,F10&amp;G10,"")</f>
        <v/>
      </c>
      <c r="N10" s="93" t="str">
        <f>IF(AND(K10&gt;0,Plan!$I13=1),H10&amp;Language!$E$65&amp;I10,"")</f>
        <v/>
      </c>
      <c r="O10" s="379">
        <f>IF($H10="",0,Results!$L15)</f>
        <v>0</v>
      </c>
      <c r="P10" s="380">
        <f>IF($I10="",0,Results!$M15)</f>
        <v>0</v>
      </c>
    </row>
    <row r="11" spans="2:16" x14ac:dyDescent="0.2">
      <c r="B11" s="25" t="s">
        <v>14</v>
      </c>
      <c r="C11" s="29" t="str">
        <f>IF(Plan!$D14="","",Plan!$D14)</f>
        <v>Eintracht Frankfurt</v>
      </c>
      <c r="D11" s="2"/>
      <c r="E11" s="298">
        <v>8</v>
      </c>
      <c r="F11" s="190" t="str">
        <f>Plan!$Q14</f>
        <v>1. FSV Mainz 05</v>
      </c>
      <c r="G11" s="191" t="str">
        <f>Plan!$S14</f>
        <v>1. FC Köln</v>
      </c>
      <c r="H11" s="134">
        <f>IF(AND(Results!$R$6&gt;0,$E11-1&gt;=Results!$R$6*Calc!$F$26),"",IF(AND(Results!$I16&lt;&gt;"",Results!$K16&lt;&gt;"",Results!$F16&lt;&gt;Results!$H16,$F11&lt;&gt;"",$G11&lt;&gt;""),Results!$I16,""))</f>
        <v>0</v>
      </c>
      <c r="I11" s="18">
        <f>IF(AND(Results!$R$6&gt;0,$E11-1&gt;=Results!$R$6*Calc!$F$26),"",IF(AND(Results!$I16&lt;&gt;"",Results!$K16&lt;&gt;"",Results!$F16&lt;&gt;Results!$H16,$F11&lt;&gt;"",$G11&lt;&gt;""),Results!$K16,""))</f>
        <v>1</v>
      </c>
      <c r="J11" s="17" t="str">
        <f>IF(Plan!$I14=0,F11&amp;G11,"")</f>
        <v>1. FSV Mainz 051. FC Köln</v>
      </c>
      <c r="K11" s="7">
        <f t="shared" si="0"/>
        <v>1</v>
      </c>
      <c r="L11" s="7" t="str">
        <f>IF(AND(K11&gt;0,Plan!$I14=0),H11&amp;Language!$E$65&amp;I11,"")</f>
        <v>0 : 1</v>
      </c>
      <c r="M11" s="2" t="str">
        <f>IF(Plan!$I14=1,F11&amp;G11,"")</f>
        <v/>
      </c>
      <c r="N11" s="93" t="str">
        <f>IF(AND(K11&gt;0,Plan!$I14=1),H11&amp;Language!$E$65&amp;I11,"")</f>
        <v/>
      </c>
      <c r="O11" s="379">
        <f>IF($H11="",0,Results!$L16)</f>
        <v>0</v>
      </c>
      <c r="P11" s="380">
        <f>IF($I11="",0,Results!$M16)</f>
        <v>0</v>
      </c>
    </row>
    <row r="12" spans="2:16" x14ac:dyDescent="0.2">
      <c r="B12" s="25" t="s">
        <v>15</v>
      </c>
      <c r="C12" s="29" t="str">
        <f>IF(Plan!$D15="","",Plan!$D15)</f>
        <v>FC Augsburg</v>
      </c>
      <c r="D12" s="2"/>
      <c r="E12" s="298">
        <v>9</v>
      </c>
      <c r="F12" s="190" t="str">
        <f>Plan!$Q15</f>
        <v>Borussia Mönchengladbach</v>
      </c>
      <c r="G12" s="191" t="str">
        <f>Plan!$S15</f>
        <v>Hamburger SV</v>
      </c>
      <c r="H12" s="134">
        <f>IF(AND(Results!$R$6&gt;0,$E12-1&gt;=Results!$R$6*Calc!$F$26),"",IF(AND(Results!$I17&lt;&gt;"",Results!$K17&lt;&gt;"",Results!$F17&lt;&gt;Results!$H17,$F12&lt;&gt;"",$G12&lt;&gt;""),Results!$I17,""))</f>
        <v>0</v>
      </c>
      <c r="I12" s="18">
        <f>IF(AND(Results!$R$6&gt;0,$E12-1&gt;=Results!$R$6*Calc!$F$26),"",IF(AND(Results!$I17&lt;&gt;"",Results!$K17&lt;&gt;"",Results!$F17&lt;&gt;Results!$H17,$F12&lt;&gt;"",$G12&lt;&gt;""),Results!$K17,""))</f>
        <v>0</v>
      </c>
      <c r="J12" s="17" t="str">
        <f>IF(Plan!$I15=0,F12&amp;G12,"")</f>
        <v>Borussia MönchengladbachHamburger SV</v>
      </c>
      <c r="K12" s="7">
        <f t="shared" si="0"/>
        <v>1</v>
      </c>
      <c r="L12" s="7" t="str">
        <f>IF(AND(K12&gt;0,Plan!$I15=0),H12&amp;Language!$E$65&amp;I12,"")</f>
        <v>0 : 0</v>
      </c>
      <c r="M12" s="2" t="str">
        <f>IF(Plan!$I15=1,F12&amp;G12,"")</f>
        <v/>
      </c>
      <c r="N12" s="93" t="str">
        <f>IF(AND(K12&gt;0,Plan!$I15=1),H12&amp;Language!$E$65&amp;I12,"")</f>
        <v/>
      </c>
      <c r="O12" s="379">
        <f>IF($H12="",0,Results!$L17)</f>
        <v>0</v>
      </c>
      <c r="P12" s="380">
        <f>IF($I12="",0,Results!$M17)</f>
        <v>0</v>
      </c>
    </row>
    <row r="13" spans="2:16" x14ac:dyDescent="0.2">
      <c r="B13" s="25" t="s">
        <v>21</v>
      </c>
      <c r="C13" s="29" t="str">
        <f>IF(Plan!$D16="","",Plan!$D16)</f>
        <v>FC Bayern München</v>
      </c>
      <c r="D13" s="2"/>
      <c r="E13" s="298">
        <v>10</v>
      </c>
      <c r="F13" s="190" t="str">
        <f>Plan!$Q16</f>
        <v>Hamburger SV</v>
      </c>
      <c r="G13" s="191" t="str">
        <f>Plan!$S16</f>
        <v>FC St. Pauli</v>
      </c>
      <c r="H13" s="134">
        <f>IF(AND(Results!$R$6&gt;0,$E13-1&gt;=Results!$R$6*Calc!$F$26),"",IF(AND(Results!$I18&lt;&gt;"",Results!$K18&lt;&gt;"",Results!$F18&lt;&gt;Results!$H18,$F13&lt;&gt;"",$G13&lt;&gt;""),Results!$I18,""))</f>
        <v>0</v>
      </c>
      <c r="I13" s="18">
        <f>IF(AND(Results!$R$6&gt;0,$E13-1&gt;=Results!$R$6*Calc!$F$26),"",IF(AND(Results!$I18&lt;&gt;"",Results!$K18&lt;&gt;"",Results!$F18&lt;&gt;Results!$H18,$F13&lt;&gt;"",$G13&lt;&gt;""),Results!$K18,""))</f>
        <v>2</v>
      </c>
      <c r="J13" s="17" t="str">
        <f>IF(Plan!$I16=0,F13&amp;G13,"")</f>
        <v>Hamburger SVFC St. Pauli</v>
      </c>
      <c r="K13" s="7">
        <f t="shared" si="0"/>
        <v>1</v>
      </c>
      <c r="L13" s="7" t="str">
        <f>IF(AND(K13&gt;0,Plan!$I16=0),H13&amp;Language!$E$65&amp;I13,"")</f>
        <v>0 : 2</v>
      </c>
      <c r="M13" s="2" t="str">
        <f>IF(Plan!$I16=1,F13&amp;G13,"")</f>
        <v/>
      </c>
      <c r="N13" s="93" t="str">
        <f>IF(AND(K13&gt;0,Plan!$I16=1),H13&amp;Language!$E$65&amp;I13,"")</f>
        <v/>
      </c>
      <c r="O13" s="379">
        <f>IF($H13="",0,Results!$L18)</f>
        <v>0</v>
      </c>
      <c r="P13" s="380">
        <f>IF($I13="",0,Results!$M18)</f>
        <v>0</v>
      </c>
    </row>
    <row r="14" spans="2:16" x14ac:dyDescent="0.2">
      <c r="B14" s="25" t="s">
        <v>22</v>
      </c>
      <c r="C14" s="29" t="str">
        <f>IF(Plan!$D17="","",Plan!$D17)</f>
        <v>FC St. Pauli</v>
      </c>
      <c r="D14" s="2"/>
      <c r="E14" s="298">
        <v>11</v>
      </c>
      <c r="F14" s="190" t="str">
        <f>Plan!$Q17</f>
        <v>VfB Stuttgart</v>
      </c>
      <c r="G14" s="191" t="str">
        <f>Plan!$S17</f>
        <v>Borussia Mönchengladbach</v>
      </c>
      <c r="H14" s="134">
        <f>IF(AND(Results!$R$6&gt;0,$E14-1&gt;=Results!$R$6*Calc!$F$26),"",IF(AND(Results!$I19&lt;&gt;"",Results!$K19&lt;&gt;"",Results!$F19&lt;&gt;Results!$H19,$F14&lt;&gt;"",$G14&lt;&gt;""),Results!$I19,""))</f>
        <v>1</v>
      </c>
      <c r="I14" s="18">
        <f>IF(AND(Results!$R$6&gt;0,$E14-1&gt;=Results!$R$6*Calc!$F$26),"",IF(AND(Results!$I19&lt;&gt;"",Results!$K19&lt;&gt;"",Results!$F19&lt;&gt;Results!$H19,$F14&lt;&gt;"",$G14&lt;&gt;""),Results!$K19,""))</f>
        <v>0</v>
      </c>
      <c r="J14" s="17" t="str">
        <f>IF(Plan!$I17=0,F14&amp;G14,"")</f>
        <v>VfB StuttgartBorussia Mönchengladbach</v>
      </c>
      <c r="K14" s="7">
        <f t="shared" si="0"/>
        <v>1</v>
      </c>
      <c r="L14" s="7" t="str">
        <f>IF(AND(K14&gt;0,Plan!$I17=0),H14&amp;Language!$E$65&amp;I14,"")</f>
        <v>1 : 0</v>
      </c>
      <c r="M14" s="2" t="str">
        <f>IF(Plan!$I17=1,F14&amp;G14,"")</f>
        <v/>
      </c>
      <c r="N14" s="93" t="str">
        <f>IF(AND(K14&gt;0,Plan!$I17=1),H14&amp;Language!$E$65&amp;I14,"")</f>
        <v/>
      </c>
      <c r="O14" s="379">
        <f>IF($H14="",0,Results!$L19)</f>
        <v>0</v>
      </c>
      <c r="P14" s="380">
        <f>IF($I14="",0,Results!$M19)</f>
        <v>0</v>
      </c>
    </row>
    <row r="15" spans="2:16" x14ac:dyDescent="0.2">
      <c r="B15" s="25" t="s">
        <v>23</v>
      </c>
      <c r="C15" s="29" t="str">
        <f>IF(Plan!$D18="","",Plan!$D18)</f>
        <v>Hamburger SV</v>
      </c>
      <c r="D15" s="2"/>
      <c r="E15" s="298">
        <v>12</v>
      </c>
      <c r="F15" s="190" t="str">
        <f>Plan!$Q18</f>
        <v>TSG Hoffenheim</v>
      </c>
      <c r="G15" s="191" t="str">
        <f>Plan!$S18</f>
        <v>Eintracht Frankfurt</v>
      </c>
      <c r="H15" s="134">
        <f>IF(AND(Results!$R$6&gt;0,$E15-1&gt;=Results!$R$6*Calc!$F$26),"",IF(AND(Results!$I20&lt;&gt;"",Results!$K20&lt;&gt;"",Results!$F20&lt;&gt;Results!$H20,$F15&lt;&gt;"",$G15&lt;&gt;""),Results!$I20,""))</f>
        <v>1</v>
      </c>
      <c r="I15" s="18">
        <f>IF(AND(Results!$R$6&gt;0,$E15-1&gt;=Results!$R$6*Calc!$F$26),"",IF(AND(Results!$I20&lt;&gt;"",Results!$K20&lt;&gt;"",Results!$F20&lt;&gt;Results!$H20,$F15&lt;&gt;"",$G15&lt;&gt;""),Results!$K20,""))</f>
        <v>3</v>
      </c>
      <c r="J15" s="17" t="str">
        <f>IF(Plan!$I18=0,F15&amp;G15,"")</f>
        <v>TSG HoffenheimEintracht Frankfurt</v>
      </c>
      <c r="K15" s="7">
        <f t="shared" si="0"/>
        <v>1</v>
      </c>
      <c r="L15" s="7" t="str">
        <f>IF(AND(K15&gt;0,Plan!$I18=0),H15&amp;Language!$E$65&amp;I15,"")</f>
        <v>1 : 3</v>
      </c>
      <c r="M15" s="2" t="str">
        <f>IF(Plan!$I18=1,F15&amp;G15,"")</f>
        <v/>
      </c>
      <c r="N15" s="93" t="str">
        <f>IF(AND(K15&gt;0,Plan!$I18=1),H15&amp;Language!$E$65&amp;I15,"")</f>
        <v/>
      </c>
      <c r="O15" s="379">
        <f>IF($H15="",0,Results!$L20)</f>
        <v>0</v>
      </c>
      <c r="P15" s="380">
        <f>IF($I15="",0,Results!$M20)</f>
        <v>0</v>
      </c>
    </row>
    <row r="16" spans="2:16" x14ac:dyDescent="0.2">
      <c r="B16" s="25" t="s">
        <v>24</v>
      </c>
      <c r="C16" s="29" t="str">
        <f>IF(Plan!$D19="","",Plan!$D19)</f>
        <v>RB Leipzig</v>
      </c>
      <c r="D16" s="2"/>
      <c r="E16" s="298">
        <v>13</v>
      </c>
      <c r="F16" s="190" t="str">
        <f>Plan!$Q19</f>
        <v>RB Leipzig</v>
      </c>
      <c r="G16" s="191" t="str">
        <f>Plan!$S19</f>
        <v>1. FC Heidenheim 1846</v>
      </c>
      <c r="H16" s="134">
        <f>IF(AND(Results!$R$6&gt;0,$E16-1&gt;=Results!$R$6*Calc!$F$26),"",IF(AND(Results!$I21&lt;&gt;"",Results!$K21&lt;&gt;"",Results!$F21&lt;&gt;Results!$H21,$F16&lt;&gt;"",$G16&lt;&gt;""),Results!$I21,""))</f>
        <v>2</v>
      </c>
      <c r="I16" s="18">
        <f>IF(AND(Results!$R$6&gt;0,$E16-1&gt;=Results!$R$6*Calc!$F$26),"",IF(AND(Results!$I21&lt;&gt;"",Results!$K21&lt;&gt;"",Results!$F21&lt;&gt;Results!$H21,$F16&lt;&gt;"",$G16&lt;&gt;""),Results!$K21,""))</f>
        <v>0</v>
      </c>
      <c r="J16" s="17" t="str">
        <f>IF(Plan!$I19=0,F16&amp;G16,"")</f>
        <v>RB Leipzig1. FC Heidenheim 1846</v>
      </c>
      <c r="K16" s="7">
        <f t="shared" si="0"/>
        <v>1</v>
      </c>
      <c r="L16" s="7" t="str">
        <f>IF(AND(K16&gt;0,Plan!$I19=0),H16&amp;Language!$E$65&amp;I16,"")</f>
        <v>2 : 0</v>
      </c>
      <c r="M16" s="2" t="str">
        <f>IF(Plan!$I19=1,F16&amp;G16,"")</f>
        <v/>
      </c>
      <c r="N16" s="93" t="str">
        <f>IF(AND(K16&gt;0,Plan!$I19=1),H16&amp;Language!$E$65&amp;I16,"")</f>
        <v/>
      </c>
      <c r="O16" s="379">
        <f>IF($H16="",0,Results!$L21)</f>
        <v>0</v>
      </c>
      <c r="P16" s="380">
        <f>IF($I16="",0,Results!$M21)</f>
        <v>0</v>
      </c>
    </row>
    <row r="17" spans="2:16" x14ac:dyDescent="0.2">
      <c r="B17" s="25" t="s">
        <v>25</v>
      </c>
      <c r="C17" s="29" t="str">
        <f>IF(Plan!$D20="","",Plan!$D20)</f>
        <v>SC Freiburg</v>
      </c>
      <c r="D17" s="2"/>
      <c r="E17" s="298">
        <v>14</v>
      </c>
      <c r="F17" s="190" t="str">
        <f>Plan!$Q20</f>
        <v>SV Werder Bremen</v>
      </c>
      <c r="G17" s="191" t="str">
        <f>Plan!$S20</f>
        <v>Bayer 04 Leverkusen</v>
      </c>
      <c r="H17" s="134">
        <f>IF(AND(Results!$R$6&gt;0,$E17-1&gt;=Results!$R$6*Calc!$F$26),"",IF(AND(Results!$I22&lt;&gt;"",Results!$K22&lt;&gt;"",Results!$F22&lt;&gt;Results!$H22,$F17&lt;&gt;"",$G17&lt;&gt;""),Results!$I22,""))</f>
        <v>3</v>
      </c>
      <c r="I17" s="18">
        <f>IF(AND(Results!$R$6&gt;0,$E17-1&gt;=Results!$R$6*Calc!$F$26),"",IF(AND(Results!$I22&lt;&gt;"",Results!$K22&lt;&gt;"",Results!$F22&lt;&gt;Results!$H22,$F17&lt;&gt;"",$G17&lt;&gt;""),Results!$K22,""))</f>
        <v>3</v>
      </c>
      <c r="J17" s="17" t="str">
        <f>IF(Plan!$I20=0,F17&amp;G17,"")</f>
        <v>SV Werder BremenBayer 04 Leverkusen</v>
      </c>
      <c r="K17" s="7">
        <f t="shared" si="0"/>
        <v>1</v>
      </c>
      <c r="L17" s="7" t="str">
        <f>IF(AND(K17&gt;0,Plan!$I20=0),H17&amp;Language!$E$65&amp;I17,"")</f>
        <v>3 : 3</v>
      </c>
      <c r="M17" s="2" t="str">
        <f>IF(Plan!$I20=1,F17&amp;G17,"")</f>
        <v/>
      </c>
      <c r="N17" s="93" t="str">
        <f>IF(AND(K17&gt;0,Plan!$I20=1),H17&amp;Language!$E$65&amp;I17,"")</f>
        <v/>
      </c>
      <c r="O17" s="379">
        <f>IF($H17="",0,Results!$L22)</f>
        <v>0</v>
      </c>
      <c r="P17" s="380">
        <f>IF($I17="",0,Results!$M22)</f>
        <v>0</v>
      </c>
    </row>
    <row r="18" spans="2:16" x14ac:dyDescent="0.2">
      <c r="B18" s="25" t="s">
        <v>26</v>
      </c>
      <c r="C18" s="29" t="str">
        <f>IF(Plan!$D21="","",Plan!$D21)</f>
        <v>SV Werder Bremen</v>
      </c>
      <c r="D18" s="2"/>
      <c r="E18" s="298">
        <v>15</v>
      </c>
      <c r="F18" s="190" t="str">
        <f>Plan!$Q21</f>
        <v>FC Augsburg</v>
      </c>
      <c r="G18" s="191" t="str">
        <f>Plan!$S21</f>
        <v>FC Bayern München</v>
      </c>
      <c r="H18" s="134">
        <f>IF(AND(Results!$R$6&gt;0,$E18-1&gt;=Results!$R$6*Calc!$F$26),"",IF(AND(Results!$I23&lt;&gt;"",Results!$K23&lt;&gt;"",Results!$F23&lt;&gt;Results!$H23,$F18&lt;&gt;"",$G18&lt;&gt;""),Results!$I23,""))</f>
        <v>2</v>
      </c>
      <c r="I18" s="18">
        <f>IF(AND(Results!$R$6&gt;0,$E18-1&gt;=Results!$R$6*Calc!$F$26),"",IF(AND(Results!$I23&lt;&gt;"",Results!$K23&lt;&gt;"",Results!$F23&lt;&gt;Results!$H23,$F18&lt;&gt;"",$G18&lt;&gt;""),Results!$K23,""))</f>
        <v>3</v>
      </c>
      <c r="J18" s="17" t="str">
        <f>IF(Plan!$I21=0,F18&amp;G18,"")</f>
        <v>FC AugsburgFC Bayern München</v>
      </c>
      <c r="K18" s="7">
        <f t="shared" si="0"/>
        <v>1</v>
      </c>
      <c r="L18" s="7" t="str">
        <f>IF(AND(K18&gt;0,Plan!$I21=0),H18&amp;Language!$E$65&amp;I18,"")</f>
        <v>2 : 3</v>
      </c>
      <c r="M18" s="2" t="str">
        <f>IF(Plan!$I21=1,F18&amp;G18,"")</f>
        <v/>
      </c>
      <c r="N18" s="93" t="str">
        <f>IF(AND(K18&gt;0,Plan!$I21=1),H18&amp;Language!$E$65&amp;I18,"")</f>
        <v/>
      </c>
      <c r="O18" s="379">
        <f>IF($H18="",0,Results!$L23)</f>
        <v>0</v>
      </c>
      <c r="P18" s="380">
        <f>IF($I18="",0,Results!$M23)</f>
        <v>0</v>
      </c>
    </row>
    <row r="19" spans="2:16" x14ac:dyDescent="0.2">
      <c r="B19" s="25" t="s">
        <v>27</v>
      </c>
      <c r="C19" s="29" t="str">
        <f>IF(Plan!$D22="","",Plan!$D22)</f>
        <v>TSG Hoffenheim</v>
      </c>
      <c r="D19" s="2"/>
      <c r="E19" s="298">
        <v>16</v>
      </c>
      <c r="F19" s="190" t="str">
        <f>Plan!$Q22</f>
        <v>VfL Wolfsburg</v>
      </c>
      <c r="G19" s="191" t="str">
        <f>Plan!$S22</f>
        <v>1. FSV Mainz 05</v>
      </c>
      <c r="H19" s="134">
        <f>IF(AND(Results!$R$6&gt;0,$E19-1&gt;=Results!$R$6*Calc!$F$26),"",IF(AND(Results!$I24&lt;&gt;"",Results!$K24&lt;&gt;"",Results!$F24&lt;&gt;Results!$H24,$F19&lt;&gt;"",$G19&lt;&gt;""),Results!$I24,""))</f>
        <v>1</v>
      </c>
      <c r="I19" s="18">
        <f>IF(AND(Results!$R$6&gt;0,$E19-1&gt;=Results!$R$6*Calc!$F$26),"",IF(AND(Results!$I24&lt;&gt;"",Results!$K24&lt;&gt;"",Results!$F24&lt;&gt;Results!$H24,$F19&lt;&gt;"",$G19&lt;&gt;""),Results!$K24,""))</f>
        <v>1</v>
      </c>
      <c r="J19" s="17" t="str">
        <f>IF(Plan!$I22=0,F19&amp;G19,"")</f>
        <v>VfL Wolfsburg1. FSV Mainz 05</v>
      </c>
      <c r="K19" s="7">
        <f t="shared" si="0"/>
        <v>1</v>
      </c>
      <c r="L19" s="7" t="str">
        <f>IF(AND(K19&gt;0,Plan!$I22=0),H19&amp;Language!$E$65&amp;I19,"")</f>
        <v>1 : 1</v>
      </c>
      <c r="M19" s="2" t="str">
        <f>IF(Plan!$I22=1,F19&amp;G19,"")</f>
        <v/>
      </c>
      <c r="N19" s="93" t="str">
        <f>IF(AND(K19&gt;0,Plan!$I22=1),H19&amp;Language!$E$65&amp;I19,"")</f>
        <v/>
      </c>
      <c r="O19" s="379">
        <f>IF($H19="",0,Results!$L24)</f>
        <v>0</v>
      </c>
      <c r="P19" s="380">
        <f>IF($I19="",0,Results!$M24)</f>
        <v>0</v>
      </c>
    </row>
    <row r="20" spans="2:16" x14ac:dyDescent="0.2">
      <c r="B20" s="25" t="s">
        <v>28</v>
      </c>
      <c r="C20" s="29" t="str">
        <f>IF(Plan!$D23="","",Plan!$D23)</f>
        <v>VfB Stuttgart</v>
      </c>
      <c r="D20" s="2"/>
      <c r="E20" s="298">
        <v>17</v>
      </c>
      <c r="F20" s="190" t="str">
        <f>Plan!$Q23</f>
        <v>Borussia Dortmund</v>
      </c>
      <c r="G20" s="191" t="str">
        <f>Plan!$S23</f>
        <v>1. FC Union Berlin</v>
      </c>
      <c r="H20" s="134">
        <f>IF(AND(Results!$R$6&gt;0,$E20-1&gt;=Results!$R$6*Calc!$F$26),"",IF(AND(Results!$I25&lt;&gt;"",Results!$K25&lt;&gt;"",Results!$F25&lt;&gt;Results!$H25,$F20&lt;&gt;"",$G20&lt;&gt;""),Results!$I25,""))</f>
        <v>3</v>
      </c>
      <c r="I20" s="18">
        <f>IF(AND(Results!$R$6&gt;0,$E20-1&gt;=Results!$R$6*Calc!$F$26),"",IF(AND(Results!$I25&lt;&gt;"",Results!$K25&lt;&gt;"",Results!$F25&lt;&gt;Results!$H25,$F20&lt;&gt;"",$G20&lt;&gt;""),Results!$K25,""))</f>
        <v>0</v>
      </c>
      <c r="J20" s="17" t="str">
        <f>IF(Plan!$I23=0,F20&amp;G20,"")</f>
        <v>Borussia Dortmund1. FC Union Berlin</v>
      </c>
      <c r="K20" s="7">
        <f t="shared" si="0"/>
        <v>1</v>
      </c>
      <c r="L20" s="7" t="str">
        <f>IF(AND(K20&gt;0,Plan!$I23=0),H20&amp;Language!$E$65&amp;I20,"")</f>
        <v>3 : 0</v>
      </c>
      <c r="M20" s="2" t="str">
        <f>IF(Plan!$I23=1,F20&amp;G20,"")</f>
        <v/>
      </c>
      <c r="N20" s="93" t="str">
        <f>IF(AND(K20&gt;0,Plan!$I23=1),H20&amp;Language!$E$65&amp;I20,"")</f>
        <v/>
      </c>
      <c r="O20" s="379">
        <f>IF($H20="",0,Results!$L25)</f>
        <v>0</v>
      </c>
      <c r="P20" s="380">
        <f>IF($I20="",0,Results!$M25)</f>
        <v>0</v>
      </c>
    </row>
    <row r="21" spans="2:16" x14ac:dyDescent="0.2">
      <c r="B21" s="25" t="s">
        <v>29</v>
      </c>
      <c r="C21" s="29" t="str">
        <f>IF(Plan!$D24="","",Plan!$D24)</f>
        <v>VfL Wolfsburg</v>
      </c>
      <c r="D21" s="2"/>
      <c r="E21" s="298">
        <v>18</v>
      </c>
      <c r="F21" s="190" t="str">
        <f>Plan!$Q24</f>
        <v>1. FC Köln</v>
      </c>
      <c r="G21" s="191" t="str">
        <f>Plan!$S24</f>
        <v>SC Freiburg</v>
      </c>
      <c r="H21" s="134">
        <f>IF(AND(Results!$R$6&gt;0,$E21-1&gt;=Results!$R$6*Calc!$F$26),"",IF(AND(Results!$I26&lt;&gt;"",Results!$K26&lt;&gt;"",Results!$F26&lt;&gt;Results!$H26,$F21&lt;&gt;"",$G21&lt;&gt;""),Results!$I26,""))</f>
        <v>4</v>
      </c>
      <c r="I21" s="18">
        <f>IF(AND(Results!$R$6&gt;0,$E21-1&gt;=Results!$R$6*Calc!$F$26),"",IF(AND(Results!$I26&lt;&gt;"",Results!$K26&lt;&gt;"",Results!$F26&lt;&gt;Results!$H26,$F21&lt;&gt;"",$G21&lt;&gt;""),Results!$K26,""))</f>
        <v>1</v>
      </c>
      <c r="J21" s="17" t="str">
        <f>IF(Plan!$I24=0,F21&amp;G21,"")</f>
        <v>1. FC KölnSC Freiburg</v>
      </c>
      <c r="K21" s="7">
        <f t="shared" si="0"/>
        <v>1</v>
      </c>
      <c r="L21" s="7" t="str">
        <f>IF(AND(K21&gt;0,Plan!$I24=0),H21&amp;Language!$E$65&amp;I21,"")</f>
        <v>4 : 1</v>
      </c>
      <c r="M21" s="2" t="str">
        <f>IF(Plan!$I24=1,F21&amp;G21,"")</f>
        <v/>
      </c>
      <c r="N21" s="93" t="str">
        <f>IF(AND(K21&gt;0,Plan!$I24=1),H21&amp;Language!$E$65&amp;I21,"")</f>
        <v/>
      </c>
      <c r="O21" s="379">
        <f>IF($H21="",0,Results!$L26)</f>
        <v>0</v>
      </c>
      <c r="P21" s="380">
        <f>IF($I21="",0,Results!$M26)</f>
        <v>0</v>
      </c>
    </row>
    <row r="22" spans="2:16" x14ac:dyDescent="0.2">
      <c r="B22" s="25" t="s">
        <v>30</v>
      </c>
      <c r="C22" s="29" t="str">
        <f>IF(Plan!$D25="","",Plan!$D25)</f>
        <v/>
      </c>
      <c r="D22" s="2"/>
      <c r="E22" s="298">
        <v>19</v>
      </c>
      <c r="F22" s="190" t="str">
        <f>Plan!$Q25</f>
        <v>Bayer 04 Leverkusen</v>
      </c>
      <c r="G22" s="191" t="str">
        <f>Plan!$S25</f>
        <v>Eintracht Frankfurt</v>
      </c>
      <c r="H22" s="134">
        <f>IF(AND(Results!$R$6&gt;0,$E22-1&gt;=Results!$R$6*Calc!$F$26),"",IF(AND(Results!$I27&lt;&gt;"",Results!$K27&lt;&gt;"",Results!$F27&lt;&gt;Results!$H27,$F22&lt;&gt;"",$G22&lt;&gt;""),Results!$I27,""))</f>
        <v>3</v>
      </c>
      <c r="I22" s="18">
        <f>IF(AND(Results!$R$6&gt;0,$E22-1&gt;=Results!$R$6*Calc!$F$26),"",IF(AND(Results!$I27&lt;&gt;"",Results!$K27&lt;&gt;"",Results!$F27&lt;&gt;Results!$H27,$F22&lt;&gt;"",$G22&lt;&gt;""),Results!$K27,""))</f>
        <v>1</v>
      </c>
      <c r="J22" s="17" t="str">
        <f>IF(Plan!$I25=0,F22&amp;G22,"")</f>
        <v>Bayer 04 LeverkusenEintracht Frankfurt</v>
      </c>
      <c r="K22" s="7">
        <f t="shared" si="0"/>
        <v>1</v>
      </c>
      <c r="L22" s="7" t="str">
        <f>IF(AND(K22&gt;0,Plan!$I25=0),H22&amp;Language!$E$65&amp;I22,"")</f>
        <v>3 : 1</v>
      </c>
      <c r="M22" s="2" t="str">
        <f>IF(Plan!$I25=1,F22&amp;G22,"")</f>
        <v/>
      </c>
      <c r="N22" s="93" t="str">
        <f>IF(AND(K22&gt;0,Plan!$I25=1),H22&amp;Language!$E$65&amp;I22,"")</f>
        <v/>
      </c>
      <c r="O22" s="379">
        <f>IF($H22="",0,Results!$L27)</f>
        <v>0</v>
      </c>
      <c r="P22" s="380">
        <f>IF($I22="",0,Results!$M27)</f>
        <v>0</v>
      </c>
    </row>
    <row r="23" spans="2:16" ht="13.5" thickBot="1" x14ac:dyDescent="0.25">
      <c r="B23" s="185" t="s">
        <v>31</v>
      </c>
      <c r="C23" s="186" t="str">
        <f>IF(Plan!$D26="","",Plan!$D26)</f>
        <v/>
      </c>
      <c r="D23" s="2"/>
      <c r="E23" s="298">
        <v>20</v>
      </c>
      <c r="F23" s="190" t="str">
        <f>Plan!$Q26</f>
        <v>1. FC Union Berlin</v>
      </c>
      <c r="G23" s="191" t="str">
        <f>Plan!$S26</f>
        <v>TSG Hoffenheim</v>
      </c>
      <c r="H23" s="134">
        <f>IF(AND(Results!$R$6&gt;0,$E23-1&gt;=Results!$R$6*Calc!$F$26),"",IF(AND(Results!$I28&lt;&gt;"",Results!$K28&lt;&gt;"",Results!$F28&lt;&gt;Results!$H28,$F23&lt;&gt;"",$G23&lt;&gt;""),Results!$I28,""))</f>
        <v>2</v>
      </c>
      <c r="I23" s="18">
        <f>IF(AND(Results!$R$6&gt;0,$E23-1&gt;=Results!$R$6*Calc!$F$26),"",IF(AND(Results!$I28&lt;&gt;"",Results!$K28&lt;&gt;"",Results!$F28&lt;&gt;Results!$H28,$F23&lt;&gt;"",$G23&lt;&gt;""),Results!$K28,""))</f>
        <v>4</v>
      </c>
      <c r="J23" s="17" t="str">
        <f>IF(Plan!$I26=0,F23&amp;G23,"")</f>
        <v>1. FC Union BerlinTSG Hoffenheim</v>
      </c>
      <c r="K23" s="7">
        <f t="shared" si="0"/>
        <v>1</v>
      </c>
      <c r="L23" s="7" t="str">
        <f>IF(AND(K23&gt;0,Plan!$I26=0),H23&amp;Language!$E$65&amp;I23,"")</f>
        <v>2 : 4</v>
      </c>
      <c r="M23" s="2" t="str">
        <f>IF(Plan!$I26=1,F23&amp;G23,"")</f>
        <v/>
      </c>
      <c r="N23" s="93" t="str">
        <f>IF(AND(K23&gt;0,Plan!$I26=1),H23&amp;Language!$E$65&amp;I23,"")</f>
        <v/>
      </c>
      <c r="O23" s="379">
        <f>IF($H23="",0,Results!$L28)</f>
        <v>0</v>
      </c>
      <c r="P23" s="380">
        <f>IF($I23="",0,Results!$M28)</f>
        <v>0</v>
      </c>
    </row>
    <row r="24" spans="2:16" ht="13.5" thickTop="1" x14ac:dyDescent="0.2">
      <c r="B24" s="2"/>
      <c r="C24" s="2"/>
      <c r="D24" s="2"/>
      <c r="E24" s="298">
        <v>21</v>
      </c>
      <c r="F24" s="190" t="str">
        <f>Plan!$Q27</f>
        <v>1. FC Heidenheim 1846</v>
      </c>
      <c r="G24" s="191" t="str">
        <f>Plan!$S27</f>
        <v>Borussia Dortmund</v>
      </c>
      <c r="H24" s="134">
        <f>IF(AND(Results!$R$6&gt;0,$E24-1&gt;=Results!$R$6*Calc!$F$26),"",IF(AND(Results!$I29&lt;&gt;"",Results!$K29&lt;&gt;"",Results!$F29&lt;&gt;Results!$H29,$F24&lt;&gt;"",$G24&lt;&gt;""),Results!$I29,""))</f>
        <v>0</v>
      </c>
      <c r="I24" s="18">
        <f>IF(AND(Results!$R$6&gt;0,$E24-1&gt;=Results!$R$6*Calc!$F$26),"",IF(AND(Results!$I29&lt;&gt;"",Results!$K29&lt;&gt;"",Results!$F29&lt;&gt;Results!$H29,$F24&lt;&gt;"",$G24&lt;&gt;""),Results!$K29,""))</f>
        <v>2</v>
      </c>
      <c r="J24" s="17" t="str">
        <f>IF(Plan!$I27=0,F24&amp;G24,"")</f>
        <v>1. FC Heidenheim 1846Borussia Dortmund</v>
      </c>
      <c r="K24" s="7">
        <f t="shared" si="0"/>
        <v>1</v>
      </c>
      <c r="L24" s="7" t="str">
        <f>IF(AND(K24&gt;0,Plan!$I27=0),H24&amp;Language!$E$65&amp;I24,"")</f>
        <v>0 : 2</v>
      </c>
      <c r="M24" s="2" t="str">
        <f>IF(Plan!$I27=1,F24&amp;G24,"")</f>
        <v/>
      </c>
      <c r="N24" s="93" t="str">
        <f>IF(AND(K24&gt;0,Plan!$I27=1),H24&amp;Language!$E$65&amp;I24,"")</f>
        <v/>
      </c>
      <c r="O24" s="379">
        <f>IF($H24="",0,Results!$L29)</f>
        <v>0</v>
      </c>
      <c r="P24" s="380">
        <f>IF($I24="",0,Results!$M29)</f>
        <v>0</v>
      </c>
    </row>
    <row r="25" spans="2:16" x14ac:dyDescent="0.2">
      <c r="B25" s="2"/>
      <c r="C25" s="2"/>
      <c r="D25" s="2"/>
      <c r="E25" s="298">
        <v>22</v>
      </c>
      <c r="F25" s="190" t="str">
        <f>Plan!$Q28</f>
        <v>VfL Wolfsburg</v>
      </c>
      <c r="G25" s="191" t="str">
        <f>Plan!$S28</f>
        <v>1. FC Köln</v>
      </c>
      <c r="H25" s="134">
        <f>IF(AND(Results!$R$6&gt;0,$E25-1&gt;=Results!$R$6*Calc!$F$26),"",IF(AND(Results!$I30&lt;&gt;"",Results!$K30&lt;&gt;"",Results!$F30&lt;&gt;Results!$H30,$F25&lt;&gt;"",$G25&lt;&gt;""),Results!$I30,""))</f>
        <v>3</v>
      </c>
      <c r="I25" s="18">
        <f>IF(AND(Results!$R$6&gt;0,$E25-1&gt;=Results!$R$6*Calc!$F$26),"",IF(AND(Results!$I30&lt;&gt;"",Results!$K30&lt;&gt;"",Results!$F30&lt;&gt;Results!$H30,$F25&lt;&gt;"",$G25&lt;&gt;""),Results!$K30,""))</f>
        <v>3</v>
      </c>
      <c r="J25" s="17" t="str">
        <f>IF(Plan!$I28=0,F25&amp;G25,"")</f>
        <v>VfL Wolfsburg1. FC Köln</v>
      </c>
      <c r="K25" s="7">
        <f t="shared" si="0"/>
        <v>1</v>
      </c>
      <c r="L25" s="7" t="str">
        <f>IF(AND(K25&gt;0,Plan!$I28=0),H25&amp;Language!$E$65&amp;I25,"")</f>
        <v>3 : 3</v>
      </c>
      <c r="M25" s="2" t="str">
        <f>IF(Plan!$I28=1,F25&amp;G25,"")</f>
        <v/>
      </c>
      <c r="N25" s="93" t="str">
        <f>IF(AND(K25&gt;0,Plan!$I28=1),H25&amp;Language!$E$65&amp;I25,"")</f>
        <v/>
      </c>
      <c r="O25" s="379">
        <f>IF($H25="",0,Results!$L30)</f>
        <v>0</v>
      </c>
      <c r="P25" s="380">
        <f>IF($I25="",0,Results!$M30)</f>
        <v>0</v>
      </c>
    </row>
    <row r="26" spans="2:16" x14ac:dyDescent="0.2">
      <c r="B26" s="2"/>
      <c r="C26" s="2"/>
      <c r="D26" s="2"/>
      <c r="E26" s="298">
        <v>23</v>
      </c>
      <c r="F26" s="190" t="str">
        <f>Plan!$Q29</f>
        <v>SC Freiburg</v>
      </c>
      <c r="G26" s="191" t="str">
        <f>Plan!$S29</f>
        <v>VfB Stuttgart</v>
      </c>
      <c r="H26" s="134">
        <f>IF(AND(Results!$R$6&gt;0,$E26-1&gt;=Results!$R$6*Calc!$F$26),"",IF(AND(Results!$I31&lt;&gt;"",Results!$K31&lt;&gt;"",Results!$F31&lt;&gt;Results!$H31,$F26&lt;&gt;"",$G26&lt;&gt;""),Results!$I31,""))</f>
        <v>3</v>
      </c>
      <c r="I26" s="18">
        <f>IF(AND(Results!$R$6&gt;0,$E26-1&gt;=Results!$R$6*Calc!$F$26),"",IF(AND(Results!$I31&lt;&gt;"",Results!$K31&lt;&gt;"",Results!$F31&lt;&gt;Results!$H31,$F26&lt;&gt;"",$G26&lt;&gt;""),Results!$K31,""))</f>
        <v>1</v>
      </c>
      <c r="J26" s="17" t="str">
        <f>IF(Plan!$I29=0,F26&amp;G26,"")</f>
        <v>SC FreiburgVfB Stuttgart</v>
      </c>
      <c r="K26" s="7">
        <f t="shared" si="0"/>
        <v>1</v>
      </c>
      <c r="L26" s="7" t="str">
        <f>IF(AND(K26&gt;0,Plan!$I29=0),H26&amp;Language!$E$65&amp;I26,"")</f>
        <v>3 : 1</v>
      </c>
      <c r="M26" s="2" t="str">
        <f>IF(Plan!$I29=1,F26&amp;G26,"")</f>
        <v/>
      </c>
      <c r="N26" s="93" t="str">
        <f>IF(AND(K26&gt;0,Plan!$I29=1),H26&amp;Language!$E$65&amp;I26,"")</f>
        <v/>
      </c>
      <c r="O26" s="379">
        <f>IF($H26="",0,Results!$L31)</f>
        <v>0</v>
      </c>
      <c r="P26" s="380">
        <f>IF($I26="",0,Results!$M31)</f>
        <v>0</v>
      </c>
    </row>
    <row r="27" spans="2:16" x14ac:dyDescent="0.2">
      <c r="B27" s="2"/>
      <c r="C27" s="2"/>
      <c r="D27" s="2"/>
      <c r="E27" s="298">
        <v>24</v>
      </c>
      <c r="F27" s="190" t="str">
        <f>Plan!$Q30</f>
        <v>1. FSV Mainz 05</v>
      </c>
      <c r="G27" s="191" t="str">
        <f>Plan!$S30</f>
        <v>RB Leipzig</v>
      </c>
      <c r="H27" s="134">
        <f>IF(AND(Results!$R$6&gt;0,$E27-1&gt;=Results!$R$6*Calc!$F$26),"",IF(AND(Results!$I32&lt;&gt;"",Results!$K32&lt;&gt;"",Results!$F32&lt;&gt;Results!$H32,$F27&lt;&gt;"",$G27&lt;&gt;""),Results!$I32,""))</f>
        <v>0</v>
      </c>
      <c r="I27" s="18">
        <f>IF(AND(Results!$R$6&gt;0,$E27-1&gt;=Results!$R$6*Calc!$F$26),"",IF(AND(Results!$I32&lt;&gt;"",Results!$K32&lt;&gt;"",Results!$F32&lt;&gt;Results!$H32,$F27&lt;&gt;"",$G27&lt;&gt;""),Results!$K32,""))</f>
        <v>1</v>
      </c>
      <c r="J27" s="17" t="str">
        <f>IF(Plan!$I30=0,F27&amp;G27,"")</f>
        <v>1. FSV Mainz 05RB Leipzig</v>
      </c>
      <c r="K27" s="7">
        <f t="shared" si="0"/>
        <v>1</v>
      </c>
      <c r="L27" s="7" t="str">
        <f>IF(AND(K27&gt;0,Plan!$I30=0),H27&amp;Language!$E$65&amp;I27,"")</f>
        <v>0 : 1</v>
      </c>
      <c r="M27" s="2" t="str">
        <f>IF(Plan!$I30=1,F27&amp;G27,"")</f>
        <v/>
      </c>
      <c r="N27" s="93" t="str">
        <f>IF(AND(K27&gt;0,Plan!$I30=1),H27&amp;Language!$E$65&amp;I27,"")</f>
        <v/>
      </c>
      <c r="O27" s="379">
        <f>IF($H27="",0,Results!$L32)</f>
        <v>0</v>
      </c>
      <c r="P27" s="380">
        <f>IF($I27="",0,Results!$M32)</f>
        <v>0</v>
      </c>
    </row>
    <row r="28" spans="2:16" x14ac:dyDescent="0.2">
      <c r="B28" s="2"/>
      <c r="C28" s="2"/>
      <c r="D28" s="2"/>
      <c r="E28" s="298">
        <v>25</v>
      </c>
      <c r="F28" s="190" t="str">
        <f>Plan!$Q31</f>
        <v>FC Bayern München</v>
      </c>
      <c r="G28" s="191" t="str">
        <f>Plan!$S31</f>
        <v>Hamburger SV</v>
      </c>
      <c r="H28" s="134">
        <f>IF(AND(Results!$R$6&gt;0,$E28-1&gt;=Results!$R$6*Calc!$F$26),"",IF(AND(Results!$I33&lt;&gt;"",Results!$K33&lt;&gt;"",Results!$F33&lt;&gt;Results!$H33,$F28&lt;&gt;"",$G28&lt;&gt;""),Results!$I33,""))</f>
        <v>5</v>
      </c>
      <c r="I28" s="18">
        <f>IF(AND(Results!$R$6&gt;0,$E28-1&gt;=Results!$R$6*Calc!$F$26),"",IF(AND(Results!$I33&lt;&gt;"",Results!$K33&lt;&gt;"",Results!$F33&lt;&gt;Results!$H33,$F28&lt;&gt;"",$G28&lt;&gt;""),Results!$K33,""))</f>
        <v>0</v>
      </c>
      <c r="J28" s="17" t="str">
        <f>IF(Plan!$I31=0,F28&amp;G28,"")</f>
        <v>FC Bayern MünchenHamburger SV</v>
      </c>
      <c r="K28" s="7">
        <f t="shared" si="0"/>
        <v>1</v>
      </c>
      <c r="L28" s="7" t="str">
        <f>IF(AND(K28&gt;0,Plan!$I31=0),H28&amp;Language!$E$65&amp;I28,"")</f>
        <v>5 : 0</v>
      </c>
      <c r="M28" s="2" t="str">
        <f>IF(Plan!$I31=1,F28&amp;G28,"")</f>
        <v/>
      </c>
      <c r="N28" s="93" t="str">
        <f>IF(AND(K28&gt;0,Plan!$I31=1),H28&amp;Language!$E$65&amp;I28,"")</f>
        <v/>
      </c>
      <c r="O28" s="379">
        <f>IF($H28="",0,Results!$L33)</f>
        <v>0</v>
      </c>
      <c r="P28" s="380">
        <f>IF($I28="",0,Results!$M33)</f>
        <v>0</v>
      </c>
    </row>
    <row r="29" spans="2:16" x14ac:dyDescent="0.2">
      <c r="B29" s="2"/>
      <c r="C29" s="2"/>
      <c r="D29" s="2"/>
      <c r="E29" s="298">
        <v>26</v>
      </c>
      <c r="F29" s="190" t="str">
        <f>Plan!$Q32</f>
        <v>FC St. Pauli</v>
      </c>
      <c r="G29" s="191" t="str">
        <f>Plan!$S32</f>
        <v>FC Augsburg</v>
      </c>
      <c r="H29" s="134">
        <f>IF(AND(Results!$R$6&gt;0,$E29-1&gt;=Results!$R$6*Calc!$F$26),"",IF(AND(Results!$I34&lt;&gt;"",Results!$K34&lt;&gt;"",Results!$F34&lt;&gt;Results!$H34,$F29&lt;&gt;"",$G29&lt;&gt;""),Results!$I34,""))</f>
        <v>2</v>
      </c>
      <c r="I29" s="18">
        <f>IF(AND(Results!$R$6&gt;0,$E29-1&gt;=Results!$R$6*Calc!$F$26),"",IF(AND(Results!$I34&lt;&gt;"",Results!$K34&lt;&gt;"",Results!$F34&lt;&gt;Results!$H34,$F29&lt;&gt;"",$G29&lt;&gt;""),Results!$K34,""))</f>
        <v>1</v>
      </c>
      <c r="J29" s="17" t="str">
        <f>IF(Plan!$I32=0,F29&amp;G29,"")</f>
        <v>FC St. PauliFC Augsburg</v>
      </c>
      <c r="K29" s="7">
        <f t="shared" si="0"/>
        <v>1</v>
      </c>
      <c r="L29" s="7" t="str">
        <f>IF(AND(K29&gt;0,Plan!$I32=0),H29&amp;Language!$E$65&amp;I29,"")</f>
        <v>2 : 1</v>
      </c>
      <c r="M29" s="2" t="str">
        <f>IF(Plan!$I32=1,F29&amp;G29,"")</f>
        <v/>
      </c>
      <c r="N29" s="93" t="str">
        <f>IF(AND(K29&gt;0,Plan!$I32=1),H29&amp;Language!$E$65&amp;I29,"")</f>
        <v/>
      </c>
      <c r="O29" s="379">
        <f>IF($H29="",0,Results!$L34)</f>
        <v>0</v>
      </c>
      <c r="P29" s="380">
        <f>IF($I29="",0,Results!$M34)</f>
        <v>0</v>
      </c>
    </row>
    <row r="30" spans="2:16" x14ac:dyDescent="0.2">
      <c r="B30" s="2"/>
      <c r="C30" s="2"/>
      <c r="D30" s="2"/>
      <c r="E30" s="298">
        <v>27</v>
      </c>
      <c r="F30" s="190" t="str">
        <f>Plan!$Q33</f>
        <v>Borussia Mönchengladbach</v>
      </c>
      <c r="G30" s="191" t="str">
        <f>Plan!$S33</f>
        <v>SV Werder Bremen</v>
      </c>
      <c r="H30" s="134">
        <f>IF(AND(Results!$R$6&gt;0,$E30-1&gt;=Results!$R$6*Calc!$F$26),"",IF(AND(Results!$I35&lt;&gt;"",Results!$K35&lt;&gt;"",Results!$F35&lt;&gt;Results!$H35,$F30&lt;&gt;"",$G30&lt;&gt;""),Results!$I35,""))</f>
        <v>0</v>
      </c>
      <c r="I30" s="18">
        <f>IF(AND(Results!$R$6&gt;0,$E30-1&gt;=Results!$R$6*Calc!$F$26),"",IF(AND(Results!$I35&lt;&gt;"",Results!$K35&lt;&gt;"",Results!$F35&lt;&gt;Results!$H35,$F30&lt;&gt;"",$G30&lt;&gt;""),Results!$K35,""))</f>
        <v>4</v>
      </c>
      <c r="J30" s="17" t="str">
        <f>IF(Plan!$I33=0,F30&amp;G30,"")</f>
        <v>Borussia MönchengladbachSV Werder Bremen</v>
      </c>
      <c r="K30" s="7">
        <f t="shared" si="0"/>
        <v>1</v>
      </c>
      <c r="L30" s="7" t="str">
        <f>IF(AND(K30&gt;0,Plan!$I33=0),H30&amp;Language!$E$65&amp;I30,"")</f>
        <v>0 : 4</v>
      </c>
      <c r="M30" s="2" t="str">
        <f>IF(Plan!$I33=1,F30&amp;G30,"")</f>
        <v/>
      </c>
      <c r="N30" s="93" t="str">
        <f>IF(AND(K30&gt;0,Plan!$I33=1),H30&amp;Language!$E$65&amp;I30,"")</f>
        <v/>
      </c>
      <c r="O30" s="379">
        <f>IF($H30="",0,Results!$L35)</f>
        <v>0</v>
      </c>
      <c r="P30" s="380">
        <f>IF($I30="",0,Results!$M35)</f>
        <v>0</v>
      </c>
    </row>
    <row r="31" spans="2:16" x14ac:dyDescent="0.2">
      <c r="B31" s="2"/>
      <c r="C31" s="2"/>
      <c r="D31" s="2"/>
      <c r="E31" s="298">
        <v>28</v>
      </c>
      <c r="F31" s="190" t="str">
        <f>Plan!$Q34</f>
        <v>VfB Stuttgart</v>
      </c>
      <c r="G31" s="191" t="str">
        <f>Plan!$S34</f>
        <v>FC St. Pauli</v>
      </c>
      <c r="H31" s="134">
        <f>IF(AND(Results!$R$6&gt;0,$E31-1&gt;=Results!$R$6*Calc!$F$26),"",IF(AND(Results!$I36&lt;&gt;"",Results!$K36&lt;&gt;"",Results!$F36&lt;&gt;Results!$H36,$F31&lt;&gt;"",$G31&lt;&gt;""),Results!$I36,""))</f>
        <v>2</v>
      </c>
      <c r="I31" s="18">
        <f>IF(AND(Results!$R$6&gt;0,$E31-1&gt;=Results!$R$6*Calc!$F$26),"",IF(AND(Results!$I36&lt;&gt;"",Results!$K36&lt;&gt;"",Results!$F36&lt;&gt;Results!$H36,$F31&lt;&gt;"",$G31&lt;&gt;""),Results!$K36,""))</f>
        <v>0</v>
      </c>
      <c r="J31" s="17" t="str">
        <f>IF(Plan!$I34=0,F31&amp;G31,"")</f>
        <v>VfB StuttgartFC St. Pauli</v>
      </c>
      <c r="K31" s="7">
        <f t="shared" si="0"/>
        <v>1</v>
      </c>
      <c r="L31" s="7" t="str">
        <f>IF(AND(K31&gt;0,Plan!$I34=0),H31&amp;Language!$E$65&amp;I31,"")</f>
        <v>2 : 0</v>
      </c>
      <c r="M31" s="2" t="str">
        <f>IF(Plan!$I34=1,F31&amp;G31,"")</f>
        <v/>
      </c>
      <c r="N31" s="93" t="str">
        <f>IF(AND(K31&gt;0,Plan!$I34=1),H31&amp;Language!$E$65&amp;I31,"")</f>
        <v/>
      </c>
      <c r="O31" s="379">
        <f>IF($H31="",0,Results!$L36)</f>
        <v>0</v>
      </c>
      <c r="P31" s="380">
        <f>IF($I31="",0,Results!$M36)</f>
        <v>0</v>
      </c>
    </row>
    <row r="32" spans="2:16" x14ac:dyDescent="0.2">
      <c r="B32" s="2"/>
      <c r="C32" s="2"/>
      <c r="D32" s="2"/>
      <c r="E32" s="298">
        <v>29</v>
      </c>
      <c r="F32" s="190" t="str">
        <f>Plan!$Q35</f>
        <v>TSG Hoffenheim</v>
      </c>
      <c r="G32" s="191" t="str">
        <f>Plan!$S35</f>
        <v>FC Bayern München</v>
      </c>
      <c r="H32" s="134">
        <f>IF(AND(Results!$R$6&gt;0,$E32-1&gt;=Results!$R$6*Calc!$F$26),"",IF(AND(Results!$I37&lt;&gt;"",Results!$K37&lt;&gt;"",Results!$F37&lt;&gt;Results!$H37,$F32&lt;&gt;"",$G32&lt;&gt;""),Results!$I37,""))</f>
        <v>1</v>
      </c>
      <c r="I32" s="18">
        <f>IF(AND(Results!$R$6&gt;0,$E32-1&gt;=Results!$R$6*Calc!$F$26),"",IF(AND(Results!$I37&lt;&gt;"",Results!$K37&lt;&gt;"",Results!$F37&lt;&gt;Results!$H37,$F32&lt;&gt;"",$G32&lt;&gt;""),Results!$K37,""))</f>
        <v>4</v>
      </c>
      <c r="J32" s="17" t="str">
        <f>IF(Plan!$I35=0,F32&amp;G32,"")</f>
        <v>TSG HoffenheimFC Bayern München</v>
      </c>
      <c r="K32" s="7">
        <f t="shared" si="0"/>
        <v>1</v>
      </c>
      <c r="L32" s="7" t="str">
        <f>IF(AND(K32&gt;0,Plan!$I35=0),H32&amp;Language!$E$65&amp;I32,"")</f>
        <v>1 : 4</v>
      </c>
      <c r="M32" s="2" t="str">
        <f>IF(Plan!$I35=1,F32&amp;G32,"")</f>
        <v/>
      </c>
      <c r="N32" s="93" t="str">
        <f>IF(AND(K32&gt;0,Plan!$I35=1),H32&amp;Language!$E$65&amp;I32,"")</f>
        <v/>
      </c>
      <c r="O32" s="379">
        <f>IF($H32="",0,Results!$L37)</f>
        <v>0</v>
      </c>
      <c r="P32" s="380">
        <f>IF($I32="",0,Results!$M37)</f>
        <v>0</v>
      </c>
    </row>
    <row r="33" spans="2:16" x14ac:dyDescent="0.2">
      <c r="B33" s="2"/>
      <c r="C33" s="2"/>
      <c r="D33" s="2"/>
      <c r="E33" s="298">
        <v>30</v>
      </c>
      <c r="F33" s="190" t="str">
        <f>Plan!$Q36</f>
        <v>Hamburger SV</v>
      </c>
      <c r="G33" s="191" t="str">
        <f>Plan!$S36</f>
        <v>1. FC Heidenheim 1846</v>
      </c>
      <c r="H33" s="134">
        <f>IF(AND(Results!$R$6&gt;0,$E33-1&gt;=Results!$R$6*Calc!$F$26),"",IF(AND(Results!$I38&lt;&gt;"",Results!$K38&lt;&gt;"",Results!$F38&lt;&gt;Results!$H38,$F33&lt;&gt;"",$G33&lt;&gt;""),Results!$I38,""))</f>
        <v>2</v>
      </c>
      <c r="I33" s="18">
        <f>IF(AND(Results!$R$6&gt;0,$E33-1&gt;=Results!$R$6*Calc!$F$26),"",IF(AND(Results!$I38&lt;&gt;"",Results!$K38&lt;&gt;"",Results!$F38&lt;&gt;Results!$H38,$F33&lt;&gt;"",$G33&lt;&gt;""),Results!$K38,""))</f>
        <v>1</v>
      </c>
      <c r="J33" s="17" t="str">
        <f>IF(Plan!$I36=0,F33&amp;G33,"")</f>
        <v>Hamburger SV1. FC Heidenheim 1846</v>
      </c>
      <c r="K33" s="7">
        <f t="shared" si="0"/>
        <v>1</v>
      </c>
      <c r="L33" s="7" t="str">
        <f>IF(AND(K33&gt;0,Plan!$I36=0),H33&amp;Language!$E$65&amp;I33,"")</f>
        <v>2 : 1</v>
      </c>
      <c r="M33" s="2" t="str">
        <f>IF(Plan!$I36=1,F33&amp;G33,"")</f>
        <v/>
      </c>
      <c r="N33" s="93" t="str">
        <f>IF(AND(K33&gt;0,Plan!$I36=1),H33&amp;Language!$E$65&amp;I33,"")</f>
        <v/>
      </c>
      <c r="O33" s="379">
        <f>IF($H33="",0,Results!$L38)</f>
        <v>0</v>
      </c>
      <c r="P33" s="380">
        <f>IF($I33="",0,Results!$M38)</f>
        <v>0</v>
      </c>
    </row>
    <row r="34" spans="2:16" x14ac:dyDescent="0.2">
      <c r="B34" s="2"/>
      <c r="C34" s="2"/>
      <c r="D34" s="2"/>
      <c r="E34" s="298">
        <v>31</v>
      </c>
      <c r="F34" s="190" t="str">
        <f>Plan!$Q37</f>
        <v>SV Werder Bremen</v>
      </c>
      <c r="G34" s="191" t="str">
        <f>Plan!$S37</f>
        <v>SC Freiburg</v>
      </c>
      <c r="H34" s="134">
        <f>IF(AND(Results!$R$6&gt;0,$E34-1&gt;=Results!$R$6*Calc!$F$26),"",IF(AND(Results!$I39&lt;&gt;"",Results!$K39&lt;&gt;"",Results!$F39&lt;&gt;Results!$H39,$F34&lt;&gt;"",$G34&lt;&gt;""),Results!$I39,""))</f>
        <v>0</v>
      </c>
      <c r="I34" s="18">
        <f>IF(AND(Results!$R$6&gt;0,$E34-1&gt;=Results!$R$6*Calc!$F$26),"",IF(AND(Results!$I39&lt;&gt;"",Results!$K39&lt;&gt;"",Results!$F39&lt;&gt;Results!$H39,$F34&lt;&gt;"",$G34&lt;&gt;""),Results!$K39,""))</f>
        <v>3</v>
      </c>
      <c r="J34" s="17" t="str">
        <f>IF(Plan!$I37=0,F34&amp;G34,"")</f>
        <v>SV Werder BremenSC Freiburg</v>
      </c>
      <c r="K34" s="7">
        <f t="shared" si="0"/>
        <v>1</v>
      </c>
      <c r="L34" s="7" t="str">
        <f>IF(AND(K34&gt;0,Plan!$I37=0),H34&amp;Language!$E$65&amp;I34,"")</f>
        <v>0 : 3</v>
      </c>
      <c r="M34" s="2" t="str">
        <f>IF(Plan!$I37=1,F34&amp;G34,"")</f>
        <v/>
      </c>
      <c r="N34" s="93" t="str">
        <f>IF(AND(K34&gt;0,Plan!$I37=1),H34&amp;Language!$E$65&amp;I34,"")</f>
        <v/>
      </c>
      <c r="O34" s="379">
        <f>IF($H34="",0,Results!$L39)</f>
        <v>0</v>
      </c>
      <c r="P34" s="380">
        <f>IF($I34="",0,Results!$M39)</f>
        <v>0</v>
      </c>
    </row>
    <row r="35" spans="2:16" x14ac:dyDescent="0.2">
      <c r="B35" s="2"/>
      <c r="C35" s="2"/>
      <c r="D35" s="2"/>
      <c r="E35" s="298">
        <v>32</v>
      </c>
      <c r="F35" s="190" t="str">
        <f>Plan!$Q38</f>
        <v>FC Augsburg</v>
      </c>
      <c r="G35" s="191" t="str">
        <f>Plan!$S38</f>
        <v>1. FSV Mainz 05</v>
      </c>
      <c r="H35" s="134">
        <f>IF(AND(Results!$R$6&gt;0,$E35-1&gt;=Results!$R$6*Calc!$F$26),"",IF(AND(Results!$I40&lt;&gt;"",Results!$K40&lt;&gt;"",Results!$F40&lt;&gt;Results!$H40,$F35&lt;&gt;"",$G35&lt;&gt;""),Results!$I40,""))</f>
        <v>1</v>
      </c>
      <c r="I35" s="18">
        <f>IF(AND(Results!$R$6&gt;0,$E35-1&gt;=Results!$R$6*Calc!$F$26),"",IF(AND(Results!$I40&lt;&gt;"",Results!$K40&lt;&gt;"",Results!$F40&lt;&gt;Results!$H40,$F35&lt;&gt;"",$G35&lt;&gt;""),Results!$K40,""))</f>
        <v>4</v>
      </c>
      <c r="J35" s="17" t="str">
        <f>IF(Plan!$I38=0,F35&amp;G35,"")</f>
        <v>FC Augsburg1. FSV Mainz 05</v>
      </c>
      <c r="K35" s="7">
        <f t="shared" si="0"/>
        <v>1</v>
      </c>
      <c r="L35" s="7" t="str">
        <f>IF(AND(K35&gt;0,Plan!$I38=0),H35&amp;Language!$E$65&amp;I35,"")</f>
        <v>1 : 4</v>
      </c>
      <c r="M35" s="2" t="str">
        <f>IF(Plan!$I38=1,F35&amp;G35,"")</f>
        <v/>
      </c>
      <c r="N35" s="93" t="str">
        <f>IF(AND(K35&gt;0,Plan!$I38=1),H35&amp;Language!$E$65&amp;I35,"")</f>
        <v/>
      </c>
      <c r="O35" s="379">
        <f>IF($H35="",0,Results!$L40)</f>
        <v>0</v>
      </c>
      <c r="P35" s="380">
        <f>IF($I35="",0,Results!$M40)</f>
        <v>0</v>
      </c>
    </row>
    <row r="36" spans="2:16" x14ac:dyDescent="0.2">
      <c r="B36" s="2"/>
      <c r="C36" s="2"/>
      <c r="D36" s="2"/>
      <c r="E36" s="298">
        <v>33</v>
      </c>
      <c r="F36" s="190" t="str">
        <f>Plan!$Q39</f>
        <v>RB Leipzig</v>
      </c>
      <c r="G36" s="191" t="str">
        <f>Plan!$S39</f>
        <v>1. FC Köln</v>
      </c>
      <c r="H36" s="134">
        <f>IF(AND(Results!$R$6&gt;0,$E36-1&gt;=Results!$R$6*Calc!$F$26),"",IF(AND(Results!$I41&lt;&gt;"",Results!$K41&lt;&gt;"",Results!$F41&lt;&gt;Results!$H41,$F36&lt;&gt;"",$G36&lt;&gt;""),Results!$I41,""))</f>
        <v>3</v>
      </c>
      <c r="I36" s="18">
        <f>IF(AND(Results!$R$6&gt;0,$E36-1&gt;=Results!$R$6*Calc!$F$26),"",IF(AND(Results!$I41&lt;&gt;"",Results!$K41&lt;&gt;"",Results!$F41&lt;&gt;Results!$H41,$F36&lt;&gt;"",$G36&lt;&gt;""),Results!$K41,""))</f>
        <v>1</v>
      </c>
      <c r="J36" s="17" t="str">
        <f>IF(Plan!$I39=0,F36&amp;G36,"")</f>
        <v>RB Leipzig1. FC Köln</v>
      </c>
      <c r="K36" s="7">
        <f t="shared" ref="K36:K67" si="1">IF(AND(F36&lt;&gt;"",G36&lt;&gt;"",F36&lt;&gt;G36,H36&lt;&gt;"",I36&lt;&gt;""),1,0)</f>
        <v>1</v>
      </c>
      <c r="L36" s="7" t="str">
        <f>IF(AND(K36&gt;0,Plan!$I39=0),H36&amp;Language!$E$65&amp;I36,"")</f>
        <v>3 : 1</v>
      </c>
      <c r="M36" s="2" t="str">
        <f>IF(Plan!$I39=1,F36&amp;G36,"")</f>
        <v/>
      </c>
      <c r="N36" s="93" t="str">
        <f>IF(AND(K36&gt;0,Plan!$I39=1),H36&amp;Language!$E$65&amp;I36,"")</f>
        <v/>
      </c>
      <c r="O36" s="379">
        <f>IF($H36="",0,Results!$L41)</f>
        <v>0</v>
      </c>
      <c r="P36" s="380">
        <f>IF($I36="",0,Results!$M41)</f>
        <v>0</v>
      </c>
    </row>
    <row r="37" spans="2:16" x14ac:dyDescent="0.2">
      <c r="B37" s="2"/>
      <c r="C37" s="2"/>
      <c r="D37" s="2"/>
      <c r="E37" s="298">
        <v>34</v>
      </c>
      <c r="F37" s="190" t="str">
        <f>Plan!$Q40</f>
        <v>Eintracht Frankfurt</v>
      </c>
      <c r="G37" s="191" t="str">
        <f>Plan!$S40</f>
        <v>1. FC Union Berlin</v>
      </c>
      <c r="H37" s="134">
        <f>IF(AND(Results!$R$6&gt;0,$E37-1&gt;=Results!$R$6*Calc!$F$26),"",IF(AND(Results!$I42&lt;&gt;"",Results!$K42&lt;&gt;"",Results!$F42&lt;&gt;Results!$H42,$F37&lt;&gt;"",$G37&lt;&gt;""),Results!$I42,""))</f>
        <v>3</v>
      </c>
      <c r="I37" s="18">
        <f>IF(AND(Results!$R$6&gt;0,$E37-1&gt;=Results!$R$6*Calc!$F$26),"",IF(AND(Results!$I42&lt;&gt;"",Results!$K42&lt;&gt;"",Results!$F42&lt;&gt;Results!$H42,$F37&lt;&gt;"",$G37&lt;&gt;""),Results!$K42,""))</f>
        <v>4</v>
      </c>
      <c r="J37" s="17" t="str">
        <f>IF(Plan!$I40=0,F37&amp;G37,"")</f>
        <v>Eintracht Frankfurt1. FC Union Berlin</v>
      </c>
      <c r="K37" s="7">
        <f t="shared" si="1"/>
        <v>1</v>
      </c>
      <c r="L37" s="7" t="str">
        <f>IF(AND(K37&gt;0,Plan!$I40=0),H37&amp;Language!$E$65&amp;I37,"")</f>
        <v>3 : 4</v>
      </c>
      <c r="M37" s="2" t="str">
        <f>IF(Plan!$I40=1,F37&amp;G37,"")</f>
        <v/>
      </c>
      <c r="N37" s="93" t="str">
        <f>IF(AND(K37&gt;0,Plan!$I40=1),H37&amp;Language!$E$65&amp;I37,"")</f>
        <v/>
      </c>
      <c r="O37" s="379">
        <f>IF($H37="",0,Results!$L42)</f>
        <v>0</v>
      </c>
      <c r="P37" s="380">
        <f>IF($I37="",0,Results!$M42)</f>
        <v>0</v>
      </c>
    </row>
    <row r="38" spans="2:16" x14ac:dyDescent="0.2">
      <c r="B38" s="2"/>
      <c r="C38" s="2"/>
      <c r="D38" s="2"/>
      <c r="E38" s="298">
        <v>35</v>
      </c>
      <c r="F38" s="190" t="str">
        <f>Plan!$Q41</f>
        <v>Bayer 04 Leverkusen</v>
      </c>
      <c r="G38" s="191" t="str">
        <f>Plan!$S41</f>
        <v>Borussia Mönchengladbach</v>
      </c>
      <c r="H38" s="134">
        <f>IF(AND(Results!$R$6&gt;0,$E38-1&gt;=Results!$R$6*Calc!$F$26),"",IF(AND(Results!$I43&lt;&gt;"",Results!$K43&lt;&gt;"",Results!$F43&lt;&gt;Results!$H43,$F38&lt;&gt;"",$G38&lt;&gt;""),Results!$I43,""))</f>
        <v>1</v>
      </c>
      <c r="I38" s="18">
        <f>IF(AND(Results!$R$6&gt;0,$E38-1&gt;=Results!$R$6*Calc!$F$26),"",IF(AND(Results!$I43&lt;&gt;"",Results!$K43&lt;&gt;"",Results!$F43&lt;&gt;Results!$H43,$F38&lt;&gt;"",$G38&lt;&gt;""),Results!$K43,""))</f>
        <v>1</v>
      </c>
      <c r="J38" s="17" t="str">
        <f>IF(Plan!$I41=0,F38&amp;G38,"")</f>
        <v>Bayer 04 LeverkusenBorussia Mönchengladbach</v>
      </c>
      <c r="K38" s="7">
        <f t="shared" si="1"/>
        <v>1</v>
      </c>
      <c r="L38" s="7" t="str">
        <f>IF(AND(K38&gt;0,Plan!$I41=0),H38&amp;Language!$E$65&amp;I38,"")</f>
        <v>1 : 1</v>
      </c>
      <c r="M38" s="2" t="str">
        <f>IF(Plan!$I41=1,F38&amp;G38,"")</f>
        <v/>
      </c>
      <c r="N38" s="93" t="str">
        <f>IF(AND(K38&gt;0,Plan!$I41=1),H38&amp;Language!$E$65&amp;I38,"")</f>
        <v/>
      </c>
      <c r="O38" s="379">
        <f>IF($H38="",0,Results!$L43)</f>
        <v>0</v>
      </c>
      <c r="P38" s="380">
        <f>IF($I38="",0,Results!$M43)</f>
        <v>0</v>
      </c>
    </row>
    <row r="39" spans="2:16" x14ac:dyDescent="0.2">
      <c r="B39" s="2"/>
      <c r="C39" s="2"/>
      <c r="D39" s="2"/>
      <c r="E39" s="298">
        <v>36</v>
      </c>
      <c r="F39" s="190" t="str">
        <f>Plan!$Q42</f>
        <v>Borussia Dortmund</v>
      </c>
      <c r="G39" s="191" t="str">
        <f>Plan!$S42</f>
        <v>VfL Wolfsburg</v>
      </c>
      <c r="H39" s="134">
        <f>IF(AND(Results!$R$6&gt;0,$E39-1&gt;=Results!$R$6*Calc!$F$26),"",IF(AND(Results!$I44&lt;&gt;"",Results!$K44&lt;&gt;"",Results!$F44&lt;&gt;Results!$H44,$F39&lt;&gt;"",$G39&lt;&gt;""),Results!$I44,""))</f>
        <v>1</v>
      </c>
      <c r="I39" s="18">
        <f>IF(AND(Results!$R$6&gt;0,$E39-1&gt;=Results!$R$6*Calc!$F$26),"",IF(AND(Results!$I44&lt;&gt;"",Results!$K44&lt;&gt;"",Results!$F44&lt;&gt;Results!$H44,$F39&lt;&gt;"",$G39&lt;&gt;""),Results!$K44,""))</f>
        <v>0</v>
      </c>
      <c r="J39" s="17" t="str">
        <f>IF(Plan!$I42=0,F39&amp;G39,"")</f>
        <v>Borussia DortmundVfL Wolfsburg</v>
      </c>
      <c r="K39" s="7">
        <f t="shared" si="1"/>
        <v>1</v>
      </c>
      <c r="L39" s="7" t="str">
        <f>IF(AND(K39&gt;0,Plan!$I42=0),H39&amp;Language!$E$65&amp;I39,"")</f>
        <v>1 : 0</v>
      </c>
      <c r="M39" s="2" t="str">
        <f>IF(Plan!$I42=1,F39&amp;G39,"")</f>
        <v/>
      </c>
      <c r="N39" s="93" t="str">
        <f>IF(AND(K39&gt;0,Plan!$I42=1),H39&amp;Language!$E$65&amp;I39,"")</f>
        <v/>
      </c>
      <c r="O39" s="379">
        <f>IF($H39="",0,Results!$L44)</f>
        <v>0</v>
      </c>
      <c r="P39" s="380">
        <f>IF($I39="",0,Results!$M44)</f>
        <v>0</v>
      </c>
    </row>
    <row r="40" spans="2:16" x14ac:dyDescent="0.2">
      <c r="B40" s="2"/>
      <c r="C40" s="2"/>
      <c r="D40" s="2"/>
      <c r="E40" s="298">
        <v>37</v>
      </c>
      <c r="F40" s="190" t="str">
        <f>Plan!$Q43</f>
        <v>FC Bayern München</v>
      </c>
      <c r="G40" s="191" t="str">
        <f>Plan!$S43</f>
        <v>SV Werder Bremen</v>
      </c>
      <c r="H40" s="134">
        <f>IF(AND(Results!$R$6&gt;0,$E40-1&gt;=Results!$R$6*Calc!$F$26),"",IF(AND(Results!$I45&lt;&gt;"",Results!$K45&lt;&gt;"",Results!$F45&lt;&gt;Results!$H45,$F40&lt;&gt;"",$G40&lt;&gt;""),Results!$I45,""))</f>
        <v>4</v>
      </c>
      <c r="I40" s="18">
        <f>IF(AND(Results!$R$6&gt;0,$E40-1&gt;=Results!$R$6*Calc!$F$26),"",IF(AND(Results!$I45&lt;&gt;"",Results!$K45&lt;&gt;"",Results!$F45&lt;&gt;Results!$H45,$F40&lt;&gt;"",$G40&lt;&gt;""),Results!$K45,""))</f>
        <v>0</v>
      </c>
      <c r="J40" s="17" t="str">
        <f>IF(Plan!$I43=0,F40&amp;G40,"")</f>
        <v>FC Bayern MünchenSV Werder Bremen</v>
      </c>
      <c r="K40" s="7">
        <f t="shared" si="1"/>
        <v>1</v>
      </c>
      <c r="L40" s="7" t="str">
        <f>IF(AND(K40&gt;0,Plan!$I43=0),H40&amp;Language!$E$65&amp;I40,"")</f>
        <v>4 : 0</v>
      </c>
      <c r="M40" s="2" t="str">
        <f>IF(Plan!$I43=1,F40&amp;G40,"")</f>
        <v/>
      </c>
      <c r="N40" s="93" t="str">
        <f>IF(AND(K40&gt;0,Plan!$I43=1),H40&amp;Language!$E$65&amp;I40,"")</f>
        <v/>
      </c>
      <c r="O40" s="379">
        <f>IF($H40="",0,Results!$L45)</f>
        <v>0</v>
      </c>
      <c r="P40" s="380">
        <f>IF($I40="",0,Results!$M45)</f>
        <v>0</v>
      </c>
    </row>
    <row r="41" spans="2:16" x14ac:dyDescent="0.2">
      <c r="B41" s="2"/>
      <c r="C41" s="2"/>
      <c r="D41" s="2"/>
      <c r="E41" s="298">
        <v>38</v>
      </c>
      <c r="F41" s="190" t="str">
        <f>Plan!$Q44</f>
        <v>FC St. Pauli</v>
      </c>
      <c r="G41" s="191" t="str">
        <f>Plan!$S44</f>
        <v>Bayer 04 Leverkusen</v>
      </c>
      <c r="H41" s="134">
        <f>IF(AND(Results!$R$6&gt;0,$E41-1&gt;=Results!$R$6*Calc!$F$26),"",IF(AND(Results!$I46&lt;&gt;"",Results!$K46&lt;&gt;"",Results!$F46&lt;&gt;Results!$H46,$F41&lt;&gt;"",$G41&lt;&gt;""),Results!$I46,""))</f>
        <v>1</v>
      </c>
      <c r="I41" s="18">
        <f>IF(AND(Results!$R$6&gt;0,$E41-1&gt;=Results!$R$6*Calc!$F$26),"",IF(AND(Results!$I46&lt;&gt;"",Results!$K46&lt;&gt;"",Results!$F46&lt;&gt;Results!$H46,$F41&lt;&gt;"",$G41&lt;&gt;""),Results!$K46,""))</f>
        <v>2</v>
      </c>
      <c r="J41" s="17" t="str">
        <f>IF(Plan!$I44=0,F41&amp;G41,"")</f>
        <v>FC St. PauliBayer 04 Leverkusen</v>
      </c>
      <c r="K41" s="7">
        <f t="shared" si="1"/>
        <v>1</v>
      </c>
      <c r="L41" s="7" t="str">
        <f>IF(AND(K41&gt;0,Plan!$I44=0),H41&amp;Language!$E$65&amp;I41,"")</f>
        <v>1 : 2</v>
      </c>
      <c r="M41" s="2" t="str">
        <f>IF(Plan!$I44=1,F41&amp;G41,"")</f>
        <v/>
      </c>
      <c r="N41" s="93" t="str">
        <f>IF(AND(K41&gt;0,Plan!$I44=1),H41&amp;Language!$E$65&amp;I41,"")</f>
        <v/>
      </c>
      <c r="O41" s="379">
        <f>IF($H41="",0,Results!$L46)</f>
        <v>0</v>
      </c>
      <c r="P41" s="380">
        <f>IF($I41="",0,Results!$M46)</f>
        <v>0</v>
      </c>
    </row>
    <row r="42" spans="2:16" x14ac:dyDescent="0.2">
      <c r="B42" s="2"/>
      <c r="C42" s="2"/>
      <c r="D42" s="2"/>
      <c r="E42" s="298">
        <v>39</v>
      </c>
      <c r="F42" s="190" t="str">
        <f>Plan!$Q45</f>
        <v>1. FC Heidenheim 1846</v>
      </c>
      <c r="G42" s="191" t="str">
        <f>Plan!$S45</f>
        <v>FC Augsburg</v>
      </c>
      <c r="H42" s="134">
        <f>IF(AND(Results!$R$6&gt;0,$E42-1&gt;=Results!$R$6*Calc!$F$26),"",IF(AND(Results!$I47&lt;&gt;"",Results!$K47&lt;&gt;"",Results!$F47&lt;&gt;Results!$H47,$F42&lt;&gt;"",$G42&lt;&gt;""),Results!$I47,""))</f>
        <v>2</v>
      </c>
      <c r="I42" s="18">
        <f>IF(AND(Results!$R$6&gt;0,$E42-1&gt;=Results!$R$6*Calc!$F$26),"",IF(AND(Results!$I47&lt;&gt;"",Results!$K47&lt;&gt;"",Results!$F47&lt;&gt;Results!$H47,$F42&lt;&gt;"",$G42&lt;&gt;""),Results!$K47,""))</f>
        <v>1</v>
      </c>
      <c r="J42" s="17" t="str">
        <f>IF(Plan!$I45=0,F42&amp;G42,"")</f>
        <v>1. FC Heidenheim 1846FC Augsburg</v>
      </c>
      <c r="K42" s="7">
        <f t="shared" si="1"/>
        <v>1</v>
      </c>
      <c r="L42" s="7" t="str">
        <f>IF(AND(K42&gt;0,Plan!$I45=0),H42&amp;Language!$E$65&amp;I42,"")</f>
        <v>2 : 1</v>
      </c>
      <c r="M42" s="2" t="str">
        <f>IF(Plan!$I45=1,F42&amp;G42,"")</f>
        <v/>
      </c>
      <c r="N42" s="93" t="str">
        <f>IF(AND(K42&gt;0,Plan!$I45=1),H42&amp;Language!$E$65&amp;I42,"")</f>
        <v/>
      </c>
      <c r="O42" s="379">
        <f>IF($H42="",0,Results!$L47)</f>
        <v>0</v>
      </c>
      <c r="P42" s="380">
        <f>IF($I42="",0,Results!$M47)</f>
        <v>0</v>
      </c>
    </row>
    <row r="43" spans="2:16" x14ac:dyDescent="0.2">
      <c r="B43" s="2"/>
      <c r="C43" s="2"/>
      <c r="D43" s="2"/>
      <c r="E43" s="298">
        <v>40</v>
      </c>
      <c r="F43" s="190" t="str">
        <f>Plan!$Q46</f>
        <v>1. FSV Mainz 05</v>
      </c>
      <c r="G43" s="191" t="str">
        <f>Plan!$S46</f>
        <v>Borussia Dortmund</v>
      </c>
      <c r="H43" s="134">
        <f>IF(AND(Results!$R$6&gt;0,$E43-1&gt;=Results!$R$6*Calc!$F$26),"",IF(AND(Results!$I48&lt;&gt;"",Results!$K48&lt;&gt;"",Results!$F48&lt;&gt;Results!$H48,$F43&lt;&gt;"",$G43&lt;&gt;""),Results!$I48,""))</f>
        <v>0</v>
      </c>
      <c r="I43" s="18">
        <f>IF(AND(Results!$R$6&gt;0,$E43-1&gt;=Results!$R$6*Calc!$F$26),"",IF(AND(Results!$I48&lt;&gt;"",Results!$K48&lt;&gt;"",Results!$F48&lt;&gt;Results!$H48,$F43&lt;&gt;"",$G43&lt;&gt;""),Results!$K48,""))</f>
        <v>2</v>
      </c>
      <c r="J43" s="17" t="str">
        <f>IF(Plan!$I46=0,F43&amp;G43,"")</f>
        <v>1. FSV Mainz 05Borussia Dortmund</v>
      </c>
      <c r="K43" s="7">
        <f t="shared" si="1"/>
        <v>1</v>
      </c>
      <c r="L43" s="7" t="str">
        <f>IF(AND(K43&gt;0,Plan!$I46=0),H43&amp;Language!$E$65&amp;I43,"")</f>
        <v>0 : 2</v>
      </c>
      <c r="M43" s="2" t="str">
        <f>IF(Plan!$I46=1,F43&amp;G43,"")</f>
        <v/>
      </c>
      <c r="N43" s="93" t="str">
        <f>IF(AND(K43&gt;0,Plan!$I46=1),H43&amp;Language!$E$65&amp;I43,"")</f>
        <v/>
      </c>
      <c r="O43" s="379">
        <f>IF($H43="",0,Results!$L48)</f>
        <v>0</v>
      </c>
      <c r="P43" s="380">
        <f>IF($I43="",0,Results!$M48)</f>
        <v>0</v>
      </c>
    </row>
    <row r="44" spans="2:16" x14ac:dyDescent="0.2">
      <c r="B44" s="2"/>
      <c r="C44" s="2"/>
      <c r="D44" s="2"/>
      <c r="E44" s="298">
        <v>41</v>
      </c>
      <c r="F44" s="190" t="str">
        <f>Plan!$Q47</f>
        <v>VfL Wolfsburg</v>
      </c>
      <c r="G44" s="191" t="str">
        <f>Plan!$S47</f>
        <v>RB Leipzig</v>
      </c>
      <c r="H44" s="134">
        <f>IF(AND(Results!$R$6&gt;0,$E44-1&gt;=Results!$R$6*Calc!$F$26),"",IF(AND(Results!$I49&lt;&gt;"",Results!$K49&lt;&gt;"",Results!$F49&lt;&gt;Results!$H49,$F44&lt;&gt;"",$G44&lt;&gt;""),Results!$I49,""))</f>
        <v>0</v>
      </c>
      <c r="I44" s="18">
        <f>IF(AND(Results!$R$6&gt;0,$E44-1&gt;=Results!$R$6*Calc!$F$26),"",IF(AND(Results!$I49&lt;&gt;"",Results!$K49&lt;&gt;"",Results!$F49&lt;&gt;Results!$H49,$F44&lt;&gt;"",$G44&lt;&gt;""),Results!$K49,""))</f>
        <v>1</v>
      </c>
      <c r="J44" s="17" t="str">
        <f>IF(Plan!$I47=0,F44&amp;G44,"")</f>
        <v>VfL WolfsburgRB Leipzig</v>
      </c>
      <c r="K44" s="7">
        <f t="shared" si="1"/>
        <v>1</v>
      </c>
      <c r="L44" s="7" t="str">
        <f>IF(AND(K44&gt;0,Plan!$I47=0),H44&amp;Language!$E$65&amp;I44,"")</f>
        <v>0 : 1</v>
      </c>
      <c r="M44" s="2" t="str">
        <f>IF(Plan!$I47=1,F44&amp;G44,"")</f>
        <v/>
      </c>
      <c r="N44" s="93" t="str">
        <f>IF(AND(K44&gt;0,Plan!$I47=1),H44&amp;Language!$E$65&amp;I44,"")</f>
        <v/>
      </c>
      <c r="O44" s="379">
        <f>IF($H44="",0,Results!$L49)</f>
        <v>0</v>
      </c>
      <c r="P44" s="380">
        <f>IF($I44="",0,Results!$M49)</f>
        <v>0</v>
      </c>
    </row>
    <row r="45" spans="2:16" x14ac:dyDescent="0.2">
      <c r="B45" s="2"/>
      <c r="C45" s="2"/>
      <c r="D45" s="2"/>
      <c r="E45" s="298">
        <v>42</v>
      </c>
      <c r="F45" s="190" t="str">
        <f>Plan!$Q48</f>
        <v>Borussia Mönchengladbach</v>
      </c>
      <c r="G45" s="191" t="str">
        <f>Plan!$S48</f>
        <v>Eintracht Frankfurt</v>
      </c>
      <c r="H45" s="134">
        <f>IF(AND(Results!$R$6&gt;0,$E45-1&gt;=Results!$R$6*Calc!$F$26),"",IF(AND(Results!$I50&lt;&gt;"",Results!$K50&lt;&gt;"",Results!$F50&lt;&gt;Results!$H50,$F45&lt;&gt;"",$G45&lt;&gt;""),Results!$I50,""))</f>
        <v>4</v>
      </c>
      <c r="I45" s="18">
        <f>IF(AND(Results!$R$6&gt;0,$E45-1&gt;=Results!$R$6*Calc!$F$26),"",IF(AND(Results!$I50&lt;&gt;"",Results!$K50&lt;&gt;"",Results!$F50&lt;&gt;Results!$H50,$F45&lt;&gt;"",$G45&lt;&gt;""),Results!$K50,""))</f>
        <v>6</v>
      </c>
      <c r="J45" s="17" t="str">
        <f>IF(Plan!$I48=0,F45&amp;G45,"")</f>
        <v>Borussia MönchengladbachEintracht Frankfurt</v>
      </c>
      <c r="K45" s="7">
        <f t="shared" si="1"/>
        <v>1</v>
      </c>
      <c r="L45" s="7" t="str">
        <f>IF(AND(K45&gt;0,Plan!$I48=0),H45&amp;Language!$E$65&amp;I45,"")</f>
        <v>4 : 6</v>
      </c>
      <c r="M45" s="2" t="str">
        <f>IF(Plan!$I48=1,F45&amp;G45,"")</f>
        <v/>
      </c>
      <c r="N45" s="93" t="str">
        <f>IF(AND(K45&gt;0,Plan!$I48=1),H45&amp;Language!$E$65&amp;I45,"")</f>
        <v/>
      </c>
      <c r="O45" s="379">
        <f>IF($H45="",0,Results!$L50)</f>
        <v>0</v>
      </c>
      <c r="P45" s="380">
        <f>IF($I45="",0,Results!$M50)</f>
        <v>0</v>
      </c>
    </row>
    <row r="46" spans="2:16" x14ac:dyDescent="0.2">
      <c r="B46" s="2"/>
      <c r="C46" s="2"/>
      <c r="D46" s="2"/>
      <c r="E46" s="298">
        <v>43</v>
      </c>
      <c r="F46" s="190" t="str">
        <f>Plan!$Q49</f>
        <v>SC Freiburg</v>
      </c>
      <c r="G46" s="191" t="str">
        <f>Plan!$S49</f>
        <v>TSG Hoffenheim</v>
      </c>
      <c r="H46" s="134">
        <f>IF(AND(Results!$R$6&gt;0,$E46-1&gt;=Results!$R$6*Calc!$F$26),"",IF(AND(Results!$I51&lt;&gt;"",Results!$K51&lt;&gt;"",Results!$F51&lt;&gt;Results!$H51,$F46&lt;&gt;"",$G46&lt;&gt;""),Results!$I51,""))</f>
        <v>1</v>
      </c>
      <c r="I46" s="18">
        <f>IF(AND(Results!$R$6&gt;0,$E46-1&gt;=Results!$R$6*Calc!$F$26),"",IF(AND(Results!$I51&lt;&gt;"",Results!$K51&lt;&gt;"",Results!$F51&lt;&gt;Results!$H51,$F46&lt;&gt;"",$G46&lt;&gt;""),Results!$K51,""))</f>
        <v>1</v>
      </c>
      <c r="J46" s="17" t="str">
        <f>IF(Plan!$I49=0,F46&amp;G46,"")</f>
        <v>SC FreiburgTSG Hoffenheim</v>
      </c>
      <c r="K46" s="7">
        <f t="shared" si="1"/>
        <v>1</v>
      </c>
      <c r="L46" s="7" t="str">
        <f>IF(AND(K46&gt;0,Plan!$I49=0),H46&amp;Language!$E$65&amp;I46,"")</f>
        <v>1 : 1</v>
      </c>
      <c r="M46" s="2" t="str">
        <f>IF(Plan!$I49=1,F46&amp;G46,"")</f>
        <v/>
      </c>
      <c r="N46" s="93" t="str">
        <f>IF(AND(K46&gt;0,Plan!$I49=1),H46&amp;Language!$E$65&amp;I46,"")</f>
        <v/>
      </c>
      <c r="O46" s="379">
        <f>IF($H46="",0,Results!$L51)</f>
        <v>0</v>
      </c>
      <c r="P46" s="380">
        <f>IF($I46="",0,Results!$M51)</f>
        <v>0</v>
      </c>
    </row>
    <row r="47" spans="2:16" x14ac:dyDescent="0.2">
      <c r="B47" s="2"/>
      <c r="C47" s="2"/>
      <c r="D47" s="2"/>
      <c r="E47" s="298">
        <v>44</v>
      </c>
      <c r="F47" s="190" t="str">
        <f>Plan!$Q50</f>
        <v>1. FC Köln</v>
      </c>
      <c r="G47" s="191" t="str">
        <f>Plan!$S50</f>
        <v>VfB Stuttgart</v>
      </c>
      <c r="H47" s="134">
        <f>IF(AND(Results!$R$6&gt;0,$E47-1&gt;=Results!$R$6*Calc!$F$26),"",IF(AND(Results!$I52&lt;&gt;"",Results!$K52&lt;&gt;"",Results!$F52&lt;&gt;Results!$H52,$F47&lt;&gt;"",$G47&lt;&gt;""),Results!$I52,""))</f>
        <v>1</v>
      </c>
      <c r="I47" s="18">
        <f>IF(AND(Results!$R$6&gt;0,$E47-1&gt;=Results!$R$6*Calc!$F$26),"",IF(AND(Results!$I52&lt;&gt;"",Results!$K52&lt;&gt;"",Results!$F52&lt;&gt;Results!$H52,$F47&lt;&gt;"",$G47&lt;&gt;""),Results!$K52,""))</f>
        <v>2</v>
      </c>
      <c r="J47" s="17" t="str">
        <f>IF(Plan!$I50=0,F47&amp;G47,"")</f>
        <v>1. FC KölnVfB Stuttgart</v>
      </c>
      <c r="K47" s="7">
        <f t="shared" si="1"/>
        <v>1</v>
      </c>
      <c r="L47" s="7" t="str">
        <f>IF(AND(K47&gt;0,Plan!$I50=0),H47&amp;Language!$E$65&amp;I47,"")</f>
        <v>1 : 2</v>
      </c>
      <c r="M47" s="2" t="str">
        <f>IF(Plan!$I50=1,F47&amp;G47,"")</f>
        <v/>
      </c>
      <c r="N47" s="93" t="str">
        <f>IF(AND(K47&gt;0,Plan!$I50=1),H47&amp;Language!$E$65&amp;I47,"")</f>
        <v/>
      </c>
      <c r="O47" s="379">
        <f>IF($H47="",0,Results!$L52)</f>
        <v>0</v>
      </c>
      <c r="P47" s="380">
        <f>IF($I47="",0,Results!$M52)</f>
        <v>0</v>
      </c>
    </row>
    <row r="48" spans="2:16" x14ac:dyDescent="0.2">
      <c r="B48" s="2"/>
      <c r="C48" s="2"/>
      <c r="D48" s="2"/>
      <c r="E48" s="298">
        <v>45</v>
      </c>
      <c r="F48" s="190" t="str">
        <f>Plan!$Q51</f>
        <v>1. FC Union Berlin</v>
      </c>
      <c r="G48" s="191" t="str">
        <f>Plan!$S51</f>
        <v>Hamburger SV</v>
      </c>
      <c r="H48" s="134">
        <f>IF(AND(Results!$R$6&gt;0,$E48-1&gt;=Results!$R$6*Calc!$F$26),"",IF(AND(Results!$I53&lt;&gt;"",Results!$K53&lt;&gt;"",Results!$F53&lt;&gt;Results!$H53,$F48&lt;&gt;"",$G48&lt;&gt;""),Results!$I53,""))</f>
        <v>0</v>
      </c>
      <c r="I48" s="18">
        <f>IF(AND(Results!$R$6&gt;0,$E48-1&gt;=Results!$R$6*Calc!$F$26),"",IF(AND(Results!$I53&lt;&gt;"",Results!$K53&lt;&gt;"",Results!$F53&lt;&gt;Results!$H53,$F48&lt;&gt;"",$G48&lt;&gt;""),Results!$K53,""))</f>
        <v>0</v>
      </c>
      <c r="J48" s="17" t="str">
        <f>IF(Plan!$I51=0,F48&amp;G48,"")</f>
        <v>1. FC Union BerlinHamburger SV</v>
      </c>
      <c r="K48" s="7">
        <f t="shared" si="1"/>
        <v>1</v>
      </c>
      <c r="L48" s="7" t="str">
        <f>IF(AND(K48&gt;0,Plan!$I51=0),H48&amp;Language!$E$65&amp;I48,"")</f>
        <v>0 : 0</v>
      </c>
      <c r="M48" s="2" t="str">
        <f>IF(Plan!$I51=1,F48&amp;G48,"")</f>
        <v/>
      </c>
      <c r="N48" s="93" t="str">
        <f>IF(AND(K48&gt;0,Plan!$I51=1),H48&amp;Language!$E$65&amp;I48,"")</f>
        <v/>
      </c>
      <c r="O48" s="379">
        <f>IF($H48="",0,Results!$L53)</f>
        <v>0</v>
      </c>
      <c r="P48" s="380">
        <f>IF($I48="",0,Results!$M53)</f>
        <v>0</v>
      </c>
    </row>
    <row r="49" spans="2:16" x14ac:dyDescent="0.2">
      <c r="B49" s="2"/>
      <c r="C49" s="2"/>
      <c r="D49" s="2"/>
      <c r="E49" s="298">
        <v>46</v>
      </c>
      <c r="F49" s="190" t="str">
        <f>Plan!$Q52</f>
        <v>TSG Hoffenheim</v>
      </c>
      <c r="G49" s="191" t="str">
        <f>Plan!$S52</f>
        <v>1. FC Köln</v>
      </c>
      <c r="H49" s="134">
        <f>IF(AND(Results!$R$6&gt;0,$E49-1&gt;=Results!$R$6*Calc!$F$26),"",IF(AND(Results!$I54&lt;&gt;"",Results!$K54&lt;&gt;"",Results!$F54&lt;&gt;Results!$H54,$F49&lt;&gt;"",$G49&lt;&gt;""),Results!$I54,""))</f>
        <v>0</v>
      </c>
      <c r="I49" s="18">
        <f>IF(AND(Results!$R$6&gt;0,$E49-1&gt;=Results!$R$6*Calc!$F$26),"",IF(AND(Results!$I54&lt;&gt;"",Results!$K54&lt;&gt;"",Results!$F54&lt;&gt;Results!$H54,$F49&lt;&gt;"",$G49&lt;&gt;""),Results!$K54,""))</f>
        <v>1</v>
      </c>
      <c r="J49" s="17" t="str">
        <f>IF(Plan!$I52=0,F49&amp;G49,"")</f>
        <v>TSG Hoffenheim1. FC Köln</v>
      </c>
      <c r="K49" s="7">
        <f t="shared" si="1"/>
        <v>1</v>
      </c>
      <c r="L49" s="7" t="str">
        <f>IF(AND(K49&gt;0,Plan!$I52=0),H49&amp;Language!$E$65&amp;I49,"")</f>
        <v>0 : 1</v>
      </c>
      <c r="M49" s="2" t="str">
        <f>IF(Plan!$I52=1,F49&amp;G49,"")</f>
        <v/>
      </c>
      <c r="N49" s="93" t="str">
        <f>IF(AND(K49&gt;0,Plan!$I52=1),H49&amp;Language!$E$65&amp;I49,"")</f>
        <v/>
      </c>
      <c r="O49" s="379">
        <f>IF($H49="",0,Results!$L54)</f>
        <v>0</v>
      </c>
      <c r="P49" s="380">
        <f>IF($I49="",0,Results!$M54)</f>
        <v>0</v>
      </c>
    </row>
    <row r="50" spans="2:16" x14ac:dyDescent="0.2">
      <c r="B50" s="2"/>
      <c r="C50" s="2"/>
      <c r="D50" s="2"/>
      <c r="E50" s="298">
        <v>47</v>
      </c>
      <c r="F50" s="190" t="str">
        <f>Plan!$Q53</f>
        <v>SV Werder Bremen</v>
      </c>
      <c r="G50" s="191" t="str">
        <f>Plan!$S53</f>
        <v>FC St. Pauli</v>
      </c>
      <c r="H50" s="134">
        <f>IF(AND(Results!$R$6&gt;0,$E50-1&gt;=Results!$R$6*Calc!$F$26),"",IF(AND(Results!$I55&lt;&gt;"",Results!$K55&lt;&gt;"",Results!$F55&lt;&gt;Results!$H55,$F50&lt;&gt;"",$G50&lt;&gt;""),Results!$I55,""))</f>
        <v>1</v>
      </c>
      <c r="I50" s="18">
        <f>IF(AND(Results!$R$6&gt;0,$E50-1&gt;=Results!$R$6*Calc!$F$26),"",IF(AND(Results!$I55&lt;&gt;"",Results!$K55&lt;&gt;"",Results!$F55&lt;&gt;Results!$H55,$F50&lt;&gt;"",$G50&lt;&gt;""),Results!$K55,""))</f>
        <v>0</v>
      </c>
      <c r="J50" s="17" t="str">
        <f>IF(Plan!$I53=0,F50&amp;G50,"")</f>
        <v>SV Werder BremenFC St. Pauli</v>
      </c>
      <c r="K50" s="7">
        <f t="shared" si="1"/>
        <v>1</v>
      </c>
      <c r="L50" s="7" t="str">
        <f>IF(AND(K50&gt;0,Plan!$I53=0),H50&amp;Language!$E$65&amp;I50,"")</f>
        <v>1 : 0</v>
      </c>
      <c r="M50" s="2" t="str">
        <f>IF(Plan!$I53=1,F50&amp;G50,"")</f>
        <v/>
      </c>
      <c r="N50" s="93" t="str">
        <f>IF(AND(K50&gt;0,Plan!$I53=1),H50&amp;Language!$E$65&amp;I50,"")</f>
        <v/>
      </c>
      <c r="O50" s="379">
        <f>IF($H50="",0,Results!$L55)</f>
        <v>0</v>
      </c>
      <c r="P50" s="380">
        <f>IF($I50="",0,Results!$M55)</f>
        <v>0</v>
      </c>
    </row>
    <row r="51" spans="2:16" x14ac:dyDescent="0.2">
      <c r="B51" s="2"/>
      <c r="C51" s="2"/>
      <c r="D51" s="2"/>
      <c r="E51" s="298">
        <v>48</v>
      </c>
      <c r="F51" s="190" t="str">
        <f>Plan!$Q54</f>
        <v>FC Augsburg</v>
      </c>
      <c r="G51" s="191" t="str">
        <f>Plan!$S54</f>
        <v>VfL Wolfsburg</v>
      </c>
      <c r="H51" s="134">
        <f>IF(AND(Results!$R$6&gt;0,$E51-1&gt;=Results!$R$6*Calc!$F$26),"",IF(AND(Results!$I56&lt;&gt;"",Results!$K56&lt;&gt;"",Results!$F56&lt;&gt;Results!$H56,$F51&lt;&gt;"",$G51&lt;&gt;""),Results!$I56,""))</f>
        <v>3</v>
      </c>
      <c r="I51" s="18">
        <f>IF(AND(Results!$R$6&gt;0,$E51-1&gt;=Results!$R$6*Calc!$F$26),"",IF(AND(Results!$I56&lt;&gt;"",Results!$K56&lt;&gt;"",Results!$F56&lt;&gt;Results!$H56,$F51&lt;&gt;"",$G51&lt;&gt;""),Results!$K56,""))</f>
        <v>1</v>
      </c>
      <c r="J51" s="17" t="str">
        <f>IF(Plan!$I54=0,F51&amp;G51,"")</f>
        <v>FC AugsburgVfL Wolfsburg</v>
      </c>
      <c r="K51" s="7">
        <f t="shared" si="1"/>
        <v>1</v>
      </c>
      <c r="L51" s="7" t="str">
        <f>IF(AND(K51&gt;0,Plan!$I54=0),H51&amp;Language!$E$65&amp;I51,"")</f>
        <v>3 : 1</v>
      </c>
      <c r="M51" s="2" t="str">
        <f>IF(Plan!$I54=1,F51&amp;G51,"")</f>
        <v/>
      </c>
      <c r="N51" s="93" t="str">
        <f>IF(AND(K51&gt;0,Plan!$I54=1),H51&amp;Language!$E$65&amp;I51,"")</f>
        <v/>
      </c>
      <c r="O51" s="379">
        <f>IF($H51="",0,Results!$L56)</f>
        <v>0</v>
      </c>
      <c r="P51" s="380">
        <f>IF($I51="",0,Results!$M56)</f>
        <v>0</v>
      </c>
    </row>
    <row r="52" spans="2:16" x14ac:dyDescent="0.2">
      <c r="B52" s="2"/>
      <c r="C52" s="2"/>
      <c r="D52" s="2"/>
      <c r="E52" s="298">
        <v>49</v>
      </c>
      <c r="F52" s="190" t="str">
        <f>Plan!$Q55</f>
        <v>Bayer 04 Leverkusen</v>
      </c>
      <c r="G52" s="191" t="str">
        <f>Plan!$S55</f>
        <v>1. FC Union Berlin</v>
      </c>
      <c r="H52" s="134">
        <f>IF(AND(Results!$R$6&gt;0,$E52-1&gt;=Results!$R$6*Calc!$F$26),"",IF(AND(Results!$I57&lt;&gt;"",Results!$K57&lt;&gt;"",Results!$F57&lt;&gt;Results!$H57,$F52&lt;&gt;"",$G52&lt;&gt;""),Results!$I57,""))</f>
        <v>2</v>
      </c>
      <c r="I52" s="18">
        <f>IF(AND(Results!$R$6&gt;0,$E52-1&gt;=Results!$R$6*Calc!$F$26),"",IF(AND(Results!$I57&lt;&gt;"",Results!$K57&lt;&gt;"",Results!$F57&lt;&gt;Results!$H57,$F52&lt;&gt;"",$G52&lt;&gt;""),Results!$K57,""))</f>
        <v>0</v>
      </c>
      <c r="J52" s="17" t="str">
        <f>IF(Plan!$I55=0,F52&amp;G52,"")</f>
        <v>Bayer 04 Leverkusen1. FC Union Berlin</v>
      </c>
      <c r="K52" s="7">
        <f t="shared" si="1"/>
        <v>1</v>
      </c>
      <c r="L52" s="7" t="str">
        <f>IF(AND(K52&gt;0,Plan!$I55=0),H52&amp;Language!$E$65&amp;I52,"")</f>
        <v>2 : 0</v>
      </c>
      <c r="M52" s="2" t="str">
        <f>IF(Plan!$I55=1,F52&amp;G52,"")</f>
        <v/>
      </c>
      <c r="N52" s="93" t="str">
        <f>IF(AND(K52&gt;0,Plan!$I55=1),H52&amp;Language!$E$65&amp;I52,"")</f>
        <v/>
      </c>
      <c r="O52" s="379">
        <f>IF($H52="",0,Results!$L57)</f>
        <v>0</v>
      </c>
      <c r="P52" s="380">
        <f>IF($I52="",0,Results!$M57)</f>
        <v>0</v>
      </c>
    </row>
    <row r="53" spans="2:16" x14ac:dyDescent="0.2">
      <c r="B53" s="2"/>
      <c r="C53" s="2"/>
      <c r="D53" s="2"/>
      <c r="E53" s="298">
        <v>50</v>
      </c>
      <c r="F53" s="190" t="str">
        <f>Plan!$Q56</f>
        <v>Borussia Dortmund</v>
      </c>
      <c r="G53" s="191" t="str">
        <f>Plan!$S56</f>
        <v>RB Leipzig</v>
      </c>
      <c r="H53" s="134">
        <f>IF(AND(Results!$R$6&gt;0,$E53-1&gt;=Results!$R$6*Calc!$F$26),"",IF(AND(Results!$I58&lt;&gt;"",Results!$K58&lt;&gt;"",Results!$F58&lt;&gt;Results!$H58,$F53&lt;&gt;"",$G53&lt;&gt;""),Results!$I58,""))</f>
        <v>1</v>
      </c>
      <c r="I53" s="18">
        <f>IF(AND(Results!$R$6&gt;0,$E53-1&gt;=Results!$R$6*Calc!$F$26),"",IF(AND(Results!$I58&lt;&gt;"",Results!$K58&lt;&gt;"",Results!$F58&lt;&gt;Results!$H58,$F53&lt;&gt;"",$G53&lt;&gt;""),Results!$K58,""))</f>
        <v>1</v>
      </c>
      <c r="J53" s="17" t="str">
        <f>IF(Plan!$I56=0,F53&amp;G53,"")</f>
        <v>Borussia DortmundRB Leipzig</v>
      </c>
      <c r="K53" s="7">
        <f t="shared" si="1"/>
        <v>1</v>
      </c>
      <c r="L53" s="7" t="str">
        <f>IF(AND(K53&gt;0,Plan!$I56=0),H53&amp;Language!$E$65&amp;I53,"")</f>
        <v>1 : 1</v>
      </c>
      <c r="M53" s="2" t="str">
        <f>IF(Plan!$I56=1,F53&amp;G53,"")</f>
        <v/>
      </c>
      <c r="N53" s="93" t="str">
        <f>IF(AND(K53&gt;0,Plan!$I56=1),H53&amp;Language!$E$65&amp;I53,"")</f>
        <v/>
      </c>
      <c r="O53" s="379">
        <f>IF($H53="",0,Results!$L58)</f>
        <v>0</v>
      </c>
      <c r="P53" s="380">
        <f>IF($I53="",0,Results!$M58)</f>
        <v>0</v>
      </c>
    </row>
    <row r="54" spans="2:16" x14ac:dyDescent="0.2">
      <c r="B54" s="2"/>
      <c r="C54" s="2"/>
      <c r="D54" s="2"/>
      <c r="E54" s="298">
        <v>51</v>
      </c>
      <c r="F54" s="190" t="str">
        <f>Plan!$Q57</f>
        <v>Eintracht Frankfurt</v>
      </c>
      <c r="G54" s="191" t="str">
        <f>Plan!$S57</f>
        <v>FC Bayern München</v>
      </c>
      <c r="H54" s="134">
        <f>IF(AND(Results!$R$6&gt;0,$E54-1&gt;=Results!$R$6*Calc!$F$26),"",IF(AND(Results!$I59&lt;&gt;"",Results!$K59&lt;&gt;"",Results!$F59&lt;&gt;Results!$H59,$F54&lt;&gt;"",$G54&lt;&gt;""),Results!$I59,""))</f>
        <v>0</v>
      </c>
      <c r="I54" s="18">
        <f>IF(AND(Results!$R$6&gt;0,$E54-1&gt;=Results!$R$6*Calc!$F$26),"",IF(AND(Results!$I59&lt;&gt;"",Results!$K59&lt;&gt;"",Results!$F59&lt;&gt;Results!$H59,$F54&lt;&gt;"",$G54&lt;&gt;""),Results!$K59,""))</f>
        <v>3</v>
      </c>
      <c r="J54" s="17" t="str">
        <f>IF(Plan!$I57=0,F54&amp;G54,"")</f>
        <v>Eintracht FrankfurtFC Bayern München</v>
      </c>
      <c r="K54" s="7">
        <f t="shared" si="1"/>
        <v>1</v>
      </c>
      <c r="L54" s="7" t="str">
        <f>IF(AND(K54&gt;0,Plan!$I57=0),H54&amp;Language!$E$65&amp;I54,"")</f>
        <v>0 : 3</v>
      </c>
      <c r="M54" s="2" t="str">
        <f>IF(Plan!$I57=1,F54&amp;G54,"")</f>
        <v/>
      </c>
      <c r="N54" s="93" t="str">
        <f>IF(AND(K54&gt;0,Plan!$I57=1),H54&amp;Language!$E$65&amp;I54,"")</f>
        <v/>
      </c>
      <c r="O54" s="379">
        <f>IF($H54="",0,Results!$L59)</f>
        <v>0</v>
      </c>
      <c r="P54" s="380">
        <f>IF($I54="",0,Results!$M59)</f>
        <v>0</v>
      </c>
    </row>
    <row r="55" spans="2:16" x14ac:dyDescent="0.2">
      <c r="B55" s="2"/>
      <c r="C55" s="2"/>
      <c r="D55" s="2"/>
      <c r="E55" s="298">
        <v>52</v>
      </c>
      <c r="F55" s="190" t="str">
        <f>Plan!$Q58</f>
        <v>VfB Stuttgart</v>
      </c>
      <c r="G55" s="191" t="str">
        <f>Plan!$S58</f>
        <v>1. FC Heidenheim 1846</v>
      </c>
      <c r="H55" s="134">
        <f>IF(AND(Results!$R$6&gt;0,$E55-1&gt;=Results!$R$6*Calc!$F$26),"",IF(AND(Results!$I60&lt;&gt;"",Results!$K60&lt;&gt;"",Results!$F60&lt;&gt;Results!$H60,$F55&lt;&gt;"",$G55&lt;&gt;""),Results!$I60,""))</f>
        <v>1</v>
      </c>
      <c r="I55" s="18">
        <f>IF(AND(Results!$R$6&gt;0,$E55-1&gt;=Results!$R$6*Calc!$F$26),"",IF(AND(Results!$I60&lt;&gt;"",Results!$K60&lt;&gt;"",Results!$F60&lt;&gt;Results!$H60,$F55&lt;&gt;"",$G55&lt;&gt;""),Results!$K60,""))</f>
        <v>0</v>
      </c>
      <c r="J55" s="17" t="str">
        <f>IF(Plan!$I58=0,F55&amp;G55,"")</f>
        <v>VfB Stuttgart1. FC Heidenheim 1846</v>
      </c>
      <c r="K55" s="7">
        <f t="shared" si="1"/>
        <v>1</v>
      </c>
      <c r="L55" s="7" t="str">
        <f>IF(AND(K55&gt;0,Plan!$I58=0),H55&amp;Language!$E$65&amp;I55,"")</f>
        <v>1 : 0</v>
      </c>
      <c r="M55" s="2" t="str">
        <f>IF(Plan!$I58=1,F55&amp;G55,"")</f>
        <v/>
      </c>
      <c r="N55" s="93" t="str">
        <f>IF(AND(K55&gt;0,Plan!$I58=1),H55&amp;Language!$E$65&amp;I55,"")</f>
        <v/>
      </c>
      <c r="O55" s="379">
        <f>IF($H55="",0,Results!$L60)</f>
        <v>0</v>
      </c>
      <c r="P55" s="380">
        <f>IF($I55="",0,Results!$M60)</f>
        <v>0</v>
      </c>
    </row>
    <row r="56" spans="2:16" x14ac:dyDescent="0.2">
      <c r="B56" s="2"/>
      <c r="C56" s="2"/>
      <c r="D56" s="2"/>
      <c r="E56" s="298">
        <v>53</v>
      </c>
      <c r="F56" s="190" t="str">
        <f>Plan!$Q59</f>
        <v>Hamburger SV</v>
      </c>
      <c r="G56" s="191" t="str">
        <f>Plan!$S59</f>
        <v>1. FSV Mainz 05</v>
      </c>
      <c r="H56" s="134">
        <f>IF(AND(Results!$R$6&gt;0,$E56-1&gt;=Results!$R$6*Calc!$F$26),"",IF(AND(Results!$I61&lt;&gt;"",Results!$K61&lt;&gt;"",Results!$F61&lt;&gt;Results!$H61,$F56&lt;&gt;"",$G56&lt;&gt;""),Results!$I61,""))</f>
        <v>4</v>
      </c>
      <c r="I56" s="18">
        <f>IF(AND(Results!$R$6&gt;0,$E56-1&gt;=Results!$R$6*Calc!$F$26),"",IF(AND(Results!$I61&lt;&gt;"",Results!$K61&lt;&gt;"",Results!$F61&lt;&gt;Results!$H61,$F56&lt;&gt;"",$G56&lt;&gt;""),Results!$K61,""))</f>
        <v>0</v>
      </c>
      <c r="J56" s="17" t="str">
        <f>IF(Plan!$I59=0,F56&amp;G56,"")</f>
        <v>Hamburger SV1. FSV Mainz 05</v>
      </c>
      <c r="K56" s="7">
        <f t="shared" si="1"/>
        <v>1</v>
      </c>
      <c r="L56" s="7" t="str">
        <f>IF(AND(K56&gt;0,Plan!$I59=0),H56&amp;Language!$E$65&amp;I56,"")</f>
        <v>4 : 0</v>
      </c>
      <c r="M56" s="2" t="str">
        <f>IF(Plan!$I59=1,F56&amp;G56,"")</f>
        <v/>
      </c>
      <c r="N56" s="93" t="str">
        <f>IF(AND(K56&gt;0,Plan!$I59=1),H56&amp;Language!$E$65&amp;I56,"")</f>
        <v/>
      </c>
      <c r="O56" s="379">
        <f>IF($H56="",0,Results!$L61)</f>
        <v>0</v>
      </c>
      <c r="P56" s="380">
        <f>IF($I56="",0,Results!$M61)</f>
        <v>0</v>
      </c>
    </row>
    <row r="57" spans="2:16" x14ac:dyDescent="0.2">
      <c r="B57" s="2"/>
      <c r="C57" s="2"/>
      <c r="D57" s="2"/>
      <c r="E57" s="298">
        <v>54</v>
      </c>
      <c r="F57" s="190" t="str">
        <f>Plan!$Q60</f>
        <v>Borussia Mönchengladbach</v>
      </c>
      <c r="G57" s="191" t="str">
        <f>Plan!$S60</f>
        <v>SC Freiburg</v>
      </c>
      <c r="H57" s="134">
        <f>IF(AND(Results!$R$6&gt;0,$E57-1&gt;=Results!$R$6*Calc!$F$26),"",IF(AND(Results!$I62&lt;&gt;"",Results!$K62&lt;&gt;"",Results!$F62&lt;&gt;Results!$H62,$F57&lt;&gt;"",$G57&lt;&gt;""),Results!$I62,""))</f>
        <v>0</v>
      </c>
      <c r="I57" s="18">
        <f>IF(AND(Results!$R$6&gt;0,$E57-1&gt;=Results!$R$6*Calc!$F$26),"",IF(AND(Results!$I62&lt;&gt;"",Results!$K62&lt;&gt;"",Results!$F62&lt;&gt;Results!$H62,$F57&lt;&gt;"",$G57&lt;&gt;""),Results!$K62,""))</f>
        <v>0</v>
      </c>
      <c r="J57" s="17" t="str">
        <f>IF(Plan!$I60=0,F57&amp;G57,"")</f>
        <v>Borussia MönchengladbachSC Freiburg</v>
      </c>
      <c r="K57" s="7">
        <f t="shared" si="1"/>
        <v>1</v>
      </c>
      <c r="L57" s="7" t="str">
        <f>IF(AND(K57&gt;0,Plan!$I60=0),H57&amp;Language!$E$65&amp;I57,"")</f>
        <v>0 : 0</v>
      </c>
      <c r="M57" s="2" t="str">
        <f>IF(Plan!$I60=1,F57&amp;G57,"")</f>
        <v/>
      </c>
      <c r="N57" s="93" t="str">
        <f>IF(AND(K57&gt;0,Plan!$I60=1),H57&amp;Language!$E$65&amp;I57,"")</f>
        <v/>
      </c>
      <c r="O57" s="379">
        <f>IF($H57="",0,Results!$L62)</f>
        <v>0</v>
      </c>
      <c r="P57" s="380">
        <f>IF($I57="",0,Results!$M62)</f>
        <v>0</v>
      </c>
    </row>
    <row r="58" spans="2:16" x14ac:dyDescent="0.2">
      <c r="B58" s="2"/>
      <c r="C58" s="2"/>
      <c r="D58" s="2"/>
      <c r="E58" s="298">
        <v>55</v>
      </c>
      <c r="F58" s="190" t="str">
        <f>Plan!$Q61</f>
        <v>1. FC Union Berlin</v>
      </c>
      <c r="G58" s="191" t="str">
        <f>Plan!$S61</f>
        <v>Borussia Mönchengladbach</v>
      </c>
      <c r="H58" s="134">
        <f>IF(AND(Results!$R$6&gt;0,$E58-1&gt;=Results!$R$6*Calc!$F$26),"",IF(AND(Results!$I63&lt;&gt;"",Results!$K63&lt;&gt;"",Results!$F63&lt;&gt;Results!$H63,$F58&lt;&gt;"",$G58&lt;&gt;""),Results!$I63,""))</f>
        <v>3</v>
      </c>
      <c r="I58" s="18">
        <f>IF(AND(Results!$R$6&gt;0,$E58-1&gt;=Results!$R$6*Calc!$F$26),"",IF(AND(Results!$I63&lt;&gt;"",Results!$K63&lt;&gt;"",Results!$F63&lt;&gt;Results!$H63,$F58&lt;&gt;"",$G58&lt;&gt;""),Results!$K63,""))</f>
        <v>1</v>
      </c>
      <c r="J58" s="17" t="str">
        <f>IF(Plan!$I61=0,F58&amp;G58,"")</f>
        <v>1. FC Union BerlinBorussia Mönchengladbach</v>
      </c>
      <c r="K58" s="7">
        <f t="shared" si="1"/>
        <v>1</v>
      </c>
      <c r="L58" s="7" t="str">
        <f>IF(AND(K58&gt;0,Plan!$I61=0),H58&amp;Language!$E$65&amp;I58,"")</f>
        <v>3 : 1</v>
      </c>
      <c r="M58" s="2" t="str">
        <f>IF(Plan!$I61=1,F58&amp;G58,"")</f>
        <v/>
      </c>
      <c r="N58" s="93" t="str">
        <f>IF(AND(K58&gt;0,Plan!$I61=1),H58&amp;Language!$E$65&amp;I58,"")</f>
        <v/>
      </c>
      <c r="O58" s="379">
        <f>IF($H58="",0,Results!$L63)</f>
        <v>0</v>
      </c>
      <c r="P58" s="380">
        <f>IF($I58="",0,Results!$M63)</f>
        <v>0</v>
      </c>
    </row>
    <row r="59" spans="2:16" x14ac:dyDescent="0.2">
      <c r="B59" s="2"/>
      <c r="C59" s="2"/>
      <c r="D59" s="2"/>
      <c r="E59" s="298">
        <v>56</v>
      </c>
      <c r="F59" s="190" t="str">
        <f>Plan!$Q62</f>
        <v>1. FC Heidenheim 1846</v>
      </c>
      <c r="G59" s="191" t="str">
        <f>Plan!$S62</f>
        <v>SV Werder Bremen</v>
      </c>
      <c r="H59" s="134">
        <f>IF(AND(Results!$R$6&gt;0,$E59-1&gt;=Results!$R$6*Calc!$F$26),"",IF(AND(Results!$I64&lt;&gt;"",Results!$K64&lt;&gt;"",Results!$F64&lt;&gt;Results!$H64,$F59&lt;&gt;"",$G59&lt;&gt;""),Results!$I64,""))</f>
        <v>2</v>
      </c>
      <c r="I59" s="18">
        <f>IF(AND(Results!$R$6&gt;0,$E59-1&gt;=Results!$R$6*Calc!$F$26),"",IF(AND(Results!$I64&lt;&gt;"",Results!$K64&lt;&gt;"",Results!$F64&lt;&gt;Results!$H64,$F59&lt;&gt;"",$G59&lt;&gt;""),Results!$K64,""))</f>
        <v>2</v>
      </c>
      <c r="J59" s="17" t="str">
        <f>IF(Plan!$I62=0,F59&amp;G59,"")</f>
        <v>1. FC Heidenheim 1846SV Werder Bremen</v>
      </c>
      <c r="K59" s="7">
        <f t="shared" si="1"/>
        <v>1</v>
      </c>
      <c r="L59" s="7" t="str">
        <f>IF(AND(K59&gt;0,Plan!$I62=0),H59&amp;Language!$E$65&amp;I59,"")</f>
        <v>2 : 2</v>
      </c>
      <c r="M59" s="2" t="str">
        <f>IF(Plan!$I62=1,F59&amp;G59,"")</f>
        <v/>
      </c>
      <c r="N59" s="93" t="str">
        <f>IF(AND(K59&gt;0,Plan!$I62=1),H59&amp;Language!$E$65&amp;I59,"")</f>
        <v/>
      </c>
      <c r="O59" s="379">
        <f>IF($H59="",0,Results!$L64)</f>
        <v>0</v>
      </c>
      <c r="P59" s="380">
        <f>IF($I59="",0,Results!$M64)</f>
        <v>0</v>
      </c>
    </row>
    <row r="60" spans="2:16" x14ac:dyDescent="0.2">
      <c r="B60" s="2"/>
      <c r="C60" s="2"/>
      <c r="D60" s="2"/>
      <c r="E60" s="298">
        <v>57</v>
      </c>
      <c r="F60" s="190" t="str">
        <f>Plan!$Q63</f>
        <v>1. FC Köln</v>
      </c>
      <c r="G60" s="191" t="str">
        <f>Plan!$S63</f>
        <v>FC Augsburg</v>
      </c>
      <c r="H60" s="134">
        <f>IF(AND(Results!$R$6&gt;0,$E60-1&gt;=Results!$R$6*Calc!$F$26),"",IF(AND(Results!$I65&lt;&gt;"",Results!$K65&lt;&gt;"",Results!$F65&lt;&gt;Results!$H65,$F60&lt;&gt;"",$G60&lt;&gt;""),Results!$I65,""))</f>
        <v>1</v>
      </c>
      <c r="I60" s="18">
        <f>IF(AND(Results!$R$6&gt;0,$E60-1&gt;=Results!$R$6*Calc!$F$26),"",IF(AND(Results!$I65&lt;&gt;"",Results!$K65&lt;&gt;"",Results!$F65&lt;&gt;Results!$H65,$F60&lt;&gt;"",$G60&lt;&gt;""),Results!$K65,""))</f>
        <v>1</v>
      </c>
      <c r="J60" s="17" t="str">
        <f>IF(Plan!$I63=0,F60&amp;G60,"")</f>
        <v>1. FC KölnFC Augsburg</v>
      </c>
      <c r="K60" s="7">
        <f t="shared" si="1"/>
        <v>1</v>
      </c>
      <c r="L60" s="7" t="str">
        <f>IF(AND(K60&gt;0,Plan!$I63=0),H60&amp;Language!$E$65&amp;I60,"")</f>
        <v>1 : 1</v>
      </c>
      <c r="M60" s="2" t="str">
        <f>IF(Plan!$I63=1,F60&amp;G60,"")</f>
        <v/>
      </c>
      <c r="N60" s="93" t="str">
        <f>IF(AND(K60&gt;0,Plan!$I63=1),H60&amp;Language!$E$65&amp;I60,"")</f>
        <v/>
      </c>
      <c r="O60" s="379">
        <f>IF($H60="",0,Results!$L65)</f>
        <v>0</v>
      </c>
      <c r="P60" s="380">
        <f>IF($I60="",0,Results!$M65)</f>
        <v>0</v>
      </c>
    </row>
    <row r="61" spans="2:16" x14ac:dyDescent="0.2">
      <c r="B61" s="2"/>
      <c r="C61" s="2"/>
      <c r="D61" s="2"/>
      <c r="E61" s="298">
        <v>58</v>
      </c>
      <c r="F61" s="190" t="str">
        <f>Plan!$Q64</f>
        <v>VfL Wolfsburg</v>
      </c>
      <c r="G61" s="191" t="str">
        <f>Plan!$S64</f>
        <v>VfB Stuttgart</v>
      </c>
      <c r="H61" s="134">
        <f>IF(AND(Results!$R$6&gt;0,$E61-1&gt;=Results!$R$6*Calc!$F$26),"",IF(AND(Results!$I66&lt;&gt;"",Results!$K66&lt;&gt;"",Results!$F66&lt;&gt;Results!$H66,$F61&lt;&gt;"",$G61&lt;&gt;""),Results!$I66,""))</f>
        <v>0</v>
      </c>
      <c r="I61" s="18">
        <f>IF(AND(Results!$R$6&gt;0,$E61-1&gt;=Results!$R$6*Calc!$F$26),"",IF(AND(Results!$I66&lt;&gt;"",Results!$K66&lt;&gt;"",Results!$F66&lt;&gt;Results!$H66,$F61&lt;&gt;"",$G61&lt;&gt;""),Results!$K66,""))</f>
        <v>3</v>
      </c>
      <c r="J61" s="17" t="str">
        <f>IF(Plan!$I64=0,F61&amp;G61,"")</f>
        <v>VfL WolfsburgVfB Stuttgart</v>
      </c>
      <c r="K61" s="7">
        <f t="shared" si="1"/>
        <v>1</v>
      </c>
      <c r="L61" s="7" t="str">
        <f>IF(AND(K61&gt;0,Plan!$I64=0),H61&amp;Language!$E$65&amp;I61,"")</f>
        <v>0 : 3</v>
      </c>
      <c r="M61" s="2" t="str">
        <f>IF(Plan!$I64=1,F61&amp;G61,"")</f>
        <v/>
      </c>
      <c r="N61" s="93" t="str">
        <f>IF(AND(K61&gt;0,Plan!$I64=1),H61&amp;Language!$E$65&amp;I61,"")</f>
        <v/>
      </c>
      <c r="O61" s="379">
        <f>IF($H61="",0,Results!$L66)</f>
        <v>0</v>
      </c>
      <c r="P61" s="380">
        <f>IF($I61="",0,Results!$M66)</f>
        <v>0</v>
      </c>
    </row>
    <row r="62" spans="2:16" x14ac:dyDescent="0.2">
      <c r="B62" s="2"/>
      <c r="C62" s="2"/>
      <c r="D62" s="2"/>
      <c r="E62" s="298">
        <v>59</v>
      </c>
      <c r="F62" s="190" t="str">
        <f>Plan!$Q65</f>
        <v>1. FSV Mainz 05</v>
      </c>
      <c r="G62" s="191" t="str">
        <f>Plan!$S65</f>
        <v>Bayer 04 Leverkusen</v>
      </c>
      <c r="H62" s="134">
        <f>IF(AND(Results!$R$6&gt;0,$E62-1&gt;=Results!$R$6*Calc!$F$26),"",IF(AND(Results!$I67&lt;&gt;"",Results!$K67&lt;&gt;"",Results!$F67&lt;&gt;Results!$H67,$F62&lt;&gt;"",$G62&lt;&gt;""),Results!$I67,""))</f>
        <v>3</v>
      </c>
      <c r="I62" s="18">
        <f>IF(AND(Results!$R$6&gt;0,$E62-1&gt;=Results!$R$6*Calc!$F$26),"",IF(AND(Results!$I67&lt;&gt;"",Results!$K67&lt;&gt;"",Results!$F67&lt;&gt;Results!$H67,$F62&lt;&gt;"",$G62&lt;&gt;""),Results!$K67,""))</f>
        <v>4</v>
      </c>
      <c r="J62" s="17" t="str">
        <f>IF(Plan!$I65=0,F62&amp;G62,"")</f>
        <v>1. FSV Mainz 05Bayer 04 Leverkusen</v>
      </c>
      <c r="K62" s="7">
        <f t="shared" si="1"/>
        <v>1</v>
      </c>
      <c r="L62" s="7" t="str">
        <f>IF(AND(K62&gt;0,Plan!$I65=0),H62&amp;Language!$E$65&amp;I62,"")</f>
        <v>3 : 4</v>
      </c>
      <c r="M62" s="2" t="str">
        <f>IF(Plan!$I65=1,F62&amp;G62,"")</f>
        <v/>
      </c>
      <c r="N62" s="93" t="str">
        <f>IF(AND(K62&gt;0,Plan!$I65=1),H62&amp;Language!$E$65&amp;I62,"")</f>
        <v/>
      </c>
      <c r="O62" s="379">
        <f>IF($H62="",0,Results!$L67)</f>
        <v>0</v>
      </c>
      <c r="P62" s="380">
        <f>IF($I62="",0,Results!$M67)</f>
        <v>0</v>
      </c>
    </row>
    <row r="63" spans="2:16" x14ac:dyDescent="0.2">
      <c r="B63" s="2"/>
      <c r="C63" s="2"/>
      <c r="D63" s="2"/>
      <c r="E63" s="298">
        <v>60</v>
      </c>
      <c r="F63" s="190" t="str">
        <f>Plan!$Q66</f>
        <v>RB Leipzig</v>
      </c>
      <c r="G63" s="191" t="str">
        <f>Plan!$S66</f>
        <v>Hamburger SV</v>
      </c>
      <c r="H63" s="134">
        <f>IF(AND(Results!$R$6&gt;0,$E63-1&gt;=Results!$R$6*Calc!$F$26),"",IF(AND(Results!$I68&lt;&gt;"",Results!$K68&lt;&gt;"",Results!$F68&lt;&gt;Results!$H68,$F63&lt;&gt;"",$G63&lt;&gt;""),Results!$I68,""))</f>
        <v>2</v>
      </c>
      <c r="I63" s="18">
        <f>IF(AND(Results!$R$6&gt;0,$E63-1&gt;=Results!$R$6*Calc!$F$26),"",IF(AND(Results!$I68&lt;&gt;"",Results!$K68&lt;&gt;"",Results!$F68&lt;&gt;Results!$H68,$F63&lt;&gt;"",$G63&lt;&gt;""),Results!$K68,""))</f>
        <v>1</v>
      </c>
      <c r="J63" s="17" t="str">
        <f>IF(Plan!$I66=0,F63&amp;G63,"")</f>
        <v>RB LeipzigHamburger SV</v>
      </c>
      <c r="K63" s="7">
        <f t="shared" si="1"/>
        <v>1</v>
      </c>
      <c r="L63" s="7" t="str">
        <f>IF(AND(K63&gt;0,Plan!$I66=0),H63&amp;Language!$E$65&amp;I63,"")</f>
        <v>2 : 1</v>
      </c>
      <c r="M63" s="2" t="str">
        <f>IF(Plan!$I66=1,F63&amp;G63,"")</f>
        <v/>
      </c>
      <c r="N63" s="93" t="str">
        <f>IF(AND(K63&gt;0,Plan!$I66=1),H63&amp;Language!$E$65&amp;I63,"")</f>
        <v/>
      </c>
      <c r="O63" s="379">
        <f>IF($H63="",0,Results!$L68)</f>
        <v>0</v>
      </c>
      <c r="P63" s="380">
        <f>IF($I63="",0,Results!$M68)</f>
        <v>0</v>
      </c>
    </row>
    <row r="64" spans="2:16" x14ac:dyDescent="0.2">
      <c r="B64" s="2"/>
      <c r="C64" s="2"/>
      <c r="D64" s="2"/>
      <c r="E64" s="298">
        <v>61</v>
      </c>
      <c r="F64" s="190" t="str">
        <f>Plan!$Q67</f>
        <v>FC Bayern München</v>
      </c>
      <c r="G64" s="191" t="str">
        <f>Plan!$S67</f>
        <v>Borussia Dortmund</v>
      </c>
      <c r="H64" s="134">
        <f>IF(AND(Results!$R$6&gt;0,$E64-1&gt;=Results!$R$6*Calc!$F$26),"",IF(AND(Results!$I69&lt;&gt;"",Results!$K69&lt;&gt;"",Results!$F69&lt;&gt;Results!$H69,$F64&lt;&gt;"",$G64&lt;&gt;""),Results!$I69,""))</f>
        <v>2</v>
      </c>
      <c r="I64" s="18">
        <f>IF(AND(Results!$R$6&gt;0,$E64-1&gt;=Results!$R$6*Calc!$F$26),"",IF(AND(Results!$I69&lt;&gt;"",Results!$K69&lt;&gt;"",Results!$F69&lt;&gt;Results!$H69,$F64&lt;&gt;"",$G64&lt;&gt;""),Results!$K69,""))</f>
        <v>1</v>
      </c>
      <c r="J64" s="17" t="str">
        <f>IF(Plan!$I67=0,F64&amp;G64,"")</f>
        <v>FC Bayern MünchenBorussia Dortmund</v>
      </c>
      <c r="K64" s="7">
        <f t="shared" si="1"/>
        <v>1</v>
      </c>
      <c r="L64" s="7" t="str">
        <f>IF(AND(K64&gt;0,Plan!$I67=0),H64&amp;Language!$E$65&amp;I64,"")</f>
        <v>2 : 1</v>
      </c>
      <c r="M64" s="2" t="str">
        <f>IF(Plan!$I67=1,F64&amp;G64,"")</f>
        <v/>
      </c>
      <c r="N64" s="93" t="str">
        <f>IF(AND(K64&gt;0,Plan!$I67=1),H64&amp;Language!$E$65&amp;I64,"")</f>
        <v/>
      </c>
      <c r="O64" s="379">
        <f>IF($H64="",0,Results!$L69)</f>
        <v>0</v>
      </c>
      <c r="P64" s="380">
        <f>IF($I64="",0,Results!$M69)</f>
        <v>0</v>
      </c>
    </row>
    <row r="65" spans="2:16" x14ac:dyDescent="0.2">
      <c r="B65" s="2"/>
      <c r="C65" s="2"/>
      <c r="D65" s="2"/>
      <c r="E65" s="298">
        <v>62</v>
      </c>
      <c r="F65" s="190" t="str">
        <f>Plan!$Q68</f>
        <v>SC Freiburg</v>
      </c>
      <c r="G65" s="191" t="str">
        <f>Plan!$S68</f>
        <v>Eintracht Frankfurt</v>
      </c>
      <c r="H65" s="134">
        <f>IF(AND(Results!$R$6&gt;0,$E65-1&gt;=Results!$R$6*Calc!$F$26),"",IF(AND(Results!$I70&lt;&gt;"",Results!$K70&lt;&gt;"",Results!$F70&lt;&gt;Results!$H70,$F65&lt;&gt;"",$G65&lt;&gt;""),Results!$I70,""))</f>
        <v>2</v>
      </c>
      <c r="I65" s="18">
        <f>IF(AND(Results!$R$6&gt;0,$E65-1&gt;=Results!$R$6*Calc!$F$26),"",IF(AND(Results!$I70&lt;&gt;"",Results!$K70&lt;&gt;"",Results!$F70&lt;&gt;Results!$H70,$F65&lt;&gt;"",$G65&lt;&gt;""),Results!$K70,""))</f>
        <v>2</v>
      </c>
      <c r="J65" s="17" t="str">
        <f>IF(Plan!$I68=0,F65&amp;G65,"")</f>
        <v>SC FreiburgEintracht Frankfurt</v>
      </c>
      <c r="K65" s="7">
        <f t="shared" si="1"/>
        <v>1</v>
      </c>
      <c r="L65" s="7" t="str">
        <f>IF(AND(K65&gt;0,Plan!$I68=0),H65&amp;Language!$E$65&amp;I65,"")</f>
        <v>2 : 2</v>
      </c>
      <c r="M65" s="2" t="str">
        <f>IF(Plan!$I68=1,F65&amp;G65,"")</f>
        <v/>
      </c>
      <c r="N65" s="93" t="str">
        <f>IF(AND(K65&gt;0,Plan!$I68=1),H65&amp;Language!$E$65&amp;I65,"")</f>
        <v/>
      </c>
      <c r="O65" s="379">
        <f>IF($H65="",0,Results!$L70)</f>
        <v>0</v>
      </c>
      <c r="P65" s="380">
        <f>IF($I65="",0,Results!$M70)</f>
        <v>0</v>
      </c>
    </row>
    <row r="66" spans="2:16" x14ac:dyDescent="0.2">
      <c r="B66" s="2"/>
      <c r="C66" s="2"/>
      <c r="D66" s="2"/>
      <c r="E66" s="298">
        <v>63</v>
      </c>
      <c r="F66" s="190" t="str">
        <f>Plan!$Q69</f>
        <v>FC St. Pauli</v>
      </c>
      <c r="G66" s="191" t="str">
        <f>Plan!$S69</f>
        <v>TSG Hoffenheim</v>
      </c>
      <c r="H66" s="134">
        <f>IF(AND(Results!$R$6&gt;0,$E66-1&gt;=Results!$R$6*Calc!$F$26),"",IF(AND(Results!$I71&lt;&gt;"",Results!$K71&lt;&gt;"",Results!$F71&lt;&gt;Results!$H71,$F66&lt;&gt;"",$G66&lt;&gt;""),Results!$I71,""))</f>
        <v>0</v>
      </c>
      <c r="I66" s="18">
        <f>IF(AND(Results!$R$6&gt;0,$E66-1&gt;=Results!$R$6*Calc!$F$26),"",IF(AND(Results!$I71&lt;&gt;"",Results!$K71&lt;&gt;"",Results!$F71&lt;&gt;Results!$H71,$F66&lt;&gt;"",$G66&lt;&gt;""),Results!$K71,""))</f>
        <v>3</v>
      </c>
      <c r="J66" s="17" t="str">
        <f>IF(Plan!$I69=0,F66&amp;G66,"")</f>
        <v>FC St. PauliTSG Hoffenheim</v>
      </c>
      <c r="K66" s="7">
        <f t="shared" si="1"/>
        <v>1</v>
      </c>
      <c r="L66" s="7" t="str">
        <f>IF(AND(K66&gt;0,Plan!$I69=0),H66&amp;Language!$E$65&amp;I66,"")</f>
        <v>0 : 3</v>
      </c>
      <c r="M66" s="2" t="str">
        <f>IF(Plan!$I69=1,F66&amp;G66,"")</f>
        <v/>
      </c>
      <c r="N66" s="93" t="str">
        <f>IF(AND(K66&gt;0,Plan!$I69=1),H66&amp;Language!$E$65&amp;I66,"")</f>
        <v/>
      </c>
      <c r="O66" s="379">
        <f>IF($H66="",0,Results!$L71)</f>
        <v>0</v>
      </c>
      <c r="P66" s="380">
        <f>IF($I66="",0,Results!$M71)</f>
        <v>0</v>
      </c>
    </row>
    <row r="67" spans="2:16" x14ac:dyDescent="0.2">
      <c r="B67" s="2"/>
      <c r="C67" s="2"/>
      <c r="D67" s="2"/>
      <c r="E67" s="298">
        <v>64</v>
      </c>
      <c r="F67" s="190" t="str">
        <f>Plan!$Q70</f>
        <v>SV Werder Bremen</v>
      </c>
      <c r="G67" s="191" t="str">
        <f>Plan!$S70</f>
        <v>1. FC Union Berlin</v>
      </c>
      <c r="H67" s="134">
        <f>IF(AND(Results!$R$6&gt;0,$E67-1&gt;=Results!$R$6*Calc!$F$26),"",IF(AND(Results!$I72&lt;&gt;"",Results!$K72&lt;&gt;"",Results!$F72&lt;&gt;Results!$H72,$F67&lt;&gt;"",$G67&lt;&gt;""),Results!$I72,""))</f>
        <v>1</v>
      </c>
      <c r="I67" s="18">
        <f>IF(AND(Results!$R$6&gt;0,$E67-1&gt;=Results!$R$6*Calc!$F$26),"",IF(AND(Results!$I72&lt;&gt;"",Results!$K72&lt;&gt;"",Results!$F72&lt;&gt;Results!$H72,$F67&lt;&gt;"",$G67&lt;&gt;""),Results!$K72,""))</f>
        <v>0</v>
      </c>
      <c r="J67" s="17" t="str">
        <f>IF(Plan!$I70=0,F67&amp;G67,"")</f>
        <v>SV Werder Bremen1. FC Union Berlin</v>
      </c>
      <c r="K67" s="7">
        <f t="shared" si="1"/>
        <v>1</v>
      </c>
      <c r="L67" s="7" t="str">
        <f>IF(AND(K67&gt;0,Plan!$I70=0),H67&amp;Language!$E$65&amp;I67,"")</f>
        <v>1 : 0</v>
      </c>
      <c r="M67" s="2" t="str">
        <f>IF(Plan!$I70=1,F67&amp;G67,"")</f>
        <v/>
      </c>
      <c r="N67" s="93" t="str">
        <f>IF(AND(K67&gt;0,Plan!$I70=1),H67&amp;Language!$E$65&amp;I67,"")</f>
        <v/>
      </c>
      <c r="O67" s="379">
        <f>IF($H67="",0,Results!$L72)</f>
        <v>0</v>
      </c>
      <c r="P67" s="380">
        <f>IF($I67="",0,Results!$M72)</f>
        <v>0</v>
      </c>
    </row>
    <row r="68" spans="2:16" x14ac:dyDescent="0.2">
      <c r="B68" s="2"/>
      <c r="C68" s="2"/>
      <c r="D68" s="2"/>
      <c r="E68" s="298">
        <v>65</v>
      </c>
      <c r="F68" s="190" t="str">
        <f>Plan!$Q71</f>
        <v>TSG Hoffenheim</v>
      </c>
      <c r="G68" s="191" t="str">
        <f>Plan!$S71</f>
        <v>1. FC Heidenheim 1846</v>
      </c>
      <c r="H68" s="134">
        <f>IF(AND(Results!$R$6&gt;0,$E68-1&gt;=Results!$R$6*Calc!$F$26),"",IF(AND(Results!$I73&lt;&gt;"",Results!$K73&lt;&gt;"",Results!$F73&lt;&gt;Results!$H73,$F68&lt;&gt;"",$G68&lt;&gt;""),Results!$I73,""))</f>
        <v>3</v>
      </c>
      <c r="I68" s="18">
        <f>IF(AND(Results!$R$6&gt;0,$E68-1&gt;=Results!$R$6*Calc!$F$26),"",IF(AND(Results!$I73&lt;&gt;"",Results!$K73&lt;&gt;"",Results!$F73&lt;&gt;Results!$H73,$F68&lt;&gt;"",$G68&lt;&gt;""),Results!$K73,""))</f>
        <v>1</v>
      </c>
      <c r="J68" s="17" t="str">
        <f>IF(Plan!$I71=0,F68&amp;G68,"")</f>
        <v>TSG Hoffenheim1. FC Heidenheim 1846</v>
      </c>
      <c r="K68" s="7">
        <f t="shared" ref="K68:K74" si="2">IF(AND(F68&lt;&gt;"",G68&lt;&gt;"",F68&lt;&gt;G68,H68&lt;&gt;"",I68&lt;&gt;""),1,0)</f>
        <v>1</v>
      </c>
      <c r="L68" s="7" t="str">
        <f>IF(AND(K68&gt;0,Plan!$I71=0),H68&amp;Language!$E$65&amp;I68,"")</f>
        <v>3 : 1</v>
      </c>
      <c r="M68" s="2" t="str">
        <f>IF(Plan!$I71=1,F68&amp;G68,"")</f>
        <v/>
      </c>
      <c r="N68" s="93" t="str">
        <f>IF(AND(K68&gt;0,Plan!$I71=1),H68&amp;Language!$E$65&amp;I68,"")</f>
        <v/>
      </c>
      <c r="O68" s="379">
        <f>IF($H68="",0,Results!$L73)</f>
        <v>0</v>
      </c>
      <c r="P68" s="380">
        <f>IF($I68="",0,Results!$M73)</f>
        <v>0</v>
      </c>
    </row>
    <row r="69" spans="2:16" x14ac:dyDescent="0.2">
      <c r="B69" s="2"/>
      <c r="C69" s="2"/>
      <c r="D69" s="2"/>
      <c r="E69" s="298">
        <v>66</v>
      </c>
      <c r="F69" s="190" t="str">
        <f>Plan!$Q72</f>
        <v>Hamburger SV</v>
      </c>
      <c r="G69" s="191" t="str">
        <f>Plan!$S72</f>
        <v>VfL Wolfsburg</v>
      </c>
      <c r="H69" s="134">
        <f>IF(AND(Results!$R$6&gt;0,$E69-1&gt;=Results!$R$6*Calc!$F$26),"",IF(AND(Results!$I74&lt;&gt;"",Results!$K74&lt;&gt;"",Results!$F74&lt;&gt;Results!$H74,$F69&lt;&gt;"",$G69&lt;&gt;""),Results!$I74,""))</f>
        <v>0</v>
      </c>
      <c r="I69" s="18">
        <f>IF(AND(Results!$R$6&gt;0,$E69-1&gt;=Results!$R$6*Calc!$F$26),"",IF(AND(Results!$I74&lt;&gt;"",Results!$K74&lt;&gt;"",Results!$F74&lt;&gt;Results!$H74,$F69&lt;&gt;"",$G69&lt;&gt;""),Results!$K74,""))</f>
        <v>1</v>
      </c>
      <c r="J69" s="17" t="str">
        <f>IF(Plan!$I72=0,F69&amp;G69,"")</f>
        <v>Hamburger SVVfL Wolfsburg</v>
      </c>
      <c r="K69" s="7">
        <f t="shared" si="2"/>
        <v>1</v>
      </c>
      <c r="L69" s="7" t="str">
        <f>IF(AND(K69&gt;0,Plan!$I72=0),H69&amp;Language!$E$65&amp;I69,"")</f>
        <v>0 : 1</v>
      </c>
      <c r="M69" s="2" t="str">
        <f>IF(Plan!$I72=1,F69&amp;G69,"")</f>
        <v/>
      </c>
      <c r="N69" s="93" t="str">
        <f>IF(AND(K69&gt;0,Plan!$I72=1),H69&amp;Language!$E$65&amp;I69,"")</f>
        <v/>
      </c>
      <c r="O69" s="379">
        <f>IF($H69="",0,Results!$L74)</f>
        <v>0</v>
      </c>
      <c r="P69" s="380">
        <f>IF($I69="",0,Results!$M74)</f>
        <v>0</v>
      </c>
    </row>
    <row r="70" spans="2:16" x14ac:dyDescent="0.2">
      <c r="B70" s="2"/>
      <c r="C70" s="2"/>
      <c r="D70" s="2"/>
      <c r="E70" s="298">
        <v>67</v>
      </c>
      <c r="F70" s="190" t="str">
        <f>Plan!$Q73</f>
        <v>FC Augsburg</v>
      </c>
      <c r="G70" s="191" t="str">
        <f>Plan!$S73</f>
        <v>RB Leipzig</v>
      </c>
      <c r="H70" s="134">
        <f>IF(AND(Results!$R$6&gt;0,$E70-1&gt;=Results!$R$6*Calc!$F$26),"",IF(AND(Results!$I75&lt;&gt;"",Results!$K75&lt;&gt;"",Results!$F75&lt;&gt;Results!$H75,$F70&lt;&gt;"",$G70&lt;&gt;""),Results!$I75,""))</f>
        <v>0</v>
      </c>
      <c r="I70" s="18">
        <f>IF(AND(Results!$R$6&gt;0,$E70-1&gt;=Results!$R$6*Calc!$F$26),"",IF(AND(Results!$I75&lt;&gt;"",Results!$K75&lt;&gt;"",Results!$F75&lt;&gt;Results!$H75,$F70&lt;&gt;"",$G70&lt;&gt;""),Results!$K75,""))</f>
        <v>6</v>
      </c>
      <c r="J70" s="17" t="str">
        <f>IF(Plan!$I73=0,F70&amp;G70,"")</f>
        <v>FC AugsburgRB Leipzig</v>
      </c>
      <c r="K70" s="7">
        <f t="shared" si="2"/>
        <v>1</v>
      </c>
      <c r="L70" s="7" t="str">
        <f>IF(AND(K70&gt;0,Plan!$I73=0),H70&amp;Language!$E$65&amp;I70,"")</f>
        <v>0 : 6</v>
      </c>
      <c r="M70" s="2" t="str">
        <f>IF(Plan!$I73=1,F70&amp;G70,"")</f>
        <v/>
      </c>
      <c r="N70" s="93" t="str">
        <f>IF(AND(K70&gt;0,Plan!$I73=1),H70&amp;Language!$E$65&amp;I70,"")</f>
        <v/>
      </c>
      <c r="O70" s="379">
        <f>IF($H70="",0,Results!$L75)</f>
        <v>0</v>
      </c>
      <c r="P70" s="380">
        <f>IF($I70="",0,Results!$M75)</f>
        <v>0</v>
      </c>
    </row>
    <row r="71" spans="2:16" x14ac:dyDescent="0.2">
      <c r="B71" s="2"/>
      <c r="C71" s="2"/>
      <c r="D71" s="2"/>
      <c r="E71" s="298">
        <v>68</v>
      </c>
      <c r="F71" s="190" t="str">
        <f>Plan!$Q74</f>
        <v>Eintracht Frankfurt</v>
      </c>
      <c r="G71" s="191" t="str">
        <f>Plan!$S74</f>
        <v>FC St. Pauli</v>
      </c>
      <c r="H71" s="134">
        <f>IF(AND(Results!$R$6&gt;0,$E71-1&gt;=Results!$R$6*Calc!$F$26),"",IF(AND(Results!$I76&lt;&gt;"",Results!$K76&lt;&gt;"",Results!$F76&lt;&gt;Results!$H76,$F71&lt;&gt;"",$G71&lt;&gt;""),Results!$I76,""))</f>
        <v>2</v>
      </c>
      <c r="I71" s="18">
        <f>IF(AND(Results!$R$6&gt;0,$E71-1&gt;=Results!$R$6*Calc!$F$26),"",IF(AND(Results!$I76&lt;&gt;"",Results!$K76&lt;&gt;"",Results!$F76&lt;&gt;Results!$H76,$F71&lt;&gt;"",$G71&lt;&gt;""),Results!$K76,""))</f>
        <v>0</v>
      </c>
      <c r="J71" s="17" t="str">
        <f>IF(Plan!$I74=0,F71&amp;G71,"")</f>
        <v>Eintracht FrankfurtFC St. Pauli</v>
      </c>
      <c r="K71" s="7">
        <f t="shared" si="2"/>
        <v>1</v>
      </c>
      <c r="L71" s="7" t="str">
        <f>IF(AND(K71&gt;0,Plan!$I74=0),H71&amp;Language!$E$65&amp;I71,"")</f>
        <v>2 : 0</v>
      </c>
      <c r="M71" s="2" t="str">
        <f>IF(Plan!$I74=1,F71&amp;G71,"")</f>
        <v/>
      </c>
      <c r="N71" s="93" t="str">
        <f>IF(AND(K71&gt;0,Plan!$I74=1),H71&amp;Language!$E$65&amp;I71,"")</f>
        <v/>
      </c>
      <c r="O71" s="379">
        <f>IF($H71="",0,Results!$L76)</f>
        <v>0</v>
      </c>
      <c r="P71" s="380">
        <f>IF($I71="",0,Results!$M76)</f>
        <v>0</v>
      </c>
    </row>
    <row r="72" spans="2:16" x14ac:dyDescent="0.2">
      <c r="B72" s="2"/>
      <c r="C72" s="2"/>
      <c r="D72" s="2"/>
      <c r="E72" s="298">
        <v>69</v>
      </c>
      <c r="F72" s="190" t="str">
        <f>Plan!$Q75</f>
        <v>Borussia Mönchengladbach</v>
      </c>
      <c r="G72" s="191" t="str">
        <f>Plan!$S75</f>
        <v>FC Bayern München</v>
      </c>
      <c r="H72" s="134">
        <f>IF(AND(Results!$R$6&gt;0,$E72-1&gt;=Results!$R$6*Calc!$F$26),"",IF(AND(Results!$I77&lt;&gt;"",Results!$K77&lt;&gt;"",Results!$F77&lt;&gt;Results!$H77,$F72&lt;&gt;"",$G72&lt;&gt;""),Results!$I77,""))</f>
        <v>0</v>
      </c>
      <c r="I72" s="18">
        <f>IF(AND(Results!$R$6&gt;0,$E72-1&gt;=Results!$R$6*Calc!$F$26),"",IF(AND(Results!$I77&lt;&gt;"",Results!$K77&lt;&gt;"",Results!$F77&lt;&gt;Results!$H77,$F72&lt;&gt;"",$G72&lt;&gt;""),Results!$K77,""))</f>
        <v>3</v>
      </c>
      <c r="J72" s="17" t="str">
        <f>IF(Plan!$I75=0,F72&amp;G72,"")</f>
        <v>Borussia MönchengladbachFC Bayern München</v>
      </c>
      <c r="K72" s="7">
        <f t="shared" si="2"/>
        <v>1</v>
      </c>
      <c r="L72" s="7" t="str">
        <f>IF(AND(K72&gt;0,Plan!$I75=0),H72&amp;Language!$E$65&amp;I72,"")</f>
        <v>0 : 3</v>
      </c>
      <c r="M72" s="2" t="str">
        <f>IF(Plan!$I75=1,F72&amp;G72,"")</f>
        <v/>
      </c>
      <c r="N72" s="93" t="str">
        <f>IF(AND(K72&gt;0,Plan!$I75=1),H72&amp;Language!$E$65&amp;I72,"")</f>
        <v/>
      </c>
      <c r="O72" s="379">
        <f>IF($H72="",0,Results!$L77)</f>
        <v>0</v>
      </c>
      <c r="P72" s="380">
        <f>IF($I72="",0,Results!$M77)</f>
        <v>0</v>
      </c>
    </row>
    <row r="73" spans="2:16" x14ac:dyDescent="0.2">
      <c r="B73" s="2"/>
      <c r="C73" s="2"/>
      <c r="D73" s="2"/>
      <c r="E73" s="298">
        <v>70</v>
      </c>
      <c r="F73" s="190" t="str">
        <f>Plan!$Q76</f>
        <v>Borussia Dortmund</v>
      </c>
      <c r="G73" s="191" t="str">
        <f>Plan!$S76</f>
        <v>1. FC Köln</v>
      </c>
      <c r="H73" s="134">
        <f>IF(AND(Results!$R$6&gt;0,$E73-1&gt;=Results!$R$6*Calc!$F$26),"",IF(AND(Results!$I78&lt;&gt;"",Results!$K78&lt;&gt;"",Results!$F78&lt;&gt;Results!$H78,$F73&lt;&gt;"",$G73&lt;&gt;""),Results!$I78,""))</f>
        <v>1</v>
      </c>
      <c r="I73" s="18">
        <f>IF(AND(Results!$R$6&gt;0,$E73-1&gt;=Results!$R$6*Calc!$F$26),"",IF(AND(Results!$I78&lt;&gt;"",Results!$K78&lt;&gt;"",Results!$F78&lt;&gt;Results!$H78,$F73&lt;&gt;"",$G73&lt;&gt;""),Results!$K78,""))</f>
        <v>0</v>
      </c>
      <c r="J73" s="17" t="str">
        <f>IF(Plan!$I76=0,F73&amp;G73,"")</f>
        <v>Borussia Dortmund1. FC Köln</v>
      </c>
      <c r="K73" s="7">
        <f t="shared" si="2"/>
        <v>1</v>
      </c>
      <c r="L73" s="7" t="str">
        <f>IF(AND(K73&gt;0,Plan!$I76=0),H73&amp;Language!$E$65&amp;I73,"")</f>
        <v>1 : 0</v>
      </c>
      <c r="M73" s="2" t="str">
        <f>IF(Plan!$I76=1,F73&amp;G73,"")</f>
        <v/>
      </c>
      <c r="N73" s="93" t="str">
        <f>IF(AND(K73&gt;0,Plan!$I76=1),H73&amp;Language!$E$65&amp;I73,"")</f>
        <v/>
      </c>
      <c r="O73" s="379">
        <f>IF($H73="",0,Results!$L78)</f>
        <v>0</v>
      </c>
      <c r="P73" s="380">
        <f>IF($I73="",0,Results!$M78)</f>
        <v>0</v>
      </c>
    </row>
    <row r="74" spans="2:16" x14ac:dyDescent="0.2">
      <c r="B74" s="2"/>
      <c r="C74" s="2"/>
      <c r="D74" s="2"/>
      <c r="E74" s="298">
        <v>71</v>
      </c>
      <c r="F74" s="190" t="str">
        <f>Plan!$Q77</f>
        <v>Bayer 04 Leverkusen</v>
      </c>
      <c r="G74" s="191" t="str">
        <f>Plan!$S77</f>
        <v>SC Freiburg</v>
      </c>
      <c r="H74" s="134">
        <f>IF(AND(Results!$R$6&gt;0,$E74-1&gt;=Results!$R$6*Calc!$F$26),"",IF(AND(Results!$I79&lt;&gt;"",Results!$K79&lt;&gt;"",Results!$F79&lt;&gt;Results!$H79,$F74&lt;&gt;"",$G74&lt;&gt;""),Results!$I79,""))</f>
        <v>2</v>
      </c>
      <c r="I74" s="18">
        <f>IF(AND(Results!$R$6&gt;0,$E74-1&gt;=Results!$R$6*Calc!$F$26),"",IF(AND(Results!$I79&lt;&gt;"",Results!$K79&lt;&gt;"",Results!$F79&lt;&gt;Results!$H79,$F74&lt;&gt;"",$G74&lt;&gt;""),Results!$K79,""))</f>
        <v>0</v>
      </c>
      <c r="J74" s="17" t="str">
        <f>IF(Plan!$I77=0,F74&amp;G74,"")</f>
        <v>Bayer 04 LeverkusenSC Freiburg</v>
      </c>
      <c r="K74" s="7">
        <f t="shared" si="2"/>
        <v>1</v>
      </c>
      <c r="L74" s="7" t="str">
        <f>IF(AND(K74&gt;0,Plan!$I77=0),H74&amp;Language!$E$65&amp;I74,"")</f>
        <v>2 : 0</v>
      </c>
      <c r="M74" s="2" t="str">
        <f>IF(Plan!$I77=1,F74&amp;G74,"")</f>
        <v/>
      </c>
      <c r="N74" s="93" t="str">
        <f>IF(AND(K74&gt;0,Plan!$I77=1),H74&amp;Language!$E$65&amp;I74,"")</f>
        <v/>
      </c>
      <c r="O74" s="379">
        <f>IF($H74="",0,Results!$L79)</f>
        <v>0</v>
      </c>
      <c r="P74" s="380">
        <f>IF($I74="",0,Results!$M79)</f>
        <v>0</v>
      </c>
    </row>
    <row r="75" spans="2:16" x14ac:dyDescent="0.2">
      <c r="B75" s="2"/>
      <c r="C75" s="2"/>
      <c r="D75" s="2"/>
      <c r="E75" s="298">
        <v>72</v>
      </c>
      <c r="F75" s="190" t="str">
        <f>Plan!$Q78</f>
        <v>VfB Stuttgart</v>
      </c>
      <c r="G75" s="191" t="str">
        <f>Plan!$S78</f>
        <v>1. FSV Mainz 05</v>
      </c>
      <c r="H75" s="134">
        <f>IF(AND(Results!$R$6&gt;0,$E75-1&gt;=Results!$R$6*Calc!$F$26),"",IF(AND(Results!$I80&lt;&gt;"",Results!$K80&lt;&gt;"",Results!$F80&lt;&gt;Results!$H80,$F75&lt;&gt;"",$G75&lt;&gt;""),Results!$I80,""))</f>
        <v>2</v>
      </c>
      <c r="I75" s="18">
        <f>IF(AND(Results!$R$6&gt;0,$E75-1&gt;=Results!$R$6*Calc!$F$26),"",IF(AND(Results!$I80&lt;&gt;"",Results!$K80&lt;&gt;"",Results!$F80&lt;&gt;Results!$H80,$F75&lt;&gt;"",$G75&lt;&gt;""),Results!$K80,""))</f>
        <v>1</v>
      </c>
      <c r="J75" s="17" t="str">
        <f>IF(Plan!$I78=0,F75&amp;G75,"")</f>
        <v>VfB Stuttgart1. FSV Mainz 05</v>
      </c>
      <c r="K75" s="134">
        <f t="shared" ref="K75:K138" si="3">IF(AND(F75&lt;&gt;"",G75&lt;&gt;"",F75&lt;&gt;G75,H75&lt;&gt;"",I75&lt;&gt;""),1,0)</f>
        <v>1</v>
      </c>
      <c r="L75" s="134" t="str">
        <f>IF(AND(K75&gt;0,Plan!$I78=0),H75&amp;Language!$E$65&amp;I75,"")</f>
        <v>2 : 1</v>
      </c>
      <c r="M75" s="2" t="str">
        <f>IF(Plan!$I78=1,F75&amp;G75,"")</f>
        <v/>
      </c>
      <c r="N75" s="93" t="str">
        <f>IF(AND(K75&gt;0,Plan!$I78=1),H75&amp;Language!$E$65&amp;I75,"")</f>
        <v/>
      </c>
      <c r="O75" s="379">
        <f>IF($H75="",0,Results!$L80)</f>
        <v>0</v>
      </c>
      <c r="P75" s="380">
        <f>IF($I75="",0,Results!$M80)</f>
        <v>0</v>
      </c>
    </row>
    <row r="76" spans="2:16" x14ac:dyDescent="0.2">
      <c r="B76" s="2"/>
      <c r="C76" s="2"/>
      <c r="D76" s="2"/>
      <c r="E76" s="298">
        <v>73</v>
      </c>
      <c r="F76" s="190" t="str">
        <f>Plan!$Q79</f>
        <v>FC Augsburg</v>
      </c>
      <c r="G76" s="191" t="str">
        <f>Plan!$S79</f>
        <v>Borussia Dortmund</v>
      </c>
      <c r="H76" s="134">
        <f>IF(AND(Results!$R$6&gt;0,$E76-1&gt;=Results!$R$6*Calc!$F$26),"",IF(AND(Results!$I81&lt;&gt;"",Results!$K81&lt;&gt;"",Results!$F81&lt;&gt;Results!$H81,$F76&lt;&gt;"",$G76&lt;&gt;""),Results!$I81,""))</f>
        <v>0</v>
      </c>
      <c r="I76" s="18">
        <f>IF(AND(Results!$R$6&gt;0,$E76-1&gt;=Results!$R$6*Calc!$F$26),"",IF(AND(Results!$I81&lt;&gt;"",Results!$K81&lt;&gt;"",Results!$F81&lt;&gt;Results!$H81,$F76&lt;&gt;"",$G76&lt;&gt;""),Results!$K81,""))</f>
        <v>1</v>
      </c>
      <c r="J76" s="17" t="str">
        <f>IF(Plan!$I79=0,F76&amp;G76,"")</f>
        <v>FC AugsburgBorussia Dortmund</v>
      </c>
      <c r="K76" s="134">
        <f t="shared" si="3"/>
        <v>1</v>
      </c>
      <c r="L76" s="134" t="str">
        <f>IF(AND(K76&gt;0,Plan!$I79=0),H76&amp;Language!$E$65&amp;I76,"")</f>
        <v>0 : 1</v>
      </c>
      <c r="M76" s="2" t="str">
        <f>IF(Plan!$I79=1,F76&amp;G76,"")</f>
        <v/>
      </c>
      <c r="N76" s="93" t="str">
        <f>IF(AND(K76&gt;0,Plan!$I79=1),H76&amp;Language!$E$65&amp;I76,"")</f>
        <v/>
      </c>
      <c r="O76" s="379">
        <f>IF($H76="",0,Results!$L81)</f>
        <v>0</v>
      </c>
      <c r="P76" s="380">
        <f>IF($I76="",0,Results!$M81)</f>
        <v>0</v>
      </c>
    </row>
    <row r="77" spans="2:16" x14ac:dyDescent="0.2">
      <c r="B77" s="5"/>
      <c r="C77" s="5"/>
      <c r="D77" s="5"/>
      <c r="E77" s="298">
        <v>74</v>
      </c>
      <c r="F77" s="190" t="str">
        <f>Plan!$Q80</f>
        <v>FC St. Pauli</v>
      </c>
      <c r="G77" s="191" t="str">
        <f>Plan!$S80</f>
        <v>Borussia Mönchengladbach</v>
      </c>
      <c r="H77" s="134">
        <f>IF(AND(Results!$R$6&gt;0,$E77-1&gt;=Results!$R$6*Calc!$F$26),"",IF(AND(Results!$I82&lt;&gt;"",Results!$K82&lt;&gt;"",Results!$F82&lt;&gt;Results!$H82,$F77&lt;&gt;"",$G77&lt;&gt;""),Results!$I82,""))</f>
        <v>0</v>
      </c>
      <c r="I77" s="18">
        <f>IF(AND(Results!$R$6&gt;0,$E77-1&gt;=Results!$R$6*Calc!$F$26),"",IF(AND(Results!$I82&lt;&gt;"",Results!$K82&lt;&gt;"",Results!$F82&lt;&gt;Results!$H82,$F77&lt;&gt;"",$G77&lt;&gt;""),Results!$K82,""))</f>
        <v>4</v>
      </c>
      <c r="J77" s="17" t="str">
        <f>IF(Plan!$I80=0,F77&amp;G77,"")</f>
        <v>FC St. PauliBorussia Mönchengladbach</v>
      </c>
      <c r="K77" s="134">
        <f t="shared" si="3"/>
        <v>1</v>
      </c>
      <c r="L77" s="134" t="str">
        <f>IF(AND(K77&gt;0,Plan!$I80=0),H77&amp;Language!$E$65&amp;I77,"")</f>
        <v>0 : 4</v>
      </c>
      <c r="M77" s="2" t="str">
        <f>IF(Plan!$I80=1,F77&amp;G77,"")</f>
        <v/>
      </c>
      <c r="N77" s="93" t="str">
        <f>IF(AND(K77&gt;0,Plan!$I80=1),H77&amp;Language!$E$65&amp;I77,"")</f>
        <v/>
      </c>
      <c r="O77" s="379">
        <f>IF($H77="",0,Results!$L82)</f>
        <v>0</v>
      </c>
      <c r="P77" s="380">
        <f>IF($I77="",0,Results!$M82)</f>
        <v>0</v>
      </c>
    </row>
    <row r="78" spans="2:16" x14ac:dyDescent="0.2">
      <c r="B78" s="5"/>
      <c r="C78" s="5"/>
      <c r="D78" s="5"/>
      <c r="E78" s="298">
        <v>75</v>
      </c>
      <c r="F78" s="190" t="str">
        <f>Plan!$Q81</f>
        <v>1. FC Heidenheim 1846</v>
      </c>
      <c r="G78" s="191" t="str">
        <f>Plan!$S81</f>
        <v>Eintracht Frankfurt</v>
      </c>
      <c r="H78" s="134">
        <f>IF(AND(Results!$R$6&gt;0,$E78-1&gt;=Results!$R$6*Calc!$F$26),"",IF(AND(Results!$I83&lt;&gt;"",Results!$K83&lt;&gt;"",Results!$F83&lt;&gt;Results!$H83,$F78&lt;&gt;"",$G78&lt;&gt;""),Results!$I83,""))</f>
        <v>1</v>
      </c>
      <c r="I78" s="18">
        <f>IF(AND(Results!$R$6&gt;0,$E78-1&gt;=Results!$R$6*Calc!$F$26),"",IF(AND(Results!$I83&lt;&gt;"",Results!$K83&lt;&gt;"",Results!$F83&lt;&gt;Results!$H83,$F78&lt;&gt;"",$G78&lt;&gt;""),Results!$K83,""))</f>
        <v>1</v>
      </c>
      <c r="J78" s="17" t="str">
        <f>IF(Plan!$I81=0,F78&amp;G78,"")</f>
        <v>1. FC Heidenheim 1846Eintracht Frankfurt</v>
      </c>
      <c r="K78" s="134">
        <f t="shared" si="3"/>
        <v>1</v>
      </c>
      <c r="L78" s="134" t="str">
        <f>IF(AND(K78&gt;0,Plan!$I81=0),H78&amp;Language!$E$65&amp;I78,"")</f>
        <v>1 : 1</v>
      </c>
      <c r="M78" s="2" t="str">
        <f>IF(Plan!$I81=1,F78&amp;G78,"")</f>
        <v/>
      </c>
      <c r="N78" s="93" t="str">
        <f>IF(AND(K78&gt;0,Plan!$I81=1),H78&amp;Language!$E$65&amp;I78,"")</f>
        <v/>
      </c>
      <c r="O78" s="379">
        <f>IF($H78="",0,Results!$L83)</f>
        <v>0</v>
      </c>
      <c r="P78" s="380">
        <f>IF($I78="",0,Results!$M83)</f>
        <v>0</v>
      </c>
    </row>
    <row r="79" spans="2:16" x14ac:dyDescent="0.2">
      <c r="B79" s="5"/>
      <c r="C79" s="5"/>
      <c r="D79" s="5"/>
      <c r="E79" s="298">
        <v>76</v>
      </c>
      <c r="F79" s="190" t="str">
        <f>Plan!$Q82</f>
        <v>1. FC Union Berlin</v>
      </c>
      <c r="G79" s="191" t="str">
        <f>Plan!$S82</f>
        <v>SC Freiburg</v>
      </c>
      <c r="H79" s="134">
        <f>IF(AND(Results!$R$6&gt;0,$E79-1&gt;=Results!$R$6*Calc!$F$26),"",IF(AND(Results!$I84&lt;&gt;"",Results!$K84&lt;&gt;"",Results!$F84&lt;&gt;Results!$H84,$F79&lt;&gt;"",$G79&lt;&gt;""),Results!$I84,""))</f>
        <v>0</v>
      </c>
      <c r="I79" s="18">
        <f>IF(AND(Results!$R$6&gt;0,$E79-1&gt;=Results!$R$6*Calc!$F$26),"",IF(AND(Results!$I84&lt;&gt;"",Results!$K84&lt;&gt;"",Results!$F84&lt;&gt;Results!$H84,$F79&lt;&gt;"",$G79&lt;&gt;""),Results!$K84,""))</f>
        <v>0</v>
      </c>
      <c r="J79" s="17" t="str">
        <f>IF(Plan!$I82=0,F79&amp;G79,"")</f>
        <v>1. FC Union BerlinSC Freiburg</v>
      </c>
      <c r="K79" s="134">
        <f t="shared" si="3"/>
        <v>1</v>
      </c>
      <c r="L79" s="134" t="str">
        <f>IF(AND(K79&gt;0,Plan!$I82=0),H79&amp;Language!$E$65&amp;I79,"")</f>
        <v>0 : 0</v>
      </c>
      <c r="M79" s="2" t="str">
        <f>IF(Plan!$I82=1,F79&amp;G79,"")</f>
        <v/>
      </c>
      <c r="N79" s="93" t="str">
        <f>IF(AND(K79&gt;0,Plan!$I82=1),H79&amp;Language!$E$65&amp;I79,"")</f>
        <v/>
      </c>
      <c r="O79" s="379">
        <f>IF($H79="",0,Results!$L84)</f>
        <v>0</v>
      </c>
      <c r="P79" s="380">
        <f>IF($I79="",0,Results!$M84)</f>
        <v>0</v>
      </c>
    </row>
    <row r="80" spans="2:16" x14ac:dyDescent="0.2">
      <c r="B80" s="5"/>
      <c r="C80" s="5"/>
      <c r="D80" s="5"/>
      <c r="E80" s="298">
        <v>77</v>
      </c>
      <c r="F80" s="190" t="str">
        <f>Plan!$Q83</f>
        <v>1. FSV Mainz 05</v>
      </c>
      <c r="G80" s="191" t="str">
        <f>Plan!$S83</f>
        <v>SV Werder Bremen</v>
      </c>
      <c r="H80" s="134">
        <f>IF(AND(Results!$R$6&gt;0,$E80-1&gt;=Results!$R$6*Calc!$F$26),"",IF(AND(Results!$I85&lt;&gt;"",Results!$K85&lt;&gt;"",Results!$F85&lt;&gt;Results!$H85,$F80&lt;&gt;"",$G80&lt;&gt;""),Results!$I85,""))</f>
        <v>1</v>
      </c>
      <c r="I80" s="18">
        <f>IF(AND(Results!$R$6&gt;0,$E80-1&gt;=Results!$R$6*Calc!$F$26),"",IF(AND(Results!$I85&lt;&gt;"",Results!$K85&lt;&gt;"",Results!$F85&lt;&gt;Results!$H85,$F80&lt;&gt;"",$G80&lt;&gt;""),Results!$K85,""))</f>
        <v>1</v>
      </c>
      <c r="J80" s="17" t="str">
        <f>IF(Plan!$I83=0,F80&amp;G80,"")</f>
        <v>1. FSV Mainz 05SV Werder Bremen</v>
      </c>
      <c r="K80" s="134">
        <f t="shared" si="3"/>
        <v>1</v>
      </c>
      <c r="L80" s="134" t="str">
        <f>IF(AND(K80&gt;0,Plan!$I83=0),H80&amp;Language!$E$65&amp;I80,"")</f>
        <v>1 : 1</v>
      </c>
      <c r="M80" s="2" t="str">
        <f>IF(Plan!$I83=1,F80&amp;G80,"")</f>
        <v/>
      </c>
      <c r="N80" s="93" t="str">
        <f>IF(AND(K80&gt;0,Plan!$I83=1),H80&amp;Language!$E$65&amp;I80,"")</f>
        <v/>
      </c>
      <c r="O80" s="379">
        <f>IF($H80="",0,Results!$L85)</f>
        <v>0</v>
      </c>
      <c r="P80" s="380">
        <f>IF($I80="",0,Results!$M85)</f>
        <v>0</v>
      </c>
    </row>
    <row r="81" spans="2:16" x14ac:dyDescent="0.2">
      <c r="B81" s="5"/>
      <c r="C81" s="5"/>
      <c r="D81" s="5"/>
      <c r="E81" s="298">
        <v>78</v>
      </c>
      <c r="F81" s="190" t="str">
        <f>Plan!$Q84</f>
        <v>RB Leipzig</v>
      </c>
      <c r="G81" s="191" t="str">
        <f>Plan!$S84</f>
        <v>VfB Stuttgart</v>
      </c>
      <c r="H81" s="134">
        <f>IF(AND(Results!$R$6&gt;0,$E81-1&gt;=Results!$R$6*Calc!$F$26),"",IF(AND(Results!$I86&lt;&gt;"",Results!$K86&lt;&gt;"",Results!$F86&lt;&gt;Results!$H86,$F81&lt;&gt;"",$G81&lt;&gt;""),Results!$I86,""))</f>
        <v>3</v>
      </c>
      <c r="I81" s="18">
        <f>IF(AND(Results!$R$6&gt;0,$E81-1&gt;=Results!$R$6*Calc!$F$26),"",IF(AND(Results!$I86&lt;&gt;"",Results!$K86&lt;&gt;"",Results!$F86&lt;&gt;Results!$H86,$F81&lt;&gt;"",$G81&lt;&gt;""),Results!$K86,""))</f>
        <v>1</v>
      </c>
      <c r="J81" s="17" t="str">
        <f>IF(Plan!$I84=0,F81&amp;G81,"")</f>
        <v>RB LeipzigVfB Stuttgart</v>
      </c>
      <c r="K81" s="134">
        <f t="shared" si="3"/>
        <v>1</v>
      </c>
      <c r="L81" s="134" t="str">
        <f>IF(AND(K81&gt;0,Plan!$I84=0),H81&amp;Language!$E$65&amp;I81,"")</f>
        <v>3 : 1</v>
      </c>
      <c r="M81" s="2" t="str">
        <f>IF(Plan!$I84=1,F81&amp;G81,"")</f>
        <v/>
      </c>
      <c r="N81" s="93" t="str">
        <f>IF(AND(K81&gt;0,Plan!$I84=1),H81&amp;Language!$E$65&amp;I81,"")</f>
        <v/>
      </c>
      <c r="O81" s="379">
        <f>IF($H81="",0,Results!$L86)</f>
        <v>0</v>
      </c>
      <c r="P81" s="380">
        <f>IF($I81="",0,Results!$M86)</f>
        <v>0</v>
      </c>
    </row>
    <row r="82" spans="2:16" x14ac:dyDescent="0.2">
      <c r="B82" s="5"/>
      <c r="C82" s="5"/>
      <c r="D82" s="5"/>
      <c r="E82" s="298">
        <v>79</v>
      </c>
      <c r="F82" s="190" t="str">
        <f>Plan!$Q85</f>
        <v>FC Bayern München</v>
      </c>
      <c r="G82" s="191" t="str">
        <f>Plan!$S85</f>
        <v>Bayer 04 Leverkusen</v>
      </c>
      <c r="H82" s="134">
        <f>IF(AND(Results!$R$6&gt;0,$E82-1&gt;=Results!$R$6*Calc!$F$26),"",IF(AND(Results!$I87&lt;&gt;"",Results!$K87&lt;&gt;"",Results!$F87&lt;&gt;Results!$H87,$F82&lt;&gt;"",$G82&lt;&gt;""),Results!$I87,""))</f>
        <v>3</v>
      </c>
      <c r="I82" s="18">
        <f>IF(AND(Results!$R$6&gt;0,$E82-1&gt;=Results!$R$6*Calc!$F$26),"",IF(AND(Results!$I87&lt;&gt;"",Results!$K87&lt;&gt;"",Results!$F87&lt;&gt;Results!$H87,$F82&lt;&gt;"",$G82&lt;&gt;""),Results!$K87,""))</f>
        <v>0</v>
      </c>
      <c r="J82" s="17" t="str">
        <f>IF(Plan!$I85=0,F82&amp;G82,"")</f>
        <v>FC Bayern MünchenBayer 04 Leverkusen</v>
      </c>
      <c r="K82" s="134">
        <f t="shared" si="3"/>
        <v>1</v>
      </c>
      <c r="L82" s="134" t="str">
        <f>IF(AND(K82&gt;0,Plan!$I85=0),H82&amp;Language!$E$65&amp;I82,"")</f>
        <v>3 : 0</v>
      </c>
      <c r="M82" s="2" t="str">
        <f>IF(Plan!$I85=1,F82&amp;G82,"")</f>
        <v/>
      </c>
      <c r="N82" s="93" t="str">
        <f>IF(AND(K82&gt;0,Plan!$I85=1),H82&amp;Language!$E$65&amp;I82,"")</f>
        <v/>
      </c>
      <c r="O82" s="379">
        <f>IF($H82="",0,Results!$L87)</f>
        <v>0</v>
      </c>
      <c r="P82" s="380">
        <f>IF($I82="",0,Results!$M87)</f>
        <v>0</v>
      </c>
    </row>
    <row r="83" spans="2:16" x14ac:dyDescent="0.2">
      <c r="B83" s="5"/>
      <c r="C83" s="5"/>
      <c r="D83" s="5"/>
      <c r="E83" s="298">
        <v>80</v>
      </c>
      <c r="F83" s="190" t="str">
        <f>Plan!$Q86</f>
        <v>1. FC Köln</v>
      </c>
      <c r="G83" s="191" t="str">
        <f>Plan!$S86</f>
        <v>Hamburger SV</v>
      </c>
      <c r="H83" s="134">
        <f>IF(AND(Results!$R$6&gt;0,$E83-1&gt;=Results!$R$6*Calc!$F$26),"",IF(AND(Results!$I88&lt;&gt;"",Results!$K88&lt;&gt;"",Results!$F88&lt;&gt;Results!$H88,$F83&lt;&gt;"",$G83&lt;&gt;""),Results!$I88,""))</f>
        <v>4</v>
      </c>
      <c r="I83" s="18">
        <f>IF(AND(Results!$R$6&gt;0,$E83-1&gt;=Results!$R$6*Calc!$F$26),"",IF(AND(Results!$I88&lt;&gt;"",Results!$K88&lt;&gt;"",Results!$F88&lt;&gt;Results!$H88,$F83&lt;&gt;"",$G83&lt;&gt;""),Results!$K88,""))</f>
        <v>1</v>
      </c>
      <c r="J83" s="17" t="str">
        <f>IF(Plan!$I86=0,F83&amp;G83,"")</f>
        <v>1. FC KölnHamburger SV</v>
      </c>
      <c r="K83" s="134">
        <f t="shared" si="3"/>
        <v>1</v>
      </c>
      <c r="L83" s="134" t="str">
        <f>IF(AND(K83&gt;0,Plan!$I86=0),H83&amp;Language!$E$65&amp;I83,"")</f>
        <v>4 : 1</v>
      </c>
      <c r="M83" s="2" t="str">
        <f>IF(Plan!$I86=1,F83&amp;G83,"")</f>
        <v/>
      </c>
      <c r="N83" s="93" t="str">
        <f>IF(AND(K83&gt;0,Plan!$I86=1),H83&amp;Language!$E$65&amp;I83,"")</f>
        <v/>
      </c>
      <c r="O83" s="379">
        <f>IF($H83="",0,Results!$L88)</f>
        <v>0</v>
      </c>
      <c r="P83" s="380">
        <f>IF($I83="",0,Results!$M88)</f>
        <v>0</v>
      </c>
    </row>
    <row r="84" spans="2:16" x14ac:dyDescent="0.2">
      <c r="B84" s="5"/>
      <c r="C84" s="5"/>
      <c r="D84" s="5"/>
      <c r="E84" s="298">
        <v>81</v>
      </c>
      <c r="F84" s="190" t="str">
        <f>Plan!$Q87</f>
        <v>VfL Wolfsburg</v>
      </c>
      <c r="G84" s="191" t="str">
        <f>Plan!$S87</f>
        <v>TSG Hoffenheim</v>
      </c>
      <c r="H84" s="134">
        <f>IF(AND(Results!$R$6&gt;0,$E84-1&gt;=Results!$R$6*Calc!$F$26),"",IF(AND(Results!$I89&lt;&gt;"",Results!$K89&lt;&gt;"",Results!$F89&lt;&gt;Results!$H89,$F84&lt;&gt;"",$G84&lt;&gt;""),Results!$I89,""))</f>
        <v>2</v>
      </c>
      <c r="I84" s="18">
        <f>IF(AND(Results!$R$6&gt;0,$E84-1&gt;=Results!$R$6*Calc!$F$26),"",IF(AND(Results!$I89&lt;&gt;"",Results!$K89&lt;&gt;"",Results!$F89&lt;&gt;Results!$H89,$F84&lt;&gt;"",$G84&lt;&gt;""),Results!$K89,""))</f>
        <v>3</v>
      </c>
      <c r="J84" s="17" t="str">
        <f>IF(Plan!$I87=0,F84&amp;G84,"")</f>
        <v>VfL WolfsburgTSG Hoffenheim</v>
      </c>
      <c r="K84" s="134">
        <f t="shared" si="3"/>
        <v>1</v>
      </c>
      <c r="L84" s="134" t="str">
        <f>IF(AND(K84&gt;0,Plan!$I87=0),H84&amp;Language!$E$65&amp;I84,"")</f>
        <v>2 : 3</v>
      </c>
      <c r="M84" s="2" t="str">
        <f>IF(Plan!$I87=1,F84&amp;G84,"")</f>
        <v/>
      </c>
      <c r="N84" s="93" t="str">
        <f>IF(AND(K84&gt;0,Plan!$I87=1),H84&amp;Language!$E$65&amp;I84,"")</f>
        <v/>
      </c>
      <c r="O84" s="379">
        <f>IF($H84="",0,Results!$L89)</f>
        <v>0</v>
      </c>
      <c r="P84" s="380">
        <f>IF($I84="",0,Results!$M89)</f>
        <v>0</v>
      </c>
    </row>
    <row r="85" spans="2:16" x14ac:dyDescent="0.2">
      <c r="B85" s="5"/>
      <c r="C85" s="5"/>
      <c r="D85" s="5"/>
      <c r="E85" s="298">
        <v>82</v>
      </c>
      <c r="F85" s="190" t="str">
        <f>Plan!$Q88</f>
        <v>SV Werder Bremen</v>
      </c>
      <c r="G85" s="191" t="str">
        <f>Plan!$S88</f>
        <v>VfL Wolfsburg</v>
      </c>
      <c r="H85" s="134">
        <f>IF(AND(Results!$R$6&gt;0,$E85-1&gt;=Results!$R$6*Calc!$F$26),"",IF(AND(Results!$I90&lt;&gt;"",Results!$K90&lt;&gt;"",Results!$F90&lt;&gt;Results!$H90,$F85&lt;&gt;"",$G85&lt;&gt;""),Results!$I90,""))</f>
        <v>2</v>
      </c>
      <c r="I85" s="18">
        <f>IF(AND(Results!$R$6&gt;0,$E85-1&gt;=Results!$R$6*Calc!$F$26),"",IF(AND(Results!$I90&lt;&gt;"",Results!$K90&lt;&gt;"",Results!$F90&lt;&gt;Results!$H90,$F85&lt;&gt;"",$G85&lt;&gt;""),Results!$K90,""))</f>
        <v>1</v>
      </c>
      <c r="J85" s="17" t="str">
        <f>IF(Plan!$I88=0,F85&amp;G85,"")</f>
        <v>SV Werder BremenVfL Wolfsburg</v>
      </c>
      <c r="K85" s="134">
        <f t="shared" si="3"/>
        <v>1</v>
      </c>
      <c r="L85" s="134" t="str">
        <f>IF(AND(K85&gt;0,Plan!$I88=0),H85&amp;Language!$E$65&amp;I85,"")</f>
        <v>2 : 1</v>
      </c>
      <c r="M85" s="2" t="str">
        <f>IF(Plan!$I88=1,F85&amp;G85,"")</f>
        <v/>
      </c>
      <c r="N85" s="93" t="str">
        <f>IF(AND(K85&gt;0,Plan!$I88=1),H85&amp;Language!$E$65&amp;I85,"")</f>
        <v/>
      </c>
      <c r="O85" s="379">
        <f>IF($H85="",0,Results!$L90)</f>
        <v>0</v>
      </c>
      <c r="P85" s="380">
        <f>IF($I85="",0,Results!$M90)</f>
        <v>0</v>
      </c>
    </row>
    <row r="86" spans="2:16" x14ac:dyDescent="0.2">
      <c r="B86" s="5"/>
      <c r="C86" s="5"/>
      <c r="D86" s="5"/>
      <c r="E86" s="298">
        <v>83</v>
      </c>
      <c r="F86" s="190" t="str">
        <f>Plan!$Q89</f>
        <v>TSG Hoffenheim</v>
      </c>
      <c r="G86" s="191" t="str">
        <f>Plan!$S89</f>
        <v>RB Leipzig</v>
      </c>
      <c r="H86" s="134">
        <f>IF(AND(Results!$R$6&gt;0,$E86-1&gt;=Results!$R$6*Calc!$F$26),"",IF(AND(Results!$I91&lt;&gt;"",Results!$K91&lt;&gt;"",Results!$F91&lt;&gt;Results!$H91,$F86&lt;&gt;"",$G86&lt;&gt;""),Results!$I91,""))</f>
        <v>3</v>
      </c>
      <c r="I86" s="18">
        <f>IF(AND(Results!$R$6&gt;0,$E86-1&gt;=Results!$R$6*Calc!$F$26),"",IF(AND(Results!$I91&lt;&gt;"",Results!$K91&lt;&gt;"",Results!$F91&lt;&gt;Results!$H91,$F86&lt;&gt;"",$G86&lt;&gt;""),Results!$K91,""))</f>
        <v>1</v>
      </c>
      <c r="J86" s="17" t="str">
        <f>IF(Plan!$I89=0,F86&amp;G86,"")</f>
        <v>TSG HoffenheimRB Leipzig</v>
      </c>
      <c r="K86" s="134">
        <f t="shared" si="3"/>
        <v>1</v>
      </c>
      <c r="L86" s="134" t="str">
        <f>IF(AND(K86&gt;0,Plan!$I89=0),H86&amp;Language!$E$65&amp;I86,"")</f>
        <v>3 : 1</v>
      </c>
      <c r="M86" s="2" t="str">
        <f>IF(Plan!$I89=1,F86&amp;G86,"")</f>
        <v/>
      </c>
      <c r="N86" s="93" t="str">
        <f>IF(AND(K86&gt;0,Plan!$I89=1),H86&amp;Language!$E$65&amp;I86,"")</f>
        <v/>
      </c>
      <c r="O86" s="379">
        <f>IF($H86="",0,Results!$L91)</f>
        <v>0</v>
      </c>
      <c r="P86" s="380">
        <f>IF($I86="",0,Results!$M91)</f>
        <v>0</v>
      </c>
    </row>
    <row r="87" spans="2:16" x14ac:dyDescent="0.2">
      <c r="B87" s="5"/>
      <c r="C87" s="5"/>
      <c r="D87" s="5"/>
      <c r="E87" s="298">
        <v>84</v>
      </c>
      <c r="F87" s="190" t="str">
        <f>Plan!$Q90</f>
        <v>Hamburger SV</v>
      </c>
      <c r="G87" s="191" t="str">
        <f>Plan!$S90</f>
        <v>Borussia Dortmund</v>
      </c>
      <c r="H87" s="134">
        <f>IF(AND(Results!$R$6&gt;0,$E87-1&gt;=Results!$R$6*Calc!$F$26),"",IF(AND(Results!$I92&lt;&gt;"",Results!$K92&lt;&gt;"",Results!$F92&lt;&gt;Results!$H92,$F87&lt;&gt;"",$G87&lt;&gt;""),Results!$I92,""))</f>
        <v>1</v>
      </c>
      <c r="I87" s="18">
        <f>IF(AND(Results!$R$6&gt;0,$E87-1&gt;=Results!$R$6*Calc!$F$26),"",IF(AND(Results!$I92&lt;&gt;"",Results!$K92&lt;&gt;"",Results!$F92&lt;&gt;Results!$H92,$F87&lt;&gt;"",$G87&lt;&gt;""),Results!$K92,""))</f>
        <v>1</v>
      </c>
      <c r="J87" s="17" t="str">
        <f>IF(Plan!$I90=0,F87&amp;G87,"")</f>
        <v>Hamburger SVBorussia Dortmund</v>
      </c>
      <c r="K87" s="134">
        <f t="shared" si="3"/>
        <v>1</v>
      </c>
      <c r="L87" s="134" t="str">
        <f>IF(AND(K87&gt;0,Plan!$I90=0),H87&amp;Language!$E$65&amp;I87,"")</f>
        <v>1 : 1</v>
      </c>
      <c r="M87" s="2" t="str">
        <f>IF(Plan!$I90=1,F87&amp;G87,"")</f>
        <v/>
      </c>
      <c r="N87" s="93" t="str">
        <f>IF(AND(K87&gt;0,Plan!$I90=1),H87&amp;Language!$E$65&amp;I87,"")</f>
        <v/>
      </c>
      <c r="O87" s="379">
        <f>IF($H87="",0,Results!$L92)</f>
        <v>0</v>
      </c>
      <c r="P87" s="380">
        <f>IF($I87="",0,Results!$M92)</f>
        <v>0</v>
      </c>
    </row>
    <row r="88" spans="2:16" x14ac:dyDescent="0.2">
      <c r="B88" s="5"/>
      <c r="C88" s="5"/>
      <c r="D88" s="5"/>
      <c r="E88" s="298">
        <v>85</v>
      </c>
      <c r="F88" s="190" t="str">
        <f>Plan!$Q91</f>
        <v>Bayer 04 Leverkusen</v>
      </c>
      <c r="G88" s="191" t="str">
        <f>Plan!$S91</f>
        <v>1. FC Heidenheim 1846</v>
      </c>
      <c r="H88" s="134">
        <f>IF(AND(Results!$R$6&gt;0,$E88-1&gt;=Results!$R$6*Calc!$F$26),"",IF(AND(Results!$I93&lt;&gt;"",Results!$K93&lt;&gt;"",Results!$F93&lt;&gt;Results!$H93,$F88&lt;&gt;"",$G88&lt;&gt;""),Results!$I93,""))</f>
        <v>6</v>
      </c>
      <c r="I88" s="18">
        <f>IF(AND(Results!$R$6&gt;0,$E88-1&gt;=Results!$R$6*Calc!$F$26),"",IF(AND(Results!$I93&lt;&gt;"",Results!$K93&lt;&gt;"",Results!$F93&lt;&gt;Results!$H93,$F88&lt;&gt;"",$G88&lt;&gt;""),Results!$K93,""))</f>
        <v>0</v>
      </c>
      <c r="J88" s="17" t="str">
        <f>IF(Plan!$I91=0,F88&amp;G88,"")</f>
        <v>Bayer 04 Leverkusen1. FC Heidenheim 1846</v>
      </c>
      <c r="K88" s="134">
        <f t="shared" si="3"/>
        <v>1</v>
      </c>
      <c r="L88" s="134" t="str">
        <f>IF(AND(K88&gt;0,Plan!$I91=0),H88&amp;Language!$E$65&amp;I88,"")</f>
        <v>6 : 0</v>
      </c>
      <c r="M88" s="2" t="str">
        <f>IF(Plan!$I91=1,F88&amp;G88,"")</f>
        <v/>
      </c>
      <c r="N88" s="93" t="str">
        <f>IF(AND(K88&gt;0,Plan!$I91=1),H88&amp;Language!$E$65&amp;I88,"")</f>
        <v/>
      </c>
      <c r="O88" s="379">
        <f>IF($H88="",0,Results!$L93)</f>
        <v>0</v>
      </c>
      <c r="P88" s="380">
        <f>IF($I88="",0,Results!$M93)</f>
        <v>0</v>
      </c>
    </row>
    <row r="89" spans="2:16" x14ac:dyDescent="0.2">
      <c r="B89" s="5"/>
      <c r="C89" s="5"/>
      <c r="D89" s="5"/>
      <c r="E89" s="298">
        <v>86</v>
      </c>
      <c r="F89" s="190" t="str">
        <f>Plan!$Q92</f>
        <v>1. FC Union Berlin</v>
      </c>
      <c r="G89" s="191" t="str">
        <f>Plan!$S92</f>
        <v>FC Bayern München</v>
      </c>
      <c r="H89" s="134">
        <f>IF(AND(Results!$R$6&gt;0,$E89-1&gt;=Results!$R$6*Calc!$F$26),"",IF(AND(Results!$I94&lt;&gt;"",Results!$K94&lt;&gt;"",Results!$F94&lt;&gt;Results!$H94,$F89&lt;&gt;"",$G89&lt;&gt;""),Results!$I94,""))</f>
        <v>2</v>
      </c>
      <c r="I89" s="18">
        <f>IF(AND(Results!$R$6&gt;0,$E89-1&gt;=Results!$R$6*Calc!$F$26),"",IF(AND(Results!$I94&lt;&gt;"",Results!$K94&lt;&gt;"",Results!$F94&lt;&gt;Results!$H94,$F89&lt;&gt;"",$G89&lt;&gt;""),Results!$K94,""))</f>
        <v>2</v>
      </c>
      <c r="J89" s="17" t="str">
        <f>IF(Plan!$I92=0,F89&amp;G89,"")</f>
        <v>1. FC Union BerlinFC Bayern München</v>
      </c>
      <c r="K89" s="134">
        <f t="shared" si="3"/>
        <v>1</v>
      </c>
      <c r="L89" s="134" t="str">
        <f>IF(AND(K89&gt;0,Plan!$I92=0),H89&amp;Language!$E$65&amp;I89,"")</f>
        <v>2 : 2</v>
      </c>
      <c r="M89" s="2" t="str">
        <f>IF(Plan!$I92=1,F89&amp;G89,"")</f>
        <v/>
      </c>
      <c r="N89" s="93" t="str">
        <f>IF(AND(K89&gt;0,Plan!$I92=1),H89&amp;Language!$E$65&amp;I89,"")</f>
        <v/>
      </c>
      <c r="O89" s="379">
        <f>IF($H89="",0,Results!$L94)</f>
        <v>0</v>
      </c>
      <c r="P89" s="380">
        <f>IF($I89="",0,Results!$M94)</f>
        <v>0</v>
      </c>
    </row>
    <row r="90" spans="2:16" x14ac:dyDescent="0.2">
      <c r="B90" s="5"/>
      <c r="C90" s="5"/>
      <c r="D90" s="5"/>
      <c r="E90" s="298">
        <v>87</v>
      </c>
      <c r="F90" s="190" t="str">
        <f>Plan!$Q93</f>
        <v>Borussia Mönchengladbach</v>
      </c>
      <c r="G90" s="191" t="str">
        <f>Plan!$S93</f>
        <v>1. FC Köln</v>
      </c>
      <c r="H90" s="134">
        <f>IF(AND(Results!$R$6&gt;0,$E90-1&gt;=Results!$R$6*Calc!$F$26),"",IF(AND(Results!$I95&lt;&gt;"",Results!$K95&lt;&gt;"",Results!$F95&lt;&gt;Results!$H95,$F90&lt;&gt;"",$G90&lt;&gt;""),Results!$I95,""))</f>
        <v>3</v>
      </c>
      <c r="I90" s="18">
        <f>IF(AND(Results!$R$6&gt;0,$E90-1&gt;=Results!$R$6*Calc!$F$26),"",IF(AND(Results!$I95&lt;&gt;"",Results!$K95&lt;&gt;"",Results!$F95&lt;&gt;Results!$H95,$F90&lt;&gt;"",$G90&lt;&gt;""),Results!$K95,""))</f>
        <v>1</v>
      </c>
      <c r="J90" s="17" t="str">
        <f>IF(Plan!$I93=0,F90&amp;G90,"")</f>
        <v>Borussia Mönchengladbach1. FC Köln</v>
      </c>
      <c r="K90" s="134">
        <f t="shared" si="3"/>
        <v>1</v>
      </c>
      <c r="L90" s="134" t="str">
        <f>IF(AND(K90&gt;0,Plan!$I93=0),H90&amp;Language!$E$65&amp;I90,"")</f>
        <v>3 : 1</v>
      </c>
      <c r="M90" s="2" t="str">
        <f>IF(Plan!$I93=1,F90&amp;G90,"")</f>
        <v/>
      </c>
      <c r="N90" s="93" t="str">
        <f>IF(AND(K90&gt;0,Plan!$I93=1),H90&amp;Language!$E$65&amp;I90,"")</f>
        <v/>
      </c>
      <c r="O90" s="379">
        <f>IF($H90="",0,Results!$L95)</f>
        <v>0</v>
      </c>
      <c r="P90" s="380">
        <f>IF($I90="",0,Results!$M95)</f>
        <v>0</v>
      </c>
    </row>
    <row r="91" spans="2:16" x14ac:dyDescent="0.2">
      <c r="B91" s="5"/>
      <c r="C91" s="5"/>
      <c r="D91" s="5"/>
      <c r="E91" s="298">
        <v>88</v>
      </c>
      <c r="F91" s="190" t="str">
        <f>Plan!$Q94</f>
        <v>SC Freiburg</v>
      </c>
      <c r="G91" s="191" t="str">
        <f>Plan!$S94</f>
        <v>FC St. Pauli</v>
      </c>
      <c r="H91" s="134">
        <f>IF(AND(Results!$R$6&gt;0,$E91-1&gt;=Results!$R$6*Calc!$F$26),"",IF(AND(Results!$I96&lt;&gt;"",Results!$K96&lt;&gt;"",Results!$F96&lt;&gt;Results!$H96,$F91&lt;&gt;"",$G91&lt;&gt;""),Results!$I96,""))</f>
        <v>2</v>
      </c>
      <c r="I91" s="18">
        <f>IF(AND(Results!$R$6&gt;0,$E91-1&gt;=Results!$R$6*Calc!$F$26),"",IF(AND(Results!$I96&lt;&gt;"",Results!$K96&lt;&gt;"",Results!$F96&lt;&gt;Results!$H96,$F91&lt;&gt;"",$G91&lt;&gt;""),Results!$K96,""))</f>
        <v>1</v>
      </c>
      <c r="J91" s="17" t="str">
        <f>IF(Plan!$I94=0,F91&amp;G91,"")</f>
        <v>SC FreiburgFC St. Pauli</v>
      </c>
      <c r="K91" s="134">
        <f t="shared" si="3"/>
        <v>1</v>
      </c>
      <c r="L91" s="134" t="str">
        <f>IF(AND(K91&gt;0,Plan!$I94=0),H91&amp;Language!$E$65&amp;I91,"")</f>
        <v>2 : 1</v>
      </c>
      <c r="M91" s="2" t="str">
        <f>IF(Plan!$I94=1,F91&amp;G91,"")</f>
        <v/>
      </c>
      <c r="N91" s="93" t="str">
        <f>IF(AND(K91&gt;0,Plan!$I94=1),H91&amp;Language!$E$65&amp;I91,"")</f>
        <v/>
      </c>
      <c r="O91" s="379">
        <f>IF($H91="",0,Results!$L96)</f>
        <v>0</v>
      </c>
      <c r="P91" s="380">
        <f>IF($I91="",0,Results!$M96)</f>
        <v>0</v>
      </c>
    </row>
    <row r="92" spans="2:16" x14ac:dyDescent="0.2">
      <c r="B92" s="5"/>
      <c r="C92" s="5"/>
      <c r="D92" s="5"/>
      <c r="E92" s="298">
        <v>89</v>
      </c>
      <c r="F92" s="190" t="str">
        <f>Plan!$Q95</f>
        <v>VfB Stuttgart</v>
      </c>
      <c r="G92" s="191" t="str">
        <f>Plan!$S95</f>
        <v>FC Augsburg</v>
      </c>
      <c r="H92" s="134">
        <f>IF(AND(Results!$R$6&gt;0,$E92-1&gt;=Results!$R$6*Calc!$F$26),"",IF(AND(Results!$I97&lt;&gt;"",Results!$K97&lt;&gt;"",Results!$F97&lt;&gt;Results!$H97,$F92&lt;&gt;"",$G92&lt;&gt;""),Results!$I97,""))</f>
        <v>3</v>
      </c>
      <c r="I92" s="18">
        <f>IF(AND(Results!$R$6&gt;0,$E92-1&gt;=Results!$R$6*Calc!$F$26),"",IF(AND(Results!$I97&lt;&gt;"",Results!$K97&lt;&gt;"",Results!$F97&lt;&gt;Results!$H97,$F92&lt;&gt;"",$G92&lt;&gt;""),Results!$K97,""))</f>
        <v>2</v>
      </c>
      <c r="J92" s="17" t="str">
        <f>IF(Plan!$I95=0,F92&amp;G92,"")</f>
        <v>VfB StuttgartFC Augsburg</v>
      </c>
      <c r="K92" s="134">
        <f t="shared" si="3"/>
        <v>1</v>
      </c>
      <c r="L92" s="134" t="str">
        <f>IF(AND(K92&gt;0,Plan!$I95=0),H92&amp;Language!$E$65&amp;I92,"")</f>
        <v>3 : 2</v>
      </c>
      <c r="M92" s="2" t="str">
        <f>IF(Plan!$I95=1,F92&amp;G92,"")</f>
        <v/>
      </c>
      <c r="N92" s="93" t="str">
        <f>IF(AND(K92&gt;0,Plan!$I95=1),H92&amp;Language!$E$65&amp;I92,"")</f>
        <v/>
      </c>
      <c r="O92" s="379">
        <f>IF($H92="",0,Results!$L97)</f>
        <v>0</v>
      </c>
      <c r="P92" s="380">
        <f>IF($I92="",0,Results!$M97)</f>
        <v>0</v>
      </c>
    </row>
    <row r="93" spans="2:16" x14ac:dyDescent="0.2">
      <c r="B93" s="5"/>
      <c r="C93" s="5"/>
      <c r="D93" s="5"/>
      <c r="E93" s="298">
        <v>90</v>
      </c>
      <c r="F93" s="190" t="str">
        <f>Plan!$Q96</f>
        <v>Eintracht Frankfurt</v>
      </c>
      <c r="G93" s="191" t="str">
        <f>Plan!$S96</f>
        <v>1. FSV Mainz 05</v>
      </c>
      <c r="H93" s="134">
        <f>IF(AND(Results!$R$6&gt;0,$E93-1&gt;=Results!$R$6*Calc!$F$26),"",IF(AND(Results!$I98&lt;&gt;"",Results!$K98&lt;&gt;"",Results!$F98&lt;&gt;Results!$H98,$F93&lt;&gt;"",$G93&lt;&gt;""),Results!$I98,""))</f>
        <v>1</v>
      </c>
      <c r="I93" s="18">
        <f>IF(AND(Results!$R$6&gt;0,$E93-1&gt;=Results!$R$6*Calc!$F$26),"",IF(AND(Results!$I98&lt;&gt;"",Results!$K98&lt;&gt;"",Results!$F98&lt;&gt;Results!$H98,$F93&lt;&gt;"",$G93&lt;&gt;""),Results!$K98,""))</f>
        <v>0</v>
      </c>
      <c r="J93" s="17" t="str">
        <f>IF(Plan!$I96=0,F93&amp;G93,"")</f>
        <v>Eintracht Frankfurt1. FSV Mainz 05</v>
      </c>
      <c r="K93" s="134">
        <f t="shared" si="3"/>
        <v>1</v>
      </c>
      <c r="L93" s="134" t="str">
        <f>IF(AND(K93&gt;0,Plan!$I96=0),H93&amp;Language!$E$65&amp;I93,"")</f>
        <v>1 : 0</v>
      </c>
      <c r="M93" s="2" t="str">
        <f>IF(Plan!$I96=1,F93&amp;G93,"")</f>
        <v/>
      </c>
      <c r="N93" s="93" t="str">
        <f>IF(AND(K93&gt;0,Plan!$I96=1),H93&amp;Language!$E$65&amp;I93,"")</f>
        <v/>
      </c>
      <c r="O93" s="379">
        <f>IF($H93="",0,Results!$L98)</f>
        <v>0</v>
      </c>
      <c r="P93" s="380">
        <f>IF($I93="",0,Results!$M98)</f>
        <v>0</v>
      </c>
    </row>
    <row r="94" spans="2:16" x14ac:dyDescent="0.2">
      <c r="B94" s="5"/>
      <c r="C94" s="5"/>
      <c r="D94" s="5"/>
      <c r="E94" s="298">
        <v>91</v>
      </c>
      <c r="F94" s="190" t="str">
        <f>Plan!$Q97</f>
        <v>1. FSV Mainz 05</v>
      </c>
      <c r="G94" s="191" t="str">
        <f>Plan!$S97</f>
        <v>TSG Hoffenheim</v>
      </c>
      <c r="H94" s="134">
        <f>IF(AND(Results!$R$6&gt;0,$E94-1&gt;=Results!$R$6*Calc!$F$26),"",IF(AND(Results!$I99&lt;&gt;"",Results!$K99&lt;&gt;"",Results!$F99&lt;&gt;Results!$H99,$F94&lt;&gt;"",$G94&lt;&gt;""),Results!$I99,""))</f>
        <v>1</v>
      </c>
      <c r="I94" s="18">
        <f>IF(AND(Results!$R$6&gt;0,$E94-1&gt;=Results!$R$6*Calc!$F$26),"",IF(AND(Results!$I99&lt;&gt;"",Results!$K99&lt;&gt;"",Results!$F99&lt;&gt;Results!$H99,$F94&lt;&gt;"",$G94&lt;&gt;""),Results!$K99,""))</f>
        <v>1</v>
      </c>
      <c r="J94" s="17" t="str">
        <f>IF(Plan!$I97=0,F94&amp;G94,"")</f>
        <v>1. FSV Mainz 05TSG Hoffenheim</v>
      </c>
      <c r="K94" s="134">
        <f t="shared" si="3"/>
        <v>1</v>
      </c>
      <c r="L94" s="134" t="str">
        <f>IF(AND(K94&gt;0,Plan!$I97=0),H94&amp;Language!$E$65&amp;I94,"")</f>
        <v>1 : 1</v>
      </c>
      <c r="M94" s="2" t="str">
        <f>IF(Plan!$I97=1,F94&amp;G94,"")</f>
        <v/>
      </c>
      <c r="N94" s="93" t="str">
        <f>IF(AND(K94&gt;0,Plan!$I97=1),H94&amp;Language!$E$65&amp;I94,"")</f>
        <v/>
      </c>
      <c r="O94" s="379">
        <f>IF($H94="",0,Results!$L99)</f>
        <v>0</v>
      </c>
      <c r="P94" s="380">
        <f>IF($I94="",0,Results!$M99)</f>
        <v>0</v>
      </c>
    </row>
    <row r="95" spans="2:16" x14ac:dyDescent="0.2">
      <c r="B95" s="5"/>
      <c r="C95" s="5"/>
      <c r="D95" s="5"/>
      <c r="E95" s="298">
        <v>92</v>
      </c>
      <c r="F95" s="190" t="str">
        <f>Plan!$Q98</f>
        <v>FC Augsburg</v>
      </c>
      <c r="G95" s="191" t="str">
        <f>Plan!$S98</f>
        <v>Hamburger SV</v>
      </c>
      <c r="H95" s="134">
        <f>IF(AND(Results!$R$6&gt;0,$E95-1&gt;=Results!$R$6*Calc!$F$26),"",IF(AND(Results!$I100&lt;&gt;"",Results!$K100&lt;&gt;"",Results!$F100&lt;&gt;Results!$H100,$F95&lt;&gt;"",$G95&lt;&gt;""),Results!$I100,""))</f>
        <v>1</v>
      </c>
      <c r="I95" s="18">
        <f>IF(AND(Results!$R$6&gt;0,$E95-1&gt;=Results!$R$6*Calc!$F$26),"",IF(AND(Results!$I100&lt;&gt;"",Results!$K100&lt;&gt;"",Results!$F100&lt;&gt;Results!$H100,$F95&lt;&gt;"",$G95&lt;&gt;""),Results!$K100,""))</f>
        <v>0</v>
      </c>
      <c r="J95" s="17" t="str">
        <f>IF(Plan!$I98=0,F95&amp;G95,"")</f>
        <v>FC AugsburgHamburger SV</v>
      </c>
      <c r="K95" s="134">
        <f t="shared" si="3"/>
        <v>1</v>
      </c>
      <c r="L95" s="134" t="str">
        <f>IF(AND(K95&gt;0,Plan!$I98=0),H95&amp;Language!$E$65&amp;I95,"")</f>
        <v>1 : 0</v>
      </c>
      <c r="M95" s="2" t="str">
        <f>IF(Plan!$I98=1,F95&amp;G95,"")</f>
        <v/>
      </c>
      <c r="N95" s="93" t="str">
        <f>IF(AND(K95&gt;0,Plan!$I98=1),H95&amp;Language!$E$65&amp;I95,"")</f>
        <v/>
      </c>
      <c r="O95" s="379">
        <f>IF($H95="",0,Results!$L100)</f>
        <v>0</v>
      </c>
      <c r="P95" s="380">
        <f>IF($I95="",0,Results!$M100)</f>
        <v>0</v>
      </c>
    </row>
    <row r="96" spans="2:16" x14ac:dyDescent="0.2">
      <c r="B96" s="5"/>
      <c r="C96" s="5"/>
      <c r="D96" s="5"/>
      <c r="E96" s="298">
        <v>93</v>
      </c>
      <c r="F96" s="190" t="str">
        <f>Plan!$Q99</f>
        <v>1. FC Heidenheim 1846</v>
      </c>
      <c r="G96" s="191" t="str">
        <f>Plan!$S99</f>
        <v>Borussia Mönchengladbach</v>
      </c>
      <c r="H96" s="134">
        <f>IF(AND(Results!$R$6&gt;0,$E96-1&gt;=Results!$R$6*Calc!$F$26),"",IF(AND(Results!$I101&lt;&gt;"",Results!$K101&lt;&gt;"",Results!$F101&lt;&gt;Results!$H101,$F96&lt;&gt;"",$G96&lt;&gt;""),Results!$I101,""))</f>
        <v>0</v>
      </c>
      <c r="I96" s="18">
        <f>IF(AND(Results!$R$6&gt;0,$E96-1&gt;=Results!$R$6*Calc!$F$26),"",IF(AND(Results!$I101&lt;&gt;"",Results!$K101&lt;&gt;"",Results!$F101&lt;&gt;Results!$H101,$F96&lt;&gt;"",$G96&lt;&gt;""),Results!$K101,""))</f>
        <v>3</v>
      </c>
      <c r="J96" s="17" t="str">
        <f>IF(Plan!$I99=0,F96&amp;G96,"")</f>
        <v>1. FC Heidenheim 1846Borussia Mönchengladbach</v>
      </c>
      <c r="K96" s="134">
        <f t="shared" si="3"/>
        <v>1</v>
      </c>
      <c r="L96" s="134" t="str">
        <f>IF(AND(K96&gt;0,Plan!$I99=0),H96&amp;Language!$E$65&amp;I96,"")</f>
        <v>0 : 3</v>
      </c>
      <c r="M96" s="2" t="str">
        <f>IF(Plan!$I99=1,F96&amp;G96,"")</f>
        <v/>
      </c>
      <c r="N96" s="93" t="str">
        <f>IF(AND(K96&gt;0,Plan!$I99=1),H96&amp;Language!$E$65&amp;I96,"")</f>
        <v/>
      </c>
      <c r="O96" s="379">
        <f>IF($H96="",0,Results!$L101)</f>
        <v>0</v>
      </c>
      <c r="P96" s="380">
        <f>IF($I96="",0,Results!$M101)</f>
        <v>0</v>
      </c>
    </row>
    <row r="97" spans="2:16" x14ac:dyDescent="0.2">
      <c r="B97" s="5"/>
      <c r="C97" s="5"/>
      <c r="D97" s="5"/>
      <c r="E97" s="298">
        <v>94</v>
      </c>
      <c r="F97" s="190" t="str">
        <f>Plan!$Q100</f>
        <v>VfL Wolfsburg</v>
      </c>
      <c r="G97" s="191" t="str">
        <f>Plan!$S100</f>
        <v>Bayer 04 Leverkusen</v>
      </c>
      <c r="H97" s="134">
        <f>IF(AND(Results!$R$6&gt;0,$E97-1&gt;=Results!$R$6*Calc!$F$26),"",IF(AND(Results!$I102&lt;&gt;"",Results!$K102&lt;&gt;"",Results!$F102&lt;&gt;Results!$H102,$F97&lt;&gt;"",$G97&lt;&gt;""),Results!$I102,""))</f>
        <v>1</v>
      </c>
      <c r="I97" s="18">
        <f>IF(AND(Results!$R$6&gt;0,$E97-1&gt;=Results!$R$6*Calc!$F$26),"",IF(AND(Results!$I102&lt;&gt;"",Results!$K102&lt;&gt;"",Results!$F102&lt;&gt;Results!$H102,$F97&lt;&gt;"",$G97&lt;&gt;""),Results!$K102,""))</f>
        <v>3</v>
      </c>
      <c r="J97" s="17" t="str">
        <f>IF(Plan!$I100=0,F97&amp;G97,"")</f>
        <v>VfL WolfsburgBayer 04 Leverkusen</v>
      </c>
      <c r="K97" s="134">
        <f t="shared" si="3"/>
        <v>1</v>
      </c>
      <c r="L97" s="134" t="str">
        <f>IF(AND(K97&gt;0,Plan!$I100=0),H97&amp;Language!$E$65&amp;I97,"")</f>
        <v>1 : 3</v>
      </c>
      <c r="M97" s="2" t="str">
        <f>IF(Plan!$I100=1,F97&amp;G97,"")</f>
        <v/>
      </c>
      <c r="N97" s="93" t="str">
        <f>IF(AND(K97&gt;0,Plan!$I100=1),H97&amp;Language!$E$65&amp;I97,"")</f>
        <v/>
      </c>
      <c r="O97" s="379">
        <f>IF($H97="",0,Results!$L102)</f>
        <v>0</v>
      </c>
      <c r="P97" s="380">
        <f>IF($I97="",0,Results!$M102)</f>
        <v>0</v>
      </c>
    </row>
    <row r="98" spans="2:16" x14ac:dyDescent="0.2">
      <c r="B98" s="5"/>
      <c r="C98" s="5"/>
      <c r="D98" s="5"/>
      <c r="E98" s="298">
        <v>95</v>
      </c>
      <c r="F98" s="190" t="str">
        <f>Plan!$Q101</f>
        <v>FC Bayern München</v>
      </c>
      <c r="G98" s="191" t="str">
        <f>Plan!$S101</f>
        <v>SC Freiburg</v>
      </c>
      <c r="H98" s="134">
        <f>IF(AND(Results!$R$6&gt;0,$E98-1&gt;=Results!$R$6*Calc!$F$26),"",IF(AND(Results!$I103&lt;&gt;"",Results!$K103&lt;&gt;"",Results!$F103&lt;&gt;Results!$H103,$F98&lt;&gt;"",$G98&lt;&gt;""),Results!$I103,""))</f>
        <v>6</v>
      </c>
      <c r="I98" s="18">
        <f>IF(AND(Results!$R$6&gt;0,$E98-1&gt;=Results!$R$6*Calc!$F$26),"",IF(AND(Results!$I103&lt;&gt;"",Results!$K103&lt;&gt;"",Results!$F103&lt;&gt;Results!$H103,$F98&lt;&gt;"",$G98&lt;&gt;""),Results!$K103,""))</f>
        <v>2</v>
      </c>
      <c r="J98" s="17" t="str">
        <f>IF(Plan!$I101=0,F98&amp;G98,"")</f>
        <v>FC Bayern MünchenSC Freiburg</v>
      </c>
      <c r="K98" s="134">
        <f t="shared" si="3"/>
        <v>1</v>
      </c>
      <c r="L98" s="134" t="str">
        <f>IF(AND(K98&gt;0,Plan!$I101=0),H98&amp;Language!$E$65&amp;I98,"")</f>
        <v>6 : 2</v>
      </c>
      <c r="M98" s="2" t="str">
        <f>IF(Plan!$I101=1,F98&amp;G98,"")</f>
        <v/>
      </c>
      <c r="N98" s="93" t="str">
        <f>IF(AND(K98&gt;0,Plan!$I101=1),H98&amp;Language!$E$65&amp;I98,"")</f>
        <v/>
      </c>
      <c r="O98" s="379">
        <f>IF($H98="",0,Results!$L103)</f>
        <v>0</v>
      </c>
      <c r="P98" s="380">
        <f>IF($I98="",0,Results!$M103)</f>
        <v>0</v>
      </c>
    </row>
    <row r="99" spans="2:16" x14ac:dyDescent="0.2">
      <c r="B99" s="5"/>
      <c r="C99" s="5"/>
      <c r="D99" s="5"/>
      <c r="E99" s="298">
        <v>96</v>
      </c>
      <c r="F99" s="190" t="str">
        <f>Plan!$Q102</f>
        <v>Borussia Dortmund</v>
      </c>
      <c r="G99" s="191" t="str">
        <f>Plan!$S102</f>
        <v>VfB Stuttgart</v>
      </c>
      <c r="H99" s="134">
        <f>IF(AND(Results!$R$6&gt;0,$E99-1&gt;=Results!$R$6*Calc!$F$26),"",IF(AND(Results!$I104&lt;&gt;"",Results!$K104&lt;&gt;"",Results!$F104&lt;&gt;Results!$H104,$F99&lt;&gt;"",$G99&lt;&gt;""),Results!$I104,""))</f>
        <v>3</v>
      </c>
      <c r="I99" s="18">
        <f>IF(AND(Results!$R$6&gt;0,$E99-1&gt;=Results!$R$6*Calc!$F$26),"",IF(AND(Results!$I104&lt;&gt;"",Results!$K104&lt;&gt;"",Results!$F104&lt;&gt;Results!$H104,$F99&lt;&gt;"",$G99&lt;&gt;""),Results!$K104,""))</f>
        <v>3</v>
      </c>
      <c r="J99" s="17" t="str">
        <f>IF(Plan!$I102=0,F99&amp;G99,"")</f>
        <v>Borussia DortmundVfB Stuttgart</v>
      </c>
      <c r="K99" s="134">
        <f t="shared" si="3"/>
        <v>1</v>
      </c>
      <c r="L99" s="134" t="str">
        <f>IF(AND(K99&gt;0,Plan!$I102=0),H99&amp;Language!$E$65&amp;I99,"")</f>
        <v>3 : 3</v>
      </c>
      <c r="M99" s="2" t="str">
        <f>IF(Plan!$I102=1,F99&amp;G99,"")</f>
        <v/>
      </c>
      <c r="N99" s="93" t="str">
        <f>IF(AND(K99&gt;0,Plan!$I102=1),H99&amp;Language!$E$65&amp;I99,"")</f>
        <v/>
      </c>
      <c r="O99" s="379">
        <f>IF($H99="",0,Results!$L104)</f>
        <v>0</v>
      </c>
      <c r="P99" s="380">
        <f>IF($I99="",0,Results!$M104)</f>
        <v>0</v>
      </c>
    </row>
    <row r="100" spans="2:16" x14ac:dyDescent="0.2">
      <c r="B100" s="5"/>
      <c r="C100" s="5"/>
      <c r="D100" s="5"/>
      <c r="E100" s="298">
        <v>97</v>
      </c>
      <c r="F100" s="190" t="str">
        <f>Plan!$Q103</f>
        <v>1. FC Köln</v>
      </c>
      <c r="G100" s="191" t="str">
        <f>Plan!$S103</f>
        <v>Eintracht Frankfurt</v>
      </c>
      <c r="H100" s="134">
        <f>IF(AND(Results!$R$6&gt;0,$E100-1&gt;=Results!$R$6*Calc!$F$26),"",IF(AND(Results!$I105&lt;&gt;"",Results!$K105&lt;&gt;"",Results!$F105&lt;&gt;Results!$H105,$F100&lt;&gt;"",$G100&lt;&gt;""),Results!$I105,""))</f>
        <v>3</v>
      </c>
      <c r="I100" s="18">
        <f>IF(AND(Results!$R$6&gt;0,$E100-1&gt;=Results!$R$6*Calc!$F$26),"",IF(AND(Results!$I105&lt;&gt;"",Results!$K105&lt;&gt;"",Results!$F105&lt;&gt;Results!$H105,$F100&lt;&gt;"",$G100&lt;&gt;""),Results!$K105,""))</f>
        <v>4</v>
      </c>
      <c r="J100" s="17" t="str">
        <f>IF(Plan!$I103=0,F100&amp;G100,"")</f>
        <v>1. FC KölnEintracht Frankfurt</v>
      </c>
      <c r="K100" s="134">
        <f t="shared" si="3"/>
        <v>1</v>
      </c>
      <c r="L100" s="134" t="str">
        <f>IF(AND(K100&gt;0,Plan!$I103=0),H100&amp;Language!$E$65&amp;I100,"")</f>
        <v>3 : 4</v>
      </c>
      <c r="M100" s="2" t="str">
        <f>IF(Plan!$I103=1,F100&amp;G100,"")</f>
        <v/>
      </c>
      <c r="N100" s="93" t="str">
        <f>IF(AND(K100&gt;0,Plan!$I103=1),H100&amp;Language!$E$65&amp;I100,"")</f>
        <v/>
      </c>
      <c r="O100" s="379">
        <f>IF($H100="",0,Results!$L105)</f>
        <v>0</v>
      </c>
      <c r="P100" s="380">
        <f>IF($I100="",0,Results!$M105)</f>
        <v>0</v>
      </c>
    </row>
    <row r="101" spans="2:16" x14ac:dyDescent="0.2">
      <c r="B101" s="5"/>
      <c r="C101" s="5"/>
      <c r="D101" s="5"/>
      <c r="E101" s="298">
        <v>98</v>
      </c>
      <c r="F101" s="190" t="str">
        <f>Plan!$Q104</f>
        <v>RB Leipzig</v>
      </c>
      <c r="G101" s="191" t="str">
        <f>Plan!$S104</f>
        <v>SV Werder Bremen</v>
      </c>
      <c r="H101" s="134">
        <f>IF(AND(Results!$R$6&gt;0,$E101-1&gt;=Results!$R$6*Calc!$F$26),"",IF(AND(Results!$I106&lt;&gt;"",Results!$K106&lt;&gt;"",Results!$F106&lt;&gt;Results!$H106,$F101&lt;&gt;"",$G101&lt;&gt;""),Results!$I106,""))</f>
        <v>2</v>
      </c>
      <c r="I101" s="18">
        <f>IF(AND(Results!$R$6&gt;0,$E101-1&gt;=Results!$R$6*Calc!$F$26),"",IF(AND(Results!$I106&lt;&gt;"",Results!$K106&lt;&gt;"",Results!$F106&lt;&gt;Results!$H106,$F101&lt;&gt;"",$G101&lt;&gt;""),Results!$K106,""))</f>
        <v>0</v>
      </c>
      <c r="J101" s="17" t="str">
        <f>IF(Plan!$I104=0,F101&amp;G101,"")</f>
        <v>RB LeipzigSV Werder Bremen</v>
      </c>
      <c r="K101" s="134">
        <f t="shared" si="3"/>
        <v>1</v>
      </c>
      <c r="L101" s="134" t="str">
        <f>IF(AND(K101&gt;0,Plan!$I104=0),H101&amp;Language!$E$65&amp;I101,"")</f>
        <v>2 : 0</v>
      </c>
      <c r="M101" s="2" t="str">
        <f>IF(Plan!$I104=1,F101&amp;G101,"")</f>
        <v/>
      </c>
      <c r="N101" s="93" t="str">
        <f>IF(AND(K101&gt;0,Plan!$I104=1),H101&amp;Language!$E$65&amp;I101,"")</f>
        <v/>
      </c>
      <c r="O101" s="379">
        <f>IF($H101="",0,Results!$L106)</f>
        <v>0</v>
      </c>
      <c r="P101" s="380">
        <f>IF($I101="",0,Results!$M106)</f>
        <v>0</v>
      </c>
    </row>
    <row r="102" spans="2:16" x14ac:dyDescent="0.2">
      <c r="B102" s="5"/>
      <c r="C102" s="5"/>
      <c r="D102" s="5"/>
      <c r="E102" s="298">
        <v>99</v>
      </c>
      <c r="F102" s="190" t="str">
        <f>Plan!$Q105</f>
        <v>FC St. Pauli</v>
      </c>
      <c r="G102" s="191" t="str">
        <f>Plan!$S105</f>
        <v>1. FC Union Berlin</v>
      </c>
      <c r="H102" s="134">
        <f>IF(AND(Results!$R$6&gt;0,$E102-1&gt;=Results!$R$6*Calc!$F$26),"",IF(AND(Results!$I107&lt;&gt;"",Results!$K107&lt;&gt;"",Results!$F107&lt;&gt;Results!$H107,$F102&lt;&gt;"",$G102&lt;&gt;""),Results!$I107,""))</f>
        <v>0</v>
      </c>
      <c r="I102" s="18">
        <f>IF(AND(Results!$R$6&gt;0,$E102-1&gt;=Results!$R$6*Calc!$F$26),"",IF(AND(Results!$I107&lt;&gt;"",Results!$K107&lt;&gt;"",Results!$F107&lt;&gt;Results!$H107,$F102&lt;&gt;"",$G102&lt;&gt;""),Results!$K107,""))</f>
        <v>1</v>
      </c>
      <c r="J102" s="17" t="str">
        <f>IF(Plan!$I105=0,F102&amp;G102,"")</f>
        <v>FC St. Pauli1. FC Union Berlin</v>
      </c>
      <c r="K102" s="134">
        <f t="shared" si="3"/>
        <v>1</v>
      </c>
      <c r="L102" s="134" t="str">
        <f>IF(AND(K102&gt;0,Plan!$I105=0),H102&amp;Language!$E$65&amp;I102,"")</f>
        <v>0 : 1</v>
      </c>
      <c r="M102" s="2" t="str">
        <f>IF(Plan!$I105=1,F102&amp;G102,"")</f>
        <v/>
      </c>
      <c r="N102" s="93" t="str">
        <f>IF(AND(K102&gt;0,Plan!$I105=1),H102&amp;Language!$E$65&amp;I102,"")</f>
        <v/>
      </c>
      <c r="O102" s="379">
        <f>IF($H102="",0,Results!$L107)</f>
        <v>0</v>
      </c>
      <c r="P102" s="380">
        <f>IF($I102="",0,Results!$M107)</f>
        <v>0</v>
      </c>
    </row>
    <row r="103" spans="2:16" x14ac:dyDescent="0.2">
      <c r="B103" s="5"/>
      <c r="C103" s="5"/>
      <c r="D103" s="5"/>
      <c r="E103" s="298">
        <v>100</v>
      </c>
      <c r="F103" s="190" t="str">
        <f>Plan!$Q106</f>
        <v>Borussia Mönchengladbach</v>
      </c>
      <c r="G103" s="191" t="str">
        <f>Plan!$S106</f>
        <v>RB Leipzig</v>
      </c>
      <c r="H103" s="134">
        <f>IF(AND(Results!$R$6&gt;0,$E103-1&gt;=Results!$R$6*Calc!$F$26),"",IF(AND(Results!$I108&lt;&gt;"",Results!$K108&lt;&gt;"",Results!$F108&lt;&gt;Results!$H108,$F103&lt;&gt;"",$G103&lt;&gt;""),Results!$I108,""))</f>
        <v>0</v>
      </c>
      <c r="I103" s="18">
        <f>IF(AND(Results!$R$6&gt;0,$E103-1&gt;=Results!$R$6*Calc!$F$26),"",IF(AND(Results!$I108&lt;&gt;"",Results!$K108&lt;&gt;"",Results!$F108&lt;&gt;Results!$H108,$F103&lt;&gt;"",$G103&lt;&gt;""),Results!$K108,""))</f>
        <v>0</v>
      </c>
      <c r="J103" s="17" t="str">
        <f>IF(Plan!$I106=0,F103&amp;G103,"")</f>
        <v>Borussia MönchengladbachRB Leipzig</v>
      </c>
      <c r="K103" s="134">
        <f t="shared" si="3"/>
        <v>1</v>
      </c>
      <c r="L103" s="134" t="str">
        <f>IF(AND(K103&gt;0,Plan!$I106=0),H103&amp;Language!$E$65&amp;I103,"")</f>
        <v>0 : 0</v>
      </c>
      <c r="M103" s="2" t="str">
        <f>IF(Plan!$I106=1,F103&amp;G103,"")</f>
        <v/>
      </c>
      <c r="N103" s="93" t="str">
        <f>IF(AND(K103&gt;0,Plan!$I106=1),H103&amp;Language!$E$65&amp;I103,"")</f>
        <v/>
      </c>
      <c r="O103" s="379">
        <f>IF($H103="",0,Results!$L108)</f>
        <v>0</v>
      </c>
      <c r="P103" s="380">
        <f>IF($I103="",0,Results!$M108)</f>
        <v>0</v>
      </c>
    </row>
    <row r="104" spans="2:16" x14ac:dyDescent="0.2">
      <c r="B104" s="5"/>
      <c r="C104" s="5"/>
      <c r="D104" s="5"/>
      <c r="E104" s="298">
        <v>101</v>
      </c>
      <c r="F104" s="190" t="str">
        <f>Plan!$Q107</f>
        <v>1. FC Union Berlin</v>
      </c>
      <c r="G104" s="191" t="str">
        <f>Plan!$S107</f>
        <v>1. FC Heidenheim 1846</v>
      </c>
      <c r="H104" s="134">
        <f>IF(AND(Results!$R$6&gt;0,$E104-1&gt;=Results!$R$6*Calc!$F$26),"",IF(AND(Results!$I109&lt;&gt;"",Results!$K109&lt;&gt;"",Results!$F109&lt;&gt;Results!$H109,$F104&lt;&gt;"",$G104&lt;&gt;""),Results!$I109,""))</f>
        <v>1</v>
      </c>
      <c r="I104" s="18">
        <f>IF(AND(Results!$R$6&gt;0,$E104-1&gt;=Results!$R$6*Calc!$F$26),"",IF(AND(Results!$I109&lt;&gt;"",Results!$K109&lt;&gt;"",Results!$F109&lt;&gt;Results!$H109,$F104&lt;&gt;"",$G104&lt;&gt;""),Results!$K109,""))</f>
        <v>2</v>
      </c>
      <c r="J104" s="17" t="str">
        <f>IF(Plan!$I107=0,F104&amp;G104,"")</f>
        <v>1. FC Union Berlin1. FC Heidenheim 1846</v>
      </c>
      <c r="K104" s="134">
        <f t="shared" si="3"/>
        <v>1</v>
      </c>
      <c r="L104" s="134" t="str">
        <f>IF(AND(K104&gt;0,Plan!$I107=0),H104&amp;Language!$E$65&amp;I104,"")</f>
        <v>1 : 2</v>
      </c>
      <c r="M104" s="2" t="str">
        <f>IF(Plan!$I107=1,F104&amp;G104,"")</f>
        <v/>
      </c>
      <c r="N104" s="93" t="str">
        <f>IF(AND(K104&gt;0,Plan!$I107=1),H104&amp;Language!$E$65&amp;I104,"")</f>
        <v/>
      </c>
      <c r="O104" s="379">
        <f>IF($H104="",0,Results!$L109)</f>
        <v>0</v>
      </c>
      <c r="P104" s="380">
        <f>IF($I104="",0,Results!$M109)</f>
        <v>0</v>
      </c>
    </row>
    <row r="105" spans="2:16" x14ac:dyDescent="0.2">
      <c r="B105" s="5"/>
      <c r="C105" s="5"/>
      <c r="D105" s="5"/>
      <c r="E105" s="298">
        <v>102</v>
      </c>
      <c r="F105" s="190" t="str">
        <f>Plan!$Q108</f>
        <v>TSG Hoffenheim</v>
      </c>
      <c r="G105" s="191" t="str">
        <f>Plan!$S108</f>
        <v>FC Augsburg</v>
      </c>
      <c r="H105" s="134">
        <f>IF(AND(Results!$R$6&gt;0,$E105-1&gt;=Results!$R$6*Calc!$F$26),"",IF(AND(Results!$I110&lt;&gt;"",Results!$K110&lt;&gt;"",Results!$F110&lt;&gt;Results!$H110,$F105&lt;&gt;"",$G105&lt;&gt;""),Results!$I110,""))</f>
        <v>3</v>
      </c>
      <c r="I105" s="18">
        <f>IF(AND(Results!$R$6&gt;0,$E105-1&gt;=Results!$R$6*Calc!$F$26),"",IF(AND(Results!$I110&lt;&gt;"",Results!$K110&lt;&gt;"",Results!$F110&lt;&gt;Results!$H110,$F105&lt;&gt;"",$G105&lt;&gt;""),Results!$K110,""))</f>
        <v>0</v>
      </c>
      <c r="J105" s="17" t="str">
        <f>IF(Plan!$I108=0,F105&amp;G105,"")</f>
        <v>TSG HoffenheimFC Augsburg</v>
      </c>
      <c r="K105" s="134">
        <f t="shared" si="3"/>
        <v>1</v>
      </c>
      <c r="L105" s="134" t="str">
        <f>IF(AND(K105&gt;0,Plan!$I108=0),H105&amp;Language!$E$65&amp;I105,"")</f>
        <v>3 : 0</v>
      </c>
      <c r="M105" s="2" t="str">
        <f>IF(Plan!$I108=1,F105&amp;G105,"")</f>
        <v/>
      </c>
      <c r="N105" s="93" t="str">
        <f>IF(AND(K105&gt;0,Plan!$I108=1),H105&amp;Language!$E$65&amp;I105,"")</f>
        <v/>
      </c>
      <c r="O105" s="379">
        <f>IF($H105="",0,Results!$L110)</f>
        <v>0</v>
      </c>
      <c r="P105" s="380">
        <f>IF($I105="",0,Results!$M110)</f>
        <v>0</v>
      </c>
    </row>
    <row r="106" spans="2:16" x14ac:dyDescent="0.2">
      <c r="B106" s="5"/>
      <c r="C106" s="5"/>
      <c r="D106" s="5"/>
      <c r="E106" s="298">
        <v>103</v>
      </c>
      <c r="F106" s="190" t="str">
        <f>Plan!$Q109</f>
        <v>FC Bayern München</v>
      </c>
      <c r="G106" s="191" t="str">
        <f>Plan!$S109</f>
        <v>FC St. Pauli</v>
      </c>
      <c r="H106" s="134">
        <f>IF(AND(Results!$R$6&gt;0,$E106-1&gt;=Results!$R$6*Calc!$F$26),"",IF(AND(Results!$I111&lt;&gt;"",Results!$K111&lt;&gt;"",Results!$F111&lt;&gt;Results!$H111,$F106&lt;&gt;"",$G106&lt;&gt;""),Results!$I111,""))</f>
        <v>3</v>
      </c>
      <c r="I106" s="18">
        <f>IF(AND(Results!$R$6&gt;0,$E106-1&gt;=Results!$R$6*Calc!$F$26),"",IF(AND(Results!$I111&lt;&gt;"",Results!$K111&lt;&gt;"",Results!$F111&lt;&gt;Results!$H111,$F106&lt;&gt;"",$G106&lt;&gt;""),Results!$K111,""))</f>
        <v>1</v>
      </c>
      <c r="J106" s="17" t="str">
        <f>IF(Plan!$I109=0,F106&amp;G106,"")</f>
        <v>FC Bayern MünchenFC St. Pauli</v>
      </c>
      <c r="K106" s="134">
        <f t="shared" si="3"/>
        <v>1</v>
      </c>
      <c r="L106" s="134" t="str">
        <f>IF(AND(K106&gt;0,Plan!$I109=0),H106&amp;Language!$E$65&amp;I106,"")</f>
        <v>3 : 1</v>
      </c>
      <c r="M106" s="2" t="str">
        <f>IF(Plan!$I109=1,F106&amp;G106,"")</f>
        <v/>
      </c>
      <c r="N106" s="93" t="str">
        <f>IF(AND(K106&gt;0,Plan!$I109=1),H106&amp;Language!$E$65&amp;I106,"")</f>
        <v/>
      </c>
      <c r="O106" s="379">
        <f>IF($H106="",0,Results!$L111)</f>
        <v>0</v>
      </c>
      <c r="P106" s="380">
        <f>IF($I106="",0,Results!$M111)</f>
        <v>0</v>
      </c>
    </row>
    <row r="107" spans="2:16" x14ac:dyDescent="0.2">
      <c r="B107" s="5"/>
      <c r="C107" s="5"/>
      <c r="D107" s="5"/>
      <c r="E107" s="298">
        <v>104</v>
      </c>
      <c r="F107" s="190" t="str">
        <f>Plan!$Q110</f>
        <v>SV Werder Bremen</v>
      </c>
      <c r="G107" s="191" t="str">
        <f>Plan!$S110</f>
        <v>1. FC Köln</v>
      </c>
      <c r="H107" s="134">
        <f>IF(AND(Results!$R$6&gt;0,$E107-1&gt;=Results!$R$6*Calc!$F$26),"",IF(AND(Results!$I112&lt;&gt;"",Results!$K112&lt;&gt;"",Results!$F112&lt;&gt;Results!$H112,$F107&lt;&gt;"",$G107&lt;&gt;""),Results!$I112,""))</f>
        <v>1</v>
      </c>
      <c r="I107" s="18">
        <f>IF(AND(Results!$R$6&gt;0,$E107-1&gt;=Results!$R$6*Calc!$F$26),"",IF(AND(Results!$I112&lt;&gt;"",Results!$K112&lt;&gt;"",Results!$F112&lt;&gt;Results!$H112,$F107&lt;&gt;"",$G107&lt;&gt;""),Results!$K112,""))</f>
        <v>1</v>
      </c>
      <c r="J107" s="17" t="str">
        <f>IF(Plan!$I110=0,F107&amp;G107,"")</f>
        <v>SV Werder Bremen1. FC Köln</v>
      </c>
      <c r="K107" s="134">
        <f t="shared" si="3"/>
        <v>1</v>
      </c>
      <c r="L107" s="134" t="str">
        <f>IF(AND(K107&gt;0,Plan!$I110=0),H107&amp;Language!$E$65&amp;I107,"")</f>
        <v>1 : 1</v>
      </c>
      <c r="M107" s="2" t="str">
        <f>IF(Plan!$I110=1,F107&amp;G107,"")</f>
        <v/>
      </c>
      <c r="N107" s="93" t="str">
        <f>IF(AND(K107&gt;0,Plan!$I110=1),H107&amp;Language!$E$65&amp;I107,"")</f>
        <v/>
      </c>
      <c r="O107" s="379">
        <f>IF($H107="",0,Results!$L112)</f>
        <v>0</v>
      </c>
      <c r="P107" s="380">
        <f>IF($I107="",0,Results!$M112)</f>
        <v>0</v>
      </c>
    </row>
    <row r="108" spans="2:16" x14ac:dyDescent="0.2">
      <c r="B108" s="5"/>
      <c r="C108" s="5"/>
      <c r="D108" s="5"/>
      <c r="E108" s="298">
        <v>105</v>
      </c>
      <c r="F108" s="190" t="str">
        <f>Plan!$Q111</f>
        <v>Bayer 04 Leverkusen</v>
      </c>
      <c r="G108" s="191" t="str">
        <f>Plan!$S111</f>
        <v>Borussia Dortmund</v>
      </c>
      <c r="H108" s="134">
        <f>IF(AND(Results!$R$6&gt;0,$E108-1&gt;=Results!$R$6*Calc!$F$26),"",IF(AND(Results!$I113&lt;&gt;"",Results!$K113&lt;&gt;"",Results!$F113&lt;&gt;Results!$H113,$F108&lt;&gt;"",$G108&lt;&gt;""),Results!$I113,""))</f>
        <v>1</v>
      </c>
      <c r="I108" s="18">
        <f>IF(AND(Results!$R$6&gt;0,$E108-1&gt;=Results!$R$6*Calc!$F$26),"",IF(AND(Results!$I113&lt;&gt;"",Results!$K113&lt;&gt;"",Results!$F113&lt;&gt;Results!$H113,$F108&lt;&gt;"",$G108&lt;&gt;""),Results!$K113,""))</f>
        <v>2</v>
      </c>
      <c r="J108" s="17" t="str">
        <f>IF(Plan!$I111=0,F108&amp;G108,"")</f>
        <v>Bayer 04 LeverkusenBorussia Dortmund</v>
      </c>
      <c r="K108" s="134">
        <f t="shared" si="3"/>
        <v>1</v>
      </c>
      <c r="L108" s="134" t="str">
        <f>IF(AND(K108&gt;0,Plan!$I111=0),H108&amp;Language!$E$65&amp;I108,"")</f>
        <v>1 : 2</v>
      </c>
      <c r="M108" s="2" t="str">
        <f>IF(Plan!$I111=1,F108&amp;G108,"")</f>
        <v/>
      </c>
      <c r="N108" s="93" t="str">
        <f>IF(AND(K108&gt;0,Plan!$I111=1),H108&amp;Language!$E$65&amp;I108,"")</f>
        <v/>
      </c>
      <c r="O108" s="379">
        <f>IF($H108="",0,Results!$L113)</f>
        <v>0</v>
      </c>
      <c r="P108" s="380">
        <f>IF($I108="",0,Results!$M113)</f>
        <v>0</v>
      </c>
    </row>
    <row r="109" spans="2:16" x14ac:dyDescent="0.2">
      <c r="B109" s="5"/>
      <c r="C109" s="5"/>
      <c r="D109" s="5"/>
      <c r="E109" s="298">
        <v>106</v>
      </c>
      <c r="F109" s="190" t="str">
        <f>Plan!$Q112</f>
        <v>Hamburger SV</v>
      </c>
      <c r="G109" s="191" t="str">
        <f>Plan!$S112</f>
        <v>VfB Stuttgart</v>
      </c>
      <c r="H109" s="134">
        <f>IF(AND(Results!$R$6&gt;0,$E109-1&gt;=Results!$R$6*Calc!$F$26),"",IF(AND(Results!$I114&lt;&gt;"",Results!$K114&lt;&gt;"",Results!$F114&lt;&gt;Results!$H114,$F109&lt;&gt;"",$G109&lt;&gt;""),Results!$I114,""))</f>
        <v>2</v>
      </c>
      <c r="I109" s="18">
        <f>IF(AND(Results!$R$6&gt;0,$E109-1&gt;=Results!$R$6*Calc!$F$26),"",IF(AND(Results!$I114&lt;&gt;"",Results!$K114&lt;&gt;"",Results!$F114&lt;&gt;Results!$H114,$F109&lt;&gt;"",$G109&lt;&gt;""),Results!$K114,""))</f>
        <v>1</v>
      </c>
      <c r="J109" s="17" t="str">
        <f>IF(Plan!$I112=0,F109&amp;G109,"")</f>
        <v>Hamburger SVVfB Stuttgart</v>
      </c>
      <c r="K109" s="134">
        <f t="shared" si="3"/>
        <v>1</v>
      </c>
      <c r="L109" s="134" t="str">
        <f>IF(AND(K109&gt;0,Plan!$I112=0),H109&amp;Language!$E$65&amp;I109,"")</f>
        <v>2 : 1</v>
      </c>
      <c r="M109" s="2" t="str">
        <f>IF(Plan!$I112=1,F109&amp;G109,"")</f>
        <v/>
      </c>
      <c r="N109" s="93" t="str">
        <f>IF(AND(K109&gt;0,Plan!$I112=1),H109&amp;Language!$E$65&amp;I109,"")</f>
        <v/>
      </c>
      <c r="O109" s="379">
        <f>IF($H109="",0,Results!$L114)</f>
        <v>0</v>
      </c>
      <c r="P109" s="380">
        <f>IF($I109="",0,Results!$M114)</f>
        <v>0</v>
      </c>
    </row>
    <row r="110" spans="2:16" x14ac:dyDescent="0.2">
      <c r="B110" s="5"/>
      <c r="C110" s="5"/>
      <c r="D110" s="5"/>
      <c r="E110" s="298">
        <v>107</v>
      </c>
      <c r="F110" s="190" t="str">
        <f>Plan!$Q113</f>
        <v>Eintracht Frankfurt</v>
      </c>
      <c r="G110" s="191" t="str">
        <f>Plan!$S113</f>
        <v>VfL Wolfsburg</v>
      </c>
      <c r="H110" s="134">
        <f>IF(AND(Results!$R$6&gt;0,$E110-1&gt;=Results!$R$6*Calc!$F$26),"",IF(AND(Results!$I115&lt;&gt;"",Results!$K115&lt;&gt;"",Results!$F115&lt;&gt;Results!$H115,$F110&lt;&gt;"",$G110&lt;&gt;""),Results!$I115,""))</f>
        <v>1</v>
      </c>
      <c r="I110" s="18">
        <f>IF(AND(Results!$R$6&gt;0,$E110-1&gt;=Results!$R$6*Calc!$F$26),"",IF(AND(Results!$I115&lt;&gt;"",Results!$K115&lt;&gt;"",Results!$F115&lt;&gt;Results!$H115,$F110&lt;&gt;"",$G110&lt;&gt;""),Results!$K115,""))</f>
        <v>1</v>
      </c>
      <c r="J110" s="17" t="str">
        <f>IF(Plan!$I113=0,F110&amp;G110,"")</f>
        <v>Eintracht FrankfurtVfL Wolfsburg</v>
      </c>
      <c r="K110" s="134">
        <f t="shared" si="3"/>
        <v>1</v>
      </c>
      <c r="L110" s="134" t="str">
        <f>IF(AND(K110&gt;0,Plan!$I113=0),H110&amp;Language!$E$65&amp;I110,"")</f>
        <v>1 : 1</v>
      </c>
      <c r="M110" s="2" t="str">
        <f>IF(Plan!$I113=1,F110&amp;G110,"")</f>
        <v/>
      </c>
      <c r="N110" s="93" t="str">
        <f>IF(AND(K110&gt;0,Plan!$I113=1),H110&amp;Language!$E$65&amp;I110,"")</f>
        <v/>
      </c>
      <c r="O110" s="379">
        <f>IF($H110="",0,Results!$L115)</f>
        <v>0</v>
      </c>
      <c r="P110" s="380">
        <f>IF($I110="",0,Results!$M115)</f>
        <v>0</v>
      </c>
    </row>
    <row r="111" spans="2:16" x14ac:dyDescent="0.2">
      <c r="B111" s="5"/>
      <c r="C111" s="5"/>
      <c r="D111" s="5"/>
      <c r="E111" s="298">
        <v>108</v>
      </c>
      <c r="F111" s="190" t="str">
        <f>Plan!$Q114</f>
        <v>SC Freiburg</v>
      </c>
      <c r="G111" s="191" t="str">
        <f>Plan!$S114</f>
        <v>1. FSV Mainz 05</v>
      </c>
      <c r="H111" s="134">
        <f>IF(AND(Results!$R$6&gt;0,$E111-1&gt;=Results!$R$6*Calc!$F$26),"",IF(AND(Results!$I116&lt;&gt;"",Results!$K116&lt;&gt;"",Results!$F116&lt;&gt;Results!$H116,$F111&lt;&gt;"",$G111&lt;&gt;""),Results!$I116,""))</f>
        <v>4</v>
      </c>
      <c r="I111" s="18">
        <f>IF(AND(Results!$R$6&gt;0,$E111-1&gt;=Results!$R$6*Calc!$F$26),"",IF(AND(Results!$I116&lt;&gt;"",Results!$K116&lt;&gt;"",Results!$F116&lt;&gt;Results!$H116,$F111&lt;&gt;"",$G111&lt;&gt;""),Results!$K116,""))</f>
        <v>0</v>
      </c>
      <c r="J111" s="17" t="str">
        <f>IF(Plan!$I114=0,F111&amp;G111,"")</f>
        <v>SC Freiburg1. FSV Mainz 05</v>
      </c>
      <c r="K111" s="134">
        <f t="shared" si="3"/>
        <v>1</v>
      </c>
      <c r="L111" s="134" t="str">
        <f>IF(AND(K111&gt;0,Plan!$I114=0),H111&amp;Language!$E$65&amp;I111,"")</f>
        <v>4 : 0</v>
      </c>
      <c r="M111" s="2" t="str">
        <f>IF(Plan!$I114=1,F111&amp;G111,"")</f>
        <v/>
      </c>
      <c r="N111" s="93" t="str">
        <f>IF(AND(K111&gt;0,Plan!$I114=1),H111&amp;Language!$E$65&amp;I111,"")</f>
        <v/>
      </c>
      <c r="O111" s="379">
        <f>IF($H111="",0,Results!$L116)</f>
        <v>0</v>
      </c>
      <c r="P111" s="380">
        <f>IF($I111="",0,Results!$M116)</f>
        <v>0</v>
      </c>
    </row>
    <row r="112" spans="2:16" x14ac:dyDescent="0.2">
      <c r="B112" s="5"/>
      <c r="C112" s="5"/>
      <c r="D112" s="5"/>
      <c r="E112" s="298">
        <v>109</v>
      </c>
      <c r="F112" s="190" t="str">
        <f>Plan!$Q115</f>
        <v>1. FSV Mainz 05</v>
      </c>
      <c r="G112" s="191" t="str">
        <f>Plan!$S115</f>
        <v>Borussia Mönchengladbach</v>
      </c>
      <c r="H112" s="134">
        <f>IF(AND(Results!$R$6&gt;0,$E112-1&gt;=Results!$R$6*Calc!$F$26),"",IF(AND(Results!$I117&lt;&gt;"",Results!$K117&lt;&gt;"",Results!$F117&lt;&gt;Results!$H117,$F112&lt;&gt;"",$G112&lt;&gt;""),Results!$I117,""))</f>
        <v>0</v>
      </c>
      <c r="I112" s="18">
        <f>IF(AND(Results!$R$6&gt;0,$E112-1&gt;=Results!$R$6*Calc!$F$26),"",IF(AND(Results!$I117&lt;&gt;"",Results!$K117&lt;&gt;"",Results!$F117&lt;&gt;Results!$H117,$F112&lt;&gt;"",$G112&lt;&gt;""),Results!$K117,""))</f>
        <v>1</v>
      </c>
      <c r="J112" s="17" t="str">
        <f>IF(Plan!$I115=0,F112&amp;G112,"")</f>
        <v>1. FSV Mainz 05Borussia Mönchengladbach</v>
      </c>
      <c r="K112" s="134">
        <f t="shared" si="3"/>
        <v>1</v>
      </c>
      <c r="L112" s="134" t="str">
        <f>IF(AND(K112&gt;0,Plan!$I115=0),H112&amp;Language!$E$65&amp;I112,"")</f>
        <v>0 : 1</v>
      </c>
      <c r="M112" s="2" t="str">
        <f>IF(Plan!$I115=1,F112&amp;G112,"")</f>
        <v/>
      </c>
      <c r="N112" s="93" t="str">
        <f>IF(AND(K112&gt;0,Plan!$I115=1),H112&amp;Language!$E$65&amp;I112,"")</f>
        <v/>
      </c>
      <c r="O112" s="379">
        <f>IF($H112="",0,Results!$L117)</f>
        <v>0</v>
      </c>
      <c r="P112" s="380">
        <f>IF($I112="",0,Results!$M117)</f>
        <v>0</v>
      </c>
    </row>
    <row r="113" spans="2:16" x14ac:dyDescent="0.2">
      <c r="B113" s="5"/>
      <c r="C113" s="5"/>
      <c r="D113" s="5"/>
      <c r="E113" s="298">
        <v>110</v>
      </c>
      <c r="F113" s="190" t="str">
        <f>Plan!$Q116</f>
        <v>1. FC Heidenheim 1846</v>
      </c>
      <c r="G113" s="191" t="str">
        <f>Plan!$S116</f>
        <v>SC Freiburg</v>
      </c>
      <c r="H113" s="134">
        <f>IF(AND(Results!$R$6&gt;0,$E113-1&gt;=Results!$R$6*Calc!$F$26),"",IF(AND(Results!$I118&lt;&gt;"",Results!$K118&lt;&gt;"",Results!$F118&lt;&gt;Results!$H118,$F113&lt;&gt;"",$G113&lt;&gt;""),Results!$I118,""))</f>
        <v>2</v>
      </c>
      <c r="I113" s="18">
        <f>IF(AND(Results!$R$6&gt;0,$E113-1&gt;=Results!$R$6*Calc!$F$26),"",IF(AND(Results!$I118&lt;&gt;"",Results!$K118&lt;&gt;"",Results!$F118&lt;&gt;Results!$H118,$F113&lt;&gt;"",$G113&lt;&gt;""),Results!$K118,""))</f>
        <v>1</v>
      </c>
      <c r="J113" s="17" t="str">
        <f>IF(Plan!$I116=0,F113&amp;G113,"")</f>
        <v>1. FC Heidenheim 1846SC Freiburg</v>
      </c>
      <c r="K113" s="134">
        <f t="shared" si="3"/>
        <v>1</v>
      </c>
      <c r="L113" s="134" t="str">
        <f>IF(AND(K113&gt;0,Plan!$I116=0),H113&amp;Language!$E$65&amp;I113,"")</f>
        <v>2 : 1</v>
      </c>
      <c r="M113" s="2" t="str">
        <f>IF(Plan!$I116=1,F113&amp;G113,"")</f>
        <v/>
      </c>
      <c r="N113" s="93" t="str">
        <f>IF(AND(K113&gt;0,Plan!$I116=1),H113&amp;Language!$E$65&amp;I113,"")</f>
        <v/>
      </c>
      <c r="O113" s="379">
        <f>IF($H113="",0,Results!$L118)</f>
        <v>0</v>
      </c>
      <c r="P113" s="380">
        <f>IF($I113="",0,Results!$M118)</f>
        <v>0</v>
      </c>
    </row>
    <row r="114" spans="2:16" x14ac:dyDescent="0.2">
      <c r="B114" s="5"/>
      <c r="C114" s="5"/>
      <c r="D114" s="5"/>
      <c r="E114" s="298">
        <v>111</v>
      </c>
      <c r="F114" s="190" t="str">
        <f>Plan!$Q117</f>
        <v>1. FC Köln</v>
      </c>
      <c r="G114" s="191" t="str">
        <f>Plan!$S117</f>
        <v>FC St. Pauli</v>
      </c>
      <c r="H114" s="134">
        <f>IF(AND(Results!$R$6&gt;0,$E114-1&gt;=Results!$R$6*Calc!$F$26),"",IF(AND(Results!$I119&lt;&gt;"",Results!$K119&lt;&gt;"",Results!$F119&lt;&gt;Results!$H119,$F114&lt;&gt;"",$G114&lt;&gt;""),Results!$I119,""))</f>
        <v>1</v>
      </c>
      <c r="I114" s="18">
        <f>IF(AND(Results!$R$6&gt;0,$E114-1&gt;=Results!$R$6*Calc!$F$26),"",IF(AND(Results!$I119&lt;&gt;"",Results!$K119&lt;&gt;"",Results!$F119&lt;&gt;Results!$H119,$F114&lt;&gt;"",$G114&lt;&gt;""),Results!$K119,""))</f>
        <v>1</v>
      </c>
      <c r="J114" s="17" t="str">
        <f>IF(Plan!$I117=0,F114&amp;G114,"")</f>
        <v>1. FC KölnFC St. Pauli</v>
      </c>
      <c r="K114" s="134">
        <f t="shared" si="3"/>
        <v>1</v>
      </c>
      <c r="L114" s="134" t="str">
        <f>IF(AND(K114&gt;0,Plan!$I117=0),H114&amp;Language!$E$65&amp;I114,"")</f>
        <v>1 : 1</v>
      </c>
      <c r="M114" s="2" t="str">
        <f>IF(Plan!$I117=1,F114&amp;G114,"")</f>
        <v/>
      </c>
      <c r="N114" s="93" t="str">
        <f>IF(AND(K114&gt;0,Plan!$I117=1),H114&amp;Language!$E$65&amp;I114,"")</f>
        <v/>
      </c>
      <c r="O114" s="379">
        <f>IF($H114="",0,Results!$L119)</f>
        <v>0</v>
      </c>
      <c r="P114" s="380">
        <f>IF($I114="",0,Results!$M119)</f>
        <v>0</v>
      </c>
    </row>
    <row r="115" spans="2:16" x14ac:dyDescent="0.2">
      <c r="B115" s="5"/>
      <c r="C115" s="5"/>
      <c r="D115" s="5"/>
      <c r="E115" s="298">
        <v>112</v>
      </c>
      <c r="F115" s="190" t="str">
        <f>Plan!$Q118</f>
        <v>FC Augsburg</v>
      </c>
      <c r="G115" s="191" t="str">
        <f>Plan!$S118</f>
        <v>Bayer 04 Leverkusen</v>
      </c>
      <c r="H115" s="134">
        <f>IF(AND(Results!$R$6&gt;0,$E115-1&gt;=Results!$R$6*Calc!$F$26),"",IF(AND(Results!$I120&lt;&gt;"",Results!$K120&lt;&gt;"",Results!$F120&lt;&gt;Results!$H120,$F115&lt;&gt;"",$G115&lt;&gt;""),Results!$I120,""))</f>
        <v>2</v>
      </c>
      <c r="I115" s="18">
        <f>IF(AND(Results!$R$6&gt;0,$E115-1&gt;=Results!$R$6*Calc!$F$26),"",IF(AND(Results!$I120&lt;&gt;"",Results!$K120&lt;&gt;"",Results!$F120&lt;&gt;Results!$H120,$F115&lt;&gt;"",$G115&lt;&gt;""),Results!$K120,""))</f>
        <v>0</v>
      </c>
      <c r="J115" s="17" t="str">
        <f>IF(Plan!$I118=0,F115&amp;G115,"")</f>
        <v>FC AugsburgBayer 04 Leverkusen</v>
      </c>
      <c r="K115" s="134">
        <f t="shared" si="3"/>
        <v>1</v>
      </c>
      <c r="L115" s="134" t="str">
        <f>IF(AND(K115&gt;0,Plan!$I118=0),H115&amp;Language!$E$65&amp;I115,"")</f>
        <v>2 : 0</v>
      </c>
      <c r="M115" s="2" t="str">
        <f>IF(Plan!$I118=1,F115&amp;G115,"")</f>
        <v/>
      </c>
      <c r="N115" s="93" t="str">
        <f>IF(AND(K115&gt;0,Plan!$I118=1),H115&amp;Language!$E$65&amp;I115,"")</f>
        <v/>
      </c>
      <c r="O115" s="379">
        <f>IF($H115="",0,Results!$L120)</f>
        <v>0</v>
      </c>
      <c r="P115" s="380">
        <f>IF($I115="",0,Results!$M120)</f>
        <v>0</v>
      </c>
    </row>
    <row r="116" spans="2:16" x14ac:dyDescent="0.2">
      <c r="B116" s="5"/>
      <c r="C116" s="5"/>
      <c r="D116" s="5"/>
      <c r="E116" s="298">
        <v>113</v>
      </c>
      <c r="F116" s="190" t="str">
        <f>Plan!$Q119</f>
        <v>VfB Stuttgart</v>
      </c>
      <c r="G116" s="191" t="str">
        <f>Plan!$S119</f>
        <v>FC Bayern München</v>
      </c>
      <c r="H116" s="134">
        <f>IF(AND(Results!$R$6&gt;0,$E116-1&gt;=Results!$R$6*Calc!$F$26),"",IF(AND(Results!$I121&lt;&gt;"",Results!$K121&lt;&gt;"",Results!$F121&lt;&gt;Results!$H121,$F116&lt;&gt;"",$G116&lt;&gt;""),Results!$I121,""))</f>
        <v>0</v>
      </c>
      <c r="I116" s="18">
        <f>IF(AND(Results!$R$6&gt;0,$E116-1&gt;=Results!$R$6*Calc!$F$26),"",IF(AND(Results!$I121&lt;&gt;"",Results!$K121&lt;&gt;"",Results!$F121&lt;&gt;Results!$H121,$F116&lt;&gt;"",$G116&lt;&gt;""),Results!$K121,""))</f>
        <v>5</v>
      </c>
      <c r="J116" s="17" t="str">
        <f>IF(Plan!$I119=0,F116&amp;G116,"")</f>
        <v>VfB StuttgartFC Bayern München</v>
      </c>
      <c r="K116" s="134">
        <f t="shared" si="3"/>
        <v>1</v>
      </c>
      <c r="L116" s="134" t="str">
        <f>IF(AND(K116&gt;0,Plan!$I119=0),H116&amp;Language!$E$65&amp;I116,"")</f>
        <v>0 : 5</v>
      </c>
      <c r="M116" s="2" t="str">
        <f>IF(Plan!$I119=1,F116&amp;G116,"")</f>
        <v/>
      </c>
      <c r="N116" s="93" t="str">
        <f>IF(AND(K116&gt;0,Plan!$I119=1),H116&amp;Language!$E$65&amp;I116,"")</f>
        <v/>
      </c>
      <c r="O116" s="379">
        <f>IF($H116="",0,Results!$L121)</f>
        <v>0</v>
      </c>
      <c r="P116" s="380">
        <f>IF($I116="",0,Results!$M121)</f>
        <v>0</v>
      </c>
    </row>
    <row r="117" spans="2:16" x14ac:dyDescent="0.2">
      <c r="B117" s="5"/>
      <c r="C117" s="5"/>
      <c r="D117" s="5"/>
      <c r="E117" s="298">
        <v>114</v>
      </c>
      <c r="F117" s="190" t="str">
        <f>Plan!$Q120</f>
        <v>VfL Wolfsburg</v>
      </c>
      <c r="G117" s="191" t="str">
        <f>Plan!$S120</f>
        <v>1. FC Union Berlin</v>
      </c>
      <c r="H117" s="134">
        <f>IF(AND(Results!$R$6&gt;0,$E117-1&gt;=Results!$R$6*Calc!$F$26),"",IF(AND(Results!$I122&lt;&gt;"",Results!$K122&lt;&gt;"",Results!$F122&lt;&gt;Results!$H122,$F117&lt;&gt;"",$G117&lt;&gt;""),Results!$I122,""))</f>
        <v>3</v>
      </c>
      <c r="I117" s="18">
        <f>IF(AND(Results!$R$6&gt;0,$E117-1&gt;=Results!$R$6*Calc!$F$26),"",IF(AND(Results!$I122&lt;&gt;"",Results!$K122&lt;&gt;"",Results!$F122&lt;&gt;Results!$H122,$F117&lt;&gt;"",$G117&lt;&gt;""),Results!$K122,""))</f>
        <v>1</v>
      </c>
      <c r="J117" s="17" t="str">
        <f>IF(Plan!$I120=0,F117&amp;G117,"")</f>
        <v>VfL Wolfsburg1. FC Union Berlin</v>
      </c>
      <c r="K117" s="134">
        <f t="shared" si="3"/>
        <v>1</v>
      </c>
      <c r="L117" s="134" t="str">
        <f>IF(AND(K117&gt;0,Plan!$I120=0),H117&amp;Language!$E$65&amp;I117,"")</f>
        <v>3 : 1</v>
      </c>
      <c r="M117" s="2" t="str">
        <f>IF(Plan!$I120=1,F117&amp;G117,"")</f>
        <v/>
      </c>
      <c r="N117" s="93" t="str">
        <f>IF(AND(K117&gt;0,Plan!$I120=1),H117&amp;Language!$E$65&amp;I117,"")</f>
        <v/>
      </c>
      <c r="O117" s="379">
        <f>IF($H117="",0,Results!$L122)</f>
        <v>0</v>
      </c>
      <c r="P117" s="380">
        <f>IF($I117="",0,Results!$M122)</f>
        <v>0</v>
      </c>
    </row>
    <row r="118" spans="2:16" x14ac:dyDescent="0.2">
      <c r="B118" s="5"/>
      <c r="C118" s="5"/>
      <c r="D118" s="5"/>
      <c r="E118" s="298">
        <v>115</v>
      </c>
      <c r="F118" s="190" t="str">
        <f>Plan!$Q121</f>
        <v>RB Leipzig</v>
      </c>
      <c r="G118" s="191" t="str">
        <f>Plan!$S121</f>
        <v>Eintracht Frankfurt</v>
      </c>
      <c r="H118" s="134">
        <f>IF(AND(Results!$R$6&gt;0,$E118-1&gt;=Results!$R$6*Calc!$F$26),"",IF(AND(Results!$I123&lt;&gt;"",Results!$K123&lt;&gt;"",Results!$F123&lt;&gt;Results!$H123,$F118&lt;&gt;"",$G118&lt;&gt;""),Results!$I123,""))</f>
        <v>6</v>
      </c>
      <c r="I118" s="18">
        <f>IF(AND(Results!$R$6&gt;0,$E118-1&gt;=Results!$R$6*Calc!$F$26),"",IF(AND(Results!$I123&lt;&gt;"",Results!$K123&lt;&gt;"",Results!$F123&lt;&gt;Results!$H123,$F118&lt;&gt;"",$G118&lt;&gt;""),Results!$K123,""))</f>
        <v>0</v>
      </c>
      <c r="J118" s="17" t="str">
        <f>IF(Plan!$I121=0,F118&amp;G118,"")</f>
        <v>RB LeipzigEintracht Frankfurt</v>
      </c>
      <c r="K118" s="134">
        <f t="shared" si="3"/>
        <v>1</v>
      </c>
      <c r="L118" s="134" t="str">
        <f>IF(AND(K118&gt;0,Plan!$I121=0),H118&amp;Language!$E$65&amp;I118,"")</f>
        <v>6 : 0</v>
      </c>
      <c r="M118" s="2" t="str">
        <f>IF(Plan!$I121=1,F118&amp;G118,"")</f>
        <v/>
      </c>
      <c r="N118" s="93" t="str">
        <f>IF(AND(K118&gt;0,Plan!$I121=1),H118&amp;Language!$E$65&amp;I118,"")</f>
        <v/>
      </c>
      <c r="O118" s="379">
        <f>IF($H118="",0,Results!$L123)</f>
        <v>0</v>
      </c>
      <c r="P118" s="380">
        <f>IF($I118="",0,Results!$M123)</f>
        <v>0</v>
      </c>
    </row>
    <row r="119" spans="2:16" x14ac:dyDescent="0.2">
      <c r="B119" s="5"/>
      <c r="C119" s="5"/>
      <c r="D119" s="5"/>
      <c r="E119" s="298">
        <v>116</v>
      </c>
      <c r="F119" s="190" t="str">
        <f>Plan!$Q122</f>
        <v>Hamburger SV</v>
      </c>
      <c r="G119" s="191" t="str">
        <f>Plan!$S122</f>
        <v>SV Werder Bremen</v>
      </c>
      <c r="H119" s="134">
        <f>IF(AND(Results!$R$6&gt;0,$E119-1&gt;=Results!$R$6*Calc!$F$26),"",IF(AND(Results!$I124&lt;&gt;"",Results!$K124&lt;&gt;"",Results!$F124&lt;&gt;Results!$H124,$F119&lt;&gt;"",$G119&lt;&gt;""),Results!$I124,""))</f>
        <v>3</v>
      </c>
      <c r="I119" s="18">
        <f>IF(AND(Results!$R$6&gt;0,$E119-1&gt;=Results!$R$6*Calc!$F$26),"",IF(AND(Results!$I124&lt;&gt;"",Results!$K124&lt;&gt;"",Results!$F124&lt;&gt;Results!$H124,$F119&lt;&gt;"",$G119&lt;&gt;""),Results!$K124,""))</f>
        <v>2</v>
      </c>
      <c r="J119" s="17" t="str">
        <f>IF(Plan!$I122=0,F119&amp;G119,"")</f>
        <v>Hamburger SVSV Werder Bremen</v>
      </c>
      <c r="K119" s="134">
        <f t="shared" si="3"/>
        <v>1</v>
      </c>
      <c r="L119" s="134" t="str">
        <f>IF(AND(K119&gt;0,Plan!$I122=0),H119&amp;Language!$E$65&amp;I119,"")</f>
        <v>3 : 2</v>
      </c>
      <c r="M119" s="2" t="str">
        <f>IF(Plan!$I122=1,F119&amp;G119,"")</f>
        <v/>
      </c>
      <c r="N119" s="93" t="str">
        <f>IF(AND(K119&gt;0,Plan!$I122=1),H119&amp;Language!$E$65&amp;I119,"")</f>
        <v/>
      </c>
      <c r="O119" s="379">
        <f>IF($H119="",0,Results!$L124)</f>
        <v>0</v>
      </c>
      <c r="P119" s="380">
        <f>IF($I119="",0,Results!$M124)</f>
        <v>0</v>
      </c>
    </row>
    <row r="120" spans="2:16" x14ac:dyDescent="0.2">
      <c r="B120" s="5"/>
      <c r="C120" s="5"/>
      <c r="D120" s="5"/>
      <c r="E120" s="298">
        <v>117</v>
      </c>
      <c r="F120" s="190" t="str">
        <f>Plan!$Q123</f>
        <v>Borussia Dortmund</v>
      </c>
      <c r="G120" s="191" t="str">
        <f>Plan!$S123</f>
        <v>TSG Hoffenheim</v>
      </c>
      <c r="H120" s="134">
        <f>IF(AND(Results!$R$6&gt;0,$E120-1&gt;=Results!$R$6*Calc!$F$26),"",IF(AND(Results!$I125&lt;&gt;"",Results!$K125&lt;&gt;"",Results!$F125&lt;&gt;Results!$H125,$F120&lt;&gt;"",$G120&lt;&gt;""),Results!$I125,""))</f>
        <v>2</v>
      </c>
      <c r="I120" s="18">
        <f>IF(AND(Results!$R$6&gt;0,$E120-1&gt;=Results!$R$6*Calc!$F$26),"",IF(AND(Results!$I125&lt;&gt;"",Results!$K125&lt;&gt;"",Results!$F125&lt;&gt;Results!$H125,$F120&lt;&gt;"",$G120&lt;&gt;""),Results!$K125,""))</f>
        <v>0</v>
      </c>
      <c r="J120" s="17" t="str">
        <f>IF(Plan!$I123=0,F120&amp;G120,"")</f>
        <v>Borussia DortmundTSG Hoffenheim</v>
      </c>
      <c r="K120" s="134">
        <f t="shared" si="3"/>
        <v>1</v>
      </c>
      <c r="L120" s="134" t="str">
        <f>IF(AND(K120&gt;0,Plan!$I123=0),H120&amp;Language!$E$65&amp;I120,"")</f>
        <v>2 : 0</v>
      </c>
      <c r="M120" s="2" t="str">
        <f>IF(Plan!$I123=1,F120&amp;G120,"")</f>
        <v/>
      </c>
      <c r="N120" s="93" t="str">
        <f>IF(AND(K120&gt;0,Plan!$I123=1),H120&amp;Language!$E$65&amp;I120,"")</f>
        <v/>
      </c>
      <c r="O120" s="379">
        <f>IF($H120="",0,Results!$L125)</f>
        <v>0</v>
      </c>
      <c r="P120" s="380">
        <f>IF($I120="",0,Results!$M125)</f>
        <v>0</v>
      </c>
    </row>
    <row r="121" spans="2:16" x14ac:dyDescent="0.2">
      <c r="B121" s="5"/>
      <c r="C121" s="5"/>
      <c r="D121" s="5"/>
      <c r="E121" s="298">
        <v>118</v>
      </c>
      <c r="F121" s="190" t="str">
        <f>Plan!$Q124</f>
        <v>1. FC Union Berlin</v>
      </c>
      <c r="G121" s="191" t="str">
        <f>Plan!$S124</f>
        <v>RB Leipzig</v>
      </c>
      <c r="H121" s="134">
        <f>IF(AND(Results!$R$6&gt;0,$E121-1&gt;=Results!$R$6*Calc!$F$26),"",IF(AND(Results!$I126&lt;&gt;"",Results!$K126&lt;&gt;"",Results!$F126&lt;&gt;Results!$H126,$F121&lt;&gt;"",$G121&lt;&gt;""),Results!$I126,""))</f>
        <v>3</v>
      </c>
      <c r="I121" s="18">
        <f>IF(AND(Results!$R$6&gt;0,$E121-1&gt;=Results!$R$6*Calc!$F$26),"",IF(AND(Results!$I126&lt;&gt;"",Results!$K126&lt;&gt;"",Results!$F126&lt;&gt;Results!$H126,$F121&lt;&gt;"",$G121&lt;&gt;""),Results!$K126,""))</f>
        <v>1</v>
      </c>
      <c r="J121" s="17" t="str">
        <f>IF(Plan!$I124=0,F121&amp;G121,"")</f>
        <v>1. FC Union BerlinRB Leipzig</v>
      </c>
      <c r="K121" s="134">
        <f t="shared" si="3"/>
        <v>1</v>
      </c>
      <c r="L121" s="134" t="str">
        <f>IF(AND(K121&gt;0,Plan!$I124=0),H121&amp;Language!$E$65&amp;I121,"")</f>
        <v>3 : 1</v>
      </c>
      <c r="M121" s="2" t="str">
        <f>IF(Plan!$I124=1,F121&amp;G121,"")</f>
        <v/>
      </c>
      <c r="N121" s="93" t="str">
        <f>IF(AND(K121&gt;0,Plan!$I124=1),H121&amp;Language!$E$65&amp;I121,"")</f>
        <v/>
      </c>
      <c r="O121" s="379">
        <f>IF($H121="",0,Results!$L126)</f>
        <v>0</v>
      </c>
      <c r="P121" s="380">
        <f>IF($I121="",0,Results!$M126)</f>
        <v>0</v>
      </c>
    </row>
    <row r="122" spans="2:16" x14ac:dyDescent="0.2">
      <c r="B122" s="5"/>
      <c r="C122" s="5"/>
      <c r="D122" s="5"/>
      <c r="E122" s="298">
        <v>119</v>
      </c>
      <c r="F122" s="190" t="str">
        <f>Plan!$Q125</f>
        <v>FC St. Pauli</v>
      </c>
      <c r="G122" s="191" t="str">
        <f>Plan!$S125</f>
        <v>1. FC Heidenheim 1846</v>
      </c>
      <c r="H122" s="134">
        <f>IF(AND(Results!$R$6&gt;0,$E122-1&gt;=Results!$R$6*Calc!$F$26),"",IF(AND(Results!$I127&lt;&gt;"",Results!$K127&lt;&gt;"",Results!$F127&lt;&gt;Results!$H127,$F122&lt;&gt;"",$G122&lt;&gt;""),Results!$I127,""))</f>
        <v>2</v>
      </c>
      <c r="I122" s="18">
        <f>IF(AND(Results!$R$6&gt;0,$E122-1&gt;=Results!$R$6*Calc!$F$26),"",IF(AND(Results!$I127&lt;&gt;"",Results!$K127&lt;&gt;"",Results!$F127&lt;&gt;Results!$H127,$F122&lt;&gt;"",$G122&lt;&gt;""),Results!$K127,""))</f>
        <v>1</v>
      </c>
      <c r="J122" s="17" t="str">
        <f>IF(Plan!$I125=0,F122&amp;G122,"")</f>
        <v>FC St. Pauli1. FC Heidenheim 1846</v>
      </c>
      <c r="K122" s="134">
        <f t="shared" si="3"/>
        <v>1</v>
      </c>
      <c r="L122" s="134" t="str">
        <f>IF(AND(K122&gt;0,Plan!$I125=0),H122&amp;Language!$E$65&amp;I122,"")</f>
        <v>2 : 1</v>
      </c>
      <c r="M122" s="2" t="str">
        <f>IF(Plan!$I125=1,F122&amp;G122,"")</f>
        <v/>
      </c>
      <c r="N122" s="93" t="str">
        <f>IF(AND(K122&gt;0,Plan!$I125=1),H122&amp;Language!$E$65&amp;I122,"")</f>
        <v/>
      </c>
      <c r="O122" s="379">
        <f>IF($H122="",0,Results!$L127)</f>
        <v>0</v>
      </c>
      <c r="P122" s="380">
        <f>IF($I122="",0,Results!$M127)</f>
        <v>0</v>
      </c>
    </row>
    <row r="123" spans="2:16" x14ac:dyDescent="0.2">
      <c r="B123" s="5"/>
      <c r="C123" s="5"/>
      <c r="D123" s="5"/>
      <c r="E123" s="298">
        <v>120</v>
      </c>
      <c r="F123" s="190" t="str">
        <f>Plan!$Q126</f>
        <v>TSG Hoffenheim</v>
      </c>
      <c r="G123" s="191" t="str">
        <f>Plan!$S126</f>
        <v>Hamburger SV</v>
      </c>
      <c r="H123" s="134">
        <f>IF(AND(Results!$R$6&gt;0,$E123-1&gt;=Results!$R$6*Calc!$F$26),"",IF(AND(Results!$I128&lt;&gt;"",Results!$K128&lt;&gt;"",Results!$F128&lt;&gt;Results!$H128,$F123&lt;&gt;"",$G123&lt;&gt;""),Results!$I128,""))</f>
        <v>4</v>
      </c>
      <c r="I123" s="18">
        <f>IF(AND(Results!$R$6&gt;0,$E123-1&gt;=Results!$R$6*Calc!$F$26),"",IF(AND(Results!$I128&lt;&gt;"",Results!$K128&lt;&gt;"",Results!$F128&lt;&gt;Results!$H128,$F123&lt;&gt;"",$G123&lt;&gt;""),Results!$K128,""))</f>
        <v>1</v>
      </c>
      <c r="J123" s="17" t="str">
        <f>IF(Plan!$I126=0,F123&amp;G123,"")</f>
        <v>TSG HoffenheimHamburger SV</v>
      </c>
      <c r="K123" s="134">
        <f t="shared" si="3"/>
        <v>1</v>
      </c>
      <c r="L123" s="134" t="str">
        <f>IF(AND(K123&gt;0,Plan!$I126=0),H123&amp;Language!$E$65&amp;I123,"")</f>
        <v>4 : 1</v>
      </c>
      <c r="M123" s="2" t="str">
        <f>IF(Plan!$I126=1,F123&amp;G123,"")</f>
        <v/>
      </c>
      <c r="N123" s="93" t="str">
        <f>IF(AND(K123&gt;0,Plan!$I126=1),H123&amp;Language!$E$65&amp;I123,"")</f>
        <v/>
      </c>
      <c r="O123" s="379">
        <f>IF($H123="",0,Results!$L128)</f>
        <v>0</v>
      </c>
      <c r="P123" s="380">
        <f>IF($I123="",0,Results!$M128)</f>
        <v>0</v>
      </c>
    </row>
    <row r="124" spans="2:16" x14ac:dyDescent="0.2">
      <c r="B124" s="5"/>
      <c r="C124" s="5"/>
      <c r="D124" s="5"/>
      <c r="E124" s="298">
        <v>121</v>
      </c>
      <c r="F124" s="190" t="str">
        <f>Plan!$Q127</f>
        <v>Eintracht Frankfurt</v>
      </c>
      <c r="G124" s="191" t="str">
        <f>Plan!$S127</f>
        <v>FC Augsburg</v>
      </c>
      <c r="H124" s="134">
        <f>IF(AND(Results!$R$6&gt;0,$E124-1&gt;=Results!$R$6*Calc!$F$26),"",IF(AND(Results!$I129&lt;&gt;"",Results!$K129&lt;&gt;"",Results!$F129&lt;&gt;Results!$H129,$F124&lt;&gt;"",$G124&lt;&gt;""),Results!$I129,""))</f>
        <v>1</v>
      </c>
      <c r="I124" s="18">
        <f>IF(AND(Results!$R$6&gt;0,$E124-1&gt;=Results!$R$6*Calc!$F$26),"",IF(AND(Results!$I129&lt;&gt;"",Results!$K129&lt;&gt;"",Results!$F129&lt;&gt;Results!$H129,$F124&lt;&gt;"",$G124&lt;&gt;""),Results!$K129,""))</f>
        <v>0</v>
      </c>
      <c r="J124" s="17" t="str">
        <f>IF(Plan!$I127=0,F124&amp;G124,"")</f>
        <v>Eintracht FrankfurtFC Augsburg</v>
      </c>
      <c r="K124" s="134">
        <f t="shared" si="3"/>
        <v>1</v>
      </c>
      <c r="L124" s="134" t="str">
        <f>IF(AND(K124&gt;0,Plan!$I127=0),H124&amp;Language!$E$65&amp;I124,"")</f>
        <v>1 : 0</v>
      </c>
      <c r="M124" s="2" t="str">
        <f>IF(Plan!$I127=1,F124&amp;G124,"")</f>
        <v/>
      </c>
      <c r="N124" s="93" t="str">
        <f>IF(AND(K124&gt;0,Plan!$I127=1),H124&amp;Language!$E$65&amp;I124,"")</f>
        <v/>
      </c>
      <c r="O124" s="379">
        <f>IF($H124="",0,Results!$L129)</f>
        <v>0</v>
      </c>
      <c r="P124" s="380">
        <f>IF($I124="",0,Results!$M129)</f>
        <v>0</v>
      </c>
    </row>
    <row r="125" spans="2:16" x14ac:dyDescent="0.2">
      <c r="B125" s="5"/>
      <c r="C125" s="5"/>
      <c r="D125" s="5"/>
      <c r="E125" s="298">
        <v>122</v>
      </c>
      <c r="F125" s="190" t="str">
        <f>Plan!$Q128</f>
        <v>Borussia Mönchengladbach</v>
      </c>
      <c r="G125" s="191" t="str">
        <f>Plan!$S128</f>
        <v>VfL Wolfsburg</v>
      </c>
      <c r="H125" s="134">
        <f>IF(AND(Results!$R$6&gt;0,$E125-1&gt;=Results!$R$6*Calc!$F$26),"",IF(AND(Results!$I130&lt;&gt;"",Results!$K130&lt;&gt;"",Results!$F130&lt;&gt;Results!$H130,$F125&lt;&gt;"",$G125&lt;&gt;""),Results!$I130,""))</f>
        <v>1</v>
      </c>
      <c r="I125" s="18">
        <f>IF(AND(Results!$R$6&gt;0,$E125-1&gt;=Results!$R$6*Calc!$F$26),"",IF(AND(Results!$I130&lt;&gt;"",Results!$K130&lt;&gt;"",Results!$F130&lt;&gt;Results!$H130,$F125&lt;&gt;"",$G125&lt;&gt;""),Results!$K130,""))</f>
        <v>3</v>
      </c>
      <c r="J125" s="17" t="str">
        <f>IF(Plan!$I128=0,F125&amp;G125,"")</f>
        <v>Borussia MönchengladbachVfL Wolfsburg</v>
      </c>
      <c r="K125" s="134">
        <f t="shared" si="3"/>
        <v>1</v>
      </c>
      <c r="L125" s="134" t="str">
        <f>IF(AND(K125&gt;0,Plan!$I128=0),H125&amp;Language!$E$65&amp;I125,"")</f>
        <v>1 : 3</v>
      </c>
      <c r="M125" s="2" t="str">
        <f>IF(Plan!$I128=1,F125&amp;G125,"")</f>
        <v/>
      </c>
      <c r="N125" s="93" t="str">
        <f>IF(AND(K125&gt;0,Plan!$I128=1),H125&amp;Language!$E$65&amp;I125,"")</f>
        <v/>
      </c>
      <c r="O125" s="379">
        <f>IF($H125="",0,Results!$L130)</f>
        <v>0</v>
      </c>
      <c r="P125" s="380">
        <f>IF($I125="",0,Results!$M130)</f>
        <v>0</v>
      </c>
    </row>
    <row r="126" spans="2:16" x14ac:dyDescent="0.2">
      <c r="B126" s="5"/>
      <c r="C126" s="5"/>
      <c r="D126" s="5"/>
      <c r="E126" s="298">
        <v>123</v>
      </c>
      <c r="F126" s="190" t="str">
        <f>Plan!$Q129</f>
        <v>Bayer 04 Leverkusen</v>
      </c>
      <c r="G126" s="191" t="str">
        <f>Plan!$S129</f>
        <v>1. FC Köln</v>
      </c>
      <c r="H126" s="134">
        <f>IF(AND(Results!$R$6&gt;0,$E126-1&gt;=Results!$R$6*Calc!$F$26),"",IF(AND(Results!$I131&lt;&gt;"",Results!$K131&lt;&gt;"",Results!$F131&lt;&gt;Results!$H131,$F126&lt;&gt;"",$G126&lt;&gt;""),Results!$I131,""))</f>
        <v>2</v>
      </c>
      <c r="I126" s="18">
        <f>IF(AND(Results!$R$6&gt;0,$E126-1&gt;=Results!$R$6*Calc!$F$26),"",IF(AND(Results!$I131&lt;&gt;"",Results!$K131&lt;&gt;"",Results!$F131&lt;&gt;Results!$H131,$F126&lt;&gt;"",$G126&lt;&gt;""),Results!$K131,""))</f>
        <v>0</v>
      </c>
      <c r="J126" s="17" t="str">
        <f>IF(Plan!$I129=0,F126&amp;G126,"")</f>
        <v>Bayer 04 Leverkusen1. FC Köln</v>
      </c>
      <c r="K126" s="134">
        <f t="shared" si="3"/>
        <v>1</v>
      </c>
      <c r="L126" s="134" t="str">
        <f>IF(AND(K126&gt;0,Plan!$I129=0),H126&amp;Language!$E$65&amp;I126,"")</f>
        <v>2 : 0</v>
      </c>
      <c r="M126" s="2" t="str">
        <f>IF(Plan!$I129=1,F126&amp;G126,"")</f>
        <v/>
      </c>
      <c r="N126" s="93" t="str">
        <f>IF(AND(K126&gt;0,Plan!$I129=1),H126&amp;Language!$E$65&amp;I126,"")</f>
        <v/>
      </c>
      <c r="O126" s="379">
        <f>IF($H126="",0,Results!$L131)</f>
        <v>0</v>
      </c>
      <c r="P126" s="380">
        <f>IF($I126="",0,Results!$M131)</f>
        <v>0</v>
      </c>
    </row>
    <row r="127" spans="2:16" x14ac:dyDescent="0.2">
      <c r="B127" s="5"/>
      <c r="C127" s="5"/>
      <c r="D127" s="5"/>
      <c r="E127" s="298">
        <v>124</v>
      </c>
      <c r="F127" s="190" t="str">
        <f>Plan!$Q130</f>
        <v>SC Freiburg</v>
      </c>
      <c r="G127" s="191" t="str">
        <f>Plan!$S130</f>
        <v>Borussia Dortmund</v>
      </c>
      <c r="H127" s="134">
        <f>IF(AND(Results!$R$6&gt;0,$E127-1&gt;=Results!$R$6*Calc!$F$26),"",IF(AND(Results!$I132&lt;&gt;"",Results!$K132&lt;&gt;"",Results!$F132&lt;&gt;Results!$H132,$F127&lt;&gt;"",$G127&lt;&gt;""),Results!$I132,""))</f>
        <v>1</v>
      </c>
      <c r="I127" s="18">
        <f>IF(AND(Results!$R$6&gt;0,$E127-1&gt;=Results!$R$6*Calc!$F$26),"",IF(AND(Results!$I132&lt;&gt;"",Results!$K132&lt;&gt;"",Results!$F132&lt;&gt;Results!$H132,$F127&lt;&gt;"",$G127&lt;&gt;""),Results!$K132,""))</f>
        <v>1</v>
      </c>
      <c r="J127" s="17" t="str">
        <f>IF(Plan!$I130=0,F127&amp;G127,"")</f>
        <v>SC FreiburgBorussia Dortmund</v>
      </c>
      <c r="K127" s="134">
        <f t="shared" si="3"/>
        <v>1</v>
      </c>
      <c r="L127" s="134" t="str">
        <f>IF(AND(K127&gt;0,Plan!$I130=0),H127&amp;Language!$E$65&amp;I127,"")</f>
        <v>1 : 1</v>
      </c>
      <c r="M127" s="2" t="str">
        <f>IF(Plan!$I130=1,F127&amp;G127,"")</f>
        <v/>
      </c>
      <c r="N127" s="93" t="str">
        <f>IF(AND(K127&gt;0,Plan!$I130=1),H127&amp;Language!$E$65&amp;I127,"")</f>
        <v/>
      </c>
      <c r="O127" s="379">
        <f>IF($H127="",0,Results!$L132)</f>
        <v>0</v>
      </c>
      <c r="P127" s="380">
        <f>IF($I127="",0,Results!$M132)</f>
        <v>0</v>
      </c>
    </row>
    <row r="128" spans="2:16" x14ac:dyDescent="0.2">
      <c r="B128" s="5"/>
      <c r="C128" s="5"/>
      <c r="D128" s="5"/>
      <c r="E128" s="298">
        <v>125</v>
      </c>
      <c r="F128" s="190" t="str">
        <f>Plan!$Q131</f>
        <v>FC Bayern München</v>
      </c>
      <c r="G128" s="191" t="str">
        <f>Plan!$S131</f>
        <v>1. FSV Mainz 05</v>
      </c>
      <c r="H128" s="134">
        <f>IF(AND(Results!$R$6&gt;0,$E128-1&gt;=Results!$R$6*Calc!$F$26),"",IF(AND(Results!$I133&lt;&gt;"",Results!$K133&lt;&gt;"",Results!$F133&lt;&gt;Results!$H133,$F128&lt;&gt;"",$G128&lt;&gt;""),Results!$I133,""))</f>
        <v>2</v>
      </c>
      <c r="I128" s="18">
        <f>IF(AND(Results!$R$6&gt;0,$E128-1&gt;=Results!$R$6*Calc!$F$26),"",IF(AND(Results!$I133&lt;&gt;"",Results!$K133&lt;&gt;"",Results!$F133&lt;&gt;Results!$H133,$F128&lt;&gt;"",$G128&lt;&gt;""),Results!$K133,""))</f>
        <v>2</v>
      </c>
      <c r="J128" s="17" t="str">
        <f>IF(Plan!$I131=0,F128&amp;G128,"")</f>
        <v>FC Bayern München1. FSV Mainz 05</v>
      </c>
      <c r="K128" s="134">
        <f t="shared" si="3"/>
        <v>1</v>
      </c>
      <c r="L128" s="134" t="str">
        <f>IF(AND(K128&gt;0,Plan!$I131=0),H128&amp;Language!$E$65&amp;I128,"")</f>
        <v>2 : 2</v>
      </c>
      <c r="M128" s="2" t="str">
        <f>IF(Plan!$I131=1,F128&amp;G128,"")</f>
        <v/>
      </c>
      <c r="N128" s="93" t="str">
        <f>IF(AND(K128&gt;0,Plan!$I131=1),H128&amp;Language!$E$65&amp;I128,"")</f>
        <v/>
      </c>
      <c r="O128" s="379">
        <f>IF($H128="",0,Results!$L133)</f>
        <v>0</v>
      </c>
      <c r="P128" s="380">
        <f>IF($I128="",0,Results!$M133)</f>
        <v>0</v>
      </c>
    </row>
    <row r="129" spans="2:16" x14ac:dyDescent="0.2">
      <c r="B129" s="5"/>
      <c r="C129" s="5"/>
      <c r="D129" s="5"/>
      <c r="E129" s="298">
        <v>126</v>
      </c>
      <c r="F129" s="190" t="str">
        <f>Plan!$Q132</f>
        <v>SV Werder Bremen</v>
      </c>
      <c r="G129" s="191" t="str">
        <f>Plan!$S132</f>
        <v>VfB Stuttgart</v>
      </c>
      <c r="H129" s="134">
        <f>IF(AND(Results!$R$6&gt;0,$E129-1&gt;=Results!$R$6*Calc!$F$26),"",IF(AND(Results!$I134&lt;&gt;"",Results!$K134&lt;&gt;"",Results!$F134&lt;&gt;Results!$H134,$F129&lt;&gt;"",$G129&lt;&gt;""),Results!$I134,""))</f>
        <v>0</v>
      </c>
      <c r="I129" s="18">
        <f>IF(AND(Results!$R$6&gt;0,$E129-1&gt;=Results!$R$6*Calc!$F$26),"",IF(AND(Results!$I134&lt;&gt;"",Results!$K134&lt;&gt;"",Results!$F134&lt;&gt;Results!$H134,$F129&lt;&gt;"",$G129&lt;&gt;""),Results!$K134,""))</f>
        <v>4</v>
      </c>
      <c r="J129" s="17" t="str">
        <f>IF(Plan!$I132=0,F129&amp;G129,"")</f>
        <v>SV Werder BremenVfB Stuttgart</v>
      </c>
      <c r="K129" s="134">
        <f t="shared" si="3"/>
        <v>1</v>
      </c>
      <c r="L129" s="134" t="str">
        <f>IF(AND(K129&gt;0,Plan!$I132=0),H129&amp;Language!$E$65&amp;I129,"")</f>
        <v>0 : 4</v>
      </c>
      <c r="M129" s="2" t="str">
        <f>IF(Plan!$I132=1,F129&amp;G129,"")</f>
        <v/>
      </c>
      <c r="N129" s="93" t="str">
        <f>IF(AND(K129&gt;0,Plan!$I132=1),H129&amp;Language!$E$65&amp;I129,"")</f>
        <v/>
      </c>
      <c r="O129" s="379">
        <f>IF($H129="",0,Results!$L134)</f>
        <v>0</v>
      </c>
      <c r="P129" s="380">
        <f>IF($I129="",0,Results!$M134)</f>
        <v>0</v>
      </c>
    </row>
    <row r="130" spans="2:16" x14ac:dyDescent="0.2">
      <c r="B130" s="5"/>
      <c r="C130" s="5"/>
      <c r="D130" s="5"/>
      <c r="E130" s="298">
        <v>127</v>
      </c>
      <c r="F130" s="190" t="str">
        <f>Plan!$Q133</f>
        <v>Borussia Dortmund</v>
      </c>
      <c r="G130" s="191" t="str">
        <f>Plan!$S133</f>
        <v>Borussia Mönchengladbach</v>
      </c>
      <c r="H130" s="134">
        <f>IF(AND(Results!$R$6&gt;0,$E130-1&gt;=Results!$R$6*Calc!$F$26),"",IF(AND(Results!$I135&lt;&gt;"",Results!$K135&lt;&gt;"",Results!$F135&lt;&gt;Results!$H135,$F130&lt;&gt;"",$G130&lt;&gt;""),Results!$I135,""))</f>
        <v>2</v>
      </c>
      <c r="I130" s="18">
        <f>IF(AND(Results!$R$6&gt;0,$E130-1&gt;=Results!$R$6*Calc!$F$26),"",IF(AND(Results!$I135&lt;&gt;"",Results!$K135&lt;&gt;"",Results!$F135&lt;&gt;Results!$H135,$F130&lt;&gt;"",$G130&lt;&gt;""),Results!$K135,""))</f>
        <v>0</v>
      </c>
      <c r="J130" s="17" t="str">
        <f>IF(Plan!$I133=0,F130&amp;G130,"")</f>
        <v>Borussia DortmundBorussia Mönchengladbach</v>
      </c>
      <c r="K130" s="134">
        <f t="shared" si="3"/>
        <v>1</v>
      </c>
      <c r="L130" s="134" t="str">
        <f>IF(AND(K130&gt;0,Plan!$I133=0),H130&amp;Language!$E$65&amp;I130,"")</f>
        <v>2 : 0</v>
      </c>
      <c r="M130" s="2" t="str">
        <f>IF(Plan!$I133=1,F130&amp;G130,"")</f>
        <v/>
      </c>
      <c r="N130" s="93" t="str">
        <f>IF(AND(K130&gt;0,Plan!$I133=1),H130&amp;Language!$E$65&amp;I130,"")</f>
        <v/>
      </c>
      <c r="O130" s="379">
        <f>IF($H130="",0,Results!$L135)</f>
        <v>0</v>
      </c>
      <c r="P130" s="380">
        <f>IF($I130="",0,Results!$M135)</f>
        <v>0</v>
      </c>
    </row>
    <row r="131" spans="2:16" x14ac:dyDescent="0.2">
      <c r="B131" s="5"/>
      <c r="C131" s="5"/>
      <c r="D131" s="5"/>
      <c r="E131" s="298">
        <v>128</v>
      </c>
      <c r="F131" s="190" t="str">
        <f>Plan!$Q134</f>
        <v>1. FC Köln</v>
      </c>
      <c r="G131" s="191" t="str">
        <f>Plan!$S134</f>
        <v>1. FC Union Berlin</v>
      </c>
      <c r="H131" s="134">
        <f>IF(AND(Results!$R$6&gt;0,$E131-1&gt;=Results!$R$6*Calc!$F$26),"",IF(AND(Results!$I136&lt;&gt;"",Results!$K136&lt;&gt;"",Results!$F136&lt;&gt;Results!$H136,$F131&lt;&gt;"",$G131&lt;&gt;""),Results!$I136,""))</f>
        <v>0</v>
      </c>
      <c r="I131" s="18">
        <f>IF(AND(Results!$R$6&gt;0,$E131-1&gt;=Results!$R$6*Calc!$F$26),"",IF(AND(Results!$I136&lt;&gt;"",Results!$K136&lt;&gt;"",Results!$F136&lt;&gt;Results!$H136,$F131&lt;&gt;"",$G131&lt;&gt;""),Results!$K136,""))</f>
        <v>1</v>
      </c>
      <c r="J131" s="17" t="str">
        <f>IF(Plan!$I134=0,F131&amp;G131,"")</f>
        <v>1. FC Köln1. FC Union Berlin</v>
      </c>
      <c r="K131" s="134">
        <f t="shared" si="3"/>
        <v>1</v>
      </c>
      <c r="L131" s="134" t="str">
        <f>IF(AND(K131&gt;0,Plan!$I134=0),H131&amp;Language!$E$65&amp;I131,"")</f>
        <v>0 : 1</v>
      </c>
      <c r="M131" s="2" t="str">
        <f>IF(Plan!$I134=1,F131&amp;G131,"")</f>
        <v/>
      </c>
      <c r="N131" s="93" t="str">
        <f>IF(AND(K131&gt;0,Plan!$I134=1),H131&amp;Language!$E$65&amp;I131,"")</f>
        <v/>
      </c>
      <c r="O131" s="379">
        <f>IF($H131="",0,Results!$L136)</f>
        <v>0</v>
      </c>
      <c r="P131" s="380">
        <f>IF($I131="",0,Results!$M136)</f>
        <v>0</v>
      </c>
    </row>
    <row r="132" spans="2:16" x14ac:dyDescent="0.2">
      <c r="B132" s="5"/>
      <c r="C132" s="5"/>
      <c r="D132" s="5"/>
      <c r="E132" s="298">
        <v>129</v>
      </c>
      <c r="F132" s="190" t="str">
        <f>Plan!$Q135</f>
        <v>Hamburger SV</v>
      </c>
      <c r="G132" s="191" t="str">
        <f>Plan!$S135</f>
        <v>Eintracht Frankfurt</v>
      </c>
      <c r="H132" s="134">
        <f>IF(AND(Results!$R$6&gt;0,$E132-1&gt;=Results!$R$6*Calc!$F$26),"",IF(AND(Results!$I137&lt;&gt;"",Results!$K137&lt;&gt;"",Results!$F137&lt;&gt;Results!$H137,$F132&lt;&gt;"",$G132&lt;&gt;""),Results!$I137,""))</f>
        <v>1</v>
      </c>
      <c r="I132" s="18">
        <f>IF(AND(Results!$R$6&gt;0,$E132-1&gt;=Results!$R$6*Calc!$F$26),"",IF(AND(Results!$I137&lt;&gt;"",Results!$K137&lt;&gt;"",Results!$F137&lt;&gt;Results!$H137,$F132&lt;&gt;"",$G132&lt;&gt;""),Results!$K137,""))</f>
        <v>1</v>
      </c>
      <c r="J132" s="17" t="str">
        <f>IF(Plan!$I135=0,F132&amp;G132,"")</f>
        <v>Hamburger SVEintracht Frankfurt</v>
      </c>
      <c r="K132" s="134">
        <f t="shared" si="3"/>
        <v>1</v>
      </c>
      <c r="L132" s="134" t="str">
        <f>IF(AND(K132&gt;0,Plan!$I135=0),H132&amp;Language!$E$65&amp;I132,"")</f>
        <v>1 : 1</v>
      </c>
      <c r="M132" s="2" t="str">
        <f>IF(Plan!$I135=1,F132&amp;G132,"")</f>
        <v/>
      </c>
      <c r="N132" s="93" t="str">
        <f>IF(AND(K132&gt;0,Plan!$I135=1),H132&amp;Language!$E$65&amp;I132,"")</f>
        <v/>
      </c>
      <c r="O132" s="379">
        <f>IF($H132="",0,Results!$L137)</f>
        <v>0</v>
      </c>
      <c r="P132" s="380">
        <f>IF($I132="",0,Results!$M137)</f>
        <v>0</v>
      </c>
    </row>
    <row r="133" spans="2:16" x14ac:dyDescent="0.2">
      <c r="B133" s="5"/>
      <c r="C133" s="5"/>
      <c r="D133" s="5"/>
      <c r="E133" s="298">
        <v>130</v>
      </c>
      <c r="F133" s="190" t="str">
        <f>Plan!$Q136</f>
        <v>FC Augsburg</v>
      </c>
      <c r="G133" s="191" t="str">
        <f>Plan!$S136</f>
        <v>SV Werder Bremen</v>
      </c>
      <c r="H133" s="134">
        <f>IF(AND(Results!$R$6&gt;0,$E133-1&gt;=Results!$R$6*Calc!$F$26),"",IF(AND(Results!$I138&lt;&gt;"",Results!$K138&lt;&gt;"",Results!$F138&lt;&gt;Results!$H138,$F133&lt;&gt;"",$G133&lt;&gt;""),Results!$I138,""))</f>
        <v>0</v>
      </c>
      <c r="I133" s="18">
        <f>IF(AND(Results!$R$6&gt;0,$E133-1&gt;=Results!$R$6*Calc!$F$26),"",IF(AND(Results!$I138&lt;&gt;"",Results!$K138&lt;&gt;"",Results!$F138&lt;&gt;Results!$H138,$F133&lt;&gt;"",$G133&lt;&gt;""),Results!$K138,""))</f>
        <v>0</v>
      </c>
      <c r="J133" s="17" t="str">
        <f>IF(Plan!$I136=0,F133&amp;G133,"")</f>
        <v>FC AugsburgSV Werder Bremen</v>
      </c>
      <c r="K133" s="134">
        <f t="shared" si="3"/>
        <v>1</v>
      </c>
      <c r="L133" s="134" t="str">
        <f>IF(AND(K133&gt;0,Plan!$I136=0),H133&amp;Language!$E$65&amp;I133,"")</f>
        <v>0 : 0</v>
      </c>
      <c r="M133" s="2" t="str">
        <f>IF(Plan!$I136=1,F133&amp;G133,"")</f>
        <v/>
      </c>
      <c r="N133" s="93" t="str">
        <f>IF(AND(K133&gt;0,Plan!$I136=1),H133&amp;Language!$E$65&amp;I133,"")</f>
        <v/>
      </c>
      <c r="O133" s="379">
        <f>IF($H133="",0,Results!$L138)</f>
        <v>0</v>
      </c>
      <c r="P133" s="380">
        <f>IF($I133="",0,Results!$M138)</f>
        <v>0</v>
      </c>
    </row>
    <row r="134" spans="2:16" x14ac:dyDescent="0.2">
      <c r="B134" s="5"/>
      <c r="C134" s="5"/>
      <c r="D134" s="5"/>
      <c r="E134" s="298">
        <v>131</v>
      </c>
      <c r="F134" s="190" t="str">
        <f>Plan!$Q137</f>
        <v>VfB Stuttgart</v>
      </c>
      <c r="G134" s="191" t="str">
        <f>Plan!$S137</f>
        <v>TSG Hoffenheim</v>
      </c>
      <c r="H134" s="134">
        <f>IF(AND(Results!$R$6&gt;0,$E134-1&gt;=Results!$R$6*Calc!$F$26),"",IF(AND(Results!$I139&lt;&gt;"",Results!$K139&lt;&gt;"",Results!$F139&lt;&gt;Results!$H139,$F134&lt;&gt;"",$G134&lt;&gt;""),Results!$I139,""))</f>
        <v>0</v>
      </c>
      <c r="I134" s="18">
        <f>IF(AND(Results!$R$6&gt;0,$E134-1&gt;=Results!$R$6*Calc!$F$26),"",IF(AND(Results!$I139&lt;&gt;"",Results!$K139&lt;&gt;"",Results!$F139&lt;&gt;Results!$H139,$F134&lt;&gt;"",$G134&lt;&gt;""),Results!$K139,""))</f>
        <v>0</v>
      </c>
      <c r="J134" s="17" t="str">
        <f>IF(Plan!$I137=0,F134&amp;G134,"")</f>
        <v>VfB StuttgartTSG Hoffenheim</v>
      </c>
      <c r="K134" s="134">
        <f t="shared" si="3"/>
        <v>1</v>
      </c>
      <c r="L134" s="134" t="str">
        <f>IF(AND(K134&gt;0,Plan!$I137=0),H134&amp;Language!$E$65&amp;I134,"")</f>
        <v>0 : 0</v>
      </c>
      <c r="M134" s="2" t="str">
        <f>IF(Plan!$I137=1,F134&amp;G134,"")</f>
        <v/>
      </c>
      <c r="N134" s="93" t="str">
        <f>IF(AND(K134&gt;0,Plan!$I137=1),H134&amp;Language!$E$65&amp;I134,"")</f>
        <v/>
      </c>
      <c r="O134" s="379">
        <f>IF($H134="",0,Results!$L139)</f>
        <v>0</v>
      </c>
      <c r="P134" s="380">
        <f>IF($I134="",0,Results!$M139)</f>
        <v>0</v>
      </c>
    </row>
    <row r="135" spans="2:16" x14ac:dyDescent="0.2">
      <c r="B135" s="5"/>
      <c r="C135" s="5"/>
      <c r="D135" s="5"/>
      <c r="E135" s="298">
        <v>132</v>
      </c>
      <c r="F135" s="190" t="str">
        <f>Plan!$Q138</f>
        <v>VfL Wolfsburg</v>
      </c>
      <c r="G135" s="191" t="str">
        <f>Plan!$S138</f>
        <v>SC Freiburg</v>
      </c>
      <c r="H135" s="134">
        <f>IF(AND(Results!$R$6&gt;0,$E135-1&gt;=Results!$R$6*Calc!$F$26),"",IF(AND(Results!$I140&lt;&gt;"",Results!$K140&lt;&gt;"",Results!$F140&lt;&gt;Results!$H140,$F135&lt;&gt;"",$G135&lt;&gt;""),Results!$I140,""))</f>
        <v>3</v>
      </c>
      <c r="I135" s="18">
        <f>IF(AND(Results!$R$6&gt;0,$E135-1&gt;=Results!$R$6*Calc!$F$26),"",IF(AND(Results!$I140&lt;&gt;"",Results!$K140&lt;&gt;"",Results!$F140&lt;&gt;Results!$H140,$F135&lt;&gt;"",$G135&lt;&gt;""),Results!$K140,""))</f>
        <v>4</v>
      </c>
      <c r="J135" s="17" t="str">
        <f>IF(Plan!$I138=0,F135&amp;G135,"")</f>
        <v>VfL WolfsburgSC Freiburg</v>
      </c>
      <c r="K135" s="134">
        <f t="shared" si="3"/>
        <v>1</v>
      </c>
      <c r="L135" s="134" t="str">
        <f>IF(AND(K135&gt;0,Plan!$I138=0),H135&amp;Language!$E$65&amp;I135,"")</f>
        <v>3 : 4</v>
      </c>
      <c r="M135" s="2" t="str">
        <f>IF(Plan!$I138=1,F135&amp;G135,"")</f>
        <v/>
      </c>
      <c r="N135" s="93" t="str">
        <f>IF(AND(K135&gt;0,Plan!$I138=1),H135&amp;Language!$E$65&amp;I135,"")</f>
        <v/>
      </c>
      <c r="O135" s="379">
        <f>IF($H135="",0,Results!$L140)</f>
        <v>0</v>
      </c>
      <c r="P135" s="380">
        <f>IF($I135="",0,Results!$M140)</f>
        <v>0</v>
      </c>
    </row>
    <row r="136" spans="2:16" x14ac:dyDescent="0.2">
      <c r="B136" s="5"/>
      <c r="C136" s="5"/>
      <c r="D136" s="5"/>
      <c r="E136" s="298">
        <v>133</v>
      </c>
      <c r="F136" s="190" t="str">
        <f>Plan!$Q139</f>
        <v>RB Leipzig</v>
      </c>
      <c r="G136" s="191" t="str">
        <f>Plan!$S139</f>
        <v>Bayer 04 Leverkusen</v>
      </c>
      <c r="H136" s="134">
        <f>IF(AND(Results!$R$6&gt;0,$E136-1&gt;=Results!$R$6*Calc!$F$26),"",IF(AND(Results!$I141&lt;&gt;"",Results!$K141&lt;&gt;"",Results!$F141&lt;&gt;Results!$H141,$F136&lt;&gt;"",$G136&lt;&gt;""),Results!$I141,""))</f>
        <v>1</v>
      </c>
      <c r="I136" s="18">
        <f>IF(AND(Results!$R$6&gt;0,$E136-1&gt;=Results!$R$6*Calc!$F$26),"",IF(AND(Results!$I141&lt;&gt;"",Results!$K141&lt;&gt;"",Results!$F141&lt;&gt;Results!$H141,$F136&lt;&gt;"",$G136&lt;&gt;""),Results!$K141,""))</f>
        <v>3</v>
      </c>
      <c r="J136" s="17" t="str">
        <f>IF(Plan!$I139=0,F136&amp;G136,"")</f>
        <v>RB LeipzigBayer 04 Leverkusen</v>
      </c>
      <c r="K136" s="134">
        <f t="shared" si="3"/>
        <v>1</v>
      </c>
      <c r="L136" s="134" t="str">
        <f>IF(AND(K136&gt;0,Plan!$I139=0),H136&amp;Language!$E$65&amp;I136,"")</f>
        <v>1 : 3</v>
      </c>
      <c r="M136" s="2" t="str">
        <f>IF(Plan!$I139=1,F136&amp;G136,"")</f>
        <v/>
      </c>
      <c r="N136" s="93" t="str">
        <f>IF(AND(K136&gt;0,Plan!$I139=1),H136&amp;Language!$E$65&amp;I136,"")</f>
        <v/>
      </c>
      <c r="O136" s="379">
        <f>IF($H136="",0,Results!$L141)</f>
        <v>0</v>
      </c>
      <c r="P136" s="380">
        <f>IF($I136="",0,Results!$M141)</f>
        <v>0</v>
      </c>
    </row>
    <row r="137" spans="2:16" x14ac:dyDescent="0.2">
      <c r="B137" s="5"/>
      <c r="C137" s="5"/>
      <c r="D137" s="5"/>
      <c r="E137" s="298">
        <v>134</v>
      </c>
      <c r="F137" s="190" t="str">
        <f>Plan!$Q140</f>
        <v>1. FSV Mainz 05</v>
      </c>
      <c r="G137" s="191" t="str">
        <f>Plan!$S140</f>
        <v>FC St. Pauli</v>
      </c>
      <c r="H137" s="134">
        <f>IF(AND(Results!$R$6&gt;0,$E137-1&gt;=Results!$R$6*Calc!$F$26),"",IF(AND(Results!$I142&lt;&gt;"",Results!$K142&lt;&gt;"",Results!$F142&lt;&gt;Results!$H142,$F137&lt;&gt;"",$G137&lt;&gt;""),Results!$I142,""))</f>
        <v>0</v>
      </c>
      <c r="I137" s="18">
        <f>IF(AND(Results!$R$6&gt;0,$E137-1&gt;=Results!$R$6*Calc!$F$26),"",IF(AND(Results!$I142&lt;&gt;"",Results!$K142&lt;&gt;"",Results!$F142&lt;&gt;Results!$H142,$F137&lt;&gt;"",$G137&lt;&gt;""),Results!$K142,""))</f>
        <v>0</v>
      </c>
      <c r="J137" s="17" t="str">
        <f>IF(Plan!$I140=0,F137&amp;G137,"")</f>
        <v>1. FSV Mainz 05FC St. Pauli</v>
      </c>
      <c r="K137" s="134">
        <f t="shared" si="3"/>
        <v>1</v>
      </c>
      <c r="L137" s="134" t="str">
        <f>IF(AND(K137&gt;0,Plan!$I140=0),H137&amp;Language!$E$65&amp;I137,"")</f>
        <v>0 : 0</v>
      </c>
      <c r="M137" s="2" t="str">
        <f>IF(Plan!$I140=1,F137&amp;G137,"")</f>
        <v/>
      </c>
      <c r="N137" s="93" t="str">
        <f>IF(AND(K137&gt;0,Plan!$I140=1),H137&amp;Language!$E$65&amp;I137,"")</f>
        <v/>
      </c>
      <c r="O137" s="379">
        <f>IF($H137="",0,Results!$L142)</f>
        <v>0</v>
      </c>
      <c r="P137" s="380">
        <f>IF($I137="",0,Results!$M142)</f>
        <v>0</v>
      </c>
    </row>
    <row r="138" spans="2:16" x14ac:dyDescent="0.2">
      <c r="B138" s="5"/>
      <c r="C138" s="5"/>
      <c r="D138" s="5"/>
      <c r="E138" s="298">
        <v>135</v>
      </c>
      <c r="F138" s="190" t="str">
        <f>Plan!$Q141</f>
        <v>1. FC Heidenheim 1846</v>
      </c>
      <c r="G138" s="191" t="str">
        <f>Plan!$S141</f>
        <v>FC Bayern München</v>
      </c>
      <c r="H138" s="134">
        <f>IF(AND(Results!$R$6&gt;0,$E138-1&gt;=Results!$R$6*Calc!$F$26),"",IF(AND(Results!$I143&lt;&gt;"",Results!$K143&lt;&gt;"",Results!$F143&lt;&gt;Results!$H143,$F138&lt;&gt;"",$G138&lt;&gt;""),Results!$I143,""))</f>
        <v>0</v>
      </c>
      <c r="I138" s="18">
        <f>IF(AND(Results!$R$6&gt;0,$E138-1&gt;=Results!$R$6*Calc!$F$26),"",IF(AND(Results!$I143&lt;&gt;"",Results!$K143&lt;&gt;"",Results!$F143&lt;&gt;Results!$H143,$F138&lt;&gt;"",$G138&lt;&gt;""),Results!$K143,""))</f>
        <v>4</v>
      </c>
      <c r="J138" s="17" t="str">
        <f>IF(Plan!$I141=0,F138&amp;G138,"")</f>
        <v>1. FC Heidenheim 1846FC Bayern München</v>
      </c>
      <c r="K138" s="134">
        <f t="shared" si="3"/>
        <v>1</v>
      </c>
      <c r="L138" s="134" t="str">
        <f>IF(AND(K138&gt;0,Plan!$I141=0),H138&amp;Language!$E$65&amp;I138,"")</f>
        <v>0 : 4</v>
      </c>
      <c r="M138" s="2" t="str">
        <f>IF(Plan!$I141=1,F138&amp;G138,"")</f>
        <v/>
      </c>
      <c r="N138" s="93" t="str">
        <f>IF(AND(K138&gt;0,Plan!$I141=1),H138&amp;Language!$E$65&amp;I138,"")</f>
        <v/>
      </c>
      <c r="O138" s="379">
        <f>IF($H138="",0,Results!$L143)</f>
        <v>0</v>
      </c>
      <c r="P138" s="380">
        <f>IF($I138="",0,Results!$M143)</f>
        <v>0</v>
      </c>
    </row>
    <row r="139" spans="2:16" x14ac:dyDescent="0.2">
      <c r="B139" s="5"/>
      <c r="C139" s="5"/>
      <c r="D139" s="5"/>
      <c r="E139" s="298">
        <v>136</v>
      </c>
      <c r="F139" s="190" t="str">
        <f>Plan!$Q142</f>
        <v>Eintracht Frankfurt</v>
      </c>
      <c r="G139" s="191" t="str">
        <f>Plan!$S142</f>
        <v>Borussia Dortmund</v>
      </c>
      <c r="H139" s="134">
        <f>IF(AND(Results!$R$6&gt;0,$E139-1&gt;=Results!$R$6*Calc!$F$26),"",IF(AND(Results!$I144&lt;&gt;"",Results!$K144&lt;&gt;"",Results!$F144&lt;&gt;Results!$H144,$F139&lt;&gt;"",$G139&lt;&gt;""),Results!$I144,""))</f>
        <v>3</v>
      </c>
      <c r="I139" s="18">
        <f>IF(AND(Results!$R$6&gt;0,$E139-1&gt;=Results!$R$6*Calc!$F$26),"",IF(AND(Results!$I144&lt;&gt;"",Results!$K144&lt;&gt;"",Results!$F144&lt;&gt;Results!$H144,$F139&lt;&gt;"",$G139&lt;&gt;""),Results!$K144,""))</f>
        <v>3</v>
      </c>
      <c r="J139" s="17" t="str">
        <f>IF(Plan!$I142=0,F139&amp;G139,"")</f>
        <v>Eintracht FrankfurtBorussia Dortmund</v>
      </c>
      <c r="K139" s="134">
        <f t="shared" ref="K139:K202" si="4">IF(AND(F139&lt;&gt;"",G139&lt;&gt;"",F139&lt;&gt;G139,H139&lt;&gt;"",I139&lt;&gt;""),1,0)</f>
        <v>1</v>
      </c>
      <c r="L139" s="134" t="str">
        <f>IF(AND(K139&gt;0,Plan!$I142=0),H139&amp;Language!$E$65&amp;I139,"")</f>
        <v>3 : 3</v>
      </c>
      <c r="M139" s="2" t="str">
        <f>IF(Plan!$I142=1,F139&amp;G139,"")</f>
        <v/>
      </c>
      <c r="N139" s="93" t="str">
        <f>IF(AND(K139&gt;0,Plan!$I142=1),H139&amp;Language!$E$65&amp;I139,"")</f>
        <v/>
      </c>
      <c r="O139" s="379">
        <f>IF($H139="",0,Results!$L144)</f>
        <v>0</v>
      </c>
      <c r="P139" s="380">
        <f>IF($I139="",0,Results!$M144)</f>
        <v>0</v>
      </c>
    </row>
    <row r="140" spans="2:16" x14ac:dyDescent="0.2">
      <c r="B140" s="5"/>
      <c r="C140" s="5"/>
      <c r="D140" s="5"/>
      <c r="E140" s="298">
        <v>137</v>
      </c>
      <c r="F140" s="190" t="str">
        <f>Plan!$Q143</f>
        <v>1. FC Heidenheim 1846</v>
      </c>
      <c r="G140" s="191" t="str">
        <f>Plan!$S143</f>
        <v>1. FC Köln</v>
      </c>
      <c r="H140" s="134">
        <f>IF(AND(Results!$R$6&gt;0,$E140-1&gt;=Results!$R$6*Calc!$F$26),"",IF(AND(Results!$I145&lt;&gt;"",Results!$K145&lt;&gt;"",Results!$F145&lt;&gt;Results!$H145,$F140&lt;&gt;"",$G140&lt;&gt;""),Results!$I145,""))</f>
        <v>2</v>
      </c>
      <c r="I140" s="18">
        <f>IF(AND(Results!$R$6&gt;0,$E140-1&gt;=Results!$R$6*Calc!$F$26),"",IF(AND(Results!$I145&lt;&gt;"",Results!$K145&lt;&gt;"",Results!$F145&lt;&gt;Results!$H145,$F140&lt;&gt;"",$G140&lt;&gt;""),Results!$K145,""))</f>
        <v>2</v>
      </c>
      <c r="J140" s="17" t="str">
        <f>IF(Plan!$I143=0,F140&amp;G140,"")</f>
        <v>1. FC Heidenheim 18461. FC Köln</v>
      </c>
      <c r="K140" s="134">
        <f t="shared" si="4"/>
        <v>1</v>
      </c>
      <c r="L140" s="134" t="str">
        <f>IF(AND(K140&gt;0,Plan!$I143=0),H140&amp;Language!$E$65&amp;I140,"")</f>
        <v>2 : 2</v>
      </c>
      <c r="M140" s="2" t="str">
        <f>IF(Plan!$I143=1,F140&amp;G140,"")</f>
        <v/>
      </c>
      <c r="N140" s="93" t="str">
        <f>IF(AND(K140&gt;0,Plan!$I143=1),H140&amp;Language!$E$65&amp;I140,"")</f>
        <v/>
      </c>
      <c r="O140" s="379">
        <f>IF($H140="",0,Results!$L145)</f>
        <v>0</v>
      </c>
      <c r="P140" s="380">
        <f>IF($I140="",0,Results!$M145)</f>
        <v>0</v>
      </c>
    </row>
    <row r="141" spans="2:16" x14ac:dyDescent="0.2">
      <c r="B141" s="5"/>
      <c r="C141" s="5"/>
      <c r="D141" s="5"/>
      <c r="E141" s="298">
        <v>138</v>
      </c>
      <c r="F141" s="190" t="str">
        <f>Plan!$Q144</f>
        <v>1. FC Union Berlin</v>
      </c>
      <c r="G141" s="191" t="str">
        <f>Plan!$S144</f>
        <v>1. FSV Mainz 05</v>
      </c>
      <c r="H141" s="134">
        <f>IF(AND(Results!$R$6&gt;0,$E141-1&gt;=Results!$R$6*Calc!$F$26),"",IF(AND(Results!$I146&lt;&gt;"",Results!$K146&lt;&gt;"",Results!$F146&lt;&gt;Results!$H146,$F141&lt;&gt;"",$G141&lt;&gt;""),Results!$I146,""))</f>
        <v>2</v>
      </c>
      <c r="I141" s="18">
        <f>IF(AND(Results!$R$6&gt;0,$E141-1&gt;=Results!$R$6*Calc!$F$26),"",IF(AND(Results!$I146&lt;&gt;"",Results!$K146&lt;&gt;"",Results!$F146&lt;&gt;Results!$H146,$F141&lt;&gt;"",$G141&lt;&gt;""),Results!$K146,""))</f>
        <v>2</v>
      </c>
      <c r="J141" s="17" t="str">
        <f>IF(Plan!$I144=0,F141&amp;G141,"")</f>
        <v>1. FC Union Berlin1. FSV Mainz 05</v>
      </c>
      <c r="K141" s="134">
        <f t="shared" si="4"/>
        <v>1</v>
      </c>
      <c r="L141" s="134" t="str">
        <f>IF(AND(K141&gt;0,Plan!$I144=0),H141&amp;Language!$E$65&amp;I141,"")</f>
        <v>2 : 2</v>
      </c>
      <c r="M141" s="2" t="str">
        <f>IF(Plan!$I144=1,F141&amp;G141,"")</f>
        <v/>
      </c>
      <c r="N141" s="93" t="str">
        <f>IF(AND(K141&gt;0,Plan!$I144=1),H141&amp;Language!$E$65&amp;I141,"")</f>
        <v/>
      </c>
      <c r="O141" s="379">
        <f>IF($H141="",0,Results!$L146)</f>
        <v>0</v>
      </c>
      <c r="P141" s="380">
        <f>IF($I141="",0,Results!$M146)</f>
        <v>0</v>
      </c>
    </row>
    <row r="142" spans="2:16" x14ac:dyDescent="0.2">
      <c r="B142" s="5"/>
      <c r="C142" s="5"/>
      <c r="D142" s="5"/>
      <c r="E142" s="298">
        <v>139</v>
      </c>
      <c r="F142" s="190" t="str">
        <f>Plan!$Q145</f>
        <v>SC Freiburg</v>
      </c>
      <c r="G142" s="191" t="str">
        <f>Plan!$S145</f>
        <v>Hamburger SV</v>
      </c>
      <c r="H142" s="134">
        <f>IF(AND(Results!$R$6&gt;0,$E142-1&gt;=Results!$R$6*Calc!$F$26),"",IF(AND(Results!$I147&lt;&gt;"",Results!$K147&lt;&gt;"",Results!$F147&lt;&gt;Results!$H147,$F142&lt;&gt;"",$G142&lt;&gt;""),Results!$I147,""))</f>
        <v>2</v>
      </c>
      <c r="I142" s="18">
        <f>IF(AND(Results!$R$6&gt;0,$E142-1&gt;=Results!$R$6*Calc!$F$26),"",IF(AND(Results!$I147&lt;&gt;"",Results!$K147&lt;&gt;"",Results!$F147&lt;&gt;Results!$H147,$F142&lt;&gt;"",$G142&lt;&gt;""),Results!$K147,""))</f>
        <v>1</v>
      </c>
      <c r="J142" s="17" t="str">
        <f>IF(Plan!$I145=0,F142&amp;G142,"")</f>
        <v>SC FreiburgHamburger SV</v>
      </c>
      <c r="K142" s="134">
        <f t="shared" si="4"/>
        <v>1</v>
      </c>
      <c r="L142" s="134" t="str">
        <f>IF(AND(K142&gt;0,Plan!$I145=0),H142&amp;Language!$E$65&amp;I142,"")</f>
        <v>2 : 1</v>
      </c>
      <c r="M142" s="2" t="str">
        <f>IF(Plan!$I145=1,F142&amp;G142,"")</f>
        <v/>
      </c>
      <c r="N142" s="93" t="str">
        <f>IF(AND(K142&gt;0,Plan!$I145=1),H142&amp;Language!$E$65&amp;I142,"")</f>
        <v/>
      </c>
      <c r="O142" s="379">
        <f>IF($H142="",0,Results!$L147)</f>
        <v>0</v>
      </c>
      <c r="P142" s="380">
        <f>IF($I142="",0,Results!$M147)</f>
        <v>0</v>
      </c>
    </row>
    <row r="143" spans="2:16" x14ac:dyDescent="0.2">
      <c r="B143" s="5"/>
      <c r="C143" s="5"/>
      <c r="D143" s="5"/>
      <c r="E143" s="298">
        <v>140</v>
      </c>
      <c r="F143" s="190" t="str">
        <f>Plan!$Q146</f>
        <v>Bayer 04 Leverkusen</v>
      </c>
      <c r="G143" s="191" t="str">
        <f>Plan!$S146</f>
        <v>VfB Stuttgart</v>
      </c>
      <c r="H143" s="134">
        <f>IF(AND(Results!$R$6&gt;0,$E143-1&gt;=Results!$R$6*Calc!$F$26),"",IF(AND(Results!$I148&lt;&gt;"",Results!$K148&lt;&gt;"",Results!$F148&lt;&gt;Results!$H148,$F143&lt;&gt;"",$G143&lt;&gt;""),Results!$I148,""))</f>
        <v>1</v>
      </c>
      <c r="I143" s="18">
        <f>IF(AND(Results!$R$6&gt;0,$E143-1&gt;=Results!$R$6*Calc!$F$26),"",IF(AND(Results!$I148&lt;&gt;"",Results!$K148&lt;&gt;"",Results!$F148&lt;&gt;Results!$H148,$F143&lt;&gt;"",$G143&lt;&gt;""),Results!$K148,""))</f>
        <v>4</v>
      </c>
      <c r="J143" s="17" t="str">
        <f>IF(Plan!$I146=0,F143&amp;G143,"")</f>
        <v>Bayer 04 LeverkusenVfB Stuttgart</v>
      </c>
      <c r="K143" s="134">
        <f t="shared" si="4"/>
        <v>1</v>
      </c>
      <c r="L143" s="134" t="str">
        <f>IF(AND(K143&gt;0,Plan!$I146=0),H143&amp;Language!$E$65&amp;I143,"")</f>
        <v>1 : 4</v>
      </c>
      <c r="M143" s="2" t="str">
        <f>IF(Plan!$I146=1,F143&amp;G143,"")</f>
        <v/>
      </c>
      <c r="N143" s="93" t="str">
        <f>IF(AND(K143&gt;0,Plan!$I146=1),H143&amp;Language!$E$65&amp;I143,"")</f>
        <v/>
      </c>
      <c r="O143" s="379">
        <f>IF($H143="",0,Results!$L148)</f>
        <v>0</v>
      </c>
      <c r="P143" s="380">
        <f>IF($I143="",0,Results!$M148)</f>
        <v>0</v>
      </c>
    </row>
    <row r="144" spans="2:16" x14ac:dyDescent="0.2">
      <c r="B144" s="5"/>
      <c r="C144" s="5"/>
      <c r="D144" s="5"/>
      <c r="E144" s="298">
        <v>141</v>
      </c>
      <c r="F144" s="190" t="str">
        <f>Plan!$Q147</f>
        <v>Borussia Mönchengladbach</v>
      </c>
      <c r="G144" s="191" t="str">
        <f>Plan!$S147</f>
        <v>FC Augsburg</v>
      </c>
      <c r="H144" s="134">
        <f>IF(AND(Results!$R$6&gt;0,$E144-1&gt;=Results!$R$6*Calc!$F$26),"",IF(AND(Results!$I149&lt;&gt;"",Results!$K149&lt;&gt;"",Results!$F149&lt;&gt;Results!$H149,$F144&lt;&gt;"",$G144&lt;&gt;""),Results!$I149,""))</f>
        <v>4</v>
      </c>
      <c r="I144" s="18">
        <f>IF(AND(Results!$R$6&gt;0,$E144-1&gt;=Results!$R$6*Calc!$F$26),"",IF(AND(Results!$I149&lt;&gt;"",Results!$K149&lt;&gt;"",Results!$F149&lt;&gt;Results!$H149,$F144&lt;&gt;"",$G144&lt;&gt;""),Results!$K149,""))</f>
        <v>0</v>
      </c>
      <c r="J144" s="17" t="str">
        <f>IF(Plan!$I147=0,F144&amp;G144,"")</f>
        <v>Borussia MönchengladbachFC Augsburg</v>
      </c>
      <c r="K144" s="134">
        <f t="shared" si="4"/>
        <v>1</v>
      </c>
      <c r="L144" s="134" t="str">
        <f>IF(AND(K144&gt;0,Plan!$I147=0),H144&amp;Language!$E$65&amp;I144,"")</f>
        <v>4 : 0</v>
      </c>
      <c r="M144" s="2" t="str">
        <f>IF(Plan!$I147=1,F144&amp;G144,"")</f>
        <v/>
      </c>
      <c r="N144" s="93" t="str">
        <f>IF(AND(K144&gt;0,Plan!$I147=1),H144&amp;Language!$E$65&amp;I144,"")</f>
        <v/>
      </c>
      <c r="O144" s="379">
        <f>IF($H144="",0,Results!$L149)</f>
        <v>0</v>
      </c>
      <c r="P144" s="380">
        <f>IF($I144="",0,Results!$M149)</f>
        <v>0</v>
      </c>
    </row>
    <row r="145" spans="2:16" x14ac:dyDescent="0.2">
      <c r="B145" s="5"/>
      <c r="C145" s="5"/>
      <c r="D145" s="5"/>
      <c r="E145" s="298">
        <v>142</v>
      </c>
      <c r="F145" s="190" t="str">
        <f>Plan!$Q148</f>
        <v>FC Bayern München</v>
      </c>
      <c r="G145" s="191" t="str">
        <f>Plan!$S148</f>
        <v>VfL Wolfsburg</v>
      </c>
      <c r="H145" s="134">
        <f>IF(AND(Results!$R$6&gt;0,$E145-1&gt;=Results!$R$6*Calc!$F$26),"",IF(AND(Results!$I150&lt;&gt;"",Results!$K150&lt;&gt;"",Results!$F150&lt;&gt;Results!$H150,$F145&lt;&gt;"",$G145&lt;&gt;""),Results!$I150,""))</f>
        <v>8</v>
      </c>
      <c r="I145" s="18">
        <f>IF(AND(Results!$R$6&gt;0,$E145-1&gt;=Results!$R$6*Calc!$F$26),"",IF(AND(Results!$I150&lt;&gt;"",Results!$K150&lt;&gt;"",Results!$F150&lt;&gt;Results!$H150,$F145&lt;&gt;"",$G145&lt;&gt;""),Results!$K150,""))</f>
        <v>1</v>
      </c>
      <c r="J145" s="17" t="str">
        <f>IF(Plan!$I148=0,F145&amp;G145,"")</f>
        <v>FC Bayern MünchenVfL Wolfsburg</v>
      </c>
      <c r="K145" s="134">
        <f t="shared" si="4"/>
        <v>1</v>
      </c>
      <c r="L145" s="134" t="str">
        <f>IF(AND(K145&gt;0,Plan!$I148=0),H145&amp;Language!$E$65&amp;I145,"")</f>
        <v>8 : 1</v>
      </c>
      <c r="M145" s="2" t="str">
        <f>IF(Plan!$I148=1,F145&amp;G145,"")</f>
        <v/>
      </c>
      <c r="N145" s="93" t="str">
        <f>IF(AND(K145&gt;0,Plan!$I148=1),H145&amp;Language!$E$65&amp;I145,"")</f>
        <v/>
      </c>
      <c r="O145" s="379">
        <f>IF($H145="",0,Results!$L150)</f>
        <v>0</v>
      </c>
      <c r="P145" s="380">
        <f>IF($I145="",0,Results!$M150)</f>
        <v>0</v>
      </c>
    </row>
    <row r="146" spans="2:16" x14ac:dyDescent="0.2">
      <c r="B146" s="5"/>
      <c r="C146" s="5"/>
      <c r="D146" s="5"/>
      <c r="E146" s="298">
        <v>143</v>
      </c>
      <c r="F146" s="190" t="str">
        <f>Plan!$Q149</f>
        <v>SV Werder Bremen</v>
      </c>
      <c r="G146" s="191" t="str">
        <f>Plan!$S149</f>
        <v>TSG Hoffenheim</v>
      </c>
      <c r="H146" s="134">
        <f>IF(AND(Results!$R$6&gt;0,$E146-1&gt;=Results!$R$6*Calc!$F$26),"",IF(AND(Results!$I151&lt;&gt;"",Results!$K151&lt;&gt;"",Results!$F151&lt;&gt;Results!$H151,$F146&lt;&gt;"",$G146&lt;&gt;""),Results!$I151,""))</f>
        <v>0</v>
      </c>
      <c r="I146" s="18">
        <f>IF(AND(Results!$R$6&gt;0,$E146-1&gt;=Results!$R$6*Calc!$F$26),"",IF(AND(Results!$I151&lt;&gt;"",Results!$K151&lt;&gt;"",Results!$F151&lt;&gt;Results!$H151,$F146&lt;&gt;"",$G146&lt;&gt;""),Results!$K151,""))</f>
        <v>2</v>
      </c>
      <c r="J146" s="17" t="str">
        <f>IF(Plan!$I149=0,F146&amp;G146,"")</f>
        <v>SV Werder BremenTSG Hoffenheim</v>
      </c>
      <c r="K146" s="134">
        <f t="shared" si="4"/>
        <v>1</v>
      </c>
      <c r="L146" s="134" t="str">
        <f>IF(AND(K146&gt;0,Plan!$I149=0),H146&amp;Language!$E$65&amp;I146,"")</f>
        <v>0 : 2</v>
      </c>
      <c r="M146" s="2" t="str">
        <f>IF(Plan!$I149=1,F146&amp;G146,"")</f>
        <v/>
      </c>
      <c r="N146" s="93" t="str">
        <f>IF(AND(K146&gt;0,Plan!$I149=1),H146&amp;Language!$E$65&amp;I146,"")</f>
        <v/>
      </c>
      <c r="O146" s="379">
        <f>IF($H146="",0,Results!$L151)</f>
        <v>0</v>
      </c>
      <c r="P146" s="380">
        <f>IF($I146="",0,Results!$M151)</f>
        <v>0</v>
      </c>
    </row>
    <row r="147" spans="2:16" x14ac:dyDescent="0.2">
      <c r="B147" s="5"/>
      <c r="C147" s="5"/>
      <c r="D147" s="5"/>
      <c r="E147" s="298">
        <v>144</v>
      </c>
      <c r="F147" s="190" t="str">
        <f>Plan!$Q150</f>
        <v>FC St. Pauli</v>
      </c>
      <c r="G147" s="191" t="str">
        <f>Plan!$S150</f>
        <v>RB Leipzig</v>
      </c>
      <c r="H147" s="134">
        <f>IF(AND(Results!$R$6&gt;0,$E147-1&gt;=Results!$R$6*Calc!$F$26),"",IF(AND(Results!$I152&lt;&gt;"",Results!$K152&lt;&gt;"",Results!$F152&lt;&gt;Results!$H152,$F147&lt;&gt;"",$G147&lt;&gt;""),Results!$I152,""))</f>
        <v>1</v>
      </c>
      <c r="I147" s="18">
        <f>IF(AND(Results!$R$6&gt;0,$E147-1&gt;=Results!$R$6*Calc!$F$26),"",IF(AND(Results!$I152&lt;&gt;"",Results!$K152&lt;&gt;"",Results!$F152&lt;&gt;Results!$H152,$F147&lt;&gt;"",$G147&lt;&gt;""),Results!$K152,""))</f>
        <v>1</v>
      </c>
      <c r="J147" s="17" t="str">
        <f>IF(Plan!$I150=0,F147&amp;G147,"")</f>
        <v>FC St. PauliRB Leipzig</v>
      </c>
      <c r="K147" s="134">
        <f t="shared" si="4"/>
        <v>1</v>
      </c>
      <c r="L147" s="134" t="str">
        <f>IF(AND(K147&gt;0,Plan!$I150=0),H147&amp;Language!$E$65&amp;I147,"")</f>
        <v>1 : 1</v>
      </c>
      <c r="M147" s="2" t="str">
        <f>IF(Plan!$I150=1,F147&amp;G147,"")</f>
        <v/>
      </c>
      <c r="N147" s="93" t="str">
        <f>IF(AND(K147&gt;0,Plan!$I150=1),H147&amp;Language!$E$65&amp;I147,"")</f>
        <v/>
      </c>
      <c r="O147" s="379">
        <f>IF($H147="",0,Results!$L152)</f>
        <v>0</v>
      </c>
      <c r="P147" s="380">
        <f>IF($I147="",0,Results!$M152)</f>
        <v>0</v>
      </c>
    </row>
    <row r="148" spans="2:16" x14ac:dyDescent="0.2">
      <c r="B148" s="5"/>
      <c r="C148" s="5"/>
      <c r="D148" s="5"/>
      <c r="E148" s="298">
        <v>145</v>
      </c>
      <c r="F148" s="190" t="str">
        <f>Plan!$Q151</f>
        <v>VfB Stuttgart</v>
      </c>
      <c r="G148" s="191" t="str">
        <f>Plan!$S151</f>
        <v>Eintracht Frankfurt</v>
      </c>
      <c r="H148" s="134">
        <f>IF(AND(Results!$R$6&gt;0,$E148-1&gt;=Results!$R$6*Calc!$F$26),"",IF(AND(Results!$I153&lt;&gt;"",Results!$K153&lt;&gt;"",Results!$F153&lt;&gt;Results!$H153,$F148&lt;&gt;"",$G148&lt;&gt;""),Results!$I153,""))</f>
        <v>3</v>
      </c>
      <c r="I148" s="18">
        <f>IF(AND(Results!$R$6&gt;0,$E148-1&gt;=Results!$R$6*Calc!$F$26),"",IF(AND(Results!$I153&lt;&gt;"",Results!$K153&lt;&gt;"",Results!$F153&lt;&gt;Results!$H153,$F148&lt;&gt;"",$G148&lt;&gt;""),Results!$K153,""))</f>
        <v>2</v>
      </c>
      <c r="J148" s="17" t="str">
        <f>IF(Plan!$I151=0,F148&amp;G148,"")</f>
        <v>VfB StuttgartEintracht Frankfurt</v>
      </c>
      <c r="K148" s="134">
        <f t="shared" si="4"/>
        <v>1</v>
      </c>
      <c r="L148" s="134" t="str">
        <f>IF(AND(K148&gt;0,Plan!$I151=0),H148&amp;Language!$E$65&amp;I148,"")</f>
        <v>3 : 2</v>
      </c>
      <c r="M148" s="2" t="str">
        <f>IF(Plan!$I151=1,F148&amp;G148,"")</f>
        <v/>
      </c>
      <c r="N148" s="93" t="str">
        <f>IF(AND(K148&gt;0,Plan!$I151=1),H148&amp;Language!$E$65&amp;I148,"")</f>
        <v/>
      </c>
      <c r="O148" s="379">
        <f>IF($H148="",0,Results!$L153)</f>
        <v>0</v>
      </c>
      <c r="P148" s="380">
        <f>IF($I148="",0,Results!$M153)</f>
        <v>0</v>
      </c>
    </row>
    <row r="149" spans="2:16" x14ac:dyDescent="0.2">
      <c r="E149" s="298">
        <v>146</v>
      </c>
      <c r="F149" s="190" t="str">
        <f>Plan!$Q152</f>
        <v>Borussia Dortmund</v>
      </c>
      <c r="G149" s="191" t="str">
        <f>Plan!$S152</f>
        <v>SV Werder Bremen</v>
      </c>
      <c r="H149" s="134">
        <f>IF(AND(Results!$R$6&gt;0,$E149-1&gt;=Results!$R$6*Calc!$F$26),"",IF(AND(Results!$I154&lt;&gt;"",Results!$K154&lt;&gt;"",Results!$F154&lt;&gt;Results!$H154,$F149&lt;&gt;"",$G149&lt;&gt;""),Results!$I154,""))</f>
        <v>3</v>
      </c>
      <c r="I149" s="18">
        <f>IF(AND(Results!$R$6&gt;0,$E149-1&gt;=Results!$R$6*Calc!$F$26),"",IF(AND(Results!$I154&lt;&gt;"",Results!$K154&lt;&gt;"",Results!$F154&lt;&gt;Results!$H154,$F149&lt;&gt;"",$G149&lt;&gt;""),Results!$K154,""))</f>
        <v>0</v>
      </c>
      <c r="J149" s="17" t="str">
        <f>IF(Plan!$I152=0,F149&amp;G149,"")</f>
        <v>Borussia DortmundSV Werder Bremen</v>
      </c>
      <c r="K149" s="134">
        <f t="shared" si="4"/>
        <v>1</v>
      </c>
      <c r="L149" s="134" t="str">
        <f>IF(AND(K149&gt;0,Plan!$I152=0),H149&amp;Language!$E$65&amp;I149,"")</f>
        <v>3 : 0</v>
      </c>
      <c r="M149" s="2" t="str">
        <f>IF(Plan!$I152=1,F149&amp;G149,"")</f>
        <v/>
      </c>
      <c r="N149" s="93" t="str">
        <f>IF(AND(K149&gt;0,Plan!$I152=1),H149&amp;Language!$E$65&amp;I149,"")</f>
        <v/>
      </c>
      <c r="O149" s="379">
        <f>IF($H149="",0,Results!$L154)</f>
        <v>0</v>
      </c>
      <c r="P149" s="380">
        <f>IF($I149="",0,Results!$M154)</f>
        <v>0</v>
      </c>
    </row>
    <row r="150" spans="2:16" x14ac:dyDescent="0.2">
      <c r="E150" s="298">
        <v>147</v>
      </c>
      <c r="F150" s="190" t="str">
        <f>Plan!$Q153</f>
        <v>1. FSV Mainz 05</v>
      </c>
      <c r="G150" s="191" t="str">
        <f>Plan!$S153</f>
        <v>1. FC Heidenheim 1846</v>
      </c>
      <c r="H150" s="134">
        <f>IF(AND(Results!$R$6&gt;0,$E150-1&gt;=Results!$R$6*Calc!$F$26),"",IF(AND(Results!$I155&lt;&gt;"",Results!$K155&lt;&gt;"",Results!$F155&lt;&gt;Results!$H155,$F150&lt;&gt;"",$G150&lt;&gt;""),Results!$I155,""))</f>
        <v>2</v>
      </c>
      <c r="I150" s="18">
        <f>IF(AND(Results!$R$6&gt;0,$E150-1&gt;=Results!$R$6*Calc!$F$26),"",IF(AND(Results!$I155&lt;&gt;"",Results!$K155&lt;&gt;"",Results!$F155&lt;&gt;Results!$H155,$F150&lt;&gt;"",$G150&lt;&gt;""),Results!$K155,""))</f>
        <v>1</v>
      </c>
      <c r="J150" s="17" t="str">
        <f>IF(Plan!$I153=0,F150&amp;G150,"")</f>
        <v>1. FSV Mainz 051. FC Heidenheim 1846</v>
      </c>
      <c r="K150" s="134">
        <f t="shared" si="4"/>
        <v>1</v>
      </c>
      <c r="L150" s="134" t="str">
        <f>IF(AND(K150&gt;0,Plan!$I153=0),H150&amp;Language!$E$65&amp;I150,"")</f>
        <v>2 : 1</v>
      </c>
      <c r="M150" s="2" t="str">
        <f>IF(Plan!$I153=1,F150&amp;G150,"")</f>
        <v/>
      </c>
      <c r="N150" s="93" t="str">
        <f>IF(AND(K150&gt;0,Plan!$I153=1),H150&amp;Language!$E$65&amp;I150,"")</f>
        <v/>
      </c>
      <c r="O150" s="379">
        <f>IF($H150="",0,Results!$L155)</f>
        <v>0</v>
      </c>
      <c r="P150" s="380">
        <f>IF($I150="",0,Results!$M155)</f>
        <v>0</v>
      </c>
    </row>
    <row r="151" spans="2:16" x14ac:dyDescent="0.2">
      <c r="E151" s="298">
        <v>148</v>
      </c>
      <c r="F151" s="190" t="str">
        <f>Plan!$Q154</f>
        <v>VfL Wolfsburg</v>
      </c>
      <c r="G151" s="191" t="str">
        <f>Plan!$S154</f>
        <v>FC St. Pauli</v>
      </c>
      <c r="H151" s="134">
        <f>IF(AND(Results!$R$6&gt;0,$E151-1&gt;=Results!$R$6*Calc!$F$26),"",IF(AND(Results!$I156&lt;&gt;"",Results!$K156&lt;&gt;"",Results!$F156&lt;&gt;Results!$H156,$F151&lt;&gt;"",$G151&lt;&gt;""),Results!$I156,""))</f>
        <v>2</v>
      </c>
      <c r="I151" s="18">
        <f>IF(AND(Results!$R$6&gt;0,$E151-1&gt;=Results!$R$6*Calc!$F$26),"",IF(AND(Results!$I156&lt;&gt;"",Results!$K156&lt;&gt;"",Results!$F156&lt;&gt;Results!$H156,$F151&lt;&gt;"",$G151&lt;&gt;""),Results!$K156,""))</f>
        <v>1</v>
      </c>
      <c r="J151" s="17" t="str">
        <f>IF(Plan!$I154=0,F151&amp;G151,"")</f>
        <v>VfL WolfsburgFC St. Pauli</v>
      </c>
      <c r="K151" s="134">
        <f t="shared" si="4"/>
        <v>1</v>
      </c>
      <c r="L151" s="134" t="str">
        <f>IF(AND(K151&gt;0,Plan!$I154=0),H151&amp;Language!$E$65&amp;I151,"")</f>
        <v>2 : 1</v>
      </c>
      <c r="M151" s="2" t="str">
        <f>IF(Plan!$I154=1,F151&amp;G151,"")</f>
        <v/>
      </c>
      <c r="N151" s="93" t="str">
        <f>IF(AND(K151&gt;0,Plan!$I154=1),H151&amp;Language!$E$65&amp;I151,"")</f>
        <v/>
      </c>
      <c r="O151" s="379">
        <f>IF($H151="",0,Results!$L156)</f>
        <v>0</v>
      </c>
      <c r="P151" s="380">
        <f>IF($I151="",0,Results!$M156)</f>
        <v>0</v>
      </c>
    </row>
    <row r="152" spans="2:16" x14ac:dyDescent="0.2">
      <c r="E152" s="298">
        <v>149</v>
      </c>
      <c r="F152" s="190" t="str">
        <f>Plan!$Q155</f>
        <v>RB Leipzig</v>
      </c>
      <c r="G152" s="191" t="str">
        <f>Plan!$S155</f>
        <v>SC Freiburg</v>
      </c>
      <c r="H152" s="134">
        <f>IF(AND(Results!$R$6&gt;0,$E152-1&gt;=Results!$R$6*Calc!$F$26),"",IF(AND(Results!$I157&lt;&gt;"",Results!$K157&lt;&gt;"",Results!$F157&lt;&gt;Results!$H157,$F152&lt;&gt;"",$G152&lt;&gt;""),Results!$I157,""))</f>
        <v>2</v>
      </c>
      <c r="I152" s="18">
        <f>IF(AND(Results!$R$6&gt;0,$E152-1&gt;=Results!$R$6*Calc!$F$26),"",IF(AND(Results!$I157&lt;&gt;"",Results!$K157&lt;&gt;"",Results!$F157&lt;&gt;Results!$H157,$F152&lt;&gt;"",$G152&lt;&gt;""),Results!$K157,""))</f>
        <v>0</v>
      </c>
      <c r="J152" s="17" t="str">
        <f>IF(Plan!$I155=0,F152&amp;G152,"")</f>
        <v>RB LeipzigSC Freiburg</v>
      </c>
      <c r="K152" s="134">
        <f t="shared" si="4"/>
        <v>1</v>
      </c>
      <c r="L152" s="134" t="str">
        <f>IF(AND(K152&gt;0,Plan!$I155=0),H152&amp;Language!$E$65&amp;I152,"")</f>
        <v>2 : 0</v>
      </c>
      <c r="M152" s="2" t="str">
        <f>IF(Plan!$I155=1,F152&amp;G152,"")</f>
        <v/>
      </c>
      <c r="N152" s="93" t="str">
        <f>IF(AND(K152&gt;0,Plan!$I155=1),H152&amp;Language!$E$65&amp;I152,"")</f>
        <v/>
      </c>
      <c r="O152" s="379">
        <f>IF($H152="",0,Results!$L157)</f>
        <v>0</v>
      </c>
      <c r="P152" s="380">
        <f>IF($I152="",0,Results!$M157)</f>
        <v>0</v>
      </c>
    </row>
    <row r="153" spans="2:16" x14ac:dyDescent="0.2">
      <c r="E153" s="298">
        <v>150</v>
      </c>
      <c r="F153" s="190" t="str">
        <f>Plan!$Q156</f>
        <v>TSG Hoffenheim</v>
      </c>
      <c r="G153" s="191" t="str">
        <f>Plan!$S156</f>
        <v>Borussia Mönchengladbach</v>
      </c>
      <c r="H153" s="134">
        <f>IF(AND(Results!$R$6&gt;0,$E153-1&gt;=Results!$R$6*Calc!$F$26),"",IF(AND(Results!$I158&lt;&gt;"",Results!$K158&lt;&gt;"",Results!$F158&lt;&gt;Results!$H158,$F153&lt;&gt;"",$G153&lt;&gt;""),Results!$I158,""))</f>
        <v>5</v>
      </c>
      <c r="I153" s="18">
        <f>IF(AND(Results!$R$6&gt;0,$E153-1&gt;=Results!$R$6*Calc!$F$26),"",IF(AND(Results!$I158&lt;&gt;"",Results!$K158&lt;&gt;"",Results!$F158&lt;&gt;Results!$H158,$F153&lt;&gt;"",$G153&lt;&gt;""),Results!$K158,""))</f>
        <v>1</v>
      </c>
      <c r="J153" s="17" t="str">
        <f>IF(Plan!$I156=0,F153&amp;G153,"")</f>
        <v>TSG HoffenheimBorussia Mönchengladbach</v>
      </c>
      <c r="K153" s="134">
        <f t="shared" si="4"/>
        <v>1</v>
      </c>
      <c r="L153" s="134" t="str">
        <f>IF(AND(K153&gt;0,Plan!$I156=0),H153&amp;Language!$E$65&amp;I153,"")</f>
        <v>5 : 1</v>
      </c>
      <c r="M153" s="2" t="str">
        <f>IF(Plan!$I156=1,F153&amp;G153,"")</f>
        <v/>
      </c>
      <c r="N153" s="93" t="str">
        <f>IF(AND(K153&gt;0,Plan!$I156=1),H153&amp;Language!$E$65&amp;I153,"")</f>
        <v/>
      </c>
      <c r="O153" s="379">
        <f>IF($H153="",0,Results!$L158)</f>
        <v>0</v>
      </c>
      <c r="P153" s="380">
        <f>IF($I153="",0,Results!$M158)</f>
        <v>0</v>
      </c>
    </row>
    <row r="154" spans="2:16" x14ac:dyDescent="0.2">
      <c r="E154" s="298">
        <v>151</v>
      </c>
      <c r="F154" s="190" t="str">
        <f>Plan!$Q157</f>
        <v>1. FC Köln</v>
      </c>
      <c r="G154" s="191" t="str">
        <f>Plan!$S157</f>
        <v>FC Bayern München</v>
      </c>
      <c r="H154" s="134">
        <f>IF(AND(Results!$R$6&gt;0,$E154-1&gt;=Results!$R$6*Calc!$F$26),"",IF(AND(Results!$I159&lt;&gt;"",Results!$K159&lt;&gt;"",Results!$F159&lt;&gt;Results!$H159,$F154&lt;&gt;"",$G154&lt;&gt;""),Results!$I159,""))</f>
        <v>1</v>
      </c>
      <c r="I154" s="18">
        <f>IF(AND(Results!$R$6&gt;0,$E154-1&gt;=Results!$R$6*Calc!$F$26),"",IF(AND(Results!$I159&lt;&gt;"",Results!$K159&lt;&gt;"",Results!$F159&lt;&gt;Results!$H159,$F154&lt;&gt;"",$G154&lt;&gt;""),Results!$K159,""))</f>
        <v>3</v>
      </c>
      <c r="J154" s="17" t="str">
        <f>IF(Plan!$I157=0,F154&amp;G154,"")</f>
        <v>1. FC KölnFC Bayern München</v>
      </c>
      <c r="K154" s="134">
        <f t="shared" si="4"/>
        <v>1</v>
      </c>
      <c r="L154" s="134" t="str">
        <f>IF(AND(K154&gt;0,Plan!$I157=0),H154&amp;Language!$E$65&amp;I154,"")</f>
        <v>1 : 3</v>
      </c>
      <c r="M154" s="2" t="str">
        <f>IF(Plan!$I157=1,F154&amp;G154,"")</f>
        <v/>
      </c>
      <c r="N154" s="93" t="str">
        <f>IF(AND(K154&gt;0,Plan!$I157=1),H154&amp;Language!$E$65&amp;I154,"")</f>
        <v/>
      </c>
      <c r="O154" s="379">
        <f>IF($H154="",0,Results!$L159)</f>
        <v>0</v>
      </c>
      <c r="P154" s="380">
        <f>IF($I154="",0,Results!$M159)</f>
        <v>0</v>
      </c>
    </row>
    <row r="155" spans="2:16" x14ac:dyDescent="0.2">
      <c r="E155" s="298">
        <v>152</v>
      </c>
      <c r="F155" s="190" t="str">
        <f>Plan!$Q158</f>
        <v>FC Augsburg</v>
      </c>
      <c r="G155" s="191" t="str">
        <f>Plan!$S158</f>
        <v>1. FC Union Berlin</v>
      </c>
      <c r="H155" s="134">
        <f>IF(AND(Results!$R$6&gt;0,$E155-1&gt;=Results!$R$6*Calc!$F$26),"",IF(AND(Results!$I160&lt;&gt;"",Results!$K160&lt;&gt;"",Results!$F160&lt;&gt;Results!$H160,$F155&lt;&gt;"",$G155&lt;&gt;""),Results!$I160,""))</f>
        <v>1</v>
      </c>
      <c r="I155" s="18">
        <f>IF(AND(Results!$R$6&gt;0,$E155-1&gt;=Results!$R$6*Calc!$F$26),"",IF(AND(Results!$I160&lt;&gt;"",Results!$K160&lt;&gt;"",Results!$F160&lt;&gt;Results!$H160,$F155&lt;&gt;"",$G155&lt;&gt;""),Results!$K160,""))</f>
        <v>1</v>
      </c>
      <c r="J155" s="17" t="str">
        <f>IF(Plan!$I158=0,F155&amp;G155,"")</f>
        <v>FC Augsburg1. FC Union Berlin</v>
      </c>
      <c r="K155" s="134">
        <f t="shared" si="4"/>
        <v>1</v>
      </c>
      <c r="L155" s="134" t="str">
        <f>IF(AND(K155&gt;0,Plan!$I158=0),H155&amp;Language!$E$65&amp;I155,"")</f>
        <v>1 : 1</v>
      </c>
      <c r="M155" s="2" t="str">
        <f>IF(Plan!$I158=1,F155&amp;G155,"")</f>
        <v/>
      </c>
      <c r="N155" s="93" t="str">
        <f>IF(AND(K155&gt;0,Plan!$I158=1),H155&amp;Language!$E$65&amp;I155,"")</f>
        <v/>
      </c>
      <c r="O155" s="379">
        <f>IF($H155="",0,Results!$L160)</f>
        <v>0</v>
      </c>
      <c r="P155" s="380">
        <f>IF($I155="",0,Results!$M160)</f>
        <v>0</v>
      </c>
    </row>
    <row r="156" spans="2:16" x14ac:dyDescent="0.2">
      <c r="E156" s="298">
        <v>153</v>
      </c>
      <c r="F156" s="190" t="str">
        <f>Plan!$Q159</f>
        <v>Hamburger SV</v>
      </c>
      <c r="G156" s="191" t="str">
        <f>Plan!$S159</f>
        <v>Bayer 04 Leverkusen</v>
      </c>
      <c r="H156" s="134">
        <f>IF(AND(Results!$R$6&gt;0,$E156-1&gt;=Results!$R$6*Calc!$F$26),"",IF(AND(Results!$I161&lt;&gt;"",Results!$K161&lt;&gt;"",Results!$F161&lt;&gt;Results!$H161,$F156&lt;&gt;"",$G156&lt;&gt;""),Results!$I161,""))</f>
        <v>0</v>
      </c>
      <c r="I156" s="18">
        <f>IF(AND(Results!$R$6&gt;0,$E156-1&gt;=Results!$R$6*Calc!$F$26),"",IF(AND(Results!$I161&lt;&gt;"",Results!$K161&lt;&gt;"",Results!$F161&lt;&gt;Results!$H161,$F156&lt;&gt;"",$G156&lt;&gt;""),Results!$K161,""))</f>
        <v>1</v>
      </c>
      <c r="J156" s="17" t="str">
        <f>IF(Plan!$I159=0,F156&amp;G156,"")</f>
        <v>Hamburger SVBayer 04 Leverkusen</v>
      </c>
      <c r="K156" s="134">
        <f t="shared" si="4"/>
        <v>1</v>
      </c>
      <c r="L156" s="134" t="str">
        <f>IF(AND(K156&gt;0,Plan!$I159=0),H156&amp;Language!$E$65&amp;I156,"")</f>
        <v>0 : 1</v>
      </c>
      <c r="M156" s="2" t="str">
        <f>IF(Plan!$I159=1,F156&amp;G156,"")</f>
        <v/>
      </c>
      <c r="N156" s="93" t="str">
        <f>IF(AND(K156&gt;0,Plan!$I159=1),H156&amp;Language!$E$65&amp;I156,"")</f>
        <v/>
      </c>
      <c r="O156" s="379">
        <f>IF($H156="",0,Results!$L161)</f>
        <v>0</v>
      </c>
      <c r="P156" s="380">
        <f>IF($I156="",0,Results!$M161)</f>
        <v>0</v>
      </c>
    </row>
    <row r="157" spans="2:16" x14ac:dyDescent="0.2">
      <c r="E157" s="298">
        <v>154</v>
      </c>
      <c r="F157" s="190" t="str">
        <f>Plan!$Q160</f>
        <v>SV Werder Bremen</v>
      </c>
      <c r="G157" s="191" t="str">
        <f>Plan!$S160</f>
        <v>Eintracht Frankfurt</v>
      </c>
      <c r="H157" s="134">
        <f>IF(AND(Results!$R$6&gt;0,$E157-1&gt;=Results!$R$6*Calc!$F$26),"",IF(AND(Results!$I162&lt;&gt;"",Results!$K162&lt;&gt;"",Results!$F162&lt;&gt;Results!$H162,$F157&lt;&gt;"",$G157&lt;&gt;""),Results!$I162,""))</f>
        <v>3</v>
      </c>
      <c r="I157" s="18">
        <f>IF(AND(Results!$R$6&gt;0,$E157-1&gt;=Results!$R$6*Calc!$F$26),"",IF(AND(Results!$I162&lt;&gt;"",Results!$K162&lt;&gt;"",Results!$F162&lt;&gt;Results!$H162,$F157&lt;&gt;"",$G157&lt;&gt;""),Results!$K162,""))</f>
        <v>3</v>
      </c>
      <c r="J157" s="17" t="str">
        <f>IF(Plan!$I160=0,F157&amp;G157,"")</f>
        <v/>
      </c>
      <c r="K157" s="134">
        <f t="shared" si="4"/>
        <v>1</v>
      </c>
      <c r="L157" s="134" t="str">
        <f>IF(AND(K157&gt;0,Plan!$I160=0),H157&amp;Language!$E$65&amp;I157,"")</f>
        <v/>
      </c>
      <c r="M157" s="2" t="str">
        <f>IF(Plan!$I160=1,F157&amp;G157,"")</f>
        <v>SV Werder BremenEintracht Frankfurt</v>
      </c>
      <c r="N157" s="93" t="str">
        <f>IF(AND(K157&gt;0,Plan!$I160=1),H157&amp;Language!$E$65&amp;I157,"")</f>
        <v>3 : 3</v>
      </c>
      <c r="O157" s="379">
        <f>IF($H157="",0,Results!$L162)</f>
        <v>0</v>
      </c>
      <c r="P157" s="380">
        <f>IF($I157="",0,Results!$M162)</f>
        <v>0</v>
      </c>
    </row>
    <row r="158" spans="2:16" x14ac:dyDescent="0.2">
      <c r="E158" s="298">
        <v>155</v>
      </c>
      <c r="F158" s="190" t="str">
        <f>Plan!$Q161</f>
        <v>Hamburger SV</v>
      </c>
      <c r="G158" s="191" t="str">
        <f>Plan!$S161</f>
        <v>Borussia Mönchengladbach</v>
      </c>
      <c r="H158" s="134">
        <f>IF(AND(Results!$R$6&gt;0,$E158-1&gt;=Results!$R$6*Calc!$F$26),"",IF(AND(Results!$I163&lt;&gt;"",Results!$K163&lt;&gt;"",Results!$F163&lt;&gt;Results!$H163,$F158&lt;&gt;"",$G158&lt;&gt;""),Results!$I163,""))</f>
        <v>0</v>
      </c>
      <c r="I158" s="18">
        <f>IF(AND(Results!$R$6&gt;0,$E158-1&gt;=Results!$R$6*Calc!$F$26),"",IF(AND(Results!$I163&lt;&gt;"",Results!$K163&lt;&gt;"",Results!$F163&lt;&gt;Results!$H163,$F158&lt;&gt;"",$G158&lt;&gt;""),Results!$K163,""))</f>
        <v>0</v>
      </c>
      <c r="J158" s="17" t="str">
        <f>IF(Plan!$I161=0,F158&amp;G158,"")</f>
        <v/>
      </c>
      <c r="K158" s="134">
        <f t="shared" si="4"/>
        <v>1</v>
      </c>
      <c r="L158" s="134" t="str">
        <f>IF(AND(K158&gt;0,Plan!$I161=0),H158&amp;Language!$E$65&amp;I158,"")</f>
        <v/>
      </c>
      <c r="M158" s="2" t="str">
        <f>IF(Plan!$I161=1,F158&amp;G158,"")</f>
        <v>Hamburger SVBorussia Mönchengladbach</v>
      </c>
      <c r="N158" s="93" t="str">
        <f>IF(AND(K158&gt;0,Plan!$I161=1),H158&amp;Language!$E$65&amp;I158,"")</f>
        <v>0 : 0</v>
      </c>
      <c r="O158" s="379">
        <f>IF($H158="",0,Results!$L163)</f>
        <v>0</v>
      </c>
      <c r="P158" s="380">
        <f>IF($I158="",0,Results!$M163)</f>
        <v>0</v>
      </c>
    </row>
    <row r="159" spans="2:16" x14ac:dyDescent="0.2">
      <c r="E159" s="298">
        <v>156</v>
      </c>
      <c r="F159" s="190" t="str">
        <f>Plan!$Q162</f>
        <v>VfL Wolfsburg</v>
      </c>
      <c r="G159" s="191" t="str">
        <f>Plan!$S162</f>
        <v>1. FC Heidenheim 1846</v>
      </c>
      <c r="H159" s="134">
        <f>IF(AND(Results!$R$6&gt;0,$E159-1&gt;=Results!$R$6*Calc!$F$26),"",IF(AND(Results!$I164&lt;&gt;"",Results!$K164&lt;&gt;"",Results!$F164&lt;&gt;Results!$H164,$F159&lt;&gt;"",$G159&lt;&gt;""),Results!$I164,""))</f>
        <v>1</v>
      </c>
      <c r="I159" s="18">
        <f>IF(AND(Results!$R$6&gt;0,$E159-1&gt;=Results!$R$6*Calc!$F$26),"",IF(AND(Results!$I164&lt;&gt;"",Results!$K164&lt;&gt;"",Results!$F164&lt;&gt;Results!$H164,$F159&lt;&gt;"",$G159&lt;&gt;""),Results!$K164,""))</f>
        <v>1</v>
      </c>
      <c r="J159" s="17" t="str">
        <f>IF(Plan!$I162=0,F159&amp;G159,"")</f>
        <v/>
      </c>
      <c r="K159" s="134">
        <f t="shared" si="4"/>
        <v>1</v>
      </c>
      <c r="L159" s="134" t="str">
        <f>IF(AND(K159&gt;0,Plan!$I162=0),H159&amp;Language!$E$65&amp;I159,"")</f>
        <v/>
      </c>
      <c r="M159" s="2" t="str">
        <f>IF(Plan!$I162=1,F159&amp;G159,"")</f>
        <v>VfL Wolfsburg1. FC Heidenheim 1846</v>
      </c>
      <c r="N159" s="93" t="str">
        <f>IF(AND(K159&gt;0,Plan!$I162=1),H159&amp;Language!$E$65&amp;I159,"")</f>
        <v>1 : 1</v>
      </c>
      <c r="O159" s="379">
        <f>IF($H159="",0,Results!$L164)</f>
        <v>0</v>
      </c>
      <c r="P159" s="380">
        <f>IF($I159="",0,Results!$M164)</f>
        <v>0</v>
      </c>
    </row>
    <row r="160" spans="2:16" x14ac:dyDescent="0.2">
      <c r="E160" s="298">
        <v>157</v>
      </c>
      <c r="F160" s="190" t="str">
        <f>Plan!$Q163</f>
        <v>TSG Hoffenheim</v>
      </c>
      <c r="G160" s="191" t="str">
        <f>Plan!$S163</f>
        <v>Bayer 04 Leverkusen</v>
      </c>
      <c r="H160" s="134">
        <f>IF(AND(Results!$R$6&gt;0,$E160-1&gt;=Results!$R$6*Calc!$F$26),"",IF(AND(Results!$I165&lt;&gt;"",Results!$K165&lt;&gt;"",Results!$F165&lt;&gt;Results!$H165,$F160&lt;&gt;"",$G160&lt;&gt;""),Results!$I165,""))</f>
        <v>1</v>
      </c>
      <c r="I160" s="18">
        <f>IF(AND(Results!$R$6&gt;0,$E160-1&gt;=Results!$R$6*Calc!$F$26),"",IF(AND(Results!$I165&lt;&gt;"",Results!$K165&lt;&gt;"",Results!$F165&lt;&gt;Results!$H165,$F160&lt;&gt;"",$G160&lt;&gt;""),Results!$K165,""))</f>
        <v>0</v>
      </c>
      <c r="J160" s="17" t="str">
        <f>IF(Plan!$I163=0,F160&amp;G160,"")</f>
        <v/>
      </c>
      <c r="K160" s="134">
        <f t="shared" si="4"/>
        <v>1</v>
      </c>
      <c r="L160" s="134" t="str">
        <f>IF(AND(K160&gt;0,Plan!$I163=0),H160&amp;Language!$E$65&amp;I160,"")</f>
        <v/>
      </c>
      <c r="M160" s="2" t="str">
        <f>IF(Plan!$I163=1,F160&amp;G160,"")</f>
        <v>TSG HoffenheimBayer 04 Leverkusen</v>
      </c>
      <c r="N160" s="93" t="str">
        <f>IF(AND(K160&gt;0,Plan!$I163=1),H160&amp;Language!$E$65&amp;I160,"")</f>
        <v>1 : 0</v>
      </c>
      <c r="O160" s="379">
        <f>IF($H160="",0,Results!$L165)</f>
        <v>0</v>
      </c>
      <c r="P160" s="380">
        <f>IF($I160="",0,Results!$M165)</f>
        <v>0</v>
      </c>
    </row>
    <row r="161" spans="5:16" x14ac:dyDescent="0.2">
      <c r="E161" s="298">
        <v>158</v>
      </c>
      <c r="F161" s="190" t="str">
        <f>Plan!$Q164</f>
        <v>Borussia Dortmund</v>
      </c>
      <c r="G161" s="191" t="str">
        <f>Plan!$S164</f>
        <v>FC St. Pauli</v>
      </c>
      <c r="H161" s="134">
        <f>IF(AND(Results!$R$6&gt;0,$E161-1&gt;=Results!$R$6*Calc!$F$26),"",IF(AND(Results!$I166&lt;&gt;"",Results!$K166&lt;&gt;"",Results!$F166&lt;&gt;Results!$H166,$F161&lt;&gt;"",$G161&lt;&gt;""),Results!$I166,""))</f>
        <v>3</v>
      </c>
      <c r="I161" s="18">
        <f>IF(AND(Results!$R$6&gt;0,$E161-1&gt;=Results!$R$6*Calc!$F$26),"",IF(AND(Results!$I166&lt;&gt;"",Results!$K166&lt;&gt;"",Results!$F166&lt;&gt;Results!$H166,$F161&lt;&gt;"",$G161&lt;&gt;""),Results!$K166,""))</f>
        <v>2</v>
      </c>
      <c r="J161" s="17" t="str">
        <f>IF(Plan!$I164=0,F161&amp;G161,"")</f>
        <v/>
      </c>
      <c r="K161" s="134">
        <f t="shared" si="4"/>
        <v>1</v>
      </c>
      <c r="L161" s="134" t="str">
        <f>IF(AND(K161&gt;0,Plan!$I164=0),H161&amp;Language!$E$65&amp;I161,"")</f>
        <v/>
      </c>
      <c r="M161" s="2" t="str">
        <f>IF(Plan!$I164=1,F161&amp;G161,"")</f>
        <v>Borussia DortmundFC St. Pauli</v>
      </c>
      <c r="N161" s="93" t="str">
        <f>IF(AND(K161&gt;0,Plan!$I164=1),H161&amp;Language!$E$65&amp;I161,"")</f>
        <v>3 : 2</v>
      </c>
      <c r="O161" s="379">
        <f>IF($H161="",0,Results!$L166)</f>
        <v>0</v>
      </c>
      <c r="P161" s="380">
        <f>IF($I161="",0,Results!$M166)</f>
        <v>0</v>
      </c>
    </row>
    <row r="162" spans="5:16" x14ac:dyDescent="0.2">
      <c r="E162" s="298">
        <v>159</v>
      </c>
      <c r="F162" s="190" t="str">
        <f>Plan!$Q165</f>
        <v>1. FC Köln</v>
      </c>
      <c r="G162" s="191" t="str">
        <f>Plan!$S165</f>
        <v>1. FSV Mainz 05</v>
      </c>
      <c r="H162" s="134">
        <f>IF(AND(Results!$R$6&gt;0,$E162-1&gt;=Results!$R$6*Calc!$F$26),"",IF(AND(Results!$I167&lt;&gt;"",Results!$K167&lt;&gt;"",Results!$F167&lt;&gt;Results!$H167,$F162&lt;&gt;"",$G162&lt;&gt;""),Results!$I167,""))</f>
        <v>2</v>
      </c>
      <c r="I162" s="18">
        <f>IF(AND(Results!$R$6&gt;0,$E162-1&gt;=Results!$R$6*Calc!$F$26),"",IF(AND(Results!$I167&lt;&gt;"",Results!$K167&lt;&gt;"",Results!$F167&lt;&gt;Results!$H167,$F162&lt;&gt;"",$G162&lt;&gt;""),Results!$K167,""))</f>
        <v>1</v>
      </c>
      <c r="J162" s="17" t="str">
        <f>IF(Plan!$I165=0,F162&amp;G162,"")</f>
        <v/>
      </c>
      <c r="K162" s="134">
        <f t="shared" si="4"/>
        <v>1</v>
      </c>
      <c r="L162" s="134" t="str">
        <f>IF(AND(K162&gt;0,Plan!$I165=0),H162&amp;Language!$E$65&amp;I162,"")</f>
        <v/>
      </c>
      <c r="M162" s="2" t="str">
        <f>IF(Plan!$I165=1,F162&amp;G162,"")</f>
        <v>1. FC Köln1. FSV Mainz 05</v>
      </c>
      <c r="N162" s="93" t="str">
        <f>IF(AND(K162&gt;0,Plan!$I165=1),H162&amp;Language!$E$65&amp;I162,"")</f>
        <v>2 : 1</v>
      </c>
      <c r="O162" s="379">
        <f>IF($H162="",0,Results!$L167)</f>
        <v>0</v>
      </c>
      <c r="P162" s="380">
        <f>IF($I162="",0,Results!$M167)</f>
        <v>0</v>
      </c>
    </row>
    <row r="163" spans="5:16" x14ac:dyDescent="0.2">
      <c r="E163" s="298">
        <v>160</v>
      </c>
      <c r="F163" s="190" t="str">
        <f>Plan!$Q166</f>
        <v>RB Leipzig</v>
      </c>
      <c r="G163" s="191" t="str">
        <f>Plan!$S166</f>
        <v>FC Bayern München</v>
      </c>
      <c r="H163" s="134">
        <f>IF(AND(Results!$R$6&gt;0,$E163-1&gt;=Results!$R$6*Calc!$F$26),"",IF(AND(Results!$I168&lt;&gt;"",Results!$K168&lt;&gt;"",Results!$F168&lt;&gt;Results!$H168,$F163&lt;&gt;"",$G163&lt;&gt;""),Results!$I168,""))</f>
        <v>1</v>
      </c>
      <c r="I163" s="18">
        <f>IF(AND(Results!$R$6&gt;0,$E163-1&gt;=Results!$R$6*Calc!$F$26),"",IF(AND(Results!$I168&lt;&gt;"",Results!$K168&lt;&gt;"",Results!$F168&lt;&gt;Results!$H168,$F163&lt;&gt;"",$G163&lt;&gt;""),Results!$K168,""))</f>
        <v>5</v>
      </c>
      <c r="J163" s="17" t="str">
        <f>IF(Plan!$I166=0,F163&amp;G163,"")</f>
        <v/>
      </c>
      <c r="K163" s="134">
        <f t="shared" si="4"/>
        <v>1</v>
      </c>
      <c r="L163" s="134" t="str">
        <f>IF(AND(K163&gt;0,Plan!$I166=0),H163&amp;Language!$E$65&amp;I163,"")</f>
        <v/>
      </c>
      <c r="M163" s="2" t="str">
        <f>IF(Plan!$I166=1,F163&amp;G163,"")</f>
        <v>RB LeipzigFC Bayern München</v>
      </c>
      <c r="N163" s="93" t="str">
        <f>IF(AND(K163&gt;0,Plan!$I166=1),H163&amp;Language!$E$65&amp;I163,"")</f>
        <v>1 : 5</v>
      </c>
      <c r="O163" s="379">
        <f>IF($H163="",0,Results!$L168)</f>
        <v>0</v>
      </c>
      <c r="P163" s="380">
        <f>IF($I163="",0,Results!$M168)</f>
        <v>0</v>
      </c>
    </row>
    <row r="164" spans="5:16" x14ac:dyDescent="0.2">
      <c r="E164" s="298">
        <v>161</v>
      </c>
      <c r="F164" s="190" t="str">
        <f>Plan!$Q167</f>
        <v>VfB Stuttgart</v>
      </c>
      <c r="G164" s="191" t="str">
        <f>Plan!$S167</f>
        <v>1. FC Union Berlin</v>
      </c>
      <c r="H164" s="134">
        <f>IF(AND(Results!$R$6&gt;0,$E164-1&gt;=Results!$R$6*Calc!$F$26),"",IF(AND(Results!$I169&lt;&gt;"",Results!$K169&lt;&gt;"",Results!$F169&lt;&gt;Results!$H169,$F164&lt;&gt;"",$G164&lt;&gt;""),Results!$I169,""))</f>
        <v>1</v>
      </c>
      <c r="I164" s="18">
        <f>IF(AND(Results!$R$6&gt;0,$E164-1&gt;=Results!$R$6*Calc!$F$26),"",IF(AND(Results!$I169&lt;&gt;"",Results!$K169&lt;&gt;"",Results!$F169&lt;&gt;Results!$H169,$F164&lt;&gt;"",$G164&lt;&gt;""),Results!$K169,""))</f>
        <v>1</v>
      </c>
      <c r="J164" s="17" t="str">
        <f>IF(Plan!$I167=0,F164&amp;G164,"")</f>
        <v/>
      </c>
      <c r="K164" s="134">
        <f t="shared" si="4"/>
        <v>1</v>
      </c>
      <c r="L164" s="134" t="str">
        <f>IF(AND(K164&gt;0,Plan!$I167=0),H164&amp;Language!$E$65&amp;I164,"")</f>
        <v/>
      </c>
      <c r="M164" s="2" t="str">
        <f>IF(Plan!$I167=1,F164&amp;G164,"")</f>
        <v>VfB Stuttgart1. FC Union Berlin</v>
      </c>
      <c r="N164" s="93" t="str">
        <f>IF(AND(K164&gt;0,Plan!$I167=1),H164&amp;Language!$E$65&amp;I164,"")</f>
        <v>1 : 1</v>
      </c>
      <c r="O164" s="379">
        <f>IF($H164="",0,Results!$L169)</f>
        <v>0</v>
      </c>
      <c r="P164" s="380">
        <f>IF($I164="",0,Results!$M169)</f>
        <v>0</v>
      </c>
    </row>
    <row r="165" spans="5:16" x14ac:dyDescent="0.2">
      <c r="E165" s="298">
        <v>162</v>
      </c>
      <c r="F165" s="190" t="str">
        <f>Plan!$Q168</f>
        <v>FC Augsburg</v>
      </c>
      <c r="G165" s="191" t="str">
        <f>Plan!$S168</f>
        <v>SC Freiburg</v>
      </c>
      <c r="H165" s="134">
        <f>IF(AND(Results!$R$6&gt;0,$E165-1&gt;=Results!$R$6*Calc!$F$26),"",IF(AND(Results!$I170&lt;&gt;"",Results!$K170&lt;&gt;"",Results!$F170&lt;&gt;Results!$H170,$F165&lt;&gt;"",$G165&lt;&gt;""),Results!$I170,""))</f>
        <v>2</v>
      </c>
      <c r="I165" s="18">
        <f>IF(AND(Results!$R$6&gt;0,$E165-1&gt;=Results!$R$6*Calc!$F$26),"",IF(AND(Results!$I170&lt;&gt;"",Results!$K170&lt;&gt;"",Results!$F170&lt;&gt;Results!$H170,$F165&lt;&gt;"",$G165&lt;&gt;""),Results!$K170,""))</f>
        <v>2</v>
      </c>
      <c r="J165" s="17" t="str">
        <f>IF(Plan!$I168=0,F165&amp;G165,"")</f>
        <v/>
      </c>
      <c r="K165" s="134">
        <f t="shared" si="4"/>
        <v>1</v>
      </c>
      <c r="L165" s="134" t="str">
        <f>IF(AND(K165&gt;0,Plan!$I168=0),H165&amp;Language!$E$65&amp;I165,"")</f>
        <v/>
      </c>
      <c r="M165" s="2" t="str">
        <f>IF(Plan!$I168=1,F165&amp;G165,"")</f>
        <v>FC AugsburgSC Freiburg</v>
      </c>
      <c r="N165" s="93" t="str">
        <f>IF(AND(K165&gt;0,Plan!$I168=1),H165&amp;Language!$E$65&amp;I165,"")</f>
        <v>2 : 2</v>
      </c>
      <c r="O165" s="379">
        <f>IF($H165="",0,Results!$L170)</f>
        <v>0</v>
      </c>
      <c r="P165" s="380">
        <f>IF($I165="",0,Results!$M170)</f>
        <v>0</v>
      </c>
    </row>
    <row r="166" spans="5:16" x14ac:dyDescent="0.2">
      <c r="E166" s="298">
        <v>163</v>
      </c>
      <c r="F166" s="190" t="str">
        <f>Plan!$Q169</f>
        <v>FC St. Pauli</v>
      </c>
      <c r="G166" s="191" t="str">
        <f>Plan!$S169</f>
        <v>Hamburger SV</v>
      </c>
      <c r="H166" s="134">
        <f>IF(AND(Results!$R$6&gt;0,$E166-1&gt;=Results!$R$6*Calc!$F$26),"",IF(AND(Results!$I171&lt;&gt;"",Results!$K171&lt;&gt;"",Results!$F171&lt;&gt;Results!$H171,$F166&lt;&gt;"",$G166&lt;&gt;""),Results!$I171,""))</f>
        <v>0</v>
      </c>
      <c r="I166" s="18">
        <f>IF(AND(Results!$R$6&gt;0,$E166-1&gt;=Results!$R$6*Calc!$F$26),"",IF(AND(Results!$I171&lt;&gt;"",Results!$K171&lt;&gt;"",Results!$F171&lt;&gt;Results!$H171,$F166&lt;&gt;"",$G166&lt;&gt;""),Results!$K171,""))</f>
        <v>0</v>
      </c>
      <c r="J166" s="17" t="str">
        <f>IF(Plan!$I169=0,F166&amp;G166,"")</f>
        <v/>
      </c>
      <c r="K166" s="134">
        <f t="shared" si="4"/>
        <v>1</v>
      </c>
      <c r="L166" s="134" t="str">
        <f>IF(AND(K166&gt;0,Plan!$I169=0),H166&amp;Language!$E$65&amp;I166,"")</f>
        <v/>
      </c>
      <c r="M166" s="2" t="str">
        <f>IF(Plan!$I169=1,F166&amp;G166,"")</f>
        <v>FC St. PauliHamburger SV</v>
      </c>
      <c r="N166" s="93" t="str">
        <f>IF(AND(K166&gt;0,Plan!$I169=1),H166&amp;Language!$E$65&amp;I166,"")</f>
        <v>0 : 0</v>
      </c>
      <c r="O166" s="379">
        <f>IF($H166="",0,Results!$L171)</f>
        <v>0</v>
      </c>
      <c r="P166" s="380">
        <f>IF($I166="",0,Results!$M171)</f>
        <v>0</v>
      </c>
    </row>
    <row r="167" spans="5:16" x14ac:dyDescent="0.2">
      <c r="E167" s="298">
        <v>164</v>
      </c>
      <c r="F167" s="190" t="str">
        <f>Plan!$Q170</f>
        <v>1. FC Heidenheim 1846</v>
      </c>
      <c r="G167" s="191" t="str">
        <f>Plan!$S170</f>
        <v>RB Leipzig</v>
      </c>
      <c r="H167" s="134">
        <f>IF(AND(Results!$R$6&gt;0,$E167-1&gt;=Results!$R$6*Calc!$F$26),"",IF(AND(Results!$I172&lt;&gt;"",Results!$K172&lt;&gt;"",Results!$F172&lt;&gt;Results!$H172,$F167&lt;&gt;"",$G167&lt;&gt;""),Results!$I172,""))</f>
        <v>0</v>
      </c>
      <c r="I167" s="18">
        <f>IF(AND(Results!$R$6&gt;0,$E167-1&gt;=Results!$R$6*Calc!$F$26),"",IF(AND(Results!$I172&lt;&gt;"",Results!$K172&lt;&gt;"",Results!$F172&lt;&gt;Results!$H172,$F167&lt;&gt;"",$G167&lt;&gt;""),Results!$K172,""))</f>
        <v>3</v>
      </c>
      <c r="J167" s="17" t="str">
        <f>IF(Plan!$I170=0,F167&amp;G167,"")</f>
        <v/>
      </c>
      <c r="K167" s="134">
        <f t="shared" si="4"/>
        <v>1</v>
      </c>
      <c r="L167" s="134" t="str">
        <f>IF(AND(K167&gt;0,Plan!$I170=0),H167&amp;Language!$E$65&amp;I167,"")</f>
        <v/>
      </c>
      <c r="M167" s="2" t="str">
        <f>IF(Plan!$I170=1,F167&amp;G167,"")</f>
        <v>1. FC Heidenheim 1846RB Leipzig</v>
      </c>
      <c r="N167" s="93" t="str">
        <f>IF(AND(K167&gt;0,Plan!$I170=1),H167&amp;Language!$E$65&amp;I167,"")</f>
        <v>0 : 3</v>
      </c>
      <c r="O167" s="379">
        <f>IF($H167="",0,Results!$L172)</f>
        <v>0</v>
      </c>
      <c r="P167" s="380">
        <f>IF($I167="",0,Results!$M172)</f>
        <v>0</v>
      </c>
    </row>
    <row r="168" spans="5:16" x14ac:dyDescent="0.2">
      <c r="E168" s="298">
        <v>165</v>
      </c>
      <c r="F168" s="190" t="str">
        <f>Plan!$Q171</f>
        <v>Eintracht Frankfurt</v>
      </c>
      <c r="G168" s="191" t="str">
        <f>Plan!$S171</f>
        <v>TSG Hoffenheim</v>
      </c>
      <c r="H168" s="134">
        <f>IF(AND(Results!$R$6&gt;0,$E168-1&gt;=Results!$R$6*Calc!$F$26),"",IF(AND(Results!$I173&lt;&gt;"",Results!$K173&lt;&gt;"",Results!$F173&lt;&gt;Results!$H173,$F168&lt;&gt;"",$G168&lt;&gt;""),Results!$I173,""))</f>
        <v>1</v>
      </c>
      <c r="I168" s="18">
        <f>IF(AND(Results!$R$6&gt;0,$E168-1&gt;=Results!$R$6*Calc!$F$26),"",IF(AND(Results!$I173&lt;&gt;"",Results!$K173&lt;&gt;"",Results!$F173&lt;&gt;Results!$H173,$F168&lt;&gt;"",$G168&lt;&gt;""),Results!$K173,""))</f>
        <v>3</v>
      </c>
      <c r="J168" s="17" t="str">
        <f>IF(Plan!$I171=0,F168&amp;G168,"")</f>
        <v/>
      </c>
      <c r="K168" s="134">
        <f t="shared" si="4"/>
        <v>1</v>
      </c>
      <c r="L168" s="134" t="str">
        <f>IF(AND(K168&gt;0,Plan!$I171=0),H168&amp;Language!$E$65&amp;I168,"")</f>
        <v/>
      </c>
      <c r="M168" s="2" t="str">
        <f>IF(Plan!$I171=1,F168&amp;G168,"")</f>
        <v>Eintracht FrankfurtTSG Hoffenheim</v>
      </c>
      <c r="N168" s="93" t="str">
        <f>IF(AND(K168&gt;0,Plan!$I171=1),H168&amp;Language!$E$65&amp;I168,"")</f>
        <v>1 : 3</v>
      </c>
      <c r="O168" s="379">
        <f>IF($H168="",0,Results!$L173)</f>
        <v>0</v>
      </c>
      <c r="P168" s="380">
        <f>IF($I168="",0,Results!$M173)</f>
        <v>0</v>
      </c>
    </row>
    <row r="169" spans="5:16" x14ac:dyDescent="0.2">
      <c r="E169" s="298">
        <v>166</v>
      </c>
      <c r="F169" s="190" t="str">
        <f>Plan!$Q172</f>
        <v>Bayer 04 Leverkusen</v>
      </c>
      <c r="G169" s="191" t="str">
        <f>Plan!$S172</f>
        <v>SV Werder Bremen</v>
      </c>
      <c r="H169" s="134">
        <f>IF(AND(Results!$R$6&gt;0,$E169-1&gt;=Results!$R$6*Calc!$F$26),"",IF(AND(Results!$I174&lt;&gt;"",Results!$K174&lt;&gt;"",Results!$F174&lt;&gt;Results!$H174,$F169&lt;&gt;"",$G169&lt;&gt;""),Results!$I174,""))</f>
        <v>1</v>
      </c>
      <c r="I169" s="18">
        <f>IF(AND(Results!$R$6&gt;0,$E169-1&gt;=Results!$R$6*Calc!$F$26),"",IF(AND(Results!$I174&lt;&gt;"",Results!$K174&lt;&gt;"",Results!$F174&lt;&gt;Results!$H174,$F169&lt;&gt;"",$G169&lt;&gt;""),Results!$K174,""))</f>
        <v>0</v>
      </c>
      <c r="J169" s="17" t="str">
        <f>IF(Plan!$I172=0,F169&amp;G169,"")</f>
        <v/>
      </c>
      <c r="K169" s="134">
        <f t="shared" si="4"/>
        <v>1</v>
      </c>
      <c r="L169" s="134" t="str">
        <f>IF(AND(K169&gt;0,Plan!$I172=0),H169&amp;Language!$E$65&amp;I169,"")</f>
        <v/>
      </c>
      <c r="M169" s="2" t="str">
        <f>IF(Plan!$I172=1,F169&amp;G169,"")</f>
        <v>Bayer 04 LeverkusenSV Werder Bremen</v>
      </c>
      <c r="N169" s="93" t="str">
        <f>IF(AND(K169&gt;0,Plan!$I172=1),H169&amp;Language!$E$65&amp;I169,"")</f>
        <v>1 : 0</v>
      </c>
      <c r="O169" s="379">
        <f>IF($H169="",0,Results!$L174)</f>
        <v>0</v>
      </c>
      <c r="P169" s="380">
        <f>IF($I169="",0,Results!$M174)</f>
        <v>0</v>
      </c>
    </row>
    <row r="170" spans="5:16" x14ac:dyDescent="0.2">
      <c r="E170" s="298">
        <v>167</v>
      </c>
      <c r="F170" s="190" t="str">
        <f>Plan!$Q173</f>
        <v>FC Bayern München</v>
      </c>
      <c r="G170" s="191" t="str">
        <f>Plan!$S173</f>
        <v>FC Augsburg</v>
      </c>
      <c r="H170" s="134">
        <f>IF(AND(Results!$R$6&gt;0,$E170-1&gt;=Results!$R$6*Calc!$F$26),"",IF(AND(Results!$I175&lt;&gt;"",Results!$K175&lt;&gt;"",Results!$F175&lt;&gt;Results!$H175,$F170&lt;&gt;"",$G170&lt;&gt;""),Results!$I175,""))</f>
        <v>1</v>
      </c>
      <c r="I170" s="18">
        <f>IF(AND(Results!$R$6&gt;0,$E170-1&gt;=Results!$R$6*Calc!$F$26),"",IF(AND(Results!$I175&lt;&gt;"",Results!$K175&lt;&gt;"",Results!$F175&lt;&gt;Results!$H175,$F170&lt;&gt;"",$G170&lt;&gt;""),Results!$K175,""))</f>
        <v>2</v>
      </c>
      <c r="J170" s="17" t="str">
        <f>IF(Plan!$I173=0,F170&amp;G170,"")</f>
        <v/>
      </c>
      <c r="K170" s="134">
        <f t="shared" si="4"/>
        <v>1</v>
      </c>
      <c r="L170" s="134" t="str">
        <f>IF(AND(K170&gt;0,Plan!$I173=0),H170&amp;Language!$E$65&amp;I170,"")</f>
        <v/>
      </c>
      <c r="M170" s="2" t="str">
        <f>IF(Plan!$I173=1,F170&amp;G170,"")</f>
        <v>FC Bayern MünchenFC Augsburg</v>
      </c>
      <c r="N170" s="93" t="str">
        <f>IF(AND(K170&gt;0,Plan!$I173=1),H170&amp;Language!$E$65&amp;I170,"")</f>
        <v>1 : 2</v>
      </c>
      <c r="O170" s="379">
        <f>IF($H170="",0,Results!$L175)</f>
        <v>0</v>
      </c>
      <c r="P170" s="380">
        <f>IF($I170="",0,Results!$M175)</f>
        <v>0</v>
      </c>
    </row>
    <row r="171" spans="5:16" x14ac:dyDescent="0.2">
      <c r="E171" s="298">
        <v>168</v>
      </c>
      <c r="F171" s="190" t="str">
        <f>Plan!$Q174</f>
        <v>1. FSV Mainz 05</v>
      </c>
      <c r="G171" s="191" t="str">
        <f>Plan!$S174</f>
        <v>VfL Wolfsburg</v>
      </c>
      <c r="H171" s="134">
        <f>IF(AND(Results!$R$6&gt;0,$E171-1&gt;=Results!$R$6*Calc!$F$26),"",IF(AND(Results!$I176&lt;&gt;"",Results!$K176&lt;&gt;"",Results!$F176&lt;&gt;Results!$H176,$F171&lt;&gt;"",$G171&lt;&gt;""),Results!$I176,""))</f>
        <v>3</v>
      </c>
      <c r="I171" s="18">
        <f>IF(AND(Results!$R$6&gt;0,$E171-1&gt;=Results!$R$6*Calc!$F$26),"",IF(AND(Results!$I176&lt;&gt;"",Results!$K176&lt;&gt;"",Results!$F176&lt;&gt;Results!$H176,$F171&lt;&gt;"",$G171&lt;&gt;""),Results!$K176,""))</f>
        <v>1</v>
      </c>
      <c r="J171" s="17" t="str">
        <f>IF(Plan!$I174=0,F171&amp;G171,"")</f>
        <v/>
      </c>
      <c r="K171" s="134">
        <f t="shared" si="4"/>
        <v>1</v>
      </c>
      <c r="L171" s="134" t="str">
        <f>IF(AND(K171&gt;0,Plan!$I174=0),H171&amp;Language!$E$65&amp;I171,"")</f>
        <v/>
      </c>
      <c r="M171" s="2" t="str">
        <f>IF(Plan!$I174=1,F171&amp;G171,"")</f>
        <v>1. FSV Mainz 05VfL Wolfsburg</v>
      </c>
      <c r="N171" s="93" t="str">
        <f>IF(AND(K171&gt;0,Plan!$I174=1),H171&amp;Language!$E$65&amp;I171,"")</f>
        <v>3 : 1</v>
      </c>
      <c r="O171" s="379">
        <f>IF($H171="",0,Results!$L176)</f>
        <v>0</v>
      </c>
      <c r="P171" s="380">
        <f>IF($I171="",0,Results!$M176)</f>
        <v>0</v>
      </c>
    </row>
    <row r="172" spans="5:16" x14ac:dyDescent="0.2">
      <c r="E172" s="298">
        <v>169</v>
      </c>
      <c r="F172" s="190" t="str">
        <f>Plan!$Q175</f>
        <v>1. FC Union Berlin</v>
      </c>
      <c r="G172" s="191" t="str">
        <f>Plan!$S175</f>
        <v>Borussia Dortmund</v>
      </c>
      <c r="H172" s="134">
        <f>IF(AND(Results!$R$6&gt;0,$E172-1&gt;=Results!$R$6*Calc!$F$26),"",IF(AND(Results!$I177&lt;&gt;"",Results!$K177&lt;&gt;"",Results!$F177&lt;&gt;Results!$H177,$F172&lt;&gt;"",$G172&lt;&gt;""),Results!$I177,""))</f>
        <v>0</v>
      </c>
      <c r="I172" s="18">
        <f>IF(AND(Results!$R$6&gt;0,$E172-1&gt;=Results!$R$6*Calc!$F$26),"",IF(AND(Results!$I177&lt;&gt;"",Results!$K177&lt;&gt;"",Results!$F177&lt;&gt;Results!$H177,$F172&lt;&gt;"",$G172&lt;&gt;""),Results!$K177,""))</f>
        <v>3</v>
      </c>
      <c r="J172" s="17" t="str">
        <f>IF(Plan!$I175=0,F172&amp;G172,"")</f>
        <v/>
      </c>
      <c r="K172" s="134">
        <f t="shared" si="4"/>
        <v>1</v>
      </c>
      <c r="L172" s="134" t="str">
        <f>IF(AND(K172&gt;0,Plan!$I175=0),H172&amp;Language!$E$65&amp;I172,"")</f>
        <v/>
      </c>
      <c r="M172" s="2" t="str">
        <f>IF(Plan!$I175=1,F172&amp;G172,"")</f>
        <v>1. FC Union BerlinBorussia Dortmund</v>
      </c>
      <c r="N172" s="93" t="str">
        <f>IF(AND(K172&gt;0,Plan!$I175=1),H172&amp;Language!$E$65&amp;I172,"")</f>
        <v>0 : 3</v>
      </c>
      <c r="O172" s="379">
        <f>IF($H172="",0,Results!$L177)</f>
        <v>0</v>
      </c>
      <c r="P172" s="380">
        <f>IF($I172="",0,Results!$M177)</f>
        <v>0</v>
      </c>
    </row>
    <row r="173" spans="5:16" x14ac:dyDescent="0.2">
      <c r="E173" s="298">
        <v>170</v>
      </c>
      <c r="F173" s="190" t="str">
        <f>Plan!$Q176</f>
        <v>Borussia Mönchengladbach</v>
      </c>
      <c r="G173" s="191" t="str">
        <f>Plan!$S176</f>
        <v>VfB Stuttgart</v>
      </c>
      <c r="H173" s="134">
        <f>IF(AND(Results!$R$6&gt;0,$E173-1&gt;=Results!$R$6*Calc!$F$26),"",IF(AND(Results!$I178&lt;&gt;"",Results!$K178&lt;&gt;"",Results!$F178&lt;&gt;Results!$H178,$F173&lt;&gt;"",$G173&lt;&gt;""),Results!$I178,""))</f>
        <v>0</v>
      </c>
      <c r="I173" s="18">
        <f>IF(AND(Results!$R$6&gt;0,$E173-1&gt;=Results!$R$6*Calc!$F$26),"",IF(AND(Results!$I178&lt;&gt;"",Results!$K178&lt;&gt;"",Results!$F178&lt;&gt;Results!$H178,$F173&lt;&gt;"",$G173&lt;&gt;""),Results!$K178,""))</f>
        <v>3</v>
      </c>
      <c r="J173" s="17" t="str">
        <f>IF(Plan!$I176=0,F173&amp;G173,"")</f>
        <v/>
      </c>
      <c r="K173" s="134">
        <f t="shared" si="4"/>
        <v>1</v>
      </c>
      <c r="L173" s="134" t="str">
        <f>IF(AND(K173&gt;0,Plan!$I176=0),H173&amp;Language!$E$65&amp;I173,"")</f>
        <v/>
      </c>
      <c r="M173" s="2" t="str">
        <f>IF(Plan!$I176=1,F173&amp;G173,"")</f>
        <v>Borussia MönchengladbachVfB Stuttgart</v>
      </c>
      <c r="N173" s="93" t="str">
        <f>IF(AND(K173&gt;0,Plan!$I176=1),H173&amp;Language!$E$65&amp;I173,"")</f>
        <v>0 : 3</v>
      </c>
      <c r="O173" s="379">
        <f>IF($H173="",0,Results!$L178)</f>
        <v>0</v>
      </c>
      <c r="P173" s="380">
        <f>IF($I173="",0,Results!$M178)</f>
        <v>0</v>
      </c>
    </row>
    <row r="174" spans="5:16" x14ac:dyDescent="0.2">
      <c r="E174" s="298">
        <v>171</v>
      </c>
      <c r="F174" s="190" t="str">
        <f>Plan!$Q177</f>
        <v>SC Freiburg</v>
      </c>
      <c r="G174" s="191" t="str">
        <f>Plan!$S177</f>
        <v>1. FC Köln</v>
      </c>
      <c r="H174" s="134">
        <f>IF(AND(Results!$R$6&gt;0,$E174-1&gt;=Results!$R$6*Calc!$F$26),"",IF(AND(Results!$I179&lt;&gt;"",Results!$K179&lt;&gt;"",Results!$F179&lt;&gt;Results!$H179,$F174&lt;&gt;"",$G174&lt;&gt;""),Results!$I179,""))</f>
        <v>2</v>
      </c>
      <c r="I174" s="18">
        <f>IF(AND(Results!$R$6&gt;0,$E174-1&gt;=Results!$R$6*Calc!$F$26),"",IF(AND(Results!$I179&lt;&gt;"",Results!$K179&lt;&gt;"",Results!$F179&lt;&gt;Results!$H179,$F174&lt;&gt;"",$G174&lt;&gt;""),Results!$K179,""))</f>
        <v>1</v>
      </c>
      <c r="J174" s="17" t="str">
        <f>IF(Plan!$I177=0,F174&amp;G174,"")</f>
        <v/>
      </c>
      <c r="K174" s="134">
        <f t="shared" si="4"/>
        <v>1</v>
      </c>
      <c r="L174" s="134" t="str">
        <f>IF(AND(K174&gt;0,Plan!$I177=0),H174&amp;Language!$E$65&amp;I174,"")</f>
        <v/>
      </c>
      <c r="M174" s="2" t="str">
        <f>IF(Plan!$I177=1,F174&amp;G174,"")</f>
        <v>SC Freiburg1. FC Köln</v>
      </c>
      <c r="N174" s="93" t="str">
        <f>IF(AND(K174&gt;0,Plan!$I177=1),H174&amp;Language!$E$65&amp;I174,"")</f>
        <v>2 : 1</v>
      </c>
      <c r="O174" s="379">
        <f>IF($H174="",0,Results!$L179)</f>
        <v>0</v>
      </c>
      <c r="P174" s="380">
        <f>IF($I174="",0,Results!$M179)</f>
        <v>0</v>
      </c>
    </row>
    <row r="175" spans="5:16" x14ac:dyDescent="0.2">
      <c r="E175" s="298">
        <v>172</v>
      </c>
      <c r="F175" s="190" t="str">
        <f>Plan!$Q178</f>
        <v>1. FC Köln</v>
      </c>
      <c r="G175" s="191" t="str">
        <f>Plan!$S178</f>
        <v>VfL Wolfsburg</v>
      </c>
      <c r="H175" s="134">
        <f>IF(AND(Results!$R$6&gt;0,$E175-1&gt;=Results!$R$6*Calc!$F$26),"",IF(AND(Results!$I180&lt;&gt;"",Results!$K180&lt;&gt;"",Results!$F180&lt;&gt;Results!$H180,$F175&lt;&gt;"",$G175&lt;&gt;""),Results!$I180,""))</f>
        <v>1</v>
      </c>
      <c r="I175" s="18">
        <f>IF(AND(Results!$R$6&gt;0,$E175-1&gt;=Results!$R$6*Calc!$F$26),"",IF(AND(Results!$I180&lt;&gt;"",Results!$K180&lt;&gt;"",Results!$F180&lt;&gt;Results!$H180,$F175&lt;&gt;"",$G175&lt;&gt;""),Results!$K180,""))</f>
        <v>0</v>
      </c>
      <c r="J175" s="17" t="str">
        <f>IF(Plan!$I178=0,F175&amp;G175,"")</f>
        <v/>
      </c>
      <c r="K175" s="134">
        <f t="shared" si="4"/>
        <v>1</v>
      </c>
      <c r="L175" s="134" t="str">
        <f>IF(AND(K175&gt;0,Plan!$I178=0),H175&amp;Language!$E$65&amp;I175,"")</f>
        <v/>
      </c>
      <c r="M175" s="2" t="str">
        <f>IF(Plan!$I178=1,F175&amp;G175,"")</f>
        <v>1. FC KölnVfL Wolfsburg</v>
      </c>
      <c r="N175" s="93" t="str">
        <f>IF(AND(K175&gt;0,Plan!$I178=1),H175&amp;Language!$E$65&amp;I175,"")</f>
        <v>1 : 0</v>
      </c>
      <c r="O175" s="379">
        <f>IF($H175="",0,Results!$L180)</f>
        <v>0</v>
      </c>
      <c r="P175" s="380">
        <f>IF($I175="",0,Results!$M180)</f>
        <v>0</v>
      </c>
    </row>
    <row r="176" spans="5:16" x14ac:dyDescent="0.2">
      <c r="E176" s="298">
        <v>173</v>
      </c>
      <c r="F176" s="190" t="str">
        <f>Plan!$Q179</f>
        <v>FC Augsburg</v>
      </c>
      <c r="G176" s="191" t="str">
        <f>Plan!$S179</f>
        <v>FC St. Pauli</v>
      </c>
      <c r="H176" s="134">
        <f>IF(AND(Results!$R$6&gt;0,$E176-1&gt;=Results!$R$6*Calc!$F$26),"",IF(AND(Results!$I181&lt;&gt;"",Results!$K181&lt;&gt;"",Results!$F181&lt;&gt;Results!$H181,$F176&lt;&gt;"",$G176&lt;&gt;""),Results!$I181,""))</f>
        <v>2</v>
      </c>
      <c r="I176" s="18">
        <f>IF(AND(Results!$R$6&gt;0,$E176-1&gt;=Results!$R$6*Calc!$F$26),"",IF(AND(Results!$I181&lt;&gt;"",Results!$K181&lt;&gt;"",Results!$F181&lt;&gt;Results!$H181,$F176&lt;&gt;"",$G176&lt;&gt;""),Results!$K181,""))</f>
        <v>1</v>
      </c>
      <c r="J176" s="17" t="str">
        <f>IF(Plan!$I179=0,F176&amp;G176,"")</f>
        <v/>
      </c>
      <c r="K176" s="134">
        <f t="shared" si="4"/>
        <v>1</v>
      </c>
      <c r="L176" s="134" t="str">
        <f>IF(AND(K176&gt;0,Plan!$I179=0),H176&amp;Language!$E$65&amp;I176,"")</f>
        <v/>
      </c>
      <c r="M176" s="2" t="str">
        <f>IF(Plan!$I179=1,F176&amp;G176,"")</f>
        <v>FC AugsburgFC St. Pauli</v>
      </c>
      <c r="N176" s="93" t="str">
        <f>IF(AND(K176&gt;0,Plan!$I179=1),H176&amp;Language!$E$65&amp;I176,"")</f>
        <v>2 : 1</v>
      </c>
      <c r="O176" s="379">
        <f>IF($H176="",0,Results!$L181)</f>
        <v>0</v>
      </c>
      <c r="P176" s="380">
        <f>IF($I176="",0,Results!$M181)</f>
        <v>0</v>
      </c>
    </row>
    <row r="177" spans="5:16" x14ac:dyDescent="0.2">
      <c r="E177" s="298">
        <v>174</v>
      </c>
      <c r="F177" s="190" t="str">
        <f>Plan!$Q180</f>
        <v>TSG Hoffenheim</v>
      </c>
      <c r="G177" s="191" t="str">
        <f>Plan!$S180</f>
        <v>1. FC Union Berlin</v>
      </c>
      <c r="H177" s="134">
        <f>IF(AND(Results!$R$6&gt;0,$E177-1&gt;=Results!$R$6*Calc!$F$26),"",IF(AND(Results!$I182&lt;&gt;"",Results!$K182&lt;&gt;"",Results!$F182&lt;&gt;Results!$H182,$F177&lt;&gt;"",$G177&lt;&gt;""),Results!$I182,""))</f>
        <v>3</v>
      </c>
      <c r="I177" s="18">
        <f>IF(AND(Results!$R$6&gt;0,$E177-1&gt;=Results!$R$6*Calc!$F$26),"",IF(AND(Results!$I182&lt;&gt;"",Results!$K182&lt;&gt;"",Results!$F182&lt;&gt;Results!$H182,$F177&lt;&gt;"",$G177&lt;&gt;""),Results!$K182,""))</f>
        <v>1</v>
      </c>
      <c r="J177" s="17" t="str">
        <f>IF(Plan!$I180=0,F177&amp;G177,"")</f>
        <v/>
      </c>
      <c r="K177" s="134">
        <f t="shared" si="4"/>
        <v>1</v>
      </c>
      <c r="L177" s="134" t="str">
        <f>IF(AND(K177&gt;0,Plan!$I180=0),H177&amp;Language!$E$65&amp;I177,"")</f>
        <v/>
      </c>
      <c r="M177" s="2" t="str">
        <f>IF(Plan!$I180=1,F177&amp;G177,"")</f>
        <v>TSG Hoffenheim1. FC Union Berlin</v>
      </c>
      <c r="N177" s="93" t="str">
        <f>IF(AND(K177&gt;0,Plan!$I180=1),H177&amp;Language!$E$65&amp;I177,"")</f>
        <v>3 : 1</v>
      </c>
      <c r="O177" s="379">
        <f>IF($H177="",0,Results!$L182)</f>
        <v>0</v>
      </c>
      <c r="P177" s="380">
        <f>IF($I177="",0,Results!$M182)</f>
        <v>0</v>
      </c>
    </row>
    <row r="178" spans="5:16" x14ac:dyDescent="0.2">
      <c r="E178" s="298">
        <v>175</v>
      </c>
      <c r="F178" s="190" t="str">
        <f>Plan!$Q181</f>
        <v>Eintracht Frankfurt</v>
      </c>
      <c r="G178" s="191" t="str">
        <f>Plan!$S181</f>
        <v>Bayer 04 Leverkusen</v>
      </c>
      <c r="H178" s="134">
        <f>IF(AND(Results!$R$6&gt;0,$E178-1&gt;=Results!$R$6*Calc!$F$26),"",IF(AND(Results!$I183&lt;&gt;"",Results!$K183&lt;&gt;"",Results!$F183&lt;&gt;Results!$H183,$F178&lt;&gt;"",$G178&lt;&gt;""),Results!$I183,""))</f>
        <v>1</v>
      </c>
      <c r="I178" s="18">
        <f>IF(AND(Results!$R$6&gt;0,$E178-1&gt;=Results!$R$6*Calc!$F$26),"",IF(AND(Results!$I183&lt;&gt;"",Results!$K183&lt;&gt;"",Results!$F183&lt;&gt;Results!$H183,$F178&lt;&gt;"",$G178&lt;&gt;""),Results!$K183,""))</f>
        <v>3</v>
      </c>
      <c r="J178" s="17" t="str">
        <f>IF(Plan!$I181=0,F178&amp;G178,"")</f>
        <v/>
      </c>
      <c r="K178" s="134">
        <f t="shared" si="4"/>
        <v>1</v>
      </c>
      <c r="L178" s="134" t="str">
        <f>IF(AND(K178&gt;0,Plan!$I181=0),H178&amp;Language!$E$65&amp;I178,"")</f>
        <v/>
      </c>
      <c r="M178" s="2" t="str">
        <f>IF(Plan!$I181=1,F178&amp;G178,"")</f>
        <v>Eintracht FrankfurtBayer 04 Leverkusen</v>
      </c>
      <c r="N178" s="93" t="str">
        <f>IF(AND(K178&gt;0,Plan!$I181=1),H178&amp;Language!$E$65&amp;I178,"")</f>
        <v>1 : 3</v>
      </c>
      <c r="O178" s="379">
        <f>IF($H178="",0,Results!$L183)</f>
        <v>0</v>
      </c>
      <c r="P178" s="380">
        <f>IF($I178="",0,Results!$M183)</f>
        <v>0</v>
      </c>
    </row>
    <row r="179" spans="5:16" x14ac:dyDescent="0.2">
      <c r="E179" s="298">
        <v>176</v>
      </c>
      <c r="F179" s="190" t="str">
        <f>Plan!$Q182</f>
        <v>RB Leipzig</v>
      </c>
      <c r="G179" s="191" t="str">
        <f>Plan!$S182</f>
        <v>1. FSV Mainz 05</v>
      </c>
      <c r="H179" s="134">
        <f>IF(AND(Results!$R$6&gt;0,$E179-1&gt;=Results!$R$6*Calc!$F$26),"",IF(AND(Results!$I184&lt;&gt;"",Results!$K184&lt;&gt;"",Results!$F184&lt;&gt;Results!$H184,$F179&lt;&gt;"",$G179&lt;&gt;""),Results!$I184,""))</f>
        <v>1</v>
      </c>
      <c r="I179" s="18">
        <f>IF(AND(Results!$R$6&gt;0,$E179-1&gt;=Results!$R$6*Calc!$F$26),"",IF(AND(Results!$I184&lt;&gt;"",Results!$K184&lt;&gt;"",Results!$F184&lt;&gt;Results!$H184,$F179&lt;&gt;"",$G179&lt;&gt;""),Results!$K184,""))</f>
        <v>2</v>
      </c>
      <c r="J179" s="17" t="str">
        <f>IF(Plan!$I182=0,F179&amp;G179,"")</f>
        <v/>
      </c>
      <c r="K179" s="134">
        <f t="shared" si="4"/>
        <v>1</v>
      </c>
      <c r="L179" s="134" t="str">
        <f>IF(AND(K179&gt;0,Plan!$I182=0),H179&amp;Language!$E$65&amp;I179,"")</f>
        <v/>
      </c>
      <c r="M179" s="2" t="str">
        <f>IF(Plan!$I182=1,F179&amp;G179,"")</f>
        <v>RB Leipzig1. FSV Mainz 05</v>
      </c>
      <c r="N179" s="93" t="str">
        <f>IF(AND(K179&gt;0,Plan!$I182=1),H179&amp;Language!$E$65&amp;I179,"")</f>
        <v>1 : 2</v>
      </c>
      <c r="O179" s="379">
        <f>IF($H179="",0,Results!$L184)</f>
        <v>0</v>
      </c>
      <c r="P179" s="380">
        <f>IF($I179="",0,Results!$M184)</f>
        <v>0</v>
      </c>
    </row>
    <row r="180" spans="5:16" x14ac:dyDescent="0.2">
      <c r="E180" s="298">
        <v>177</v>
      </c>
      <c r="F180" s="190" t="str">
        <f>Plan!$Q183</f>
        <v>SV Werder Bremen</v>
      </c>
      <c r="G180" s="191" t="str">
        <f>Plan!$S183</f>
        <v>Borussia Mönchengladbach</v>
      </c>
      <c r="H180" s="134">
        <f>IF(AND(Results!$R$6&gt;0,$E180-1&gt;=Results!$R$6*Calc!$F$26),"",IF(AND(Results!$I185&lt;&gt;"",Results!$K185&lt;&gt;"",Results!$F185&lt;&gt;Results!$H185,$F180&lt;&gt;"",$G180&lt;&gt;""),Results!$I185,""))</f>
        <v>1</v>
      </c>
      <c r="I180" s="18">
        <f>IF(AND(Results!$R$6&gt;0,$E180-1&gt;=Results!$R$6*Calc!$F$26),"",IF(AND(Results!$I185&lt;&gt;"",Results!$K185&lt;&gt;"",Results!$F185&lt;&gt;Results!$H185,$F180&lt;&gt;"",$G180&lt;&gt;""),Results!$K185,""))</f>
        <v>1</v>
      </c>
      <c r="J180" s="17" t="str">
        <f>IF(Plan!$I183=0,F180&amp;G180,"")</f>
        <v/>
      </c>
      <c r="K180" s="134">
        <f t="shared" si="4"/>
        <v>1</v>
      </c>
      <c r="L180" s="134" t="str">
        <f>IF(AND(K180&gt;0,Plan!$I183=0),H180&amp;Language!$E$65&amp;I180,"")</f>
        <v/>
      </c>
      <c r="M180" s="2" t="str">
        <f>IF(Plan!$I183=1,F180&amp;G180,"")</f>
        <v>SV Werder BremenBorussia Mönchengladbach</v>
      </c>
      <c r="N180" s="93" t="str">
        <f>IF(AND(K180&gt;0,Plan!$I183=1),H180&amp;Language!$E$65&amp;I180,"")</f>
        <v>1 : 1</v>
      </c>
      <c r="O180" s="379">
        <f>IF($H180="",0,Results!$L185)</f>
        <v>0</v>
      </c>
      <c r="P180" s="380">
        <f>IF($I180="",0,Results!$M185)</f>
        <v>0</v>
      </c>
    </row>
    <row r="181" spans="5:16" x14ac:dyDescent="0.2">
      <c r="E181" s="298">
        <v>178</v>
      </c>
      <c r="F181" s="190" t="str">
        <f>Plan!$Q184</f>
        <v>Hamburger SV</v>
      </c>
      <c r="G181" s="191" t="str">
        <f>Plan!$S184</f>
        <v>FC Bayern München</v>
      </c>
      <c r="H181" s="134">
        <f>IF(AND(Results!$R$6&gt;0,$E181-1&gt;=Results!$R$6*Calc!$F$26),"",IF(AND(Results!$I186&lt;&gt;"",Results!$K186&lt;&gt;"",Results!$F186&lt;&gt;Results!$H186,$F181&lt;&gt;"",$G181&lt;&gt;""),Results!$I186,""))</f>
        <v>2</v>
      </c>
      <c r="I181" s="18">
        <f>IF(AND(Results!$R$6&gt;0,$E181-1&gt;=Results!$R$6*Calc!$F$26),"",IF(AND(Results!$I186&lt;&gt;"",Results!$K186&lt;&gt;"",Results!$F186&lt;&gt;Results!$H186,$F181&lt;&gt;"",$G181&lt;&gt;""),Results!$K186,""))</f>
        <v>2</v>
      </c>
      <c r="J181" s="17" t="str">
        <f>IF(Plan!$I184=0,F181&amp;G181,"")</f>
        <v/>
      </c>
      <c r="K181" s="134">
        <f t="shared" si="4"/>
        <v>1</v>
      </c>
      <c r="L181" s="134" t="str">
        <f>IF(AND(K181&gt;0,Plan!$I184=0),H181&amp;Language!$E$65&amp;I181,"")</f>
        <v/>
      </c>
      <c r="M181" s="2" t="str">
        <f>IF(Plan!$I184=1,F181&amp;G181,"")</f>
        <v>Hamburger SVFC Bayern München</v>
      </c>
      <c r="N181" s="93" t="str">
        <f>IF(AND(K181&gt;0,Plan!$I184=1),H181&amp;Language!$E$65&amp;I181,"")</f>
        <v>2 : 2</v>
      </c>
      <c r="O181" s="379">
        <f>IF($H181="",0,Results!$L186)</f>
        <v>0</v>
      </c>
      <c r="P181" s="380">
        <f>IF($I181="",0,Results!$M186)</f>
        <v>0</v>
      </c>
    </row>
    <row r="182" spans="5:16" x14ac:dyDescent="0.2">
      <c r="E182" s="298">
        <v>179</v>
      </c>
      <c r="F182" s="190" t="str">
        <f>Plan!$Q185</f>
        <v>VfB Stuttgart</v>
      </c>
      <c r="G182" s="191" t="str">
        <f>Plan!$S185</f>
        <v>SC Freiburg</v>
      </c>
      <c r="H182" s="134">
        <f>IF(AND(Results!$R$6&gt;0,$E182-1&gt;=Results!$R$6*Calc!$F$26),"",IF(AND(Results!$I187&lt;&gt;"",Results!$K187&lt;&gt;"",Results!$F187&lt;&gt;Results!$H187,$F182&lt;&gt;"",$G182&lt;&gt;""),Results!$I187,""))</f>
        <v>1</v>
      </c>
      <c r="I182" s="18">
        <f>IF(AND(Results!$R$6&gt;0,$E182-1&gt;=Results!$R$6*Calc!$F$26),"",IF(AND(Results!$I187&lt;&gt;"",Results!$K187&lt;&gt;"",Results!$F187&lt;&gt;Results!$H187,$F182&lt;&gt;"",$G182&lt;&gt;""),Results!$K187,""))</f>
        <v>0</v>
      </c>
      <c r="J182" s="17" t="str">
        <f>IF(Plan!$I185=0,F182&amp;G182,"")</f>
        <v/>
      </c>
      <c r="K182" s="134">
        <f t="shared" si="4"/>
        <v>1</v>
      </c>
      <c r="L182" s="134" t="str">
        <f>IF(AND(K182&gt;0,Plan!$I185=0),H182&amp;Language!$E$65&amp;I182,"")</f>
        <v/>
      </c>
      <c r="M182" s="2" t="str">
        <f>IF(Plan!$I185=1,F182&amp;G182,"")</f>
        <v>VfB StuttgartSC Freiburg</v>
      </c>
      <c r="N182" s="93" t="str">
        <f>IF(AND(K182&gt;0,Plan!$I185=1),H182&amp;Language!$E$65&amp;I182,"")</f>
        <v>1 : 0</v>
      </c>
      <c r="O182" s="379">
        <f>IF($H182="",0,Results!$L187)</f>
        <v>0</v>
      </c>
      <c r="P182" s="380">
        <f>IF($I182="",0,Results!$M187)</f>
        <v>0</v>
      </c>
    </row>
    <row r="183" spans="5:16" x14ac:dyDescent="0.2">
      <c r="E183" s="298">
        <v>180</v>
      </c>
      <c r="F183" s="190" t="str">
        <f>Plan!$Q186</f>
        <v>Borussia Dortmund</v>
      </c>
      <c r="G183" s="191" t="str">
        <f>Plan!$S186</f>
        <v>1. FC Heidenheim 1846</v>
      </c>
      <c r="H183" s="134">
        <f>IF(AND(Results!$R$6&gt;0,$E183-1&gt;=Results!$R$6*Calc!$F$26),"",IF(AND(Results!$I188&lt;&gt;"",Results!$K188&lt;&gt;"",Results!$F188&lt;&gt;Results!$H188,$F183&lt;&gt;"",$G183&lt;&gt;""),Results!$I188,""))</f>
        <v>3</v>
      </c>
      <c r="I183" s="18">
        <f>IF(AND(Results!$R$6&gt;0,$E183-1&gt;=Results!$R$6*Calc!$F$26),"",IF(AND(Results!$I188&lt;&gt;"",Results!$K188&lt;&gt;"",Results!$F188&lt;&gt;Results!$H188,$F183&lt;&gt;"",$G183&lt;&gt;""),Results!$K188,""))</f>
        <v>2</v>
      </c>
      <c r="J183" s="17" t="str">
        <f>IF(Plan!$I186=0,F183&amp;G183,"")</f>
        <v/>
      </c>
      <c r="K183" s="134">
        <f t="shared" si="4"/>
        <v>1</v>
      </c>
      <c r="L183" s="134" t="str">
        <f>IF(AND(K183&gt;0,Plan!$I186=0),H183&amp;Language!$E$65&amp;I183,"")</f>
        <v/>
      </c>
      <c r="M183" s="2" t="str">
        <f>IF(Plan!$I186=1,F183&amp;G183,"")</f>
        <v>Borussia Dortmund1. FC Heidenheim 1846</v>
      </c>
      <c r="N183" s="93" t="str">
        <f>IF(AND(K183&gt;0,Plan!$I186=1),H183&amp;Language!$E$65&amp;I183,"")</f>
        <v>3 : 2</v>
      </c>
      <c r="O183" s="379">
        <f>IF($H183="",0,Results!$L188)</f>
        <v>0</v>
      </c>
      <c r="P183" s="380">
        <f>IF($I183="",0,Results!$M188)</f>
        <v>0</v>
      </c>
    </row>
    <row r="184" spans="5:16" x14ac:dyDescent="0.2">
      <c r="E184" s="298">
        <v>181</v>
      </c>
      <c r="F184" s="190" t="str">
        <f>Plan!$Q187</f>
        <v>1. FC Union Berlin</v>
      </c>
      <c r="G184" s="191" t="str">
        <f>Plan!$S187</f>
        <v>Eintracht Frankfurt</v>
      </c>
      <c r="H184" s="134">
        <f>IF(AND(Results!$R$6&gt;0,$E184-1&gt;=Results!$R$6*Calc!$F$26),"",IF(AND(Results!$I189&lt;&gt;"",Results!$K189&lt;&gt;"",Results!$F189&lt;&gt;Results!$H189,$F184&lt;&gt;"",$G184&lt;&gt;""),Results!$I189,""))</f>
        <v>1</v>
      </c>
      <c r="I184" s="18">
        <f>IF(AND(Results!$R$6&gt;0,$E184-1&gt;=Results!$R$6*Calc!$F$26),"",IF(AND(Results!$I189&lt;&gt;"",Results!$K189&lt;&gt;"",Results!$F189&lt;&gt;Results!$H189,$F184&lt;&gt;"",$G184&lt;&gt;""),Results!$K189,""))</f>
        <v>1</v>
      </c>
      <c r="J184" s="17" t="str">
        <f>IF(Plan!$I187=0,F184&amp;G184,"")</f>
        <v/>
      </c>
      <c r="K184" s="134">
        <f t="shared" si="4"/>
        <v>1</v>
      </c>
      <c r="L184" s="134" t="str">
        <f>IF(AND(K184&gt;0,Plan!$I187=0),H184&amp;Language!$E$65&amp;I184,"")</f>
        <v/>
      </c>
      <c r="M184" s="2" t="str">
        <f>IF(Plan!$I187=1,F184&amp;G184,"")</f>
        <v>1. FC Union BerlinEintracht Frankfurt</v>
      </c>
      <c r="N184" s="93" t="str">
        <f>IF(AND(K184&gt;0,Plan!$I187=1),H184&amp;Language!$E$65&amp;I184,"")</f>
        <v>1 : 1</v>
      </c>
      <c r="O184" s="379">
        <f>IF($H184="",0,Results!$L189)</f>
        <v>0</v>
      </c>
      <c r="P184" s="380">
        <f>IF($I184="",0,Results!$M189)</f>
        <v>0</v>
      </c>
    </row>
    <row r="185" spans="5:16" x14ac:dyDescent="0.2">
      <c r="E185" s="298">
        <v>182</v>
      </c>
      <c r="F185" s="190" t="str">
        <f>Plan!$Q188</f>
        <v>FC St. Pauli</v>
      </c>
      <c r="G185" s="191" t="str">
        <f>Plan!$S188</f>
        <v>VfB Stuttgart</v>
      </c>
      <c r="H185" s="134">
        <f>IF(AND(Results!$R$6&gt;0,$E185-1&gt;=Results!$R$6*Calc!$F$26),"",IF(AND(Results!$I190&lt;&gt;"",Results!$K190&lt;&gt;"",Results!$F190&lt;&gt;Results!$H190,$F185&lt;&gt;"",$G185&lt;&gt;""),Results!$I190,""))</f>
        <v>2</v>
      </c>
      <c r="I185" s="18">
        <f>IF(AND(Results!$R$6&gt;0,$E185-1&gt;=Results!$R$6*Calc!$F$26),"",IF(AND(Results!$I190&lt;&gt;"",Results!$K190&lt;&gt;"",Results!$F190&lt;&gt;Results!$H190,$F185&lt;&gt;"",$G185&lt;&gt;""),Results!$K190,""))</f>
        <v>1</v>
      </c>
      <c r="J185" s="17" t="str">
        <f>IF(Plan!$I188=0,F185&amp;G185,"")</f>
        <v/>
      </c>
      <c r="K185" s="134">
        <f t="shared" si="4"/>
        <v>1</v>
      </c>
      <c r="L185" s="134" t="str">
        <f>IF(AND(K185&gt;0,Plan!$I188=0),H185&amp;Language!$E$65&amp;I185,"")</f>
        <v/>
      </c>
      <c r="M185" s="2" t="str">
        <f>IF(Plan!$I188=1,F185&amp;G185,"")</f>
        <v>FC St. PauliVfB Stuttgart</v>
      </c>
      <c r="N185" s="93" t="str">
        <f>IF(AND(K185&gt;0,Plan!$I188=1),H185&amp;Language!$E$65&amp;I185,"")</f>
        <v>2 : 1</v>
      </c>
      <c r="O185" s="379">
        <f>IF($H185="",0,Results!$L190)</f>
        <v>0</v>
      </c>
      <c r="P185" s="380">
        <f>IF($I185="",0,Results!$M190)</f>
        <v>0</v>
      </c>
    </row>
    <row r="186" spans="5:16" x14ac:dyDescent="0.2">
      <c r="E186" s="298">
        <v>183</v>
      </c>
      <c r="F186" s="190" t="str">
        <f>Plan!$Q189</f>
        <v>1. FC Heidenheim 1846</v>
      </c>
      <c r="G186" s="191" t="str">
        <f>Plan!$S189</f>
        <v>Hamburger SV</v>
      </c>
      <c r="H186" s="134">
        <f>IF(AND(Results!$R$6&gt;0,$E186-1&gt;=Results!$R$6*Calc!$F$26),"",IF(AND(Results!$I191&lt;&gt;"",Results!$K191&lt;&gt;"",Results!$F191&lt;&gt;Results!$H191,$F186&lt;&gt;"",$G186&lt;&gt;""),Results!$I191,""))</f>
        <v>0</v>
      </c>
      <c r="I186" s="18">
        <f>IF(AND(Results!$R$6&gt;0,$E186-1&gt;=Results!$R$6*Calc!$F$26),"",IF(AND(Results!$I191&lt;&gt;"",Results!$K191&lt;&gt;"",Results!$F191&lt;&gt;Results!$H191,$F186&lt;&gt;"",$G186&lt;&gt;""),Results!$K191,""))</f>
        <v>2</v>
      </c>
      <c r="J186" s="17" t="str">
        <f>IF(Plan!$I189=0,F186&amp;G186,"")</f>
        <v/>
      </c>
      <c r="K186" s="134">
        <f t="shared" si="4"/>
        <v>1</v>
      </c>
      <c r="L186" s="134" t="str">
        <f>IF(AND(K186&gt;0,Plan!$I189=0),H186&amp;Language!$E$65&amp;I186,"")</f>
        <v/>
      </c>
      <c r="M186" s="2" t="str">
        <f>IF(Plan!$I189=1,F186&amp;G186,"")</f>
        <v>1. FC Heidenheim 1846Hamburger SV</v>
      </c>
      <c r="N186" s="93" t="str">
        <f>IF(AND(K186&gt;0,Plan!$I189=1),H186&amp;Language!$E$65&amp;I186,"")</f>
        <v>0 : 2</v>
      </c>
      <c r="O186" s="379">
        <f>IF($H186="",0,Results!$L191)</f>
        <v>0</v>
      </c>
      <c r="P186" s="380">
        <f>IF($I186="",0,Results!$M191)</f>
        <v>0</v>
      </c>
    </row>
    <row r="187" spans="5:16" x14ac:dyDescent="0.2">
      <c r="E187" s="298">
        <v>184</v>
      </c>
      <c r="F187" s="190" t="str">
        <f>Plan!$Q190</f>
        <v>SC Freiburg</v>
      </c>
      <c r="G187" s="191" t="str">
        <f>Plan!$S190</f>
        <v>SV Werder Bremen</v>
      </c>
      <c r="H187" s="134">
        <f>IF(AND(Results!$R$6&gt;0,$E187-1&gt;=Results!$R$6*Calc!$F$26),"",IF(AND(Results!$I192&lt;&gt;"",Results!$K192&lt;&gt;"",Results!$F192&lt;&gt;Results!$H192,$F187&lt;&gt;"",$G187&lt;&gt;""),Results!$I192,""))</f>
        <v>1</v>
      </c>
      <c r="I187" s="18">
        <f>IF(AND(Results!$R$6&gt;0,$E187-1&gt;=Results!$R$6*Calc!$F$26),"",IF(AND(Results!$I192&lt;&gt;"",Results!$K192&lt;&gt;"",Results!$F192&lt;&gt;Results!$H192,$F187&lt;&gt;"",$G187&lt;&gt;""),Results!$K192,""))</f>
        <v>0</v>
      </c>
      <c r="J187" s="17" t="str">
        <f>IF(Plan!$I190=0,F187&amp;G187,"")</f>
        <v/>
      </c>
      <c r="K187" s="134">
        <f t="shared" si="4"/>
        <v>1</v>
      </c>
      <c r="L187" s="134" t="str">
        <f>IF(AND(K187&gt;0,Plan!$I190=0),H187&amp;Language!$E$65&amp;I187,"")</f>
        <v/>
      </c>
      <c r="M187" s="2" t="str">
        <f>IF(Plan!$I190=1,F187&amp;G187,"")</f>
        <v>SC FreiburgSV Werder Bremen</v>
      </c>
      <c r="N187" s="93" t="str">
        <f>IF(AND(K187&gt;0,Plan!$I190=1),H187&amp;Language!$E$65&amp;I187,"")</f>
        <v>1 : 0</v>
      </c>
      <c r="O187" s="379">
        <f>IF($H187="",0,Results!$L192)</f>
        <v>0</v>
      </c>
      <c r="P187" s="380">
        <f>IF($I187="",0,Results!$M192)</f>
        <v>0</v>
      </c>
    </row>
    <row r="188" spans="5:16" x14ac:dyDescent="0.2">
      <c r="E188" s="298">
        <v>185</v>
      </c>
      <c r="F188" s="190" t="str">
        <f>Plan!$Q191</f>
        <v>1. FSV Mainz 05</v>
      </c>
      <c r="G188" s="191" t="str">
        <f>Plan!$S191</f>
        <v>FC Augsburg</v>
      </c>
      <c r="H188" s="134">
        <f>IF(AND(Results!$R$6&gt;0,$E188-1&gt;=Results!$R$6*Calc!$F$26),"",IF(AND(Results!$I193&lt;&gt;"",Results!$K193&lt;&gt;"",Results!$F193&lt;&gt;Results!$H193,$F188&lt;&gt;"",$G188&lt;&gt;""),Results!$I193,""))</f>
        <v>2</v>
      </c>
      <c r="I188" s="18">
        <f>IF(AND(Results!$R$6&gt;0,$E188-1&gt;=Results!$R$6*Calc!$F$26),"",IF(AND(Results!$I193&lt;&gt;"",Results!$K193&lt;&gt;"",Results!$F193&lt;&gt;Results!$H193,$F188&lt;&gt;"",$G188&lt;&gt;""),Results!$K193,""))</f>
        <v>0</v>
      </c>
      <c r="J188" s="17" t="str">
        <f>IF(Plan!$I191=0,F188&amp;G188,"")</f>
        <v/>
      </c>
      <c r="K188" s="134">
        <f t="shared" si="4"/>
        <v>1</v>
      </c>
      <c r="L188" s="134" t="str">
        <f>IF(AND(K188&gt;0,Plan!$I191=0),H188&amp;Language!$E$65&amp;I188,"")</f>
        <v/>
      </c>
      <c r="M188" s="2" t="str">
        <f>IF(Plan!$I191=1,F188&amp;G188,"")</f>
        <v>1. FSV Mainz 05FC Augsburg</v>
      </c>
      <c r="N188" s="93" t="str">
        <f>IF(AND(K188&gt;0,Plan!$I191=1),H188&amp;Language!$E$65&amp;I188,"")</f>
        <v>2 : 0</v>
      </c>
      <c r="O188" s="379">
        <f>IF($H188="",0,Results!$L193)</f>
        <v>0</v>
      </c>
      <c r="P188" s="380">
        <f>IF($I188="",0,Results!$M193)</f>
        <v>0</v>
      </c>
    </row>
    <row r="189" spans="5:16" x14ac:dyDescent="0.2">
      <c r="E189" s="298">
        <v>186</v>
      </c>
      <c r="F189" s="190" t="str">
        <f>Plan!$Q192</f>
        <v>VfL Wolfsburg</v>
      </c>
      <c r="G189" s="191" t="str">
        <f>Plan!$S192</f>
        <v>Borussia Dortmund</v>
      </c>
      <c r="H189" s="134">
        <f>IF(AND(Results!$R$6&gt;0,$E189-1&gt;=Results!$R$6*Calc!$F$26),"",IF(AND(Results!$I194&lt;&gt;"",Results!$K194&lt;&gt;"",Results!$F194&lt;&gt;Results!$H194,$F189&lt;&gt;"",$G189&lt;&gt;""),Results!$I194,""))</f>
        <v>1</v>
      </c>
      <c r="I189" s="18">
        <f>IF(AND(Results!$R$6&gt;0,$E189-1&gt;=Results!$R$6*Calc!$F$26),"",IF(AND(Results!$I194&lt;&gt;"",Results!$K194&lt;&gt;"",Results!$F194&lt;&gt;Results!$H194,$F189&lt;&gt;"",$G189&lt;&gt;""),Results!$K194,""))</f>
        <v>2</v>
      </c>
      <c r="J189" s="17" t="str">
        <f>IF(Plan!$I192=0,F189&amp;G189,"")</f>
        <v/>
      </c>
      <c r="K189" s="134">
        <f t="shared" si="4"/>
        <v>1</v>
      </c>
      <c r="L189" s="134" t="str">
        <f>IF(AND(K189&gt;0,Plan!$I192=0),H189&amp;Language!$E$65&amp;I189,"")</f>
        <v/>
      </c>
      <c r="M189" s="2" t="str">
        <f>IF(Plan!$I192=1,F189&amp;G189,"")</f>
        <v>VfL WolfsburgBorussia Dortmund</v>
      </c>
      <c r="N189" s="93" t="str">
        <f>IF(AND(K189&gt;0,Plan!$I192=1),H189&amp;Language!$E$65&amp;I189,"")</f>
        <v>1 : 2</v>
      </c>
      <c r="O189" s="379">
        <f>IF($H189="",0,Results!$L194)</f>
        <v>0</v>
      </c>
      <c r="P189" s="380">
        <f>IF($I189="",0,Results!$M194)</f>
        <v>0</v>
      </c>
    </row>
    <row r="190" spans="5:16" x14ac:dyDescent="0.2">
      <c r="E190" s="298">
        <v>187</v>
      </c>
      <c r="F190" s="190" t="str">
        <f>Plan!$Q193</f>
        <v>Borussia Mönchengladbach</v>
      </c>
      <c r="G190" s="191" t="str">
        <f>Plan!$S193</f>
        <v>Bayer 04 Leverkusen</v>
      </c>
      <c r="H190" s="134">
        <f>IF(AND(Results!$R$6&gt;0,$E190-1&gt;=Results!$R$6*Calc!$F$26),"",IF(AND(Results!$I195&lt;&gt;"",Results!$K195&lt;&gt;"",Results!$F195&lt;&gt;Results!$H195,$F190&lt;&gt;"",$G190&lt;&gt;""),Results!$I195,""))</f>
        <v>1</v>
      </c>
      <c r="I190" s="18">
        <f>IF(AND(Results!$R$6&gt;0,$E190-1&gt;=Results!$R$6*Calc!$F$26),"",IF(AND(Results!$I195&lt;&gt;"",Results!$K195&lt;&gt;"",Results!$F195&lt;&gt;Results!$H195,$F190&lt;&gt;"",$G190&lt;&gt;""),Results!$K195,""))</f>
        <v>1</v>
      </c>
      <c r="J190" s="17" t="str">
        <f>IF(Plan!$I193=0,F190&amp;G190,"")</f>
        <v/>
      </c>
      <c r="K190" s="134">
        <f t="shared" si="4"/>
        <v>1</v>
      </c>
      <c r="L190" s="134" t="str">
        <f>IF(AND(K190&gt;0,Plan!$I193=0),H190&amp;Language!$E$65&amp;I190,"")</f>
        <v/>
      </c>
      <c r="M190" s="2" t="str">
        <f>IF(Plan!$I193=1,F190&amp;G190,"")</f>
        <v>Borussia MönchengladbachBayer 04 Leverkusen</v>
      </c>
      <c r="N190" s="93" t="str">
        <f>IF(AND(K190&gt;0,Plan!$I193=1),H190&amp;Language!$E$65&amp;I190,"")</f>
        <v>1 : 1</v>
      </c>
      <c r="O190" s="379">
        <f>IF($H190="",0,Results!$L195)</f>
        <v>0</v>
      </c>
      <c r="P190" s="380">
        <f>IF($I190="",0,Results!$M195)</f>
        <v>0</v>
      </c>
    </row>
    <row r="191" spans="5:16" x14ac:dyDescent="0.2">
      <c r="E191" s="298">
        <v>188</v>
      </c>
      <c r="F191" s="190" t="str">
        <f>Plan!$Q194</f>
        <v>1. FC Köln</v>
      </c>
      <c r="G191" s="191" t="str">
        <f>Plan!$S194</f>
        <v>RB Leipzig</v>
      </c>
      <c r="H191" s="134">
        <f>IF(AND(Results!$R$6&gt;0,$E191-1&gt;=Results!$R$6*Calc!$F$26),"",IF(AND(Results!$I196&lt;&gt;"",Results!$K196&lt;&gt;"",Results!$F196&lt;&gt;Results!$H196,$F191&lt;&gt;"",$G191&lt;&gt;""),Results!$I196,""))</f>
        <v>1</v>
      </c>
      <c r="I191" s="18">
        <f>IF(AND(Results!$R$6&gt;0,$E191-1&gt;=Results!$R$6*Calc!$F$26),"",IF(AND(Results!$I196&lt;&gt;"",Results!$K196&lt;&gt;"",Results!$F196&lt;&gt;Results!$H196,$F191&lt;&gt;"",$G191&lt;&gt;""),Results!$K196,""))</f>
        <v>2</v>
      </c>
      <c r="J191" s="17" t="str">
        <f>IF(Plan!$I194=0,F191&amp;G191,"")</f>
        <v/>
      </c>
      <c r="K191" s="134">
        <f t="shared" si="4"/>
        <v>1</v>
      </c>
      <c r="L191" s="134" t="str">
        <f>IF(AND(K191&gt;0,Plan!$I194=0),H191&amp;Language!$E$65&amp;I191,"")</f>
        <v/>
      </c>
      <c r="M191" s="2" t="str">
        <f>IF(Plan!$I194=1,F191&amp;G191,"")</f>
        <v>1. FC KölnRB Leipzig</v>
      </c>
      <c r="N191" s="93" t="str">
        <f>IF(AND(K191&gt;0,Plan!$I194=1),H191&amp;Language!$E$65&amp;I191,"")</f>
        <v>1 : 2</v>
      </c>
      <c r="O191" s="379">
        <f>IF($H191="",0,Results!$L196)</f>
        <v>0</v>
      </c>
      <c r="P191" s="380">
        <f>IF($I191="",0,Results!$M196)</f>
        <v>0</v>
      </c>
    </row>
    <row r="192" spans="5:16" x14ac:dyDescent="0.2">
      <c r="E192" s="298">
        <v>189</v>
      </c>
      <c r="F192" s="190" t="str">
        <f>Plan!$Q195</f>
        <v>FC Bayern München</v>
      </c>
      <c r="G192" s="191" t="str">
        <f>Plan!$S195</f>
        <v>TSG Hoffenheim</v>
      </c>
      <c r="H192" s="134">
        <f>IF(AND(Results!$R$6&gt;0,$E192-1&gt;=Results!$R$6*Calc!$F$26),"",IF(AND(Results!$I197&lt;&gt;"",Results!$K197&lt;&gt;"",Results!$F197&lt;&gt;Results!$H197,$F192&lt;&gt;"",$G192&lt;&gt;""),Results!$I197,""))</f>
        <v>5</v>
      </c>
      <c r="I192" s="18">
        <f>IF(AND(Results!$R$6&gt;0,$E192-1&gt;=Results!$R$6*Calc!$F$26),"",IF(AND(Results!$I197&lt;&gt;"",Results!$K197&lt;&gt;"",Results!$F197&lt;&gt;Results!$H197,$F192&lt;&gt;"",$G192&lt;&gt;""),Results!$K197,""))</f>
        <v>1</v>
      </c>
      <c r="J192" s="17" t="str">
        <f>IF(Plan!$I195=0,F192&amp;G192,"")</f>
        <v/>
      </c>
      <c r="K192" s="134">
        <f t="shared" si="4"/>
        <v>1</v>
      </c>
      <c r="L192" s="134" t="str">
        <f>IF(AND(K192&gt;0,Plan!$I195=0),H192&amp;Language!$E$65&amp;I192,"")</f>
        <v/>
      </c>
      <c r="M192" s="2" t="str">
        <f>IF(Plan!$I195=1,F192&amp;G192,"")</f>
        <v>FC Bayern MünchenTSG Hoffenheim</v>
      </c>
      <c r="N192" s="93" t="str">
        <f>IF(AND(K192&gt;0,Plan!$I195=1),H192&amp;Language!$E$65&amp;I192,"")</f>
        <v>5 : 1</v>
      </c>
      <c r="O192" s="379">
        <f>IF($H192="",0,Results!$L197)</f>
        <v>0</v>
      </c>
      <c r="P192" s="380">
        <f>IF($I192="",0,Results!$M197)</f>
        <v>0</v>
      </c>
    </row>
    <row r="193" spans="5:16" x14ac:dyDescent="0.2">
      <c r="E193" s="298">
        <v>190</v>
      </c>
      <c r="F193" s="190" t="str">
        <f>Plan!$Q196</f>
        <v>Borussia Dortmund</v>
      </c>
      <c r="G193" s="191" t="str">
        <f>Plan!$S196</f>
        <v>1. FSV Mainz 05</v>
      </c>
      <c r="H193" s="134">
        <f>IF(AND(Results!$R$6&gt;0,$E193-1&gt;=Results!$R$6*Calc!$F$26),"",IF(AND(Results!$I198&lt;&gt;"",Results!$K198&lt;&gt;"",Results!$F198&lt;&gt;Results!$H198,$F193&lt;&gt;"",$G193&lt;&gt;""),Results!$I198,""))</f>
        <v>4</v>
      </c>
      <c r="I193" s="18">
        <f>IF(AND(Results!$R$6&gt;0,$E193-1&gt;=Results!$R$6*Calc!$F$26),"",IF(AND(Results!$I198&lt;&gt;"",Results!$K198&lt;&gt;"",Results!$F198&lt;&gt;Results!$H198,$F193&lt;&gt;"",$G193&lt;&gt;""),Results!$K198,""))</f>
        <v>0</v>
      </c>
      <c r="J193" s="17" t="str">
        <f>IF(Plan!$I196=0,F193&amp;G193,"")</f>
        <v/>
      </c>
      <c r="K193" s="134">
        <f t="shared" si="4"/>
        <v>1</v>
      </c>
      <c r="L193" s="134" t="str">
        <f>IF(AND(K193&gt;0,Plan!$I196=0),H193&amp;Language!$E$65&amp;I193,"")</f>
        <v/>
      </c>
      <c r="M193" s="2" t="str">
        <f>IF(Plan!$I196=1,F193&amp;G193,"")</f>
        <v>Borussia Dortmund1. FSV Mainz 05</v>
      </c>
      <c r="N193" s="93" t="str">
        <f>IF(AND(K193&gt;0,Plan!$I196=1),H193&amp;Language!$E$65&amp;I193,"")</f>
        <v>4 : 0</v>
      </c>
      <c r="O193" s="379">
        <f>IF($H193="",0,Results!$L198)</f>
        <v>0</v>
      </c>
      <c r="P193" s="380">
        <f>IF($I193="",0,Results!$M198)</f>
        <v>0</v>
      </c>
    </row>
    <row r="194" spans="5:16" x14ac:dyDescent="0.2">
      <c r="E194" s="298">
        <v>191</v>
      </c>
      <c r="F194" s="190" t="str">
        <f>Plan!$Q197</f>
        <v>TSG Hoffenheim</v>
      </c>
      <c r="G194" s="191" t="str">
        <f>Plan!$S197</f>
        <v>SC Freiburg</v>
      </c>
      <c r="H194" s="134">
        <f>IF(AND(Results!$R$6&gt;0,$E194-1&gt;=Results!$R$6*Calc!$F$26),"",IF(AND(Results!$I199&lt;&gt;"",Results!$K199&lt;&gt;"",Results!$F199&lt;&gt;Results!$H199,$F194&lt;&gt;"",$G194&lt;&gt;""),Results!$I199,""))</f>
        <v>3</v>
      </c>
      <c r="I194" s="18">
        <f>IF(AND(Results!$R$6&gt;0,$E194-1&gt;=Results!$R$6*Calc!$F$26),"",IF(AND(Results!$I199&lt;&gt;"",Results!$K199&lt;&gt;"",Results!$F199&lt;&gt;Results!$H199,$F194&lt;&gt;"",$G194&lt;&gt;""),Results!$K199,""))</f>
        <v>0</v>
      </c>
      <c r="J194" s="17" t="str">
        <f>IF(Plan!$I197=0,F194&amp;G194,"")</f>
        <v/>
      </c>
      <c r="K194" s="134">
        <f t="shared" si="4"/>
        <v>1</v>
      </c>
      <c r="L194" s="134" t="str">
        <f>IF(AND(K194&gt;0,Plan!$I197=0),H194&amp;Language!$E$65&amp;I194,"")</f>
        <v/>
      </c>
      <c r="M194" s="2" t="str">
        <f>IF(Plan!$I197=1,F194&amp;G194,"")</f>
        <v>TSG HoffenheimSC Freiburg</v>
      </c>
      <c r="N194" s="93" t="str">
        <f>IF(AND(K194&gt;0,Plan!$I197=1),H194&amp;Language!$E$65&amp;I194,"")</f>
        <v>3 : 0</v>
      </c>
      <c r="O194" s="379">
        <f>IF($H194="",0,Results!$L199)</f>
        <v>0</v>
      </c>
      <c r="P194" s="380">
        <f>IF($I194="",0,Results!$M199)</f>
        <v>0</v>
      </c>
    </row>
    <row r="195" spans="5:16" x14ac:dyDescent="0.2">
      <c r="E195" s="298">
        <v>192</v>
      </c>
      <c r="F195" s="190" t="str">
        <f>Plan!$Q198</f>
        <v>Hamburger SV</v>
      </c>
      <c r="G195" s="191" t="str">
        <f>Plan!$S198</f>
        <v>1. FC Union Berlin</v>
      </c>
      <c r="H195" s="134">
        <f>IF(AND(Results!$R$6&gt;0,$E195-1&gt;=Results!$R$6*Calc!$F$26),"",IF(AND(Results!$I200&lt;&gt;"",Results!$K200&lt;&gt;"",Results!$F200&lt;&gt;Results!$H200,$F195&lt;&gt;"",$G195&lt;&gt;""),Results!$I200,""))</f>
        <v>3</v>
      </c>
      <c r="I195" s="18">
        <f>IF(AND(Results!$R$6&gt;0,$E195-1&gt;=Results!$R$6*Calc!$F$26),"",IF(AND(Results!$I200&lt;&gt;"",Results!$K200&lt;&gt;"",Results!$F200&lt;&gt;Results!$H200,$F195&lt;&gt;"",$G195&lt;&gt;""),Results!$K200,""))</f>
        <v>2</v>
      </c>
      <c r="J195" s="17" t="str">
        <f>IF(Plan!$I198=0,F195&amp;G195,"")</f>
        <v/>
      </c>
      <c r="K195" s="134">
        <f t="shared" si="4"/>
        <v>1</v>
      </c>
      <c r="L195" s="134" t="str">
        <f>IF(AND(K195&gt;0,Plan!$I198=0),H195&amp;Language!$E$65&amp;I195,"")</f>
        <v/>
      </c>
      <c r="M195" s="2" t="str">
        <f>IF(Plan!$I198=1,F195&amp;G195,"")</f>
        <v>Hamburger SV1. FC Union Berlin</v>
      </c>
      <c r="N195" s="93" t="str">
        <f>IF(AND(K195&gt;0,Plan!$I198=1),H195&amp;Language!$E$65&amp;I195,"")</f>
        <v>3 : 2</v>
      </c>
      <c r="O195" s="379">
        <f>IF($H195="",0,Results!$L200)</f>
        <v>0</v>
      </c>
      <c r="P195" s="380">
        <f>IF($I195="",0,Results!$M200)</f>
        <v>0</v>
      </c>
    </row>
    <row r="196" spans="5:16" x14ac:dyDescent="0.2">
      <c r="E196" s="298">
        <v>193</v>
      </c>
      <c r="F196" s="190" t="str">
        <f>Plan!$Q199</f>
        <v>Bayer 04 Leverkusen</v>
      </c>
      <c r="G196" s="191" t="str">
        <f>Plan!$S199</f>
        <v>FC St. Pauli</v>
      </c>
      <c r="H196" s="134">
        <f>IF(AND(Results!$R$6&gt;0,$E196-1&gt;=Results!$R$6*Calc!$F$26),"",IF(AND(Results!$I201&lt;&gt;"",Results!$K201&lt;&gt;"",Results!$F201&lt;&gt;Results!$H201,$F196&lt;&gt;"",$G196&lt;&gt;""),Results!$I201,""))</f>
        <v>4</v>
      </c>
      <c r="I196" s="18">
        <f>IF(AND(Results!$R$6&gt;0,$E196-1&gt;=Results!$R$6*Calc!$F$26),"",IF(AND(Results!$I201&lt;&gt;"",Results!$K201&lt;&gt;"",Results!$F201&lt;&gt;Results!$H201,$F196&lt;&gt;"",$G196&lt;&gt;""),Results!$K201,""))</f>
        <v>0</v>
      </c>
      <c r="J196" s="17" t="str">
        <f>IF(Plan!$I199=0,F196&amp;G196,"")</f>
        <v/>
      </c>
      <c r="K196" s="134">
        <f t="shared" si="4"/>
        <v>1</v>
      </c>
      <c r="L196" s="134" t="str">
        <f>IF(AND(K196&gt;0,Plan!$I199=0),H196&amp;Language!$E$65&amp;I196,"")</f>
        <v/>
      </c>
      <c r="M196" s="2" t="str">
        <f>IF(Plan!$I199=1,F196&amp;G196,"")</f>
        <v>Bayer 04 LeverkusenFC St. Pauli</v>
      </c>
      <c r="N196" s="93" t="str">
        <f>IF(AND(K196&gt;0,Plan!$I199=1),H196&amp;Language!$E$65&amp;I196,"")</f>
        <v>4 : 0</v>
      </c>
      <c r="O196" s="379">
        <f>IF($H196="",0,Results!$L201)</f>
        <v>0</v>
      </c>
      <c r="P196" s="380">
        <f>IF($I196="",0,Results!$M201)</f>
        <v>0</v>
      </c>
    </row>
    <row r="197" spans="5:16" x14ac:dyDescent="0.2">
      <c r="E197" s="298">
        <v>194</v>
      </c>
      <c r="F197" s="190" t="str">
        <f>Plan!$Q200</f>
        <v>Eintracht Frankfurt</v>
      </c>
      <c r="G197" s="191" t="str">
        <f>Plan!$S200</f>
        <v>Borussia Mönchengladbach</v>
      </c>
      <c r="H197" s="134">
        <f>IF(AND(Results!$R$6&gt;0,$E197-1&gt;=Results!$R$6*Calc!$F$26),"",IF(AND(Results!$I202&lt;&gt;"",Results!$K202&lt;&gt;"",Results!$F202&lt;&gt;Results!$H202,$F197&lt;&gt;"",$G197&lt;&gt;""),Results!$I202,""))</f>
        <v>3</v>
      </c>
      <c r="I197" s="18">
        <f>IF(AND(Results!$R$6&gt;0,$E197-1&gt;=Results!$R$6*Calc!$F$26),"",IF(AND(Results!$I202&lt;&gt;"",Results!$K202&lt;&gt;"",Results!$F202&lt;&gt;Results!$H202,$F197&lt;&gt;"",$G197&lt;&gt;""),Results!$K202,""))</f>
        <v>0</v>
      </c>
      <c r="J197" s="17" t="str">
        <f>IF(Plan!$I200=0,F197&amp;G197,"")</f>
        <v/>
      </c>
      <c r="K197" s="134">
        <f t="shared" si="4"/>
        <v>1</v>
      </c>
      <c r="L197" s="134" t="str">
        <f>IF(AND(K197&gt;0,Plan!$I200=0),H197&amp;Language!$E$65&amp;I197,"")</f>
        <v/>
      </c>
      <c r="M197" s="2" t="str">
        <f>IF(Plan!$I200=1,F197&amp;G197,"")</f>
        <v>Eintracht FrankfurtBorussia Mönchengladbach</v>
      </c>
      <c r="N197" s="93" t="str">
        <f>IF(AND(K197&gt;0,Plan!$I200=1),H197&amp;Language!$E$65&amp;I197,"")</f>
        <v>3 : 0</v>
      </c>
      <c r="O197" s="379">
        <f>IF($H197="",0,Results!$L202)</f>
        <v>0</v>
      </c>
      <c r="P197" s="380">
        <f>IF($I197="",0,Results!$M202)</f>
        <v>0</v>
      </c>
    </row>
    <row r="198" spans="5:16" x14ac:dyDescent="0.2">
      <c r="E198" s="298">
        <v>195</v>
      </c>
      <c r="F198" s="190" t="str">
        <f>Plan!$Q201</f>
        <v>SV Werder Bremen</v>
      </c>
      <c r="G198" s="191" t="str">
        <f>Plan!$S201</f>
        <v>FC Bayern München</v>
      </c>
      <c r="H198" s="134">
        <f>IF(AND(Results!$R$6&gt;0,$E198-1&gt;=Results!$R$6*Calc!$F$26),"",IF(AND(Results!$I203&lt;&gt;"",Results!$K203&lt;&gt;"",Results!$F203&lt;&gt;Results!$H203,$F198&lt;&gt;"",$G198&lt;&gt;""),Results!$I203,""))</f>
        <v>0</v>
      </c>
      <c r="I198" s="18">
        <f>IF(AND(Results!$R$6&gt;0,$E198-1&gt;=Results!$R$6*Calc!$F$26),"",IF(AND(Results!$I203&lt;&gt;"",Results!$K203&lt;&gt;"",Results!$F203&lt;&gt;Results!$H203,$F198&lt;&gt;"",$G198&lt;&gt;""),Results!$K203,""))</f>
        <v>3</v>
      </c>
      <c r="J198" s="17" t="str">
        <f>IF(Plan!$I201=0,F198&amp;G198,"")</f>
        <v/>
      </c>
      <c r="K198" s="134">
        <f t="shared" si="4"/>
        <v>1</v>
      </c>
      <c r="L198" s="134" t="str">
        <f>IF(AND(K198&gt;0,Plan!$I201=0),H198&amp;Language!$E$65&amp;I198,"")</f>
        <v/>
      </c>
      <c r="M198" s="2" t="str">
        <f>IF(Plan!$I201=1,F198&amp;G198,"")</f>
        <v>SV Werder BremenFC Bayern München</v>
      </c>
      <c r="N198" s="93" t="str">
        <f>IF(AND(K198&gt;0,Plan!$I201=1),H198&amp;Language!$E$65&amp;I198,"")</f>
        <v>0 : 3</v>
      </c>
      <c r="O198" s="379">
        <f>IF($H198="",0,Results!$L203)</f>
        <v>0</v>
      </c>
      <c r="P198" s="380">
        <f>IF($I198="",0,Results!$M203)</f>
        <v>0</v>
      </c>
    </row>
    <row r="199" spans="5:16" x14ac:dyDescent="0.2">
      <c r="E199" s="298">
        <v>196</v>
      </c>
      <c r="F199" s="190" t="str">
        <f>Plan!$Q202</f>
        <v>VfB Stuttgart</v>
      </c>
      <c r="G199" s="191" t="str">
        <f>Plan!$S202</f>
        <v>1. FC Köln</v>
      </c>
      <c r="H199" s="134">
        <f>IF(AND(Results!$R$6&gt;0,$E199-1&gt;=Results!$R$6*Calc!$F$26),"",IF(AND(Results!$I204&lt;&gt;"",Results!$K204&lt;&gt;"",Results!$F204&lt;&gt;Results!$H204,$F199&lt;&gt;"",$G199&lt;&gt;""),Results!$I204,""))</f>
        <v>3</v>
      </c>
      <c r="I199" s="18">
        <f>IF(AND(Results!$R$6&gt;0,$E199-1&gt;=Results!$R$6*Calc!$F$26),"",IF(AND(Results!$I204&lt;&gt;"",Results!$K204&lt;&gt;"",Results!$F204&lt;&gt;Results!$H204,$F199&lt;&gt;"",$G199&lt;&gt;""),Results!$K204,""))</f>
        <v>1</v>
      </c>
      <c r="J199" s="17" t="str">
        <f>IF(Plan!$I202=0,F199&amp;G199,"")</f>
        <v/>
      </c>
      <c r="K199" s="134">
        <f t="shared" si="4"/>
        <v>1</v>
      </c>
      <c r="L199" s="134" t="str">
        <f>IF(AND(K199&gt;0,Plan!$I202=0),H199&amp;Language!$E$65&amp;I199,"")</f>
        <v/>
      </c>
      <c r="M199" s="2" t="str">
        <f>IF(Plan!$I202=1,F199&amp;G199,"")</f>
        <v>VfB Stuttgart1. FC Köln</v>
      </c>
      <c r="N199" s="93" t="str">
        <f>IF(AND(K199&gt;0,Plan!$I202=1),H199&amp;Language!$E$65&amp;I199,"")</f>
        <v>3 : 1</v>
      </c>
      <c r="O199" s="379">
        <f>IF($H199="",0,Results!$L204)</f>
        <v>0</v>
      </c>
      <c r="P199" s="380">
        <f>IF($I199="",0,Results!$M204)</f>
        <v>0</v>
      </c>
    </row>
    <row r="200" spans="5:16" x14ac:dyDescent="0.2">
      <c r="E200" s="298">
        <v>197</v>
      </c>
      <c r="F200" s="190" t="str">
        <f>Plan!$Q203</f>
        <v>FC Augsburg</v>
      </c>
      <c r="G200" s="191" t="str">
        <f>Plan!$S203</f>
        <v>1. FC Heidenheim 1846</v>
      </c>
      <c r="H200" s="134">
        <f>IF(AND(Results!$R$6&gt;0,$E200-1&gt;=Results!$R$6*Calc!$F$26),"",IF(AND(Results!$I205&lt;&gt;"",Results!$K205&lt;&gt;"",Results!$F205&lt;&gt;Results!$H205,$F200&lt;&gt;"",$G200&lt;&gt;""),Results!$I205,""))</f>
        <v>1</v>
      </c>
      <c r="I200" s="18">
        <f>IF(AND(Results!$R$6&gt;0,$E200-1&gt;=Results!$R$6*Calc!$F$26),"",IF(AND(Results!$I205&lt;&gt;"",Results!$K205&lt;&gt;"",Results!$F205&lt;&gt;Results!$H205,$F200&lt;&gt;"",$G200&lt;&gt;""),Results!$K205,""))</f>
        <v>0</v>
      </c>
      <c r="J200" s="17" t="str">
        <f>IF(Plan!$I203=0,F200&amp;G200,"")</f>
        <v/>
      </c>
      <c r="K200" s="134">
        <f t="shared" si="4"/>
        <v>1</v>
      </c>
      <c r="L200" s="134" t="str">
        <f>IF(AND(K200&gt;0,Plan!$I203=0),H200&amp;Language!$E$65&amp;I200,"")</f>
        <v/>
      </c>
      <c r="M200" s="2" t="str">
        <f>IF(Plan!$I203=1,F200&amp;G200,"")</f>
        <v>FC Augsburg1. FC Heidenheim 1846</v>
      </c>
      <c r="N200" s="93" t="str">
        <f>IF(AND(K200&gt;0,Plan!$I203=1),H200&amp;Language!$E$65&amp;I200,"")</f>
        <v>1 : 0</v>
      </c>
      <c r="O200" s="379">
        <f>IF($H200="",0,Results!$L205)</f>
        <v>0</v>
      </c>
      <c r="P200" s="380">
        <f>IF($I200="",0,Results!$M205)</f>
        <v>0</v>
      </c>
    </row>
    <row r="201" spans="5:16" x14ac:dyDescent="0.2">
      <c r="E201" s="298">
        <v>198</v>
      </c>
      <c r="F201" s="190" t="str">
        <f>Plan!$Q204</f>
        <v>RB Leipzig</v>
      </c>
      <c r="G201" s="191" t="str">
        <f>Plan!$S204</f>
        <v>VfL Wolfsburg</v>
      </c>
      <c r="H201" s="134">
        <f>IF(AND(Results!$R$6&gt;0,$E201-1&gt;=Results!$R$6*Calc!$F$26),"",IF(AND(Results!$I206&lt;&gt;"",Results!$K206&lt;&gt;"",Results!$F206&lt;&gt;Results!$H206,$F201&lt;&gt;"",$G201&lt;&gt;""),Results!$I206,""))</f>
        <v>2</v>
      </c>
      <c r="I201" s="18">
        <f>IF(AND(Results!$R$6&gt;0,$E201-1&gt;=Results!$R$6*Calc!$F$26),"",IF(AND(Results!$I206&lt;&gt;"",Results!$K206&lt;&gt;"",Results!$F206&lt;&gt;Results!$H206,$F201&lt;&gt;"",$G201&lt;&gt;""),Results!$K206,""))</f>
        <v>2</v>
      </c>
      <c r="J201" s="17" t="str">
        <f>IF(Plan!$I204=0,F201&amp;G201,"")</f>
        <v/>
      </c>
      <c r="K201" s="134">
        <f t="shared" si="4"/>
        <v>1</v>
      </c>
      <c r="L201" s="134" t="str">
        <f>IF(AND(K201&gt;0,Plan!$I204=0),H201&amp;Language!$E$65&amp;I201,"")</f>
        <v/>
      </c>
      <c r="M201" s="2" t="str">
        <f>IF(Plan!$I204=1,F201&amp;G201,"")</f>
        <v>RB LeipzigVfL Wolfsburg</v>
      </c>
      <c r="N201" s="93" t="str">
        <f>IF(AND(K201&gt;0,Plan!$I204=1),H201&amp;Language!$E$65&amp;I201,"")</f>
        <v>2 : 2</v>
      </c>
      <c r="O201" s="379">
        <f>IF($H201="",0,Results!$L206)</f>
        <v>0</v>
      </c>
      <c r="P201" s="380">
        <f>IF($I201="",0,Results!$M206)</f>
        <v>0</v>
      </c>
    </row>
    <row r="202" spans="5:16" x14ac:dyDescent="0.2">
      <c r="E202" s="298">
        <v>199</v>
      </c>
      <c r="F202" s="190" t="str">
        <f>Plan!$Q205</f>
        <v>1. FSV Mainz 05</v>
      </c>
      <c r="G202" s="191" t="str">
        <f>Plan!$S205</f>
        <v>Hamburger SV</v>
      </c>
      <c r="H202" s="134">
        <f>IF(AND(Results!$R$6&gt;0,$E202-1&gt;=Results!$R$6*Calc!$F$26),"",IF(AND(Results!$I207&lt;&gt;"",Results!$K207&lt;&gt;"",Results!$F207&lt;&gt;Results!$H207,$F202&lt;&gt;"",$G202&lt;&gt;""),Results!$I207,""))</f>
        <v>1</v>
      </c>
      <c r="I202" s="18">
        <f>IF(AND(Results!$R$6&gt;0,$E202-1&gt;=Results!$R$6*Calc!$F$26),"",IF(AND(Results!$I207&lt;&gt;"",Results!$K207&lt;&gt;"",Results!$F207&lt;&gt;Results!$H207,$F202&lt;&gt;"",$G202&lt;&gt;""),Results!$K207,""))</f>
        <v>1</v>
      </c>
      <c r="J202" s="17" t="str">
        <f>IF(Plan!$I205=0,F202&amp;G202,"")</f>
        <v/>
      </c>
      <c r="K202" s="134">
        <f t="shared" si="4"/>
        <v>1</v>
      </c>
      <c r="L202" s="134" t="str">
        <f>IF(AND(K202&gt;0,Plan!$I205=0),H202&amp;Language!$E$65&amp;I202,"")</f>
        <v/>
      </c>
      <c r="M202" s="2" t="str">
        <f>IF(Plan!$I205=1,F202&amp;G202,"")</f>
        <v>1. FSV Mainz 05Hamburger SV</v>
      </c>
      <c r="N202" s="93" t="str">
        <f>IF(AND(K202&gt;0,Plan!$I205=1),H202&amp;Language!$E$65&amp;I202,"")</f>
        <v>1 : 1</v>
      </c>
      <c r="O202" s="379">
        <f>IF($H202="",0,Results!$L207)</f>
        <v>0</v>
      </c>
      <c r="P202" s="380">
        <f>IF($I202="",0,Results!$M207)</f>
        <v>0</v>
      </c>
    </row>
    <row r="203" spans="5:16" x14ac:dyDescent="0.2">
      <c r="E203" s="298">
        <v>200</v>
      </c>
      <c r="F203" s="190" t="str">
        <f>Plan!$Q206</f>
        <v>1. FC Köln</v>
      </c>
      <c r="G203" s="191" t="str">
        <f>Plan!$S206</f>
        <v>TSG Hoffenheim</v>
      </c>
      <c r="H203" s="134">
        <f>IF(AND(Results!$R$6&gt;0,$E203-1&gt;=Results!$R$6*Calc!$F$26),"",IF(AND(Results!$I208&lt;&gt;"",Results!$K208&lt;&gt;"",Results!$F208&lt;&gt;Results!$H208,$F203&lt;&gt;"",$G203&lt;&gt;""),Results!$I208,""))</f>
        <v>2</v>
      </c>
      <c r="I203" s="18">
        <f>IF(AND(Results!$R$6&gt;0,$E203-1&gt;=Results!$R$6*Calc!$F$26),"",IF(AND(Results!$I208&lt;&gt;"",Results!$K208&lt;&gt;"",Results!$F208&lt;&gt;Results!$H208,$F203&lt;&gt;"",$G203&lt;&gt;""),Results!$K208,""))</f>
        <v>2</v>
      </c>
      <c r="J203" s="17" t="str">
        <f>IF(Plan!$I206=0,F203&amp;G203,"")</f>
        <v/>
      </c>
      <c r="K203" s="134">
        <f t="shared" ref="K203:K266" si="5">IF(AND(F203&lt;&gt;"",G203&lt;&gt;"",F203&lt;&gt;G203,H203&lt;&gt;"",I203&lt;&gt;""),1,0)</f>
        <v>1</v>
      </c>
      <c r="L203" s="134" t="str">
        <f>IF(AND(K203&gt;0,Plan!$I206=0),H203&amp;Language!$E$65&amp;I203,"")</f>
        <v/>
      </c>
      <c r="M203" s="2" t="str">
        <f>IF(Plan!$I206=1,F203&amp;G203,"")</f>
        <v>1. FC KölnTSG Hoffenheim</v>
      </c>
      <c r="N203" s="93" t="str">
        <f>IF(AND(K203&gt;0,Plan!$I206=1),H203&amp;Language!$E$65&amp;I203,"")</f>
        <v>2 : 2</v>
      </c>
      <c r="O203" s="379">
        <f>IF($H203="",0,Results!$L208)</f>
        <v>0</v>
      </c>
      <c r="P203" s="380">
        <f>IF($I203="",0,Results!$M208)</f>
        <v>0</v>
      </c>
    </row>
    <row r="204" spans="5:16" x14ac:dyDescent="0.2">
      <c r="E204" s="298">
        <v>201</v>
      </c>
      <c r="F204" s="190" t="str">
        <f>Plan!$Q207</f>
        <v>1. FC Union Berlin</v>
      </c>
      <c r="G204" s="191" t="str">
        <f>Plan!$S207</f>
        <v>Bayer 04 Leverkusen</v>
      </c>
      <c r="H204" s="134">
        <f>IF(AND(Results!$R$6&gt;0,$E204-1&gt;=Results!$R$6*Calc!$F$26),"",IF(AND(Results!$I209&lt;&gt;"",Results!$K209&lt;&gt;"",Results!$F209&lt;&gt;Results!$H209,$F204&lt;&gt;"",$G204&lt;&gt;""),Results!$I209,""))</f>
        <v>1</v>
      </c>
      <c r="I204" s="18">
        <f>IF(AND(Results!$R$6&gt;0,$E204-1&gt;=Results!$R$6*Calc!$F$26),"",IF(AND(Results!$I209&lt;&gt;"",Results!$K209&lt;&gt;"",Results!$F209&lt;&gt;Results!$H209,$F204&lt;&gt;"",$G204&lt;&gt;""),Results!$K209,""))</f>
        <v>0</v>
      </c>
      <c r="J204" s="17" t="str">
        <f>IF(Plan!$I207=0,F204&amp;G204,"")</f>
        <v/>
      </c>
      <c r="K204" s="134">
        <f t="shared" si="5"/>
        <v>1</v>
      </c>
      <c r="L204" s="134" t="str">
        <f>IF(AND(K204&gt;0,Plan!$I207=0),H204&amp;Language!$E$65&amp;I204,"")</f>
        <v/>
      </c>
      <c r="M204" s="2" t="str">
        <f>IF(Plan!$I207=1,F204&amp;G204,"")</f>
        <v>1. FC Union BerlinBayer 04 Leverkusen</v>
      </c>
      <c r="N204" s="93" t="str">
        <f>IF(AND(K204&gt;0,Plan!$I207=1),H204&amp;Language!$E$65&amp;I204,"")</f>
        <v>1 : 0</v>
      </c>
      <c r="O204" s="379">
        <f>IF($H204="",0,Results!$L209)</f>
        <v>0</v>
      </c>
      <c r="P204" s="380">
        <f>IF($I204="",0,Results!$M209)</f>
        <v>0</v>
      </c>
    </row>
    <row r="205" spans="5:16" x14ac:dyDescent="0.2">
      <c r="E205" s="298">
        <v>202</v>
      </c>
      <c r="F205" s="190" t="str">
        <f>Plan!$Q208</f>
        <v>FC Bayern München</v>
      </c>
      <c r="G205" s="191" t="str">
        <f>Plan!$S208</f>
        <v>Eintracht Frankfurt</v>
      </c>
      <c r="H205" s="134">
        <f>IF(AND(Results!$R$6&gt;0,$E205-1&gt;=Results!$R$6*Calc!$F$26),"",IF(AND(Results!$I210&lt;&gt;"",Results!$K210&lt;&gt;"",Results!$F210&lt;&gt;Results!$H210,$F205&lt;&gt;"",$G205&lt;&gt;""),Results!$I210,""))</f>
        <v>3</v>
      </c>
      <c r="I205" s="18">
        <f>IF(AND(Results!$R$6&gt;0,$E205-1&gt;=Results!$R$6*Calc!$F$26),"",IF(AND(Results!$I210&lt;&gt;"",Results!$K210&lt;&gt;"",Results!$F210&lt;&gt;Results!$H210,$F205&lt;&gt;"",$G205&lt;&gt;""),Results!$K210,""))</f>
        <v>2</v>
      </c>
      <c r="J205" s="17" t="str">
        <f>IF(Plan!$I208=0,F205&amp;G205,"")</f>
        <v/>
      </c>
      <c r="K205" s="134">
        <f t="shared" si="5"/>
        <v>1</v>
      </c>
      <c r="L205" s="134" t="str">
        <f>IF(AND(K205&gt;0,Plan!$I208=0),H205&amp;Language!$E$65&amp;I205,"")</f>
        <v/>
      </c>
      <c r="M205" s="2" t="str">
        <f>IF(Plan!$I208=1,F205&amp;G205,"")</f>
        <v>FC Bayern MünchenEintracht Frankfurt</v>
      </c>
      <c r="N205" s="93" t="str">
        <f>IF(AND(K205&gt;0,Plan!$I208=1),H205&amp;Language!$E$65&amp;I205,"")</f>
        <v>3 : 2</v>
      </c>
      <c r="O205" s="379">
        <f>IF($H205="",0,Results!$L210)</f>
        <v>0</v>
      </c>
      <c r="P205" s="380">
        <f>IF($I205="",0,Results!$M210)</f>
        <v>0</v>
      </c>
    </row>
    <row r="206" spans="5:16" x14ac:dyDescent="0.2">
      <c r="E206" s="298">
        <v>203</v>
      </c>
      <c r="F206" s="190" t="str">
        <f>Plan!$Q209</f>
        <v>VfL Wolfsburg</v>
      </c>
      <c r="G206" s="191" t="str">
        <f>Plan!$S209</f>
        <v>FC Augsburg</v>
      </c>
      <c r="H206" s="134">
        <f>IF(AND(Results!$R$6&gt;0,$E206-1&gt;=Results!$R$6*Calc!$F$26),"",IF(AND(Results!$I211&lt;&gt;"",Results!$K211&lt;&gt;"",Results!$F211&lt;&gt;Results!$H211,$F206&lt;&gt;"",$G206&lt;&gt;""),Results!$I211,""))</f>
        <v>2</v>
      </c>
      <c r="I206" s="18">
        <f>IF(AND(Results!$R$6&gt;0,$E206-1&gt;=Results!$R$6*Calc!$F$26),"",IF(AND(Results!$I211&lt;&gt;"",Results!$K211&lt;&gt;"",Results!$F211&lt;&gt;Results!$H211,$F206&lt;&gt;"",$G206&lt;&gt;""),Results!$K211,""))</f>
        <v>3</v>
      </c>
      <c r="J206" s="17" t="str">
        <f>IF(Plan!$I209=0,F206&amp;G206,"")</f>
        <v/>
      </c>
      <c r="K206" s="134">
        <f t="shared" si="5"/>
        <v>1</v>
      </c>
      <c r="L206" s="134" t="str">
        <f>IF(AND(K206&gt;0,Plan!$I209=0),H206&amp;Language!$E$65&amp;I206,"")</f>
        <v/>
      </c>
      <c r="M206" s="2" t="str">
        <f>IF(Plan!$I209=1,F206&amp;G206,"")</f>
        <v>VfL WolfsburgFC Augsburg</v>
      </c>
      <c r="N206" s="93" t="str">
        <f>IF(AND(K206&gt;0,Plan!$I209=1),H206&amp;Language!$E$65&amp;I206,"")</f>
        <v>2 : 3</v>
      </c>
      <c r="O206" s="379">
        <f>IF($H206="",0,Results!$L211)</f>
        <v>0</v>
      </c>
      <c r="P206" s="380">
        <f>IF($I206="",0,Results!$M211)</f>
        <v>0</v>
      </c>
    </row>
    <row r="207" spans="5:16" x14ac:dyDescent="0.2">
      <c r="E207" s="298">
        <v>204</v>
      </c>
      <c r="F207" s="190" t="str">
        <f>Plan!$Q210</f>
        <v>RB Leipzig</v>
      </c>
      <c r="G207" s="191" t="str">
        <f>Plan!$S210</f>
        <v>Borussia Dortmund</v>
      </c>
      <c r="H207" s="134">
        <f>IF(AND(Results!$R$6&gt;0,$E207-1&gt;=Results!$R$6*Calc!$F$26),"",IF(AND(Results!$I212&lt;&gt;"",Results!$K212&lt;&gt;"",Results!$F212&lt;&gt;Results!$H212,$F207&lt;&gt;"",$G207&lt;&gt;""),Results!$I212,""))</f>
        <v>2</v>
      </c>
      <c r="I207" s="18">
        <f>IF(AND(Results!$R$6&gt;0,$E207-1&gt;=Results!$R$6*Calc!$F$26),"",IF(AND(Results!$I212&lt;&gt;"",Results!$K212&lt;&gt;"",Results!$F212&lt;&gt;Results!$H212,$F207&lt;&gt;"",$G207&lt;&gt;""),Results!$K212,""))</f>
        <v>2</v>
      </c>
      <c r="J207" s="17" t="str">
        <f>IF(Plan!$I210=0,F207&amp;G207,"")</f>
        <v/>
      </c>
      <c r="K207" s="134">
        <f t="shared" si="5"/>
        <v>1</v>
      </c>
      <c r="L207" s="134" t="str">
        <f>IF(AND(K207&gt;0,Plan!$I210=0),H207&amp;Language!$E$65&amp;I207,"")</f>
        <v/>
      </c>
      <c r="M207" s="2" t="str">
        <f>IF(Plan!$I210=1,F207&amp;G207,"")</f>
        <v>RB LeipzigBorussia Dortmund</v>
      </c>
      <c r="N207" s="93" t="str">
        <f>IF(AND(K207&gt;0,Plan!$I210=1),H207&amp;Language!$E$65&amp;I207,"")</f>
        <v>2 : 2</v>
      </c>
      <c r="O207" s="379">
        <f>IF($H207="",0,Results!$L212)</f>
        <v>0</v>
      </c>
      <c r="P207" s="380">
        <f>IF($I207="",0,Results!$M212)</f>
        <v>0</v>
      </c>
    </row>
    <row r="208" spans="5:16" x14ac:dyDescent="0.2">
      <c r="E208" s="298">
        <v>205</v>
      </c>
      <c r="F208" s="190" t="str">
        <f>Plan!$Q211</f>
        <v>SC Freiburg</v>
      </c>
      <c r="G208" s="191" t="str">
        <f>Plan!$S211</f>
        <v>Borussia Mönchengladbach</v>
      </c>
      <c r="H208" s="134">
        <f>IF(AND(Results!$R$6&gt;0,$E208-1&gt;=Results!$R$6*Calc!$F$26),"",IF(AND(Results!$I213&lt;&gt;"",Results!$K213&lt;&gt;"",Results!$F213&lt;&gt;Results!$H213,$F208&lt;&gt;"",$G208&lt;&gt;""),Results!$I213,""))</f>
        <v>2</v>
      </c>
      <c r="I208" s="18">
        <f>IF(AND(Results!$R$6&gt;0,$E208-1&gt;=Results!$R$6*Calc!$F$26),"",IF(AND(Results!$I213&lt;&gt;"",Results!$K213&lt;&gt;"",Results!$F213&lt;&gt;Results!$H213,$F208&lt;&gt;"",$G208&lt;&gt;""),Results!$K213,""))</f>
        <v>1</v>
      </c>
      <c r="J208" s="17" t="str">
        <f>IF(Plan!$I211=0,F208&amp;G208,"")</f>
        <v/>
      </c>
      <c r="K208" s="134">
        <f t="shared" si="5"/>
        <v>1</v>
      </c>
      <c r="L208" s="134" t="str">
        <f>IF(AND(K208&gt;0,Plan!$I211=0),H208&amp;Language!$E$65&amp;I208,"")</f>
        <v/>
      </c>
      <c r="M208" s="2" t="str">
        <f>IF(Plan!$I211=1,F208&amp;G208,"")</f>
        <v>SC FreiburgBorussia Mönchengladbach</v>
      </c>
      <c r="N208" s="93" t="str">
        <f>IF(AND(K208&gt;0,Plan!$I211=1),H208&amp;Language!$E$65&amp;I208,"")</f>
        <v>2 : 1</v>
      </c>
      <c r="O208" s="379">
        <f>IF($H208="",0,Results!$L213)</f>
        <v>0</v>
      </c>
      <c r="P208" s="380">
        <f>IF($I208="",0,Results!$M213)</f>
        <v>0</v>
      </c>
    </row>
    <row r="209" spans="5:16" x14ac:dyDescent="0.2">
      <c r="E209" s="298">
        <v>206</v>
      </c>
      <c r="F209" s="190" t="str">
        <f>Plan!$Q212</f>
        <v>FC St. Pauli</v>
      </c>
      <c r="G209" s="191" t="str">
        <f>Plan!$S212</f>
        <v>SV Werder Bremen</v>
      </c>
      <c r="H209" s="134">
        <f>IF(AND(Results!$R$6&gt;0,$E209-1&gt;=Results!$R$6*Calc!$F$26),"",IF(AND(Results!$I214&lt;&gt;"",Results!$K214&lt;&gt;"",Results!$F214&lt;&gt;Results!$H214,$F209&lt;&gt;"",$G209&lt;&gt;""),Results!$I214,""))</f>
        <v>2</v>
      </c>
      <c r="I209" s="18">
        <f>IF(AND(Results!$R$6&gt;0,$E209-1&gt;=Results!$R$6*Calc!$F$26),"",IF(AND(Results!$I214&lt;&gt;"",Results!$K214&lt;&gt;"",Results!$F214&lt;&gt;Results!$H214,$F209&lt;&gt;"",$G209&lt;&gt;""),Results!$K214,""))</f>
        <v>1</v>
      </c>
      <c r="J209" s="17" t="str">
        <f>IF(Plan!$I212=0,F209&amp;G209,"")</f>
        <v/>
      </c>
      <c r="K209" s="134">
        <f t="shared" si="5"/>
        <v>1</v>
      </c>
      <c r="L209" s="134" t="str">
        <f>IF(AND(K209&gt;0,Plan!$I212=0),H209&amp;Language!$E$65&amp;I209,"")</f>
        <v/>
      </c>
      <c r="M209" s="2" t="str">
        <f>IF(Plan!$I212=1,F209&amp;G209,"")</f>
        <v>FC St. PauliSV Werder Bremen</v>
      </c>
      <c r="N209" s="93" t="str">
        <f>IF(AND(K209&gt;0,Plan!$I212=1),H209&amp;Language!$E$65&amp;I209,"")</f>
        <v>2 : 1</v>
      </c>
      <c r="O209" s="379">
        <f>IF($H209="",0,Results!$L214)</f>
        <v>0</v>
      </c>
      <c r="P209" s="380">
        <f>IF($I209="",0,Results!$M214)</f>
        <v>0</v>
      </c>
    </row>
    <row r="210" spans="5:16" x14ac:dyDescent="0.2">
      <c r="E210" s="298">
        <v>207</v>
      </c>
      <c r="F210" s="190" t="str">
        <f>Plan!$Q213</f>
        <v>1. FC Heidenheim 1846</v>
      </c>
      <c r="G210" s="191" t="str">
        <f>Plan!$S213</f>
        <v>VfB Stuttgart</v>
      </c>
      <c r="H210" s="134">
        <f>IF(AND(Results!$R$6&gt;0,$E210-1&gt;=Results!$R$6*Calc!$F$26),"",IF(AND(Results!$I215&lt;&gt;"",Results!$K215&lt;&gt;"",Results!$F215&lt;&gt;Results!$H215,$F210&lt;&gt;"",$G210&lt;&gt;""),Results!$I215,""))</f>
        <v>3</v>
      </c>
      <c r="I210" s="18">
        <f>IF(AND(Results!$R$6&gt;0,$E210-1&gt;=Results!$R$6*Calc!$F$26),"",IF(AND(Results!$I215&lt;&gt;"",Results!$K215&lt;&gt;"",Results!$F215&lt;&gt;Results!$H215,$F210&lt;&gt;"",$G210&lt;&gt;""),Results!$K215,""))</f>
        <v>3</v>
      </c>
      <c r="J210" s="17" t="str">
        <f>IF(Plan!$I213=0,F210&amp;G210,"")</f>
        <v/>
      </c>
      <c r="K210" s="134">
        <f t="shared" si="5"/>
        <v>1</v>
      </c>
      <c r="L210" s="134" t="str">
        <f>IF(AND(K210&gt;0,Plan!$I213=0),H210&amp;Language!$E$65&amp;I210,"")</f>
        <v/>
      </c>
      <c r="M210" s="2" t="str">
        <f>IF(Plan!$I213=1,F210&amp;G210,"")</f>
        <v>1. FC Heidenheim 1846VfB Stuttgart</v>
      </c>
      <c r="N210" s="93" t="str">
        <f>IF(AND(K210&gt;0,Plan!$I213=1),H210&amp;Language!$E$65&amp;I210,"")</f>
        <v>3 : 3</v>
      </c>
      <c r="O210" s="379">
        <f>IF($H210="",0,Results!$L215)</f>
        <v>0</v>
      </c>
      <c r="P210" s="380">
        <f>IF($I210="",0,Results!$M215)</f>
        <v>0</v>
      </c>
    </row>
    <row r="211" spans="5:16" x14ac:dyDescent="0.2">
      <c r="E211" s="298">
        <v>208</v>
      </c>
      <c r="F211" s="190" t="str">
        <f>Plan!$Q214</f>
        <v>FC Augsburg</v>
      </c>
      <c r="G211" s="191" t="str">
        <f>Plan!$S214</f>
        <v>1. FC Köln</v>
      </c>
      <c r="H211" s="134">
        <f>IF(AND(Results!$R$6&gt;0,$E211-1&gt;=Results!$R$6*Calc!$F$26),"",IF(AND(Results!$I216&lt;&gt;"",Results!$K216&lt;&gt;"",Results!$F216&lt;&gt;Results!$H216,$F211&lt;&gt;"",$G211&lt;&gt;""),Results!$I216,""))</f>
        <v>2</v>
      </c>
      <c r="I211" s="18">
        <f>IF(AND(Results!$R$6&gt;0,$E211-1&gt;=Results!$R$6*Calc!$F$26),"",IF(AND(Results!$I216&lt;&gt;"",Results!$K216&lt;&gt;"",Results!$F216&lt;&gt;Results!$H216,$F211&lt;&gt;"",$G211&lt;&gt;""),Results!$K216,""))</f>
        <v>0</v>
      </c>
      <c r="J211" s="17" t="str">
        <f>IF(Plan!$I214=0,F211&amp;G211,"")</f>
        <v/>
      </c>
      <c r="K211" s="134">
        <f t="shared" si="5"/>
        <v>1</v>
      </c>
      <c r="L211" s="134" t="str">
        <f>IF(AND(K211&gt;0,Plan!$I214=0),H211&amp;Language!$E$65&amp;I211,"")</f>
        <v/>
      </c>
      <c r="M211" s="2" t="str">
        <f>IF(Plan!$I214=1,F211&amp;G211,"")</f>
        <v>FC Augsburg1. FC Köln</v>
      </c>
      <c r="N211" s="93" t="str">
        <f>IF(AND(K211&gt;0,Plan!$I214=1),H211&amp;Language!$E$65&amp;I211,"")</f>
        <v>2 : 0</v>
      </c>
      <c r="O211" s="379">
        <f>IF($H211="",0,Results!$L216)</f>
        <v>0</v>
      </c>
      <c r="P211" s="380">
        <f>IF($I211="",0,Results!$M216)</f>
        <v>0</v>
      </c>
    </row>
    <row r="212" spans="5:16" x14ac:dyDescent="0.2">
      <c r="E212" s="298">
        <v>209</v>
      </c>
      <c r="F212" s="190" t="str">
        <f>Plan!$Q215</f>
        <v>TSG Hoffenheim</v>
      </c>
      <c r="G212" s="191" t="str">
        <f>Plan!$S215</f>
        <v>FC St. Pauli</v>
      </c>
      <c r="H212" s="134">
        <f>IF(AND(Results!$R$6&gt;0,$E212-1&gt;=Results!$R$6*Calc!$F$26),"",IF(AND(Results!$I217&lt;&gt;"",Results!$K217&lt;&gt;"",Results!$F217&lt;&gt;Results!$H217,$F212&lt;&gt;"",$G212&lt;&gt;""),Results!$I217,""))</f>
        <v>0</v>
      </c>
      <c r="I212" s="18">
        <f>IF(AND(Results!$R$6&gt;0,$E212-1&gt;=Results!$R$6*Calc!$F$26),"",IF(AND(Results!$I217&lt;&gt;"",Results!$K217&lt;&gt;"",Results!$F217&lt;&gt;Results!$H217,$F212&lt;&gt;"",$G212&lt;&gt;""),Results!$K217,""))</f>
        <v>1</v>
      </c>
      <c r="J212" s="17" t="str">
        <f>IF(Plan!$I215=0,F212&amp;G212,"")</f>
        <v/>
      </c>
      <c r="K212" s="134">
        <f t="shared" si="5"/>
        <v>1</v>
      </c>
      <c r="L212" s="134" t="str">
        <f>IF(AND(K212&gt;0,Plan!$I215=0),H212&amp;Language!$E$65&amp;I212,"")</f>
        <v/>
      </c>
      <c r="M212" s="2" t="str">
        <f>IF(Plan!$I215=1,F212&amp;G212,"")</f>
        <v>TSG HoffenheimFC St. Pauli</v>
      </c>
      <c r="N212" s="93" t="str">
        <f>IF(AND(K212&gt;0,Plan!$I215=1),H212&amp;Language!$E$65&amp;I212,"")</f>
        <v>0 : 1</v>
      </c>
      <c r="O212" s="379">
        <f>IF($H212="",0,Results!$L217)</f>
        <v>0</v>
      </c>
      <c r="P212" s="380">
        <f>IF($I212="",0,Results!$M217)</f>
        <v>0</v>
      </c>
    </row>
    <row r="213" spans="5:16" x14ac:dyDescent="0.2">
      <c r="E213" s="298">
        <v>210</v>
      </c>
      <c r="F213" s="190" t="str">
        <f>Plan!$Q216</f>
        <v>Borussia Mönchengladbach</v>
      </c>
      <c r="G213" s="191" t="str">
        <f>Plan!$S216</f>
        <v>1. FC Union Berlin</v>
      </c>
      <c r="H213" s="134">
        <f>IF(AND(Results!$R$6&gt;0,$E213-1&gt;=Results!$R$6*Calc!$F$26),"",IF(AND(Results!$I218&lt;&gt;"",Results!$K218&lt;&gt;"",Results!$F218&lt;&gt;Results!$H218,$F213&lt;&gt;"",$G213&lt;&gt;""),Results!$I218,""))</f>
        <v>1</v>
      </c>
      <c r="I213" s="18">
        <f>IF(AND(Results!$R$6&gt;0,$E213-1&gt;=Results!$R$6*Calc!$F$26),"",IF(AND(Results!$I218&lt;&gt;"",Results!$K218&lt;&gt;"",Results!$F218&lt;&gt;Results!$H218,$F213&lt;&gt;"",$G213&lt;&gt;""),Results!$K218,""))</f>
        <v>0</v>
      </c>
      <c r="J213" s="17" t="str">
        <f>IF(Plan!$I216=0,F213&amp;G213,"")</f>
        <v/>
      </c>
      <c r="K213" s="134">
        <f t="shared" si="5"/>
        <v>1</v>
      </c>
      <c r="L213" s="134" t="str">
        <f>IF(AND(K213&gt;0,Plan!$I216=0),H213&amp;Language!$E$65&amp;I213,"")</f>
        <v/>
      </c>
      <c r="M213" s="2" t="str">
        <f>IF(Plan!$I216=1,F213&amp;G213,"")</f>
        <v>Borussia Mönchengladbach1. FC Union Berlin</v>
      </c>
      <c r="N213" s="93" t="str">
        <f>IF(AND(K213&gt;0,Plan!$I216=1),H213&amp;Language!$E$65&amp;I213,"")</f>
        <v>1 : 0</v>
      </c>
      <c r="O213" s="379">
        <f>IF($H213="",0,Results!$L218)</f>
        <v>0</v>
      </c>
      <c r="P213" s="380">
        <f>IF($I213="",0,Results!$M218)</f>
        <v>0</v>
      </c>
    </row>
    <row r="214" spans="5:16" x14ac:dyDescent="0.2">
      <c r="E214" s="298">
        <v>211</v>
      </c>
      <c r="F214" s="190" t="str">
        <f>Plan!$Q217</f>
        <v>Bayer 04 Leverkusen</v>
      </c>
      <c r="G214" s="191" t="str">
        <f>Plan!$S217</f>
        <v>1. FSV Mainz 05</v>
      </c>
      <c r="H214" s="134">
        <f>IF(AND(Results!$R$6&gt;0,$E214-1&gt;=Results!$R$6*Calc!$F$26),"",IF(AND(Results!$I219&lt;&gt;"",Results!$K219&lt;&gt;"",Results!$F219&lt;&gt;Results!$H219,$F214&lt;&gt;"",$G214&lt;&gt;""),Results!$I219,""))</f>
        <v>1</v>
      </c>
      <c r="I214" s="18">
        <f>IF(AND(Results!$R$6&gt;0,$E214-1&gt;=Results!$R$6*Calc!$F$26),"",IF(AND(Results!$I219&lt;&gt;"",Results!$K219&lt;&gt;"",Results!$F219&lt;&gt;Results!$H219,$F214&lt;&gt;"",$G214&lt;&gt;""),Results!$K219,""))</f>
        <v>1</v>
      </c>
      <c r="J214" s="17" t="str">
        <f>IF(Plan!$I217=0,F214&amp;G214,"")</f>
        <v/>
      </c>
      <c r="K214" s="134">
        <f t="shared" si="5"/>
        <v>1</v>
      </c>
      <c r="L214" s="134" t="str">
        <f>IF(AND(K214&gt;0,Plan!$I217=0),H214&amp;Language!$E$65&amp;I214,"")</f>
        <v/>
      </c>
      <c r="M214" s="2" t="str">
        <f>IF(Plan!$I217=1,F214&amp;G214,"")</f>
        <v>Bayer 04 Leverkusen1. FSV Mainz 05</v>
      </c>
      <c r="N214" s="93" t="str">
        <f>IF(AND(K214&gt;0,Plan!$I217=1),H214&amp;Language!$E$65&amp;I214,"")</f>
        <v>1 : 1</v>
      </c>
      <c r="O214" s="379">
        <f>IF($H214="",0,Results!$L219)</f>
        <v>0</v>
      </c>
      <c r="P214" s="380">
        <f>IF($I214="",0,Results!$M219)</f>
        <v>0</v>
      </c>
    </row>
    <row r="215" spans="5:16" x14ac:dyDescent="0.2">
      <c r="E215" s="298">
        <v>212</v>
      </c>
      <c r="F215" s="190" t="str">
        <f>Plan!$Q218</f>
        <v>SV Werder Bremen</v>
      </c>
      <c r="G215" s="191" t="str">
        <f>Plan!$S218</f>
        <v>1. FC Heidenheim 1846</v>
      </c>
      <c r="H215" s="134">
        <f>IF(AND(Results!$R$6&gt;0,$E215-1&gt;=Results!$R$6*Calc!$F$26),"",IF(AND(Results!$I220&lt;&gt;"",Results!$K220&lt;&gt;"",Results!$F220&lt;&gt;Results!$H220,$F215&lt;&gt;"",$G215&lt;&gt;""),Results!$I220,""))</f>
        <v>2</v>
      </c>
      <c r="I215" s="18">
        <f>IF(AND(Results!$R$6&gt;0,$E215-1&gt;=Results!$R$6*Calc!$F$26),"",IF(AND(Results!$I220&lt;&gt;"",Results!$K220&lt;&gt;"",Results!$F220&lt;&gt;Results!$H220,$F215&lt;&gt;"",$G215&lt;&gt;""),Results!$K220,""))</f>
        <v>0</v>
      </c>
      <c r="J215" s="17" t="str">
        <f>IF(Plan!$I218=0,F215&amp;G215,"")</f>
        <v/>
      </c>
      <c r="K215" s="134">
        <f t="shared" si="5"/>
        <v>1</v>
      </c>
      <c r="L215" s="134" t="str">
        <f>IF(AND(K215&gt;0,Plan!$I218=0),H215&amp;Language!$E$65&amp;I215,"")</f>
        <v/>
      </c>
      <c r="M215" s="2" t="str">
        <f>IF(Plan!$I218=1,F215&amp;G215,"")</f>
        <v>SV Werder Bremen1. FC Heidenheim 1846</v>
      </c>
      <c r="N215" s="93" t="str">
        <f>IF(AND(K215&gt;0,Plan!$I218=1),H215&amp;Language!$E$65&amp;I215,"")</f>
        <v>2 : 0</v>
      </c>
      <c r="O215" s="379">
        <f>IF($H215="",0,Results!$L220)</f>
        <v>0</v>
      </c>
      <c r="P215" s="380">
        <f>IF($I215="",0,Results!$M220)</f>
        <v>0</v>
      </c>
    </row>
    <row r="216" spans="5:16" x14ac:dyDescent="0.2">
      <c r="E216" s="298">
        <v>213</v>
      </c>
      <c r="F216" s="190" t="str">
        <f>Plan!$Q219</f>
        <v>Borussia Dortmund</v>
      </c>
      <c r="G216" s="191" t="str">
        <f>Plan!$S219</f>
        <v>FC Bayern München</v>
      </c>
      <c r="H216" s="134">
        <f>IF(AND(Results!$R$6&gt;0,$E216-1&gt;=Results!$R$6*Calc!$F$26),"",IF(AND(Results!$I221&lt;&gt;"",Results!$K221&lt;&gt;"",Results!$F221&lt;&gt;Results!$H221,$F216&lt;&gt;"",$G216&lt;&gt;""),Results!$I221,""))</f>
        <v>2</v>
      </c>
      <c r="I216" s="18">
        <f>IF(AND(Results!$R$6&gt;0,$E216-1&gt;=Results!$R$6*Calc!$F$26),"",IF(AND(Results!$I221&lt;&gt;"",Results!$K221&lt;&gt;"",Results!$F221&lt;&gt;Results!$H221,$F216&lt;&gt;"",$G216&lt;&gt;""),Results!$K221,""))</f>
        <v>3</v>
      </c>
      <c r="J216" s="17" t="str">
        <f>IF(Plan!$I219=0,F216&amp;G216,"")</f>
        <v/>
      </c>
      <c r="K216" s="134">
        <f t="shared" si="5"/>
        <v>1</v>
      </c>
      <c r="L216" s="134" t="str">
        <f>IF(AND(K216&gt;0,Plan!$I219=0),H216&amp;Language!$E$65&amp;I216,"")</f>
        <v/>
      </c>
      <c r="M216" s="2" t="str">
        <f>IF(Plan!$I219=1,F216&amp;G216,"")</f>
        <v>Borussia DortmundFC Bayern München</v>
      </c>
      <c r="N216" s="93" t="str">
        <f>IF(AND(K216&gt;0,Plan!$I219=1),H216&amp;Language!$E$65&amp;I216,"")</f>
        <v>2 : 3</v>
      </c>
      <c r="O216" s="379">
        <f>IF($H216="",0,Results!$L221)</f>
        <v>0</v>
      </c>
      <c r="P216" s="380">
        <f>IF($I216="",0,Results!$M221)</f>
        <v>0</v>
      </c>
    </row>
    <row r="217" spans="5:16" x14ac:dyDescent="0.2">
      <c r="E217" s="298">
        <v>214</v>
      </c>
      <c r="F217" s="190" t="str">
        <f>Plan!$Q220</f>
        <v>VfB Stuttgart</v>
      </c>
      <c r="G217" s="191" t="str">
        <f>Plan!$S220</f>
        <v>VfL Wolfsburg</v>
      </c>
      <c r="H217" s="134">
        <f>IF(AND(Results!$R$6&gt;0,$E217-1&gt;=Results!$R$6*Calc!$F$26),"",IF(AND(Results!$I222&lt;&gt;"",Results!$K222&lt;&gt;"",Results!$F222&lt;&gt;Results!$H222,$F217&lt;&gt;"",$G217&lt;&gt;""),Results!$I222,""))</f>
        <v>4</v>
      </c>
      <c r="I217" s="18">
        <f>IF(AND(Results!$R$6&gt;0,$E217-1&gt;=Results!$R$6*Calc!$F$26),"",IF(AND(Results!$I222&lt;&gt;"",Results!$K222&lt;&gt;"",Results!$F222&lt;&gt;Results!$H222,$F217&lt;&gt;"",$G217&lt;&gt;""),Results!$K222,""))</f>
        <v>0</v>
      </c>
      <c r="J217" s="17" t="str">
        <f>IF(Plan!$I220=0,F217&amp;G217,"")</f>
        <v/>
      </c>
      <c r="K217" s="134">
        <f t="shared" si="5"/>
        <v>1</v>
      </c>
      <c r="L217" s="134" t="str">
        <f>IF(AND(K217&gt;0,Plan!$I220=0),H217&amp;Language!$E$65&amp;I217,"")</f>
        <v/>
      </c>
      <c r="M217" s="2" t="str">
        <f>IF(Plan!$I220=1,F217&amp;G217,"")</f>
        <v>VfB StuttgartVfL Wolfsburg</v>
      </c>
      <c r="N217" s="93" t="str">
        <f>IF(AND(K217&gt;0,Plan!$I220=1),H217&amp;Language!$E$65&amp;I217,"")</f>
        <v>4 : 0</v>
      </c>
      <c r="O217" s="379">
        <f>IF($H217="",0,Results!$L222)</f>
        <v>0</v>
      </c>
      <c r="P217" s="380">
        <f>IF($I217="",0,Results!$M222)</f>
        <v>0</v>
      </c>
    </row>
    <row r="218" spans="5:16" x14ac:dyDescent="0.2">
      <c r="E218" s="298">
        <v>215</v>
      </c>
      <c r="F218" s="190" t="str">
        <f>Plan!$Q221</f>
        <v>Eintracht Frankfurt</v>
      </c>
      <c r="G218" s="191" t="str">
        <f>Plan!$S221</f>
        <v>SC Freiburg</v>
      </c>
      <c r="H218" s="134">
        <f>IF(AND(Results!$R$6&gt;0,$E218-1&gt;=Results!$R$6*Calc!$F$26),"",IF(AND(Results!$I223&lt;&gt;"",Results!$K223&lt;&gt;"",Results!$F223&lt;&gt;Results!$H223,$F218&lt;&gt;"",$G218&lt;&gt;""),Results!$I223,""))</f>
        <v>2</v>
      </c>
      <c r="I218" s="18">
        <f>IF(AND(Results!$R$6&gt;0,$E218-1&gt;=Results!$R$6*Calc!$F$26),"",IF(AND(Results!$I223&lt;&gt;"",Results!$K223&lt;&gt;"",Results!$F223&lt;&gt;Results!$H223,$F218&lt;&gt;"",$G218&lt;&gt;""),Results!$K223,""))</f>
        <v>0</v>
      </c>
      <c r="J218" s="17" t="str">
        <f>IF(Plan!$I221=0,F218&amp;G218,"")</f>
        <v/>
      </c>
      <c r="K218" s="134">
        <f t="shared" si="5"/>
        <v>1</v>
      </c>
      <c r="L218" s="134" t="str">
        <f>IF(AND(K218&gt;0,Plan!$I221=0),H218&amp;Language!$E$65&amp;I218,"")</f>
        <v/>
      </c>
      <c r="M218" s="2" t="str">
        <f>IF(Plan!$I221=1,F218&amp;G218,"")</f>
        <v>Eintracht FrankfurtSC Freiburg</v>
      </c>
      <c r="N218" s="93" t="str">
        <f>IF(AND(K218&gt;0,Plan!$I221=1),H218&amp;Language!$E$65&amp;I218,"")</f>
        <v>2 : 0</v>
      </c>
      <c r="O218" s="379">
        <f>IF($H218="",0,Results!$L223)</f>
        <v>0</v>
      </c>
      <c r="P218" s="380">
        <f>IF($I218="",0,Results!$M223)</f>
        <v>0</v>
      </c>
    </row>
    <row r="219" spans="5:16" x14ac:dyDescent="0.2">
      <c r="E219" s="298">
        <v>216</v>
      </c>
      <c r="F219" s="190" t="str">
        <f>Plan!$Q222</f>
        <v>Hamburger SV</v>
      </c>
      <c r="G219" s="191" t="str">
        <f>Plan!$S222</f>
        <v>RB Leipzig</v>
      </c>
      <c r="H219" s="134">
        <f>IF(AND(Results!$R$6&gt;0,$E219-1&gt;=Results!$R$6*Calc!$F$26),"",IF(AND(Results!$I224&lt;&gt;"",Results!$K224&lt;&gt;"",Results!$F224&lt;&gt;Results!$H224,$F219&lt;&gt;"",$G219&lt;&gt;""),Results!$I224,""))</f>
        <v>1</v>
      </c>
      <c r="I219" s="18">
        <f>IF(AND(Results!$R$6&gt;0,$E219-1&gt;=Results!$R$6*Calc!$F$26),"",IF(AND(Results!$I224&lt;&gt;"",Results!$K224&lt;&gt;"",Results!$F224&lt;&gt;Results!$H224,$F219&lt;&gt;"",$G219&lt;&gt;""),Results!$K224,""))</f>
        <v>2</v>
      </c>
      <c r="J219" s="17" t="str">
        <f>IF(Plan!$I222=0,F219&amp;G219,"")</f>
        <v/>
      </c>
      <c r="K219" s="134">
        <f t="shared" si="5"/>
        <v>1</v>
      </c>
      <c r="L219" s="134" t="str">
        <f>IF(AND(K219&gt;0,Plan!$I222=0),H219&amp;Language!$E$65&amp;I219,"")</f>
        <v/>
      </c>
      <c r="M219" s="2" t="str">
        <f>IF(Plan!$I222=1,F219&amp;G219,"")</f>
        <v>Hamburger SVRB Leipzig</v>
      </c>
      <c r="N219" s="93" t="str">
        <f>IF(AND(K219&gt;0,Plan!$I222=1),H219&amp;Language!$E$65&amp;I219,"")</f>
        <v>1 : 2</v>
      </c>
      <c r="O219" s="379">
        <f>IF($H219="",0,Results!$L224)</f>
        <v>0</v>
      </c>
      <c r="P219" s="380">
        <f>IF($I219="",0,Results!$M224)</f>
        <v>0</v>
      </c>
    </row>
    <row r="220" spans="5:16" x14ac:dyDescent="0.2">
      <c r="E220" s="298">
        <v>217</v>
      </c>
      <c r="F220" s="190" t="str">
        <f>Plan!$Q223</f>
        <v>FC Bayern München</v>
      </c>
      <c r="G220" s="191" t="str">
        <f>Plan!$S223</f>
        <v>Borussia Mönchengladbach</v>
      </c>
      <c r="H220" s="134">
        <f>IF(AND(Results!$R$6&gt;0,$E220-1&gt;=Results!$R$6*Calc!$F$26),"",IF(AND(Results!$I225&lt;&gt;"",Results!$K225&lt;&gt;"",Results!$F225&lt;&gt;Results!$H225,$F220&lt;&gt;"",$G220&lt;&gt;""),Results!$I225,""))</f>
        <v>4</v>
      </c>
      <c r="I220" s="18">
        <f>IF(AND(Results!$R$6&gt;0,$E220-1&gt;=Results!$R$6*Calc!$F$26),"",IF(AND(Results!$I225&lt;&gt;"",Results!$K225&lt;&gt;"",Results!$F225&lt;&gt;Results!$H225,$F220&lt;&gt;"",$G220&lt;&gt;""),Results!$K225,""))</f>
        <v>1</v>
      </c>
      <c r="J220" s="17" t="str">
        <f>IF(Plan!$I223=0,F220&amp;G220,"")</f>
        <v/>
      </c>
      <c r="K220" s="134">
        <f t="shared" si="5"/>
        <v>1</v>
      </c>
      <c r="L220" s="134" t="str">
        <f>IF(AND(K220&gt;0,Plan!$I223=0),H220&amp;Language!$E$65&amp;I220,"")</f>
        <v/>
      </c>
      <c r="M220" s="2" t="str">
        <f>IF(Plan!$I223=1,F220&amp;G220,"")</f>
        <v>FC Bayern MünchenBorussia Mönchengladbach</v>
      </c>
      <c r="N220" s="93" t="str">
        <f>IF(AND(K220&gt;0,Plan!$I223=1),H220&amp;Language!$E$65&amp;I220,"")</f>
        <v>4 : 1</v>
      </c>
      <c r="O220" s="379">
        <f>IF($H220="",0,Results!$L225)</f>
        <v>0</v>
      </c>
      <c r="P220" s="380">
        <f>IF($I220="",0,Results!$M225)</f>
        <v>0</v>
      </c>
    </row>
    <row r="221" spans="5:16" x14ac:dyDescent="0.2">
      <c r="E221" s="298">
        <v>218</v>
      </c>
      <c r="F221" s="190" t="str">
        <f>Plan!$Q224</f>
        <v>VfL Wolfsburg</v>
      </c>
      <c r="G221" s="191" t="str">
        <f>Plan!$S224</f>
        <v>Hamburger SV</v>
      </c>
      <c r="H221" s="134">
        <f>IF(AND(Results!$R$6&gt;0,$E221-1&gt;=Results!$R$6*Calc!$F$26),"",IF(AND(Results!$I226&lt;&gt;"",Results!$K226&lt;&gt;"",Results!$F226&lt;&gt;Results!$H226,$F221&lt;&gt;"",$G221&lt;&gt;""),Results!$I226,""))</f>
        <v>1</v>
      </c>
      <c r="I221" s="18">
        <f>IF(AND(Results!$R$6&gt;0,$E221-1&gt;=Results!$R$6*Calc!$F$26),"",IF(AND(Results!$I226&lt;&gt;"",Results!$K226&lt;&gt;"",Results!$F226&lt;&gt;Results!$H226,$F221&lt;&gt;"",$G221&lt;&gt;""),Results!$K226,""))</f>
        <v>2</v>
      </c>
      <c r="J221" s="17" t="str">
        <f>IF(Plan!$I224=0,F221&amp;G221,"")</f>
        <v/>
      </c>
      <c r="K221" s="134">
        <f t="shared" si="5"/>
        <v>1</v>
      </c>
      <c r="L221" s="134" t="str">
        <f>IF(AND(K221&gt;0,Plan!$I224=0),H221&amp;Language!$E$65&amp;I221,"")</f>
        <v/>
      </c>
      <c r="M221" s="2" t="str">
        <f>IF(Plan!$I224=1,F221&amp;G221,"")</f>
        <v>VfL WolfsburgHamburger SV</v>
      </c>
      <c r="N221" s="93" t="str">
        <f>IF(AND(K221&gt;0,Plan!$I224=1),H221&amp;Language!$E$65&amp;I221,"")</f>
        <v>1 : 2</v>
      </c>
      <c r="O221" s="379">
        <f>IF($H221="",0,Results!$L226)</f>
        <v>0</v>
      </c>
      <c r="P221" s="380">
        <f>IF($I221="",0,Results!$M226)</f>
        <v>0</v>
      </c>
    </row>
    <row r="222" spans="5:16" x14ac:dyDescent="0.2">
      <c r="E222" s="298">
        <v>219</v>
      </c>
      <c r="F222" s="190" t="str">
        <f>Plan!$Q225</f>
        <v>1. FC Heidenheim 1846</v>
      </c>
      <c r="G222" s="191" t="str">
        <f>Plan!$S225</f>
        <v>TSG Hoffenheim</v>
      </c>
      <c r="H222" s="134">
        <f>IF(AND(Results!$R$6&gt;0,$E222-1&gt;=Results!$R$6*Calc!$F$26),"",IF(AND(Results!$I227&lt;&gt;"",Results!$K227&lt;&gt;"",Results!$F227&lt;&gt;Results!$H227,$F222&lt;&gt;"",$G222&lt;&gt;""),Results!$I227,""))</f>
        <v>2</v>
      </c>
      <c r="I222" s="18">
        <f>IF(AND(Results!$R$6&gt;0,$E222-1&gt;=Results!$R$6*Calc!$F$26),"",IF(AND(Results!$I227&lt;&gt;"",Results!$K227&lt;&gt;"",Results!$F227&lt;&gt;Results!$H227,$F222&lt;&gt;"",$G222&lt;&gt;""),Results!$K227,""))</f>
        <v>4</v>
      </c>
      <c r="J222" s="17" t="str">
        <f>IF(Plan!$I225=0,F222&amp;G222,"")</f>
        <v/>
      </c>
      <c r="K222" s="134">
        <f t="shared" si="5"/>
        <v>1</v>
      </c>
      <c r="L222" s="134" t="str">
        <f>IF(AND(K222&gt;0,Plan!$I225=0),H222&amp;Language!$E$65&amp;I222,"")</f>
        <v/>
      </c>
      <c r="M222" s="2" t="str">
        <f>IF(Plan!$I225=1,F222&amp;G222,"")</f>
        <v>1. FC Heidenheim 1846TSG Hoffenheim</v>
      </c>
      <c r="N222" s="93" t="str">
        <f>IF(AND(K222&gt;0,Plan!$I225=1),H222&amp;Language!$E$65&amp;I222,"")</f>
        <v>2 : 4</v>
      </c>
      <c r="O222" s="379">
        <f>IF($H222="",0,Results!$L227)</f>
        <v>0</v>
      </c>
      <c r="P222" s="380">
        <f>IF($I222="",0,Results!$M227)</f>
        <v>0</v>
      </c>
    </row>
    <row r="223" spans="5:16" x14ac:dyDescent="0.2">
      <c r="E223" s="298">
        <v>220</v>
      </c>
      <c r="F223" s="190" t="str">
        <f>Plan!$Q226</f>
        <v>RB Leipzig</v>
      </c>
      <c r="G223" s="191" t="str">
        <f>Plan!$S226</f>
        <v>FC Augsburg</v>
      </c>
      <c r="H223" s="134">
        <f>IF(AND(Results!$R$6&gt;0,$E223-1&gt;=Results!$R$6*Calc!$F$26),"",IF(AND(Results!$I228&lt;&gt;"",Results!$K228&lt;&gt;"",Results!$F228&lt;&gt;Results!$H228,$F223&lt;&gt;"",$G223&lt;&gt;""),Results!$I228,""))</f>
        <v>2</v>
      </c>
      <c r="I223" s="18">
        <f>IF(AND(Results!$R$6&gt;0,$E223-1&gt;=Results!$R$6*Calc!$F$26),"",IF(AND(Results!$I228&lt;&gt;"",Results!$K228&lt;&gt;"",Results!$F228&lt;&gt;Results!$H228,$F223&lt;&gt;"",$G223&lt;&gt;""),Results!$K228,""))</f>
        <v>1</v>
      </c>
      <c r="J223" s="17" t="str">
        <f>IF(Plan!$I226=0,F223&amp;G223,"")</f>
        <v/>
      </c>
      <c r="K223" s="134">
        <f t="shared" si="5"/>
        <v>1</v>
      </c>
      <c r="L223" s="134" t="str">
        <f>IF(AND(K223&gt;0,Plan!$I226=0),H223&amp;Language!$E$65&amp;I223,"")</f>
        <v/>
      </c>
      <c r="M223" s="2" t="str">
        <f>IF(Plan!$I226=1,F223&amp;G223,"")</f>
        <v>RB LeipzigFC Augsburg</v>
      </c>
      <c r="N223" s="93" t="str">
        <f>IF(AND(K223&gt;0,Plan!$I226=1),H223&amp;Language!$E$65&amp;I223,"")</f>
        <v>2 : 1</v>
      </c>
      <c r="O223" s="379">
        <f>IF($H223="",0,Results!$L228)</f>
        <v>0</v>
      </c>
      <c r="P223" s="380">
        <f>IF($I223="",0,Results!$M228)</f>
        <v>0</v>
      </c>
    </row>
    <row r="224" spans="5:16" x14ac:dyDescent="0.2">
      <c r="E224" s="298">
        <v>221</v>
      </c>
      <c r="F224" s="190" t="str">
        <f>Plan!$Q227</f>
        <v>SC Freiburg</v>
      </c>
      <c r="G224" s="191" t="str">
        <f>Plan!$S227</f>
        <v>Bayer 04 Leverkusen</v>
      </c>
      <c r="H224" s="134">
        <f>IF(AND(Results!$R$6&gt;0,$E224-1&gt;=Results!$R$6*Calc!$F$26),"",IF(AND(Results!$I229&lt;&gt;"",Results!$K229&lt;&gt;"",Results!$F229&lt;&gt;Results!$H229,$F224&lt;&gt;"",$G224&lt;&gt;""),Results!$I229,""))</f>
        <v>3</v>
      </c>
      <c r="I224" s="18">
        <f>IF(AND(Results!$R$6&gt;0,$E224-1&gt;=Results!$R$6*Calc!$F$26),"",IF(AND(Results!$I229&lt;&gt;"",Results!$K229&lt;&gt;"",Results!$F229&lt;&gt;Results!$H229,$F224&lt;&gt;"",$G224&lt;&gt;""),Results!$K229,""))</f>
        <v>3</v>
      </c>
      <c r="J224" s="17" t="str">
        <f>IF(Plan!$I227=0,F224&amp;G224,"")</f>
        <v/>
      </c>
      <c r="K224" s="134">
        <f t="shared" si="5"/>
        <v>1</v>
      </c>
      <c r="L224" s="134" t="str">
        <f>IF(AND(K224&gt;0,Plan!$I227=0),H224&amp;Language!$E$65&amp;I224,"")</f>
        <v/>
      </c>
      <c r="M224" s="2" t="str">
        <f>IF(Plan!$I227=1,F224&amp;G224,"")</f>
        <v>SC FreiburgBayer 04 Leverkusen</v>
      </c>
      <c r="N224" s="93" t="str">
        <f>IF(AND(K224&gt;0,Plan!$I227=1),H224&amp;Language!$E$65&amp;I224,"")</f>
        <v>3 : 3</v>
      </c>
      <c r="O224" s="379">
        <f>IF($H224="",0,Results!$L229)</f>
        <v>0</v>
      </c>
      <c r="P224" s="380">
        <f>IF($I224="",0,Results!$M229)</f>
        <v>0</v>
      </c>
    </row>
    <row r="225" spans="5:16" x14ac:dyDescent="0.2">
      <c r="E225" s="298">
        <v>222</v>
      </c>
      <c r="F225" s="190" t="str">
        <f>Plan!$Q228</f>
        <v>1. FSV Mainz 05</v>
      </c>
      <c r="G225" s="191" t="str">
        <f>Plan!$S228</f>
        <v>VfB Stuttgart</v>
      </c>
      <c r="H225" s="134">
        <f>IF(AND(Results!$R$6&gt;0,$E225-1&gt;=Results!$R$6*Calc!$F$26),"",IF(AND(Results!$I230&lt;&gt;"",Results!$K230&lt;&gt;"",Results!$F230&lt;&gt;Results!$H230,$F225&lt;&gt;"",$G225&lt;&gt;""),Results!$I230,""))</f>
        <v>2</v>
      </c>
      <c r="I225" s="18">
        <f>IF(AND(Results!$R$6&gt;0,$E225-1&gt;=Results!$R$6*Calc!$F$26),"",IF(AND(Results!$I230&lt;&gt;"",Results!$K230&lt;&gt;"",Results!$F230&lt;&gt;Results!$H230,$F225&lt;&gt;"",$G225&lt;&gt;""),Results!$K230,""))</f>
        <v>2</v>
      </c>
      <c r="J225" s="17" t="str">
        <f>IF(Plan!$I228=0,F225&amp;G225,"")</f>
        <v/>
      </c>
      <c r="K225" s="134">
        <f t="shared" si="5"/>
        <v>1</v>
      </c>
      <c r="L225" s="134" t="str">
        <f>IF(AND(K225&gt;0,Plan!$I228=0),H225&amp;Language!$E$65&amp;I225,"")</f>
        <v/>
      </c>
      <c r="M225" s="2" t="str">
        <f>IF(Plan!$I228=1,F225&amp;G225,"")</f>
        <v>1. FSV Mainz 05VfB Stuttgart</v>
      </c>
      <c r="N225" s="93" t="str">
        <f>IF(AND(K225&gt;0,Plan!$I228=1),H225&amp;Language!$E$65&amp;I225,"")</f>
        <v>2 : 2</v>
      </c>
      <c r="O225" s="379">
        <f>IF($H225="",0,Results!$L230)</f>
        <v>0</v>
      </c>
      <c r="P225" s="380">
        <f>IF($I225="",0,Results!$M230)</f>
        <v>0</v>
      </c>
    </row>
    <row r="226" spans="5:16" x14ac:dyDescent="0.2">
      <c r="E226" s="298">
        <v>223</v>
      </c>
      <c r="F226" s="190" t="str">
        <f>Plan!$Q229</f>
        <v>1. FC Köln</v>
      </c>
      <c r="G226" s="191" t="str">
        <f>Plan!$S229</f>
        <v>Borussia Dortmund</v>
      </c>
      <c r="H226" s="134">
        <f>IF(AND(Results!$R$6&gt;0,$E226-1&gt;=Results!$R$6*Calc!$F$26),"",IF(AND(Results!$I231&lt;&gt;"",Results!$K231&lt;&gt;"",Results!$F231&lt;&gt;Results!$H231,$F226&lt;&gt;"",$G226&lt;&gt;""),Results!$I231,""))</f>
        <v>1</v>
      </c>
      <c r="I226" s="18">
        <f>IF(AND(Results!$R$6&gt;0,$E226-1&gt;=Results!$R$6*Calc!$F$26),"",IF(AND(Results!$I231&lt;&gt;"",Results!$K231&lt;&gt;"",Results!$F231&lt;&gt;Results!$H231,$F226&lt;&gt;"",$G226&lt;&gt;""),Results!$K231,""))</f>
        <v>2</v>
      </c>
      <c r="J226" s="17" t="str">
        <f>IF(Plan!$I229=0,F226&amp;G226,"")</f>
        <v/>
      </c>
      <c r="K226" s="134">
        <f t="shared" si="5"/>
        <v>1</v>
      </c>
      <c r="L226" s="134" t="str">
        <f>IF(AND(K226&gt;0,Plan!$I229=0),H226&amp;Language!$E$65&amp;I226,"")</f>
        <v/>
      </c>
      <c r="M226" s="2" t="str">
        <f>IF(Plan!$I229=1,F226&amp;G226,"")</f>
        <v>1. FC KölnBorussia Dortmund</v>
      </c>
      <c r="N226" s="93" t="str">
        <f>IF(AND(K226&gt;0,Plan!$I229=1),H226&amp;Language!$E$65&amp;I226,"")</f>
        <v>1 : 2</v>
      </c>
      <c r="O226" s="379">
        <f>IF($H226="",0,Results!$L231)</f>
        <v>0</v>
      </c>
      <c r="P226" s="380">
        <f>IF($I226="",0,Results!$M231)</f>
        <v>0</v>
      </c>
    </row>
    <row r="227" spans="5:16" x14ac:dyDescent="0.2">
      <c r="E227" s="298">
        <v>224</v>
      </c>
      <c r="F227" s="190" t="str">
        <f>Plan!$Q230</f>
        <v>FC St. Pauli</v>
      </c>
      <c r="G227" s="191" t="str">
        <f>Plan!$S230</f>
        <v>Eintracht Frankfurt</v>
      </c>
      <c r="H227" s="134">
        <f>IF(AND(Results!$R$6&gt;0,$E227-1&gt;=Results!$R$6*Calc!$F$26),"",IF(AND(Results!$I232&lt;&gt;"",Results!$K232&lt;&gt;"",Results!$F232&lt;&gt;Results!$H232,$F227&lt;&gt;"",$G227&lt;&gt;""),Results!$I232,""))</f>
        <v>0</v>
      </c>
      <c r="I227" s="18">
        <f>IF(AND(Results!$R$6&gt;0,$E227-1&gt;=Results!$R$6*Calc!$F$26),"",IF(AND(Results!$I232&lt;&gt;"",Results!$K232&lt;&gt;"",Results!$F232&lt;&gt;Results!$H232,$F227&lt;&gt;"",$G227&lt;&gt;""),Results!$K232,""))</f>
        <v>0</v>
      </c>
      <c r="J227" s="17" t="str">
        <f>IF(Plan!$I230=0,F227&amp;G227,"")</f>
        <v/>
      </c>
      <c r="K227" s="134">
        <f t="shared" si="5"/>
        <v>1</v>
      </c>
      <c r="L227" s="134" t="str">
        <f>IF(AND(K227&gt;0,Plan!$I230=0),H227&amp;Language!$E$65&amp;I227,"")</f>
        <v/>
      </c>
      <c r="M227" s="2" t="str">
        <f>IF(Plan!$I230=1,F227&amp;G227,"")</f>
        <v>FC St. PauliEintracht Frankfurt</v>
      </c>
      <c r="N227" s="93" t="str">
        <f>IF(AND(K227&gt;0,Plan!$I230=1),H227&amp;Language!$E$65&amp;I227,"")</f>
        <v>0 : 0</v>
      </c>
      <c r="O227" s="379">
        <f>IF($H227="",0,Results!$L232)</f>
        <v>0</v>
      </c>
      <c r="P227" s="380">
        <f>IF($I227="",0,Results!$M232)</f>
        <v>0</v>
      </c>
    </row>
    <row r="228" spans="5:16" x14ac:dyDescent="0.2">
      <c r="E228" s="298">
        <v>225</v>
      </c>
      <c r="F228" s="190" t="str">
        <f>Plan!$Q231</f>
        <v>1. FC Union Berlin</v>
      </c>
      <c r="G228" s="191" t="str">
        <f>Plan!$S231</f>
        <v>SV Werder Bremen</v>
      </c>
      <c r="H228" s="134">
        <f>IF(AND(Results!$R$6&gt;0,$E228-1&gt;=Results!$R$6*Calc!$F$26),"",IF(AND(Results!$I233&lt;&gt;"",Results!$K233&lt;&gt;"",Results!$F233&lt;&gt;Results!$H233,$F228&lt;&gt;"",$G228&lt;&gt;""),Results!$I233,""))</f>
        <v>1</v>
      </c>
      <c r="I228" s="18">
        <f>IF(AND(Results!$R$6&gt;0,$E228-1&gt;=Results!$R$6*Calc!$F$26),"",IF(AND(Results!$I233&lt;&gt;"",Results!$K233&lt;&gt;"",Results!$F233&lt;&gt;Results!$H233,$F228&lt;&gt;"",$G228&lt;&gt;""),Results!$K233,""))</f>
        <v>4</v>
      </c>
      <c r="J228" s="17" t="str">
        <f>IF(Plan!$I231=0,F228&amp;G228,"")</f>
        <v/>
      </c>
      <c r="K228" s="134">
        <f t="shared" si="5"/>
        <v>1</v>
      </c>
      <c r="L228" s="134" t="str">
        <f>IF(AND(K228&gt;0,Plan!$I231=0),H228&amp;Language!$E$65&amp;I228,"")</f>
        <v/>
      </c>
      <c r="M228" s="2" t="str">
        <f>IF(Plan!$I231=1,F228&amp;G228,"")</f>
        <v>1. FC Union BerlinSV Werder Bremen</v>
      </c>
      <c r="N228" s="93" t="str">
        <f>IF(AND(K228&gt;0,Plan!$I231=1),H228&amp;Language!$E$65&amp;I228,"")</f>
        <v>1 : 4</v>
      </c>
      <c r="O228" s="379">
        <f>IF($H228="",0,Results!$L233)</f>
        <v>0</v>
      </c>
      <c r="P228" s="380">
        <f>IF($I228="",0,Results!$M233)</f>
        <v>0</v>
      </c>
    </row>
    <row r="229" spans="5:16" x14ac:dyDescent="0.2">
      <c r="E229" s="298">
        <v>226</v>
      </c>
      <c r="F229" s="190" t="str">
        <f>Plan!$Q232</f>
        <v>Borussia Mönchengladbach</v>
      </c>
      <c r="G229" s="191" t="str">
        <f>Plan!$S232</f>
        <v>FC St. Pauli</v>
      </c>
      <c r="H229" s="134">
        <f>IF(AND(Results!$R$6&gt;0,$E229-1&gt;=Results!$R$6*Calc!$F$26),"",IF(AND(Results!$I234&lt;&gt;"",Results!$K234&lt;&gt;"",Results!$F234&lt;&gt;Results!$H234,$F229&lt;&gt;"",$G229&lt;&gt;""),Results!$I234,""))</f>
        <v>2</v>
      </c>
      <c r="I229" s="18">
        <f>IF(AND(Results!$R$6&gt;0,$E229-1&gt;=Results!$R$6*Calc!$F$26),"",IF(AND(Results!$I234&lt;&gt;"",Results!$K234&lt;&gt;"",Results!$F234&lt;&gt;Results!$H234,$F229&lt;&gt;"",$G229&lt;&gt;""),Results!$K234,""))</f>
        <v>0</v>
      </c>
      <c r="J229" s="17" t="str">
        <f>IF(Plan!$I232=0,F229&amp;G229,"")</f>
        <v/>
      </c>
      <c r="K229" s="134">
        <f t="shared" si="5"/>
        <v>1</v>
      </c>
      <c r="L229" s="134" t="str">
        <f>IF(AND(K229&gt;0,Plan!$I232=0),H229&amp;Language!$E$65&amp;I229,"")</f>
        <v/>
      </c>
      <c r="M229" s="2" t="str">
        <f>IF(Plan!$I232=1,F229&amp;G229,"")</f>
        <v>Borussia MönchengladbachFC St. Pauli</v>
      </c>
      <c r="N229" s="93" t="str">
        <f>IF(AND(K229&gt;0,Plan!$I232=1),H229&amp;Language!$E$65&amp;I229,"")</f>
        <v>2 : 0</v>
      </c>
      <c r="O229" s="379">
        <f>IF($H229="",0,Results!$L234)</f>
        <v>0</v>
      </c>
      <c r="P229" s="380">
        <f>IF($I229="",0,Results!$M234)</f>
        <v>0</v>
      </c>
    </row>
    <row r="230" spans="5:16" x14ac:dyDescent="0.2">
      <c r="E230" s="298">
        <v>227</v>
      </c>
      <c r="F230" s="190" t="str">
        <f>Plan!$Q233</f>
        <v>Borussia Dortmund</v>
      </c>
      <c r="G230" s="191" t="str">
        <f>Plan!$S233</f>
        <v>FC Augsburg</v>
      </c>
      <c r="H230" s="134">
        <f>IF(AND(Results!$R$6&gt;0,$E230-1&gt;=Results!$R$6*Calc!$F$26),"",IF(AND(Results!$I235&lt;&gt;"",Results!$K235&lt;&gt;"",Results!$F235&lt;&gt;Results!$H235,$F230&lt;&gt;"",$G230&lt;&gt;""),Results!$I235,""))</f>
        <v>2</v>
      </c>
      <c r="I230" s="18">
        <f>IF(AND(Results!$R$6&gt;0,$E230-1&gt;=Results!$R$6*Calc!$F$26),"",IF(AND(Results!$I235&lt;&gt;"",Results!$K235&lt;&gt;"",Results!$F235&lt;&gt;Results!$H235,$F230&lt;&gt;"",$G230&lt;&gt;""),Results!$K235,""))</f>
        <v>0</v>
      </c>
      <c r="J230" s="17" t="str">
        <f>IF(Plan!$I233=0,F230&amp;G230,"")</f>
        <v/>
      </c>
      <c r="K230" s="134">
        <f t="shared" si="5"/>
        <v>1</v>
      </c>
      <c r="L230" s="134" t="str">
        <f>IF(AND(K230&gt;0,Plan!$I233=0),H230&amp;Language!$E$65&amp;I230,"")</f>
        <v/>
      </c>
      <c r="M230" s="2" t="str">
        <f>IF(Plan!$I233=1,F230&amp;G230,"")</f>
        <v>Borussia DortmundFC Augsburg</v>
      </c>
      <c r="N230" s="93" t="str">
        <f>IF(AND(K230&gt;0,Plan!$I233=1),H230&amp;Language!$E$65&amp;I230,"")</f>
        <v>2 : 0</v>
      </c>
      <c r="O230" s="379">
        <f>IF($H230="",0,Results!$L235)</f>
        <v>0</v>
      </c>
      <c r="P230" s="380">
        <f>IF($I230="",0,Results!$M235)</f>
        <v>0</v>
      </c>
    </row>
    <row r="231" spans="5:16" x14ac:dyDescent="0.2">
      <c r="E231" s="298">
        <v>228</v>
      </c>
      <c r="F231" s="190" t="str">
        <f>Plan!$Q234</f>
        <v>TSG Hoffenheim</v>
      </c>
      <c r="G231" s="191" t="str">
        <f>Plan!$S234</f>
        <v>VfL Wolfsburg</v>
      </c>
      <c r="H231" s="134">
        <f>IF(AND(Results!$R$6&gt;0,$E231-1&gt;=Results!$R$6*Calc!$F$26),"",IF(AND(Results!$I236&lt;&gt;"",Results!$K236&lt;&gt;"",Results!$F236&lt;&gt;Results!$H236,$F231&lt;&gt;"",$G231&lt;&gt;""),Results!$I236,""))</f>
        <v>1</v>
      </c>
      <c r="I231" s="18">
        <f>IF(AND(Results!$R$6&gt;0,$E231-1&gt;=Results!$R$6*Calc!$F$26),"",IF(AND(Results!$I236&lt;&gt;"",Results!$K236&lt;&gt;"",Results!$F236&lt;&gt;Results!$H236,$F231&lt;&gt;"",$G231&lt;&gt;""),Results!$K236,""))</f>
        <v>1</v>
      </c>
      <c r="J231" s="17" t="str">
        <f>IF(Plan!$I234=0,F231&amp;G231,"")</f>
        <v/>
      </c>
      <c r="K231" s="134">
        <f t="shared" si="5"/>
        <v>1</v>
      </c>
      <c r="L231" s="134" t="str">
        <f>IF(AND(K231&gt;0,Plan!$I234=0),H231&amp;Language!$E$65&amp;I231,"")</f>
        <v/>
      </c>
      <c r="M231" s="2" t="str">
        <f>IF(Plan!$I234=1,F231&amp;G231,"")</f>
        <v>TSG HoffenheimVfL Wolfsburg</v>
      </c>
      <c r="N231" s="93" t="str">
        <f>IF(AND(K231&gt;0,Plan!$I234=1),H231&amp;Language!$E$65&amp;I231,"")</f>
        <v>1 : 1</v>
      </c>
      <c r="O231" s="379">
        <f>IF($H231="",0,Results!$L236)</f>
        <v>0</v>
      </c>
      <c r="P231" s="380">
        <f>IF($I231="",0,Results!$M236)</f>
        <v>0</v>
      </c>
    </row>
    <row r="232" spans="5:16" x14ac:dyDescent="0.2">
      <c r="E232" s="298">
        <v>229</v>
      </c>
      <c r="F232" s="190" t="str">
        <f>Plan!$Q235</f>
        <v>Bayer 04 Leverkusen</v>
      </c>
      <c r="G232" s="191" t="str">
        <f>Plan!$S235</f>
        <v>FC Bayern München</v>
      </c>
      <c r="H232" s="134">
        <f>IF(AND(Results!$R$6&gt;0,$E232-1&gt;=Results!$R$6*Calc!$F$26),"",IF(AND(Results!$I237&lt;&gt;"",Results!$K237&lt;&gt;"",Results!$F237&lt;&gt;Results!$H237,$F232&lt;&gt;"",$G232&lt;&gt;""),Results!$I237,""))</f>
        <v>1</v>
      </c>
      <c r="I232" s="18">
        <f>IF(AND(Results!$R$6&gt;0,$E232-1&gt;=Results!$R$6*Calc!$F$26),"",IF(AND(Results!$I237&lt;&gt;"",Results!$K237&lt;&gt;"",Results!$F237&lt;&gt;Results!$H237,$F232&lt;&gt;"",$G232&lt;&gt;""),Results!$K237,""))</f>
        <v>1</v>
      </c>
      <c r="J232" s="17" t="str">
        <f>IF(Plan!$I235=0,F232&amp;G232,"")</f>
        <v/>
      </c>
      <c r="K232" s="134">
        <f t="shared" si="5"/>
        <v>1</v>
      </c>
      <c r="L232" s="134" t="str">
        <f>IF(AND(K232&gt;0,Plan!$I235=0),H232&amp;Language!$E$65&amp;I232,"")</f>
        <v/>
      </c>
      <c r="M232" s="2" t="str">
        <f>IF(Plan!$I235=1,F232&amp;G232,"")</f>
        <v>Bayer 04 LeverkusenFC Bayern München</v>
      </c>
      <c r="N232" s="93" t="str">
        <f>IF(AND(K232&gt;0,Plan!$I235=1),H232&amp;Language!$E$65&amp;I232,"")</f>
        <v>1 : 1</v>
      </c>
      <c r="O232" s="379">
        <f>IF($H232="",0,Results!$L237)</f>
        <v>0</v>
      </c>
      <c r="P232" s="380">
        <f>IF($I232="",0,Results!$M237)</f>
        <v>0</v>
      </c>
    </row>
    <row r="233" spans="5:16" x14ac:dyDescent="0.2">
      <c r="E233" s="298">
        <v>230</v>
      </c>
      <c r="F233" s="190" t="str">
        <f>Plan!$Q236</f>
        <v>Eintracht Frankfurt</v>
      </c>
      <c r="G233" s="191" t="str">
        <f>Plan!$S236</f>
        <v>1. FC Heidenheim 1846</v>
      </c>
      <c r="H233" s="134">
        <f>IF(AND(Results!$R$6&gt;0,$E233-1&gt;=Results!$R$6*Calc!$F$26),"",IF(AND(Results!$I238&lt;&gt;"",Results!$K238&lt;&gt;"",Results!$F238&lt;&gt;Results!$H238,$F233&lt;&gt;"",$G233&lt;&gt;""),Results!$I238,""))</f>
        <v>1</v>
      </c>
      <c r="I233" s="18">
        <f>IF(AND(Results!$R$6&gt;0,$E233-1&gt;=Results!$R$6*Calc!$F$26),"",IF(AND(Results!$I238&lt;&gt;"",Results!$K238&lt;&gt;"",Results!$F238&lt;&gt;Results!$H238,$F233&lt;&gt;"",$G233&lt;&gt;""),Results!$K238,""))</f>
        <v>0</v>
      </c>
      <c r="J233" s="17" t="str">
        <f>IF(Plan!$I236=0,F233&amp;G233,"")</f>
        <v/>
      </c>
      <c r="K233" s="134">
        <f t="shared" si="5"/>
        <v>1</v>
      </c>
      <c r="L233" s="134" t="str">
        <f>IF(AND(K233&gt;0,Plan!$I236=0),H233&amp;Language!$E$65&amp;I233,"")</f>
        <v/>
      </c>
      <c r="M233" s="2" t="str">
        <f>IF(Plan!$I236=1,F233&amp;G233,"")</f>
        <v>Eintracht Frankfurt1. FC Heidenheim 1846</v>
      </c>
      <c r="N233" s="93" t="str">
        <f>IF(AND(K233&gt;0,Plan!$I236=1),H233&amp;Language!$E$65&amp;I233,"")</f>
        <v>1 : 0</v>
      </c>
      <c r="O233" s="379">
        <f>IF($H233="",0,Results!$L238)</f>
        <v>0</v>
      </c>
      <c r="P233" s="380">
        <f>IF($I233="",0,Results!$M238)</f>
        <v>0</v>
      </c>
    </row>
    <row r="234" spans="5:16" x14ac:dyDescent="0.2">
      <c r="E234" s="298">
        <v>231</v>
      </c>
      <c r="F234" s="190" t="str">
        <f>Plan!$Q237</f>
        <v>Hamburger SV</v>
      </c>
      <c r="G234" s="191" t="str">
        <f>Plan!$S237</f>
        <v>1. FC Köln</v>
      </c>
      <c r="H234" s="134">
        <f>IF(AND(Results!$R$6&gt;0,$E234-1&gt;=Results!$R$6*Calc!$F$26),"",IF(AND(Results!$I239&lt;&gt;"",Results!$K239&lt;&gt;"",Results!$F239&lt;&gt;Results!$H239,$F234&lt;&gt;"",$G234&lt;&gt;""),Results!$I239,""))</f>
        <v>1</v>
      </c>
      <c r="I234" s="18">
        <f>IF(AND(Results!$R$6&gt;0,$E234-1&gt;=Results!$R$6*Calc!$F$26),"",IF(AND(Results!$I239&lt;&gt;"",Results!$K239&lt;&gt;"",Results!$F239&lt;&gt;Results!$H239,$F234&lt;&gt;"",$G234&lt;&gt;""),Results!$K239,""))</f>
        <v>1</v>
      </c>
      <c r="J234" s="17" t="str">
        <f>IF(Plan!$I237=0,F234&amp;G234,"")</f>
        <v/>
      </c>
      <c r="K234" s="134">
        <f t="shared" si="5"/>
        <v>1</v>
      </c>
      <c r="L234" s="134" t="str">
        <f>IF(AND(K234&gt;0,Plan!$I237=0),H234&amp;Language!$E$65&amp;I234,"")</f>
        <v/>
      </c>
      <c r="M234" s="2" t="str">
        <f>IF(Plan!$I237=1,F234&amp;G234,"")</f>
        <v>Hamburger SV1. FC Köln</v>
      </c>
      <c r="N234" s="93" t="str">
        <f>IF(AND(K234&gt;0,Plan!$I237=1),H234&amp;Language!$E$65&amp;I234,"")</f>
        <v>1 : 1</v>
      </c>
      <c r="O234" s="379">
        <f>IF($H234="",0,Results!$L239)</f>
        <v>0</v>
      </c>
      <c r="P234" s="380">
        <f>IF($I234="",0,Results!$M239)</f>
        <v>0</v>
      </c>
    </row>
    <row r="235" spans="5:16" x14ac:dyDescent="0.2">
      <c r="E235" s="298">
        <v>232</v>
      </c>
      <c r="F235" s="190" t="str">
        <f>Plan!$Q238</f>
        <v>SV Werder Bremen</v>
      </c>
      <c r="G235" s="191" t="str">
        <f>Plan!$S238</f>
        <v>1. FSV Mainz 05</v>
      </c>
      <c r="H235" s="134">
        <f>IF(AND(Results!$R$6&gt;0,$E235-1&gt;=Results!$R$6*Calc!$F$26),"",IF(AND(Results!$I240&lt;&gt;"",Results!$K240&lt;&gt;"",Results!$F240&lt;&gt;Results!$H240,$F235&lt;&gt;"",$G235&lt;&gt;""),Results!$I240,""))</f>
        <v>0</v>
      </c>
      <c r="I235" s="18">
        <f>IF(AND(Results!$R$6&gt;0,$E235-1&gt;=Results!$R$6*Calc!$F$26),"",IF(AND(Results!$I240&lt;&gt;"",Results!$K240&lt;&gt;"",Results!$F240&lt;&gt;Results!$H240,$F235&lt;&gt;"",$G235&lt;&gt;""),Results!$K240,""))</f>
        <v>2</v>
      </c>
      <c r="J235" s="17" t="str">
        <f>IF(Plan!$I238=0,F235&amp;G235,"")</f>
        <v/>
      </c>
      <c r="K235" s="134">
        <f t="shared" si="5"/>
        <v>1</v>
      </c>
      <c r="L235" s="134" t="str">
        <f>IF(AND(K235&gt;0,Plan!$I238=0),H235&amp;Language!$E$65&amp;I235,"")</f>
        <v/>
      </c>
      <c r="M235" s="2" t="str">
        <f>IF(Plan!$I238=1,F235&amp;G235,"")</f>
        <v>SV Werder Bremen1. FSV Mainz 05</v>
      </c>
      <c r="N235" s="93" t="str">
        <f>IF(AND(K235&gt;0,Plan!$I238=1),H235&amp;Language!$E$65&amp;I235,"")</f>
        <v>0 : 2</v>
      </c>
      <c r="O235" s="379">
        <f>IF($H235="",0,Results!$L240)</f>
        <v>0</v>
      </c>
      <c r="P235" s="380">
        <f>IF($I235="",0,Results!$M240)</f>
        <v>0</v>
      </c>
    </row>
    <row r="236" spans="5:16" x14ac:dyDescent="0.2">
      <c r="E236" s="298">
        <v>233</v>
      </c>
      <c r="F236" s="190" t="str">
        <f>Plan!$Q239</f>
        <v>SC Freiburg</v>
      </c>
      <c r="G236" s="191" t="str">
        <f>Plan!$S239</f>
        <v>1. FC Union Berlin</v>
      </c>
      <c r="H236" s="134">
        <f>IF(AND(Results!$R$6&gt;0,$E236-1&gt;=Results!$R$6*Calc!$F$26),"",IF(AND(Results!$I241&lt;&gt;"",Results!$K241&lt;&gt;"",Results!$F241&lt;&gt;Results!$H241,$F236&lt;&gt;"",$G236&lt;&gt;""),Results!$I241,""))</f>
        <v>0</v>
      </c>
      <c r="I236" s="18">
        <f>IF(AND(Results!$R$6&gt;0,$E236-1&gt;=Results!$R$6*Calc!$F$26),"",IF(AND(Results!$I241&lt;&gt;"",Results!$K241&lt;&gt;"",Results!$F241&lt;&gt;Results!$H241,$F236&lt;&gt;"",$G236&lt;&gt;""),Results!$K241,""))</f>
        <v>1</v>
      </c>
      <c r="J236" s="17" t="str">
        <f>IF(Plan!$I239=0,F236&amp;G236,"")</f>
        <v/>
      </c>
      <c r="K236" s="134">
        <f t="shared" si="5"/>
        <v>1</v>
      </c>
      <c r="L236" s="134" t="str">
        <f>IF(AND(K236&gt;0,Plan!$I239=0),H236&amp;Language!$E$65&amp;I236,"")</f>
        <v/>
      </c>
      <c r="M236" s="2" t="str">
        <f>IF(Plan!$I239=1,F236&amp;G236,"")</f>
        <v>SC Freiburg1. FC Union Berlin</v>
      </c>
      <c r="N236" s="93" t="str">
        <f>IF(AND(K236&gt;0,Plan!$I239=1),H236&amp;Language!$E$65&amp;I236,"")</f>
        <v>0 : 1</v>
      </c>
      <c r="O236" s="379">
        <f>IF($H236="",0,Results!$L241)</f>
        <v>0</v>
      </c>
      <c r="P236" s="380">
        <f>IF($I236="",0,Results!$M241)</f>
        <v>0</v>
      </c>
    </row>
    <row r="237" spans="5:16" x14ac:dyDescent="0.2">
      <c r="E237" s="298">
        <v>234</v>
      </c>
      <c r="F237" s="190" t="str">
        <f>Plan!$Q240</f>
        <v>VfB Stuttgart</v>
      </c>
      <c r="G237" s="191" t="str">
        <f>Plan!$S240</f>
        <v>RB Leipzig</v>
      </c>
      <c r="H237" s="134">
        <f>IF(AND(Results!$R$6&gt;0,$E237-1&gt;=Results!$R$6*Calc!$F$26),"",IF(AND(Results!$I242&lt;&gt;"",Results!$K242&lt;&gt;"",Results!$F242&lt;&gt;Results!$H242,$F237&lt;&gt;"",$G237&lt;&gt;""),Results!$I242,""))</f>
        <v>1</v>
      </c>
      <c r="I237" s="18">
        <f>IF(AND(Results!$R$6&gt;0,$E237-1&gt;=Results!$R$6*Calc!$F$26),"",IF(AND(Results!$I242&lt;&gt;"",Results!$K242&lt;&gt;"",Results!$F242&lt;&gt;Results!$H242,$F237&lt;&gt;"",$G237&lt;&gt;""),Results!$K242,""))</f>
        <v>0</v>
      </c>
      <c r="J237" s="17" t="str">
        <f>IF(Plan!$I240=0,F237&amp;G237,"")</f>
        <v/>
      </c>
      <c r="K237" s="134">
        <f t="shared" si="5"/>
        <v>1</v>
      </c>
      <c r="L237" s="134" t="str">
        <f>IF(AND(K237&gt;0,Plan!$I240=0),H237&amp;Language!$E$65&amp;I237,"")</f>
        <v/>
      </c>
      <c r="M237" s="2" t="str">
        <f>IF(Plan!$I240=1,F237&amp;G237,"")</f>
        <v>VfB StuttgartRB Leipzig</v>
      </c>
      <c r="N237" s="93" t="str">
        <f>IF(AND(K237&gt;0,Plan!$I240=1),H237&amp;Language!$E$65&amp;I237,"")</f>
        <v>1 : 0</v>
      </c>
      <c r="O237" s="379">
        <f>IF($H237="",0,Results!$L242)</f>
        <v>0</v>
      </c>
      <c r="P237" s="380">
        <f>IF($I237="",0,Results!$M242)</f>
        <v>0</v>
      </c>
    </row>
    <row r="238" spans="5:16" x14ac:dyDescent="0.2">
      <c r="E238" s="298">
        <v>235</v>
      </c>
      <c r="F238" s="190" t="str">
        <f>Plan!$Q241</f>
        <v>RB Leipzig</v>
      </c>
      <c r="G238" s="191" t="str">
        <f>Plan!$S241</f>
        <v>TSG Hoffenheim</v>
      </c>
      <c r="H238" s="134">
        <f>IF(AND(Results!$R$6&gt;0,$E238-1&gt;=Results!$R$6*Calc!$F$26),"",IF(AND(Results!$I243&lt;&gt;"",Results!$K243&lt;&gt;"",Results!$F243&lt;&gt;Results!$H243,$F238&lt;&gt;"",$G238&lt;&gt;""),Results!$I243,""))</f>
        <v>5</v>
      </c>
      <c r="I238" s="18">
        <f>IF(AND(Results!$R$6&gt;0,$E238-1&gt;=Results!$R$6*Calc!$F$26),"",IF(AND(Results!$I243&lt;&gt;"",Results!$K243&lt;&gt;"",Results!$F243&lt;&gt;Results!$H243,$F238&lt;&gt;"",$G238&lt;&gt;""),Results!$K243,""))</f>
        <v>0</v>
      </c>
      <c r="J238" s="17" t="str">
        <f>IF(Plan!$I241=0,F238&amp;G238,"")</f>
        <v/>
      </c>
      <c r="K238" s="134">
        <f t="shared" si="5"/>
        <v>1</v>
      </c>
      <c r="L238" s="134" t="str">
        <f>IF(AND(K238&gt;0,Plan!$I241=0),H238&amp;Language!$E$65&amp;I238,"")</f>
        <v/>
      </c>
      <c r="M238" s="2" t="str">
        <f>IF(Plan!$I241=1,F238&amp;G238,"")</f>
        <v>RB LeipzigTSG Hoffenheim</v>
      </c>
      <c r="N238" s="93" t="str">
        <f>IF(AND(K238&gt;0,Plan!$I241=1),H238&amp;Language!$E$65&amp;I238,"")</f>
        <v>5 : 0</v>
      </c>
      <c r="O238" s="379">
        <f>IF($H238="",0,Results!$L243)</f>
        <v>0</v>
      </c>
      <c r="P238" s="380">
        <f>IF($I238="",0,Results!$M243)</f>
        <v>0</v>
      </c>
    </row>
    <row r="239" spans="5:16" x14ac:dyDescent="0.2">
      <c r="E239" s="298">
        <v>236</v>
      </c>
      <c r="F239" s="190" t="str">
        <f>Plan!$Q242</f>
        <v>1. FC Heidenheim 1846</v>
      </c>
      <c r="G239" s="191" t="str">
        <f>Plan!$S242</f>
        <v>Bayer 04 Leverkusen</v>
      </c>
      <c r="H239" s="134">
        <f>IF(AND(Results!$R$6&gt;0,$E239-1&gt;=Results!$R$6*Calc!$F$26),"",IF(AND(Results!$I244&lt;&gt;"",Results!$K244&lt;&gt;"",Results!$F244&lt;&gt;Results!$H244,$F239&lt;&gt;"",$G239&lt;&gt;""),Results!$I244,""))</f>
        <v>3</v>
      </c>
      <c r="I239" s="18">
        <f>IF(AND(Results!$R$6&gt;0,$E239-1&gt;=Results!$R$6*Calc!$F$26),"",IF(AND(Results!$I244&lt;&gt;"",Results!$K244&lt;&gt;"",Results!$F244&lt;&gt;Results!$H244,$F239&lt;&gt;"",$G239&lt;&gt;""),Results!$K244,""))</f>
        <v>3</v>
      </c>
      <c r="J239" s="17" t="str">
        <f>IF(Plan!$I242=0,F239&amp;G239,"")</f>
        <v/>
      </c>
      <c r="K239" s="134">
        <f t="shared" si="5"/>
        <v>1</v>
      </c>
      <c r="L239" s="134" t="str">
        <f>IF(AND(K239&gt;0,Plan!$I242=0),H239&amp;Language!$E$65&amp;I239,"")</f>
        <v/>
      </c>
      <c r="M239" s="2" t="str">
        <f>IF(Plan!$I242=1,F239&amp;G239,"")</f>
        <v>1. FC Heidenheim 1846Bayer 04 Leverkusen</v>
      </c>
      <c r="N239" s="93" t="str">
        <f>IF(AND(K239&gt;0,Plan!$I242=1),H239&amp;Language!$E$65&amp;I239,"")</f>
        <v>3 : 3</v>
      </c>
      <c r="O239" s="379">
        <f>IF($H239="",0,Results!$L244)</f>
        <v>0</v>
      </c>
      <c r="P239" s="380">
        <f>IF($I239="",0,Results!$M244)</f>
        <v>0</v>
      </c>
    </row>
    <row r="240" spans="5:16" x14ac:dyDescent="0.2">
      <c r="E240" s="298">
        <v>237</v>
      </c>
      <c r="F240" s="190" t="str">
        <f>Plan!$Q243</f>
        <v>1. FC Köln</v>
      </c>
      <c r="G240" s="191" t="str">
        <f>Plan!$S243</f>
        <v>Borussia Mönchengladbach</v>
      </c>
      <c r="H240" s="134">
        <f>IF(AND(Results!$R$6&gt;0,$E240-1&gt;=Results!$R$6*Calc!$F$26),"",IF(AND(Results!$I245&lt;&gt;"",Results!$K245&lt;&gt;"",Results!$F245&lt;&gt;Results!$H245,$F240&lt;&gt;"",$G240&lt;&gt;""),Results!$I245,""))</f>
        <v>3</v>
      </c>
      <c r="I240" s="18">
        <f>IF(AND(Results!$R$6&gt;0,$E240-1&gt;=Results!$R$6*Calc!$F$26),"",IF(AND(Results!$I245&lt;&gt;"",Results!$K245&lt;&gt;"",Results!$F245&lt;&gt;Results!$H245,$F240&lt;&gt;"",$G240&lt;&gt;""),Results!$K245,""))</f>
        <v>3</v>
      </c>
      <c r="J240" s="17" t="str">
        <f>IF(Plan!$I243=0,F240&amp;G240,"")</f>
        <v/>
      </c>
      <c r="K240" s="134">
        <f t="shared" si="5"/>
        <v>1</v>
      </c>
      <c r="L240" s="134" t="str">
        <f>IF(AND(K240&gt;0,Plan!$I243=0),H240&amp;Language!$E$65&amp;I240,"")</f>
        <v/>
      </c>
      <c r="M240" s="2" t="str">
        <f>IF(Plan!$I243=1,F240&amp;G240,"")</f>
        <v>1. FC KölnBorussia Mönchengladbach</v>
      </c>
      <c r="N240" s="93" t="str">
        <f>IF(AND(K240&gt;0,Plan!$I243=1),H240&amp;Language!$E$65&amp;I240,"")</f>
        <v>3 : 3</v>
      </c>
      <c r="O240" s="379">
        <f>IF($H240="",0,Results!$L245)</f>
        <v>0</v>
      </c>
      <c r="P240" s="380">
        <f>IF($I240="",0,Results!$M245)</f>
        <v>0</v>
      </c>
    </row>
    <row r="241" spans="5:16" x14ac:dyDescent="0.2">
      <c r="E241" s="298">
        <v>238</v>
      </c>
      <c r="F241" s="190" t="str">
        <f>Plan!$Q244</f>
        <v>FC Bayern München</v>
      </c>
      <c r="G241" s="191" t="str">
        <f>Plan!$S244</f>
        <v>1. FC Union Berlin</v>
      </c>
      <c r="H241" s="134">
        <f>IF(AND(Results!$R$6&gt;0,$E241-1&gt;=Results!$R$6*Calc!$F$26),"",IF(AND(Results!$I246&lt;&gt;"",Results!$K246&lt;&gt;"",Results!$F246&lt;&gt;Results!$H246,$F241&lt;&gt;"",$G241&lt;&gt;""),Results!$I246,""))</f>
        <v>4</v>
      </c>
      <c r="I241" s="18">
        <f>IF(AND(Results!$R$6&gt;0,$E241-1&gt;=Results!$R$6*Calc!$F$26),"",IF(AND(Results!$I246&lt;&gt;"",Results!$K246&lt;&gt;"",Results!$F246&lt;&gt;Results!$H246,$F241&lt;&gt;"",$G241&lt;&gt;""),Results!$K246,""))</f>
        <v>0</v>
      </c>
      <c r="J241" s="17" t="str">
        <f>IF(Plan!$I244=0,F241&amp;G241,"")</f>
        <v/>
      </c>
      <c r="K241" s="134">
        <f t="shared" si="5"/>
        <v>1</v>
      </c>
      <c r="L241" s="134" t="str">
        <f>IF(AND(K241&gt;0,Plan!$I244=0),H241&amp;Language!$E$65&amp;I241,"")</f>
        <v/>
      </c>
      <c r="M241" s="2" t="str">
        <f>IF(Plan!$I244=1,F241&amp;G241,"")</f>
        <v>FC Bayern München1. FC Union Berlin</v>
      </c>
      <c r="N241" s="93" t="str">
        <f>IF(AND(K241&gt;0,Plan!$I244=1),H241&amp;Language!$E$65&amp;I241,"")</f>
        <v>4 : 0</v>
      </c>
      <c r="O241" s="379">
        <f>IF($H241="",0,Results!$L246)</f>
        <v>0</v>
      </c>
      <c r="P241" s="380">
        <f>IF($I241="",0,Results!$M246)</f>
        <v>0</v>
      </c>
    </row>
    <row r="242" spans="5:16" x14ac:dyDescent="0.2">
      <c r="E242" s="298">
        <v>239</v>
      </c>
      <c r="F242" s="190" t="str">
        <f>Plan!$Q245</f>
        <v>VfL Wolfsburg</v>
      </c>
      <c r="G242" s="191" t="str">
        <f>Plan!$S245</f>
        <v>SV Werder Bremen</v>
      </c>
      <c r="H242" s="134">
        <f>IF(AND(Results!$R$6&gt;0,$E242-1&gt;=Results!$R$6*Calc!$F$26),"",IF(AND(Results!$I247&lt;&gt;"",Results!$K247&lt;&gt;"",Results!$F247&lt;&gt;Results!$H247,$F242&lt;&gt;"",$G242&lt;&gt;""),Results!$I247,""))</f>
        <v>0</v>
      </c>
      <c r="I242" s="18">
        <f>IF(AND(Results!$R$6&gt;0,$E242-1&gt;=Results!$R$6*Calc!$F$26),"",IF(AND(Results!$I247&lt;&gt;"",Results!$K247&lt;&gt;"",Results!$F247&lt;&gt;Results!$H247,$F242&lt;&gt;"",$G242&lt;&gt;""),Results!$K247,""))</f>
        <v>1</v>
      </c>
      <c r="J242" s="17" t="str">
        <f>IF(Plan!$I245=0,F242&amp;G242,"")</f>
        <v/>
      </c>
      <c r="K242" s="134">
        <f t="shared" si="5"/>
        <v>1</v>
      </c>
      <c r="L242" s="134" t="str">
        <f>IF(AND(K242&gt;0,Plan!$I245=0),H242&amp;Language!$E$65&amp;I242,"")</f>
        <v/>
      </c>
      <c r="M242" s="2" t="str">
        <f>IF(Plan!$I245=1,F242&amp;G242,"")</f>
        <v>VfL WolfsburgSV Werder Bremen</v>
      </c>
      <c r="N242" s="93" t="str">
        <f>IF(AND(K242&gt;0,Plan!$I245=1),H242&amp;Language!$E$65&amp;I242,"")</f>
        <v>0 : 1</v>
      </c>
      <c r="O242" s="379">
        <f>IF($H242="",0,Results!$L247)</f>
        <v>0</v>
      </c>
      <c r="P242" s="380">
        <f>IF($I242="",0,Results!$M247)</f>
        <v>0</v>
      </c>
    </row>
    <row r="243" spans="5:16" x14ac:dyDescent="0.2">
      <c r="E243" s="298">
        <v>240</v>
      </c>
      <c r="F243" s="190" t="str">
        <f>Plan!$Q246</f>
        <v>Borussia Dortmund</v>
      </c>
      <c r="G243" s="191" t="str">
        <f>Plan!$S246</f>
        <v>Hamburger SV</v>
      </c>
      <c r="H243" s="134">
        <f>IF(AND(Results!$R$6&gt;0,$E243-1&gt;=Results!$R$6*Calc!$F$26),"",IF(AND(Results!$I248&lt;&gt;"",Results!$K248&lt;&gt;"",Results!$F248&lt;&gt;Results!$H248,$F243&lt;&gt;"",$G243&lt;&gt;""),Results!$I248,""))</f>
        <v>3</v>
      </c>
      <c r="I243" s="18">
        <f>IF(AND(Results!$R$6&gt;0,$E243-1&gt;=Results!$R$6*Calc!$F$26),"",IF(AND(Results!$I248&lt;&gt;"",Results!$K248&lt;&gt;"",Results!$F248&lt;&gt;Results!$H248,$F243&lt;&gt;"",$G243&lt;&gt;""),Results!$K248,""))</f>
        <v>2</v>
      </c>
      <c r="J243" s="17" t="str">
        <f>IF(Plan!$I246=0,F243&amp;G243,"")</f>
        <v/>
      </c>
      <c r="K243" s="134">
        <f t="shared" si="5"/>
        <v>1</v>
      </c>
      <c r="L243" s="134" t="str">
        <f>IF(AND(K243&gt;0,Plan!$I246=0),H243&amp;Language!$E$65&amp;I243,"")</f>
        <v/>
      </c>
      <c r="M243" s="2" t="str">
        <f>IF(Plan!$I246=1,F243&amp;G243,"")</f>
        <v>Borussia DortmundHamburger SV</v>
      </c>
      <c r="N243" s="93" t="str">
        <f>IF(AND(K243&gt;0,Plan!$I246=1),H243&amp;Language!$E$65&amp;I243,"")</f>
        <v>3 : 2</v>
      </c>
      <c r="O243" s="379">
        <f>IF($H243="",0,Results!$L248)</f>
        <v>0</v>
      </c>
      <c r="P243" s="380">
        <f>IF($I243="",0,Results!$M248)</f>
        <v>0</v>
      </c>
    </row>
    <row r="244" spans="5:16" x14ac:dyDescent="0.2">
      <c r="E244" s="298">
        <v>241</v>
      </c>
      <c r="F244" s="190" t="str">
        <f>Plan!$Q247</f>
        <v>1. FSV Mainz 05</v>
      </c>
      <c r="G244" s="191" t="str">
        <f>Plan!$S247</f>
        <v>Eintracht Frankfurt</v>
      </c>
      <c r="H244" s="134">
        <f>IF(AND(Results!$R$6&gt;0,$E244-1&gt;=Results!$R$6*Calc!$F$26),"",IF(AND(Results!$I249&lt;&gt;"",Results!$K249&lt;&gt;"",Results!$F249&lt;&gt;Results!$H249,$F244&lt;&gt;"",$G244&lt;&gt;""),Results!$I249,""))</f>
        <v>2</v>
      </c>
      <c r="I244" s="18">
        <f>IF(AND(Results!$R$6&gt;0,$E244-1&gt;=Results!$R$6*Calc!$F$26),"",IF(AND(Results!$I249&lt;&gt;"",Results!$K249&lt;&gt;"",Results!$F249&lt;&gt;Results!$H249,$F244&lt;&gt;"",$G244&lt;&gt;""),Results!$K249,""))</f>
        <v>1</v>
      </c>
      <c r="J244" s="17" t="str">
        <f>IF(Plan!$I247=0,F244&amp;G244,"")</f>
        <v/>
      </c>
      <c r="K244" s="134">
        <f t="shared" si="5"/>
        <v>1</v>
      </c>
      <c r="L244" s="134" t="str">
        <f>IF(AND(K244&gt;0,Plan!$I247=0),H244&amp;Language!$E$65&amp;I244,"")</f>
        <v/>
      </c>
      <c r="M244" s="2" t="str">
        <f>IF(Plan!$I247=1,F244&amp;G244,"")</f>
        <v>1. FSV Mainz 05Eintracht Frankfurt</v>
      </c>
      <c r="N244" s="93" t="str">
        <f>IF(AND(K244&gt;0,Plan!$I247=1),H244&amp;Language!$E$65&amp;I244,"")</f>
        <v>2 : 1</v>
      </c>
      <c r="O244" s="379">
        <f>IF($H244="",0,Results!$L249)</f>
        <v>0</v>
      </c>
      <c r="P244" s="380">
        <f>IF($I244="",0,Results!$M249)</f>
        <v>0</v>
      </c>
    </row>
    <row r="245" spans="5:16" x14ac:dyDescent="0.2">
      <c r="E245" s="298">
        <v>242</v>
      </c>
      <c r="F245" s="190" t="str">
        <f>Plan!$Q248</f>
        <v>FC St. Pauli</v>
      </c>
      <c r="G245" s="191" t="str">
        <f>Plan!$S248</f>
        <v>SC Freiburg</v>
      </c>
      <c r="H245" s="134">
        <f>IF(AND(Results!$R$6&gt;0,$E245-1&gt;=Results!$R$6*Calc!$F$26),"",IF(AND(Results!$I250&lt;&gt;"",Results!$K250&lt;&gt;"",Results!$F250&lt;&gt;Results!$H250,$F245&lt;&gt;"",$G245&lt;&gt;""),Results!$I250,""))</f>
        <v>1</v>
      </c>
      <c r="I245" s="18">
        <f>IF(AND(Results!$R$6&gt;0,$E245-1&gt;=Results!$R$6*Calc!$F$26),"",IF(AND(Results!$I250&lt;&gt;"",Results!$K250&lt;&gt;"",Results!$F250&lt;&gt;Results!$H250,$F245&lt;&gt;"",$G245&lt;&gt;""),Results!$K250,""))</f>
        <v>2</v>
      </c>
      <c r="J245" s="17" t="str">
        <f>IF(Plan!$I248=0,F245&amp;G245,"")</f>
        <v/>
      </c>
      <c r="K245" s="134">
        <f t="shared" si="5"/>
        <v>1</v>
      </c>
      <c r="L245" s="134" t="str">
        <f>IF(AND(K245&gt;0,Plan!$I248=0),H245&amp;Language!$E$65&amp;I245,"")</f>
        <v/>
      </c>
      <c r="M245" s="2" t="str">
        <f>IF(Plan!$I248=1,F245&amp;G245,"")</f>
        <v>FC St. PauliSC Freiburg</v>
      </c>
      <c r="N245" s="93" t="str">
        <f>IF(AND(K245&gt;0,Plan!$I248=1),H245&amp;Language!$E$65&amp;I245,"")</f>
        <v>1 : 2</v>
      </c>
      <c r="O245" s="379">
        <f>IF($H245="",0,Results!$L250)</f>
        <v>0</v>
      </c>
      <c r="P245" s="380">
        <f>IF($I245="",0,Results!$M250)</f>
        <v>0</v>
      </c>
    </row>
    <row r="246" spans="5:16" x14ac:dyDescent="0.2">
      <c r="E246" s="298">
        <v>243</v>
      </c>
      <c r="F246" s="190" t="str">
        <f>Plan!$Q249</f>
        <v>FC Augsburg</v>
      </c>
      <c r="G246" s="191" t="str">
        <f>Plan!$S249</f>
        <v>VfB Stuttgart</v>
      </c>
      <c r="H246" s="134">
        <f>IF(AND(Results!$R$6&gt;0,$E246-1&gt;=Results!$R$6*Calc!$F$26),"",IF(AND(Results!$I251&lt;&gt;"",Results!$K251&lt;&gt;"",Results!$F251&lt;&gt;Results!$H251,$F246&lt;&gt;"",$G246&lt;&gt;""),Results!$I251,""))</f>
        <v>2</v>
      </c>
      <c r="I246" s="18">
        <f>IF(AND(Results!$R$6&gt;0,$E246-1&gt;=Results!$R$6*Calc!$F$26),"",IF(AND(Results!$I251&lt;&gt;"",Results!$K251&lt;&gt;"",Results!$F251&lt;&gt;Results!$H251,$F246&lt;&gt;"",$G246&lt;&gt;""),Results!$K251,""))</f>
        <v>5</v>
      </c>
      <c r="J246" s="17" t="str">
        <f>IF(Plan!$I249=0,F246&amp;G246,"")</f>
        <v/>
      </c>
      <c r="K246" s="134">
        <f t="shared" si="5"/>
        <v>1</v>
      </c>
      <c r="L246" s="134" t="str">
        <f>IF(AND(K246&gt;0,Plan!$I249=0),H246&amp;Language!$E$65&amp;I246,"")</f>
        <v/>
      </c>
      <c r="M246" s="2" t="str">
        <f>IF(Plan!$I249=1,F246&amp;G246,"")</f>
        <v>FC AugsburgVfB Stuttgart</v>
      </c>
      <c r="N246" s="93" t="str">
        <f>IF(AND(K246&gt;0,Plan!$I249=1),H246&amp;Language!$E$65&amp;I246,"")</f>
        <v>2 : 5</v>
      </c>
      <c r="O246" s="379">
        <f>IF($H246="",0,Results!$L251)</f>
        <v>0</v>
      </c>
      <c r="P246" s="380">
        <f>IF($I246="",0,Results!$M251)</f>
        <v>0</v>
      </c>
    </row>
    <row r="247" spans="5:16" x14ac:dyDescent="0.2">
      <c r="E247" s="298">
        <v>244</v>
      </c>
      <c r="F247" s="190" t="str">
        <f>Plan!$Q250</f>
        <v>Borussia Mönchengladbach</v>
      </c>
      <c r="G247" s="191" t="str">
        <f>Plan!$S250</f>
        <v>1. FC Heidenheim 1846</v>
      </c>
      <c r="H247" s="134">
        <f>IF(AND(Results!$R$6&gt;0,$E247-1&gt;=Results!$R$6*Calc!$F$26),"",IF(AND(Results!$I252&lt;&gt;"",Results!$K252&lt;&gt;"",Results!$F252&lt;&gt;Results!$H252,$F247&lt;&gt;"",$G247&lt;&gt;""),Results!$I252,""))</f>
        <v>2</v>
      </c>
      <c r="I247" s="18">
        <f>IF(AND(Results!$R$6&gt;0,$E247-1&gt;=Results!$R$6*Calc!$F$26),"",IF(AND(Results!$I252&lt;&gt;"",Results!$K252&lt;&gt;"",Results!$F252&lt;&gt;Results!$H252,$F247&lt;&gt;"",$G247&lt;&gt;""),Results!$K252,""))</f>
        <v>2</v>
      </c>
      <c r="J247" s="17" t="str">
        <f>IF(Plan!$I250=0,F247&amp;G247,"")</f>
        <v/>
      </c>
      <c r="K247" s="134">
        <f t="shared" si="5"/>
        <v>1</v>
      </c>
      <c r="L247" s="134" t="str">
        <f>IF(AND(K247&gt;0,Plan!$I250=0),H247&amp;Language!$E$65&amp;I247,"")</f>
        <v/>
      </c>
      <c r="M247" s="2" t="str">
        <f>IF(Plan!$I250=1,F247&amp;G247,"")</f>
        <v>Borussia Mönchengladbach1. FC Heidenheim 1846</v>
      </c>
      <c r="N247" s="93" t="str">
        <f>IF(AND(K247&gt;0,Plan!$I250=1),H247&amp;Language!$E$65&amp;I247,"")</f>
        <v>2 : 2</v>
      </c>
      <c r="O247" s="379">
        <f>IF($H247="",0,Results!$L252)</f>
        <v>0</v>
      </c>
      <c r="P247" s="380">
        <f>IF($I247="",0,Results!$M252)</f>
        <v>0</v>
      </c>
    </row>
    <row r="248" spans="5:16" x14ac:dyDescent="0.2">
      <c r="E248" s="298">
        <v>245</v>
      </c>
      <c r="F248" s="190" t="str">
        <f>Plan!$Q251</f>
        <v>TSG Hoffenheim</v>
      </c>
      <c r="G248" s="191" t="str">
        <f>Plan!$S251</f>
        <v>1. FSV Mainz 05</v>
      </c>
      <c r="H248" s="134">
        <f>IF(AND(Results!$R$6&gt;0,$E248-1&gt;=Results!$R$6*Calc!$F$26),"",IF(AND(Results!$I253&lt;&gt;"",Results!$K253&lt;&gt;"",Results!$F253&lt;&gt;Results!$H253,$F248&lt;&gt;"",$G248&lt;&gt;""),Results!$I253,""))</f>
        <v>1</v>
      </c>
      <c r="I248" s="18">
        <f>IF(AND(Results!$R$6&gt;0,$E248-1&gt;=Results!$R$6*Calc!$F$26),"",IF(AND(Results!$I253&lt;&gt;"",Results!$K253&lt;&gt;"",Results!$F253&lt;&gt;Results!$H253,$F248&lt;&gt;"",$G248&lt;&gt;""),Results!$K253,""))</f>
        <v>2</v>
      </c>
      <c r="J248" s="17" t="str">
        <f>IF(Plan!$I251=0,F248&amp;G248,"")</f>
        <v/>
      </c>
      <c r="K248" s="134">
        <f t="shared" si="5"/>
        <v>1</v>
      </c>
      <c r="L248" s="134" t="str">
        <f>IF(AND(K248&gt;0,Plan!$I251=0),H248&amp;Language!$E$65&amp;I248,"")</f>
        <v/>
      </c>
      <c r="M248" s="2" t="str">
        <f>IF(Plan!$I251=1,F248&amp;G248,"")</f>
        <v>TSG Hoffenheim1. FSV Mainz 05</v>
      </c>
      <c r="N248" s="93" t="str">
        <f>IF(AND(K248&gt;0,Plan!$I251=1),H248&amp;Language!$E$65&amp;I248,"")</f>
        <v>1 : 2</v>
      </c>
      <c r="O248" s="379">
        <f>IF($H248="",0,Results!$L253)</f>
        <v>0</v>
      </c>
      <c r="P248" s="380">
        <f>IF($I248="",0,Results!$M253)</f>
        <v>0</v>
      </c>
    </row>
    <row r="249" spans="5:16" x14ac:dyDescent="0.2">
      <c r="E249" s="298">
        <v>246</v>
      </c>
      <c r="F249" s="190" t="str">
        <f>Plan!$Q252</f>
        <v>Hamburger SV</v>
      </c>
      <c r="G249" s="191" t="str">
        <f>Plan!$S252</f>
        <v>FC Augsburg</v>
      </c>
      <c r="H249" s="134">
        <f>IF(AND(Results!$R$6&gt;0,$E249-1&gt;=Results!$R$6*Calc!$F$26),"",IF(AND(Results!$I254&lt;&gt;"",Results!$K254&lt;&gt;"",Results!$F254&lt;&gt;Results!$H254,$F249&lt;&gt;"",$G249&lt;&gt;""),Results!$I254,""))</f>
        <v>1</v>
      </c>
      <c r="I249" s="18">
        <f>IF(AND(Results!$R$6&gt;0,$E249-1&gt;=Results!$R$6*Calc!$F$26),"",IF(AND(Results!$I254&lt;&gt;"",Results!$K254&lt;&gt;"",Results!$F254&lt;&gt;Results!$H254,$F249&lt;&gt;"",$G249&lt;&gt;""),Results!$K254,""))</f>
        <v>1</v>
      </c>
      <c r="J249" s="17" t="str">
        <f>IF(Plan!$I252=0,F249&amp;G249,"")</f>
        <v/>
      </c>
      <c r="K249" s="134">
        <f t="shared" si="5"/>
        <v>1</v>
      </c>
      <c r="L249" s="134" t="str">
        <f>IF(AND(K249&gt;0,Plan!$I252=0),H249&amp;Language!$E$65&amp;I249,"")</f>
        <v/>
      </c>
      <c r="M249" s="2" t="str">
        <f>IF(Plan!$I252=1,F249&amp;G249,"")</f>
        <v>Hamburger SVFC Augsburg</v>
      </c>
      <c r="N249" s="93" t="str">
        <f>IF(AND(K249&gt;0,Plan!$I252=1),H249&amp;Language!$E$65&amp;I249,"")</f>
        <v>1 : 1</v>
      </c>
      <c r="O249" s="379">
        <f>IF($H249="",0,Results!$L254)</f>
        <v>0</v>
      </c>
      <c r="P249" s="380">
        <f>IF($I249="",0,Results!$M254)</f>
        <v>0</v>
      </c>
    </row>
    <row r="250" spans="5:16" x14ac:dyDescent="0.2">
      <c r="E250" s="298">
        <v>247</v>
      </c>
      <c r="F250" s="190" t="str">
        <f>Plan!$Q253</f>
        <v>Bayer 04 Leverkusen</v>
      </c>
      <c r="G250" s="191" t="str">
        <f>Plan!$S253</f>
        <v>VfL Wolfsburg</v>
      </c>
      <c r="H250" s="134">
        <f>IF(AND(Results!$R$6&gt;0,$E250-1&gt;=Results!$R$6*Calc!$F$26),"",IF(AND(Results!$I255&lt;&gt;"",Results!$K255&lt;&gt;"",Results!$F255&lt;&gt;Results!$H255,$F250&lt;&gt;"",$G250&lt;&gt;""),Results!$I255,""))</f>
        <v>6</v>
      </c>
      <c r="I250" s="18">
        <f>IF(AND(Results!$R$6&gt;0,$E250-1&gt;=Results!$R$6*Calc!$F$26),"",IF(AND(Results!$I255&lt;&gt;"",Results!$K255&lt;&gt;"",Results!$F255&lt;&gt;Results!$H255,$F250&lt;&gt;"",$G250&lt;&gt;""),Results!$K255,""))</f>
        <v>3</v>
      </c>
      <c r="J250" s="17" t="str">
        <f>IF(Plan!$I253=0,F250&amp;G250,"")</f>
        <v/>
      </c>
      <c r="K250" s="134">
        <f t="shared" si="5"/>
        <v>1</v>
      </c>
      <c r="L250" s="134" t="str">
        <f>IF(AND(K250&gt;0,Plan!$I253=0),H250&amp;Language!$E$65&amp;I250,"")</f>
        <v/>
      </c>
      <c r="M250" s="2" t="str">
        <f>IF(Plan!$I253=1,F250&amp;G250,"")</f>
        <v>Bayer 04 LeverkusenVfL Wolfsburg</v>
      </c>
      <c r="N250" s="93" t="str">
        <f>IF(AND(K250&gt;0,Plan!$I253=1),H250&amp;Language!$E$65&amp;I250,"")</f>
        <v>6 : 3</v>
      </c>
      <c r="O250" s="379">
        <f>IF($H250="",0,Results!$L255)</f>
        <v>0</v>
      </c>
      <c r="P250" s="380">
        <f>IF($I250="",0,Results!$M255)</f>
        <v>0</v>
      </c>
    </row>
    <row r="251" spans="5:16" x14ac:dyDescent="0.2">
      <c r="E251" s="298">
        <v>248</v>
      </c>
      <c r="F251" s="190" t="str">
        <f>Plan!$Q254</f>
        <v>SC Freiburg</v>
      </c>
      <c r="G251" s="191" t="str">
        <f>Plan!$S254</f>
        <v>FC Bayern München</v>
      </c>
      <c r="H251" s="134">
        <f>IF(AND(Results!$R$6&gt;0,$E251-1&gt;=Results!$R$6*Calc!$F$26),"",IF(AND(Results!$I256&lt;&gt;"",Results!$K256&lt;&gt;"",Results!$F256&lt;&gt;Results!$H256,$F251&lt;&gt;"",$G251&lt;&gt;""),Results!$I256,""))</f>
        <v>2</v>
      </c>
      <c r="I251" s="18">
        <f>IF(AND(Results!$R$6&gt;0,$E251-1&gt;=Results!$R$6*Calc!$F$26),"",IF(AND(Results!$I256&lt;&gt;"",Results!$K256&lt;&gt;"",Results!$F256&lt;&gt;Results!$H256,$F251&lt;&gt;"",$G251&lt;&gt;""),Results!$K256,""))</f>
        <v>3</v>
      </c>
      <c r="J251" s="17" t="str">
        <f>IF(Plan!$I254=0,F251&amp;G251,"")</f>
        <v/>
      </c>
      <c r="K251" s="134">
        <f t="shared" si="5"/>
        <v>1</v>
      </c>
      <c r="L251" s="134" t="str">
        <f>IF(AND(K251&gt;0,Plan!$I254=0),H251&amp;Language!$E$65&amp;I251,"")</f>
        <v/>
      </c>
      <c r="M251" s="2" t="str">
        <f>IF(Plan!$I254=1,F251&amp;G251,"")</f>
        <v>SC FreiburgFC Bayern München</v>
      </c>
      <c r="N251" s="93" t="str">
        <f>IF(AND(K251&gt;0,Plan!$I254=1),H251&amp;Language!$E$65&amp;I251,"")</f>
        <v>2 : 3</v>
      </c>
      <c r="O251" s="379">
        <f>IF($H251="",0,Results!$L256)</f>
        <v>0</v>
      </c>
      <c r="P251" s="380">
        <f>IF($I251="",0,Results!$M256)</f>
        <v>0</v>
      </c>
    </row>
    <row r="252" spans="5:16" x14ac:dyDescent="0.2">
      <c r="E252" s="298">
        <v>249</v>
      </c>
      <c r="F252" s="190" t="str">
        <f>Plan!$Q255</f>
        <v>SV Werder Bremen</v>
      </c>
      <c r="G252" s="191" t="str">
        <f>Plan!$S255</f>
        <v>RB Leipzig</v>
      </c>
      <c r="H252" s="134">
        <f>IF(AND(Results!$R$6&gt;0,$E252-1&gt;=Results!$R$6*Calc!$F$26),"",IF(AND(Results!$I257&lt;&gt;"",Results!$K257&lt;&gt;"",Results!$F257&lt;&gt;Results!$H257,$F252&lt;&gt;"",$G252&lt;&gt;""),Results!$I257,""))</f>
        <v>1</v>
      </c>
      <c r="I252" s="18">
        <f>IF(AND(Results!$R$6&gt;0,$E252-1&gt;=Results!$R$6*Calc!$F$26),"",IF(AND(Results!$I257&lt;&gt;"",Results!$K257&lt;&gt;"",Results!$F257&lt;&gt;Results!$H257,$F252&lt;&gt;"",$G252&lt;&gt;""),Results!$K257,""))</f>
        <v>2</v>
      </c>
      <c r="J252" s="17" t="str">
        <f>IF(Plan!$I255=0,F252&amp;G252,"")</f>
        <v/>
      </c>
      <c r="K252" s="134">
        <f t="shared" si="5"/>
        <v>1</v>
      </c>
      <c r="L252" s="134" t="str">
        <f>IF(AND(K252&gt;0,Plan!$I255=0),H252&amp;Language!$E$65&amp;I252,"")</f>
        <v/>
      </c>
      <c r="M252" s="2" t="str">
        <f>IF(Plan!$I255=1,F252&amp;G252,"")</f>
        <v>SV Werder BremenRB Leipzig</v>
      </c>
      <c r="N252" s="93" t="str">
        <f>IF(AND(K252&gt;0,Plan!$I255=1),H252&amp;Language!$E$65&amp;I252,"")</f>
        <v>1 : 2</v>
      </c>
      <c r="O252" s="379">
        <f>IF($H252="",0,Results!$L257)</f>
        <v>0</v>
      </c>
      <c r="P252" s="380">
        <f>IF($I252="",0,Results!$M257)</f>
        <v>0</v>
      </c>
    </row>
    <row r="253" spans="5:16" x14ac:dyDescent="0.2">
      <c r="E253" s="298">
        <v>250</v>
      </c>
      <c r="F253" s="190" t="str">
        <f>Plan!$Q256</f>
        <v>VfB Stuttgart</v>
      </c>
      <c r="G253" s="191" t="str">
        <f>Plan!$S256</f>
        <v>Borussia Dortmund</v>
      </c>
      <c r="H253" s="134">
        <f>IF(AND(Results!$R$6&gt;0,$E253-1&gt;=Results!$R$6*Calc!$F$26),"",IF(AND(Results!$I258&lt;&gt;"",Results!$K258&lt;&gt;"",Results!$F258&lt;&gt;Results!$H258,$F253&lt;&gt;"",$G253&lt;&gt;""),Results!$I258,""))</f>
        <v>0</v>
      </c>
      <c r="I253" s="18">
        <f>IF(AND(Results!$R$6&gt;0,$E253-1&gt;=Results!$R$6*Calc!$F$26),"",IF(AND(Results!$I258&lt;&gt;"",Results!$K258&lt;&gt;"",Results!$F258&lt;&gt;Results!$H258,$F253&lt;&gt;"",$G253&lt;&gt;""),Results!$K258,""))</f>
        <v>2</v>
      </c>
      <c r="J253" s="17" t="str">
        <f>IF(Plan!$I256=0,F253&amp;G253,"")</f>
        <v/>
      </c>
      <c r="K253" s="134">
        <f t="shared" si="5"/>
        <v>1</v>
      </c>
      <c r="L253" s="134" t="str">
        <f>IF(AND(K253&gt;0,Plan!$I256=0),H253&amp;Language!$E$65&amp;I253,"")</f>
        <v/>
      </c>
      <c r="M253" s="2" t="str">
        <f>IF(Plan!$I256=1,F253&amp;G253,"")</f>
        <v>VfB StuttgartBorussia Dortmund</v>
      </c>
      <c r="N253" s="93" t="str">
        <f>IF(AND(K253&gt;0,Plan!$I256=1),H253&amp;Language!$E$65&amp;I253,"")</f>
        <v>0 : 2</v>
      </c>
      <c r="O253" s="379">
        <f>IF($H253="",0,Results!$L258)</f>
        <v>0</v>
      </c>
      <c r="P253" s="380">
        <f>IF($I253="",0,Results!$M258)</f>
        <v>0</v>
      </c>
    </row>
    <row r="254" spans="5:16" x14ac:dyDescent="0.2">
      <c r="E254" s="298">
        <v>251</v>
      </c>
      <c r="F254" s="190" t="str">
        <f>Plan!$Q257</f>
        <v>1. FC Union Berlin</v>
      </c>
      <c r="G254" s="191" t="str">
        <f>Plan!$S257</f>
        <v>FC St. Pauli</v>
      </c>
      <c r="H254" s="134">
        <f>IF(AND(Results!$R$6&gt;0,$E254-1&gt;=Results!$R$6*Calc!$F$26),"",IF(AND(Results!$I259&lt;&gt;"",Results!$K259&lt;&gt;"",Results!$F259&lt;&gt;Results!$H259,$F254&lt;&gt;"",$G254&lt;&gt;""),Results!$I259,""))</f>
        <v>1</v>
      </c>
      <c r="I254" s="18">
        <f>IF(AND(Results!$R$6&gt;0,$E254-1&gt;=Results!$R$6*Calc!$F$26),"",IF(AND(Results!$I259&lt;&gt;"",Results!$K259&lt;&gt;"",Results!$F259&lt;&gt;Results!$H259,$F254&lt;&gt;"",$G254&lt;&gt;""),Results!$K259,""))</f>
        <v>1</v>
      </c>
      <c r="J254" s="17" t="str">
        <f>IF(Plan!$I257=0,F254&amp;G254,"")</f>
        <v/>
      </c>
      <c r="K254" s="134">
        <f t="shared" si="5"/>
        <v>1</v>
      </c>
      <c r="L254" s="134" t="str">
        <f>IF(AND(K254&gt;0,Plan!$I257=0),H254&amp;Language!$E$65&amp;I254,"")</f>
        <v/>
      </c>
      <c r="M254" s="2" t="str">
        <f>IF(Plan!$I257=1,F254&amp;G254,"")</f>
        <v>1. FC Union BerlinFC St. Pauli</v>
      </c>
      <c r="N254" s="93" t="str">
        <f>IF(AND(K254&gt;0,Plan!$I257=1),H254&amp;Language!$E$65&amp;I254,"")</f>
        <v>1 : 1</v>
      </c>
      <c r="O254" s="379">
        <f>IF($H254="",0,Results!$L259)</f>
        <v>0</v>
      </c>
      <c r="P254" s="380">
        <f>IF($I254="",0,Results!$M259)</f>
        <v>0</v>
      </c>
    </row>
    <row r="255" spans="5:16" x14ac:dyDescent="0.2">
      <c r="E255" s="298">
        <v>252</v>
      </c>
      <c r="F255" s="190" t="str">
        <f>Plan!$Q258</f>
        <v>Eintracht Frankfurt</v>
      </c>
      <c r="G255" s="191" t="str">
        <f>Plan!$S258</f>
        <v>1. FC Köln</v>
      </c>
      <c r="H255" s="134">
        <f>IF(AND(Results!$R$6&gt;0,$E255-1&gt;=Results!$R$6*Calc!$F$26),"",IF(AND(Results!$I260&lt;&gt;"",Results!$K260&lt;&gt;"",Results!$F260&lt;&gt;Results!$H260,$F255&lt;&gt;"",$G255&lt;&gt;""),Results!$I260,""))</f>
        <v>2</v>
      </c>
      <c r="I255" s="18">
        <f>IF(AND(Results!$R$6&gt;0,$E255-1&gt;=Results!$R$6*Calc!$F$26),"",IF(AND(Results!$I260&lt;&gt;"",Results!$K260&lt;&gt;"",Results!$F260&lt;&gt;Results!$H260,$F255&lt;&gt;"",$G255&lt;&gt;""),Results!$K260,""))</f>
        <v>2</v>
      </c>
      <c r="J255" s="17" t="str">
        <f>IF(Plan!$I258=0,F255&amp;G255,"")</f>
        <v/>
      </c>
      <c r="K255" s="134">
        <f t="shared" si="5"/>
        <v>1</v>
      </c>
      <c r="L255" s="134" t="str">
        <f>IF(AND(K255&gt;0,Plan!$I258=0),H255&amp;Language!$E$65&amp;I255,"")</f>
        <v/>
      </c>
      <c r="M255" s="2" t="str">
        <f>IF(Plan!$I258=1,F255&amp;G255,"")</f>
        <v>Eintracht Frankfurt1. FC Köln</v>
      </c>
      <c r="N255" s="93" t="str">
        <f>IF(AND(K255&gt;0,Plan!$I258=1),H255&amp;Language!$E$65&amp;I255,"")</f>
        <v>2 : 2</v>
      </c>
      <c r="O255" s="379">
        <f>IF($H255="",0,Results!$L260)</f>
        <v>0</v>
      </c>
      <c r="P255" s="380">
        <f>IF($I255="",0,Results!$M260)</f>
        <v>0</v>
      </c>
    </row>
    <row r="256" spans="5:16" x14ac:dyDescent="0.2">
      <c r="E256" s="298">
        <v>253</v>
      </c>
      <c r="F256" s="190" t="str">
        <f>Plan!$Q259</f>
        <v>FC Augsburg</v>
      </c>
      <c r="G256" s="191" t="str">
        <f>Plan!$S259</f>
        <v>TSG Hoffenheim</v>
      </c>
      <c r="H256" s="134">
        <f>IF(AND(Results!$R$6&gt;0,$E256-1&gt;=Results!$R$6*Calc!$F$26),"",IF(AND(Results!$I261&lt;&gt;"",Results!$K261&lt;&gt;"",Results!$F261&lt;&gt;Results!$H261,$F256&lt;&gt;"",$G256&lt;&gt;""),Results!$I261,""))</f>
        <v>2</v>
      </c>
      <c r="I256" s="18">
        <f>IF(AND(Results!$R$6&gt;0,$E256-1&gt;=Results!$R$6*Calc!$F$26),"",IF(AND(Results!$I261&lt;&gt;"",Results!$K261&lt;&gt;"",Results!$F261&lt;&gt;Results!$H261,$F256&lt;&gt;"",$G256&lt;&gt;""),Results!$K261,""))</f>
        <v>2</v>
      </c>
      <c r="J256" s="17" t="str">
        <f>IF(Plan!$I259=0,F256&amp;G256,"")</f>
        <v/>
      </c>
      <c r="K256" s="134">
        <f t="shared" si="5"/>
        <v>1</v>
      </c>
      <c r="L256" s="134" t="str">
        <f>IF(AND(K256&gt;0,Plan!$I259=0),H256&amp;Language!$E$65&amp;I256,"")</f>
        <v/>
      </c>
      <c r="M256" s="2" t="str">
        <f>IF(Plan!$I259=1,F256&amp;G256,"")</f>
        <v>FC AugsburgTSG Hoffenheim</v>
      </c>
      <c r="N256" s="93" t="str">
        <f>IF(AND(K256&gt;0,Plan!$I259=1),H256&amp;Language!$E$65&amp;I256,"")</f>
        <v>2 : 2</v>
      </c>
      <c r="O256" s="379">
        <f>IF($H256="",0,Results!$L261)</f>
        <v>0</v>
      </c>
      <c r="P256" s="380">
        <f>IF($I256="",0,Results!$M261)</f>
        <v>0</v>
      </c>
    </row>
    <row r="257" spans="5:16" x14ac:dyDescent="0.2">
      <c r="E257" s="298">
        <v>254</v>
      </c>
      <c r="F257" s="190" t="str">
        <f>Plan!$Q260</f>
        <v>VfL Wolfsburg</v>
      </c>
      <c r="G257" s="191" t="str">
        <f>Plan!$S260</f>
        <v>Eintracht Frankfurt</v>
      </c>
      <c r="H257" s="134">
        <f>IF(AND(Results!$R$6&gt;0,$E257-1&gt;=Results!$R$6*Calc!$F$26),"",IF(AND(Results!$I262&lt;&gt;"",Results!$K262&lt;&gt;"",Results!$F262&lt;&gt;Results!$H262,$F257&lt;&gt;"",$G257&lt;&gt;""),Results!$I262,""))</f>
        <v>1</v>
      </c>
      <c r="I257" s="18">
        <f>IF(AND(Results!$R$6&gt;0,$E257-1&gt;=Results!$R$6*Calc!$F$26),"",IF(AND(Results!$I262&lt;&gt;"",Results!$K262&lt;&gt;"",Results!$F262&lt;&gt;Results!$H262,$F257&lt;&gt;"",$G257&lt;&gt;""),Results!$K262,""))</f>
        <v>2</v>
      </c>
      <c r="J257" s="17" t="str">
        <f>IF(Plan!$I260=0,F257&amp;G257,"")</f>
        <v/>
      </c>
      <c r="K257" s="134">
        <f t="shared" si="5"/>
        <v>1</v>
      </c>
      <c r="L257" s="134" t="str">
        <f>IF(AND(K257&gt;0,Plan!$I260=0),H257&amp;Language!$E$65&amp;I257,"")</f>
        <v/>
      </c>
      <c r="M257" s="2" t="str">
        <f>IF(Plan!$I260=1,F257&amp;G257,"")</f>
        <v>VfL WolfsburgEintracht Frankfurt</v>
      </c>
      <c r="N257" s="93" t="str">
        <f>IF(AND(K257&gt;0,Plan!$I260=1),H257&amp;Language!$E$65&amp;I257,"")</f>
        <v>1 : 2</v>
      </c>
      <c r="O257" s="379">
        <f>IF($H257="",0,Results!$L262)</f>
        <v>0</v>
      </c>
      <c r="P257" s="380">
        <f>IF($I257="",0,Results!$M262)</f>
        <v>0</v>
      </c>
    </row>
    <row r="258" spans="5:16" x14ac:dyDescent="0.2">
      <c r="E258" s="298">
        <v>255</v>
      </c>
      <c r="F258" s="190" t="str">
        <f>Plan!$Q261</f>
        <v>1. FC Heidenheim 1846</v>
      </c>
      <c r="G258" s="191" t="str">
        <f>Plan!$S261</f>
        <v>1. FC Union Berlin</v>
      </c>
      <c r="H258" s="134">
        <f>IF(AND(Results!$R$6&gt;0,$E258-1&gt;=Results!$R$6*Calc!$F$26),"",IF(AND(Results!$I263&lt;&gt;"",Results!$K263&lt;&gt;"",Results!$F263&lt;&gt;Results!$H263,$F258&lt;&gt;"",$G258&lt;&gt;""),Results!$I263,""))</f>
        <v>3</v>
      </c>
      <c r="I258" s="18">
        <f>IF(AND(Results!$R$6&gt;0,$E258-1&gt;=Results!$R$6*Calc!$F$26),"",IF(AND(Results!$I263&lt;&gt;"",Results!$K263&lt;&gt;"",Results!$F263&lt;&gt;Results!$H263,$F258&lt;&gt;"",$G258&lt;&gt;""),Results!$K263,""))</f>
        <v>1</v>
      </c>
      <c r="J258" s="17" t="str">
        <f>IF(Plan!$I261=0,F258&amp;G258,"")</f>
        <v/>
      </c>
      <c r="K258" s="134">
        <f t="shared" si="5"/>
        <v>1</v>
      </c>
      <c r="L258" s="134" t="str">
        <f>IF(AND(K258&gt;0,Plan!$I261=0),H258&amp;Language!$E$65&amp;I258,"")</f>
        <v/>
      </c>
      <c r="M258" s="2" t="str">
        <f>IF(Plan!$I261=1,F258&amp;G258,"")</f>
        <v>1. FC Heidenheim 18461. FC Union Berlin</v>
      </c>
      <c r="N258" s="93" t="str">
        <f>IF(AND(K258&gt;0,Plan!$I261=1),H258&amp;Language!$E$65&amp;I258,"")</f>
        <v>3 : 1</v>
      </c>
      <c r="O258" s="379">
        <f>IF($H258="",0,Results!$L263)</f>
        <v>0</v>
      </c>
      <c r="P258" s="380">
        <f>IF($I258="",0,Results!$M263)</f>
        <v>0</v>
      </c>
    </row>
    <row r="259" spans="5:16" x14ac:dyDescent="0.2">
      <c r="E259" s="298">
        <v>256</v>
      </c>
      <c r="F259" s="190" t="str">
        <f>Plan!$Q262</f>
        <v>Borussia Dortmund</v>
      </c>
      <c r="G259" s="191" t="str">
        <f>Plan!$S262</f>
        <v>Bayer 04 Leverkusen</v>
      </c>
      <c r="H259" s="134">
        <f>IF(AND(Results!$R$6&gt;0,$E259-1&gt;=Results!$R$6*Calc!$F$26),"",IF(AND(Results!$I264&lt;&gt;"",Results!$K264&lt;&gt;"",Results!$F264&lt;&gt;Results!$H264,$F259&lt;&gt;"",$G259&lt;&gt;""),Results!$I264,""))</f>
        <v>0</v>
      </c>
      <c r="I259" s="18">
        <f>IF(AND(Results!$R$6&gt;0,$E259-1&gt;=Results!$R$6*Calc!$F$26),"",IF(AND(Results!$I264&lt;&gt;"",Results!$K264&lt;&gt;"",Results!$F264&lt;&gt;Results!$H264,$F259&lt;&gt;"",$G259&lt;&gt;""),Results!$K264,""))</f>
        <v>1</v>
      </c>
      <c r="J259" s="17" t="str">
        <f>IF(Plan!$I262=0,F259&amp;G259,"")</f>
        <v/>
      </c>
      <c r="K259" s="134">
        <f t="shared" si="5"/>
        <v>1</v>
      </c>
      <c r="L259" s="134" t="str">
        <f>IF(AND(K259&gt;0,Plan!$I262=0),H259&amp;Language!$E$65&amp;I259,"")</f>
        <v/>
      </c>
      <c r="M259" s="2" t="str">
        <f>IF(Plan!$I262=1,F259&amp;G259,"")</f>
        <v>Borussia DortmundBayer 04 Leverkusen</v>
      </c>
      <c r="N259" s="93" t="str">
        <f>IF(AND(K259&gt;0,Plan!$I262=1),H259&amp;Language!$E$65&amp;I259,"")</f>
        <v>0 : 1</v>
      </c>
      <c r="O259" s="379">
        <f>IF($H259="",0,Results!$L264)</f>
        <v>0</v>
      </c>
      <c r="P259" s="380">
        <f>IF($I259="",0,Results!$M264)</f>
        <v>0</v>
      </c>
    </row>
    <row r="260" spans="5:16" x14ac:dyDescent="0.2">
      <c r="E260" s="298">
        <v>257</v>
      </c>
      <c r="F260" s="190" t="str">
        <f>Plan!$Q263</f>
        <v>RB Leipzig</v>
      </c>
      <c r="G260" s="191" t="str">
        <f>Plan!$S263</f>
        <v>Borussia Mönchengladbach</v>
      </c>
      <c r="H260" s="134">
        <f>IF(AND(Results!$R$6&gt;0,$E260-1&gt;=Results!$R$6*Calc!$F$26),"",IF(AND(Results!$I265&lt;&gt;"",Results!$K265&lt;&gt;"",Results!$F265&lt;&gt;Results!$H265,$F260&lt;&gt;"",$G260&lt;&gt;""),Results!$I265,""))</f>
        <v>1</v>
      </c>
      <c r="I260" s="18">
        <f>IF(AND(Results!$R$6&gt;0,$E260-1&gt;=Results!$R$6*Calc!$F$26),"",IF(AND(Results!$I265&lt;&gt;"",Results!$K265&lt;&gt;"",Results!$F265&lt;&gt;Results!$H265,$F260&lt;&gt;"",$G260&lt;&gt;""),Results!$K265,""))</f>
        <v>0</v>
      </c>
      <c r="J260" s="17" t="str">
        <f>IF(Plan!$I263=0,F260&amp;G260,"")</f>
        <v/>
      </c>
      <c r="K260" s="134">
        <f t="shared" si="5"/>
        <v>1</v>
      </c>
      <c r="L260" s="134" t="str">
        <f>IF(AND(K260&gt;0,Plan!$I263=0),H260&amp;Language!$E$65&amp;I260,"")</f>
        <v/>
      </c>
      <c r="M260" s="2" t="str">
        <f>IF(Plan!$I263=1,F260&amp;G260,"")</f>
        <v>RB LeipzigBorussia Mönchengladbach</v>
      </c>
      <c r="N260" s="93" t="str">
        <f>IF(AND(K260&gt;0,Plan!$I263=1),H260&amp;Language!$E$65&amp;I260,"")</f>
        <v>1 : 0</v>
      </c>
      <c r="O260" s="379">
        <f>IF($H260="",0,Results!$L265)</f>
        <v>0</v>
      </c>
      <c r="P260" s="380">
        <f>IF($I260="",0,Results!$M265)</f>
        <v>0</v>
      </c>
    </row>
    <row r="261" spans="5:16" x14ac:dyDescent="0.2">
      <c r="E261" s="298">
        <v>258</v>
      </c>
      <c r="F261" s="190" t="str">
        <f>Plan!$Q264</f>
        <v>FC St. Pauli</v>
      </c>
      <c r="G261" s="191" t="str">
        <f>Plan!$S264</f>
        <v>FC Bayern München</v>
      </c>
      <c r="H261" s="134">
        <f>IF(AND(Results!$R$6&gt;0,$E261-1&gt;=Results!$R$6*Calc!$F$26),"",IF(AND(Results!$I266&lt;&gt;"",Results!$K266&lt;&gt;"",Results!$F266&lt;&gt;Results!$H266,$F261&lt;&gt;"",$G261&lt;&gt;""),Results!$I266,""))</f>
        <v>0</v>
      </c>
      <c r="I261" s="18">
        <f>IF(AND(Results!$R$6&gt;0,$E261-1&gt;=Results!$R$6*Calc!$F$26),"",IF(AND(Results!$I266&lt;&gt;"",Results!$K266&lt;&gt;"",Results!$F266&lt;&gt;Results!$H266,$F261&lt;&gt;"",$G261&lt;&gt;""),Results!$K266,""))</f>
        <v>5</v>
      </c>
      <c r="J261" s="17" t="str">
        <f>IF(Plan!$I264=0,F261&amp;G261,"")</f>
        <v/>
      </c>
      <c r="K261" s="134">
        <f t="shared" si="5"/>
        <v>1</v>
      </c>
      <c r="L261" s="134" t="str">
        <f>IF(AND(K261&gt;0,Plan!$I264=0),H261&amp;Language!$E$65&amp;I261,"")</f>
        <v/>
      </c>
      <c r="M261" s="2" t="str">
        <f>IF(Plan!$I264=1,F261&amp;G261,"")</f>
        <v>FC St. PauliFC Bayern München</v>
      </c>
      <c r="N261" s="93" t="str">
        <f>IF(AND(K261&gt;0,Plan!$I264=1),H261&amp;Language!$E$65&amp;I261,"")</f>
        <v>0 : 5</v>
      </c>
      <c r="O261" s="379">
        <f>IF($H261="",0,Results!$L266)</f>
        <v>0</v>
      </c>
      <c r="P261" s="380">
        <f>IF($I261="",0,Results!$M266)</f>
        <v>0</v>
      </c>
    </row>
    <row r="262" spans="5:16" x14ac:dyDescent="0.2">
      <c r="E262" s="298">
        <v>259</v>
      </c>
      <c r="F262" s="190" t="str">
        <f>Plan!$Q265</f>
        <v>1. FC Köln</v>
      </c>
      <c r="G262" s="191" t="str">
        <f>Plan!$S265</f>
        <v>SV Werder Bremen</v>
      </c>
      <c r="H262" s="134">
        <f>IF(AND(Results!$R$6&gt;0,$E262-1&gt;=Results!$R$6*Calc!$F$26),"",IF(AND(Results!$I267&lt;&gt;"",Results!$K267&lt;&gt;"",Results!$F267&lt;&gt;Results!$H267,$F262&lt;&gt;"",$G262&lt;&gt;""),Results!$I267,""))</f>
        <v>3</v>
      </c>
      <c r="I262" s="18">
        <f>IF(AND(Results!$R$6&gt;0,$E262-1&gt;=Results!$R$6*Calc!$F$26),"",IF(AND(Results!$I267&lt;&gt;"",Results!$K267&lt;&gt;"",Results!$F267&lt;&gt;Results!$H267,$F262&lt;&gt;"",$G262&lt;&gt;""),Results!$K267,""))</f>
        <v>1</v>
      </c>
      <c r="J262" s="17" t="str">
        <f>IF(Plan!$I265=0,F262&amp;G262,"")</f>
        <v/>
      </c>
      <c r="K262" s="134">
        <f t="shared" si="5"/>
        <v>1</v>
      </c>
      <c r="L262" s="134" t="str">
        <f>IF(AND(K262&gt;0,Plan!$I265=0),H262&amp;Language!$E$65&amp;I262,"")</f>
        <v/>
      </c>
      <c r="M262" s="2" t="str">
        <f>IF(Plan!$I265=1,F262&amp;G262,"")</f>
        <v>1. FC KölnSV Werder Bremen</v>
      </c>
      <c r="N262" s="93" t="str">
        <f>IF(AND(K262&gt;0,Plan!$I265=1),H262&amp;Language!$E$65&amp;I262,"")</f>
        <v>3 : 1</v>
      </c>
      <c r="O262" s="379">
        <f>IF($H262="",0,Results!$L267)</f>
        <v>0</v>
      </c>
      <c r="P262" s="380">
        <f>IF($I262="",0,Results!$M267)</f>
        <v>0</v>
      </c>
    </row>
    <row r="263" spans="5:16" x14ac:dyDescent="0.2">
      <c r="E263" s="298">
        <v>260</v>
      </c>
      <c r="F263" s="190" t="str">
        <f>Plan!$Q266</f>
        <v>VfB Stuttgart</v>
      </c>
      <c r="G263" s="191" t="str">
        <f>Plan!$S266</f>
        <v>Hamburger SV</v>
      </c>
      <c r="H263" s="134">
        <f>IF(AND(Results!$R$6&gt;0,$E263-1&gt;=Results!$R$6*Calc!$F$26),"",IF(AND(Results!$I268&lt;&gt;"",Results!$K268&lt;&gt;"",Results!$F268&lt;&gt;Results!$H268,$F263&lt;&gt;"",$G263&lt;&gt;""),Results!$I268,""))</f>
        <v>4</v>
      </c>
      <c r="I263" s="18">
        <f>IF(AND(Results!$R$6&gt;0,$E263-1&gt;=Results!$R$6*Calc!$F$26),"",IF(AND(Results!$I268&lt;&gt;"",Results!$K268&lt;&gt;"",Results!$F268&lt;&gt;Results!$H268,$F263&lt;&gt;"",$G263&lt;&gt;""),Results!$K268,""))</f>
        <v>0</v>
      </c>
      <c r="J263" s="17" t="str">
        <f>IF(Plan!$I266=0,F263&amp;G263,"")</f>
        <v/>
      </c>
      <c r="K263" s="134">
        <f t="shared" si="5"/>
        <v>1</v>
      </c>
      <c r="L263" s="134" t="str">
        <f>IF(AND(K263&gt;0,Plan!$I266=0),H263&amp;Language!$E$65&amp;I263,"")</f>
        <v/>
      </c>
      <c r="M263" s="2" t="str">
        <f>IF(Plan!$I266=1,F263&amp;G263,"")</f>
        <v>VfB StuttgartHamburger SV</v>
      </c>
      <c r="N263" s="93" t="str">
        <f>IF(AND(K263&gt;0,Plan!$I266=1),H263&amp;Language!$E$65&amp;I263,"")</f>
        <v>4 : 0</v>
      </c>
      <c r="O263" s="379">
        <f>IF($H263="",0,Results!$L268)</f>
        <v>0</v>
      </c>
      <c r="P263" s="380">
        <f>IF($I263="",0,Results!$M268)</f>
        <v>0</v>
      </c>
    </row>
    <row r="264" spans="5:16" x14ac:dyDescent="0.2">
      <c r="E264" s="298">
        <v>261</v>
      </c>
      <c r="F264" s="190" t="str">
        <f>Plan!$Q267</f>
        <v>1. FSV Mainz 05</v>
      </c>
      <c r="G264" s="191" t="str">
        <f>Plan!$S267</f>
        <v>SC Freiburg</v>
      </c>
      <c r="H264" s="134">
        <f>IF(AND(Results!$R$6&gt;0,$E264-1&gt;=Results!$R$6*Calc!$F$26),"",IF(AND(Results!$I269&lt;&gt;"",Results!$K269&lt;&gt;"",Results!$F269&lt;&gt;Results!$H269,$F264&lt;&gt;"",$G264&lt;&gt;""),Results!$I269,""))</f>
        <v>0</v>
      </c>
      <c r="I264" s="18">
        <f>IF(AND(Results!$R$6&gt;0,$E264-1&gt;=Results!$R$6*Calc!$F$26),"",IF(AND(Results!$I269&lt;&gt;"",Results!$K269&lt;&gt;"",Results!$F269&lt;&gt;Results!$H269,$F264&lt;&gt;"",$G264&lt;&gt;""),Results!$K269,""))</f>
        <v>1</v>
      </c>
      <c r="J264" s="17" t="str">
        <f>IF(Plan!$I267=0,F264&amp;G264,"")</f>
        <v/>
      </c>
      <c r="K264" s="134">
        <f t="shared" si="5"/>
        <v>1</v>
      </c>
      <c r="L264" s="134" t="str">
        <f>IF(AND(K264&gt;0,Plan!$I267=0),H264&amp;Language!$E$65&amp;I264,"")</f>
        <v/>
      </c>
      <c r="M264" s="2" t="str">
        <f>IF(Plan!$I267=1,F264&amp;G264,"")</f>
        <v>1. FSV Mainz 05SC Freiburg</v>
      </c>
      <c r="N264" s="93" t="str">
        <f>IF(AND(K264&gt;0,Plan!$I267=1),H264&amp;Language!$E$65&amp;I264,"")</f>
        <v>0 : 1</v>
      </c>
      <c r="O264" s="379">
        <f>IF($H264="",0,Results!$L269)</f>
        <v>0</v>
      </c>
      <c r="P264" s="380">
        <f>IF($I264="",0,Results!$M269)</f>
        <v>0</v>
      </c>
    </row>
    <row r="265" spans="5:16" x14ac:dyDescent="0.2">
      <c r="E265" s="298">
        <v>262</v>
      </c>
      <c r="F265" s="190" t="str">
        <f>Plan!$Q268</f>
        <v>FC St. Pauli</v>
      </c>
      <c r="G265" s="191" t="str">
        <f>Plan!$S268</f>
        <v>1. FC Köln</v>
      </c>
      <c r="H265" s="134">
        <f>IF(AND(Results!$R$6&gt;0,$E265-1&gt;=Results!$R$6*Calc!$F$26),"",IF(AND(Results!$I270&lt;&gt;"",Results!$K270&lt;&gt;"",Results!$F270&lt;&gt;Results!$H270,$F265&lt;&gt;"",$G265&lt;&gt;""),Results!$I270,""))</f>
        <v>1</v>
      </c>
      <c r="I265" s="18">
        <f>IF(AND(Results!$R$6&gt;0,$E265-1&gt;=Results!$R$6*Calc!$F$26),"",IF(AND(Results!$I270&lt;&gt;"",Results!$K270&lt;&gt;"",Results!$F270&lt;&gt;Results!$H270,$F265&lt;&gt;"",$G265&lt;&gt;""),Results!$K270,""))</f>
        <v>1</v>
      </c>
      <c r="J265" s="17" t="str">
        <f>IF(Plan!$I268=0,F265&amp;G265,"")</f>
        <v/>
      </c>
      <c r="K265" s="134">
        <f t="shared" si="5"/>
        <v>1</v>
      </c>
      <c r="L265" s="134" t="str">
        <f>IF(AND(K265&gt;0,Plan!$I268=0),H265&amp;Language!$E$65&amp;I265,"")</f>
        <v/>
      </c>
      <c r="M265" s="2" t="str">
        <f>IF(Plan!$I268=1,F265&amp;G265,"")</f>
        <v>FC St. Pauli1. FC Köln</v>
      </c>
      <c r="N265" s="93" t="str">
        <f>IF(AND(K265&gt;0,Plan!$I268=1),H265&amp;Language!$E$65&amp;I265,"")</f>
        <v>1 : 1</v>
      </c>
      <c r="O265" s="379">
        <f>IF($H265="",0,Results!$L270)</f>
        <v>0</v>
      </c>
      <c r="P265" s="380">
        <f>IF($I265="",0,Results!$M270)</f>
        <v>0</v>
      </c>
    </row>
    <row r="266" spans="5:16" x14ac:dyDescent="0.2">
      <c r="E266" s="298">
        <v>263</v>
      </c>
      <c r="F266" s="190" t="str">
        <f>Plan!$Q269</f>
        <v>1. FC Union Berlin</v>
      </c>
      <c r="G266" s="191" t="str">
        <f>Plan!$S269</f>
        <v>VfL Wolfsburg</v>
      </c>
      <c r="H266" s="134">
        <f>IF(AND(Results!$R$6&gt;0,$E266-1&gt;=Results!$R$6*Calc!$F$26),"",IF(AND(Results!$I271&lt;&gt;"",Results!$K271&lt;&gt;"",Results!$F271&lt;&gt;Results!$H271,$F266&lt;&gt;"",$G266&lt;&gt;""),Results!$I271,""))</f>
        <v>1</v>
      </c>
      <c r="I266" s="18">
        <f>IF(AND(Results!$R$6&gt;0,$E266-1&gt;=Results!$R$6*Calc!$F$26),"",IF(AND(Results!$I271&lt;&gt;"",Results!$K271&lt;&gt;"",Results!$F271&lt;&gt;Results!$H271,$F266&lt;&gt;"",$G266&lt;&gt;""),Results!$K271,""))</f>
        <v>2</v>
      </c>
      <c r="J266" s="17" t="str">
        <f>IF(Plan!$I269=0,F266&amp;G266,"")</f>
        <v/>
      </c>
      <c r="K266" s="134">
        <f t="shared" si="5"/>
        <v>1</v>
      </c>
      <c r="L266" s="134" t="str">
        <f>IF(AND(K266&gt;0,Plan!$I269=0),H266&amp;Language!$E$65&amp;I266,"")</f>
        <v/>
      </c>
      <c r="M266" s="2" t="str">
        <f>IF(Plan!$I269=1,F266&amp;G266,"")</f>
        <v>1. FC Union BerlinVfL Wolfsburg</v>
      </c>
      <c r="N266" s="93" t="str">
        <f>IF(AND(K266&gt;0,Plan!$I269=1),H266&amp;Language!$E$65&amp;I266,"")</f>
        <v>1 : 2</v>
      </c>
      <c r="O266" s="379">
        <f>IF($H266="",0,Results!$L271)</f>
        <v>0</v>
      </c>
      <c r="P266" s="380">
        <f>IF($I266="",0,Results!$M271)</f>
        <v>0</v>
      </c>
    </row>
    <row r="267" spans="5:16" x14ac:dyDescent="0.2">
      <c r="E267" s="298">
        <v>264</v>
      </c>
      <c r="F267" s="190" t="str">
        <f>Plan!$Q270</f>
        <v>TSG Hoffenheim</v>
      </c>
      <c r="G267" s="191" t="str">
        <f>Plan!$S270</f>
        <v>Borussia Dortmund</v>
      </c>
      <c r="H267" s="134">
        <f>IF(AND(Results!$R$6&gt;0,$E267-1&gt;=Results!$R$6*Calc!$F$26),"",IF(AND(Results!$I272&lt;&gt;"",Results!$K272&lt;&gt;"",Results!$F272&lt;&gt;Results!$H272,$F267&lt;&gt;"",$G267&lt;&gt;""),Results!$I272,""))</f>
        <v>2</v>
      </c>
      <c r="I267" s="18">
        <f>IF(AND(Results!$R$6&gt;0,$E267-1&gt;=Results!$R$6*Calc!$F$26),"",IF(AND(Results!$I272&lt;&gt;"",Results!$K272&lt;&gt;"",Results!$F272&lt;&gt;Results!$H272,$F267&lt;&gt;"",$G267&lt;&gt;""),Results!$K272,""))</f>
        <v>1</v>
      </c>
      <c r="J267" s="17" t="str">
        <f>IF(Plan!$I270=0,F267&amp;G267,"")</f>
        <v/>
      </c>
      <c r="K267" s="134">
        <f t="shared" ref="K267:K330" si="6">IF(AND(F267&lt;&gt;"",G267&lt;&gt;"",F267&lt;&gt;G267,H267&lt;&gt;"",I267&lt;&gt;""),1,0)</f>
        <v>1</v>
      </c>
      <c r="L267" s="134" t="str">
        <f>IF(AND(K267&gt;0,Plan!$I270=0),H267&amp;Language!$E$65&amp;I267,"")</f>
        <v/>
      </c>
      <c r="M267" s="2" t="str">
        <f>IF(Plan!$I270=1,F267&amp;G267,"")</f>
        <v>TSG HoffenheimBorussia Dortmund</v>
      </c>
      <c r="N267" s="93" t="str">
        <f>IF(AND(K267&gt;0,Plan!$I270=1),H267&amp;Language!$E$65&amp;I267,"")</f>
        <v>2 : 1</v>
      </c>
      <c r="O267" s="379">
        <f>IF($H267="",0,Results!$L272)</f>
        <v>0</v>
      </c>
      <c r="P267" s="380">
        <f>IF($I267="",0,Results!$M272)</f>
        <v>0</v>
      </c>
    </row>
    <row r="268" spans="5:16" x14ac:dyDescent="0.2">
      <c r="E268" s="298">
        <v>265</v>
      </c>
      <c r="F268" s="190" t="str">
        <f>Plan!$Q271</f>
        <v>Bayer 04 Leverkusen</v>
      </c>
      <c r="G268" s="191" t="str">
        <f>Plan!$S271</f>
        <v>FC Augsburg</v>
      </c>
      <c r="H268" s="134">
        <f>IF(AND(Results!$R$6&gt;0,$E268-1&gt;=Results!$R$6*Calc!$F$26),"",IF(AND(Results!$I273&lt;&gt;"",Results!$K273&lt;&gt;"",Results!$F273&lt;&gt;Results!$H273,$F268&lt;&gt;"",$G268&lt;&gt;""),Results!$I273,""))</f>
        <v>1</v>
      </c>
      <c r="I268" s="18">
        <f>IF(AND(Results!$R$6&gt;0,$E268-1&gt;=Results!$R$6*Calc!$F$26),"",IF(AND(Results!$I273&lt;&gt;"",Results!$K273&lt;&gt;"",Results!$F273&lt;&gt;Results!$H273,$F268&lt;&gt;"",$G268&lt;&gt;""),Results!$K273,""))</f>
        <v>2</v>
      </c>
      <c r="J268" s="17" t="str">
        <f>IF(Plan!$I271=0,F268&amp;G268,"")</f>
        <v/>
      </c>
      <c r="K268" s="134">
        <f t="shared" si="6"/>
        <v>1</v>
      </c>
      <c r="L268" s="134" t="str">
        <f>IF(AND(K268&gt;0,Plan!$I271=0),H268&amp;Language!$E$65&amp;I268,"")</f>
        <v/>
      </c>
      <c r="M268" s="2" t="str">
        <f>IF(Plan!$I271=1,F268&amp;G268,"")</f>
        <v>Bayer 04 LeverkusenFC Augsburg</v>
      </c>
      <c r="N268" s="93" t="str">
        <f>IF(AND(K268&gt;0,Plan!$I271=1),H268&amp;Language!$E$65&amp;I268,"")</f>
        <v>1 : 2</v>
      </c>
      <c r="O268" s="379">
        <f>IF($H268="",0,Results!$L273)</f>
        <v>0</v>
      </c>
      <c r="P268" s="380">
        <f>IF($I268="",0,Results!$M273)</f>
        <v>0</v>
      </c>
    </row>
    <row r="269" spans="5:16" x14ac:dyDescent="0.2">
      <c r="E269" s="298">
        <v>266</v>
      </c>
      <c r="F269" s="190" t="str">
        <f>Plan!$Q272</f>
        <v>SV Werder Bremen</v>
      </c>
      <c r="G269" s="191" t="str">
        <f>Plan!$S272</f>
        <v>Hamburger SV</v>
      </c>
      <c r="H269" s="134">
        <f>IF(AND(Results!$R$6&gt;0,$E269-1&gt;=Results!$R$6*Calc!$F$26),"",IF(AND(Results!$I274&lt;&gt;"",Results!$K274&lt;&gt;"",Results!$F274&lt;&gt;Results!$H274,$F269&lt;&gt;"",$G269&lt;&gt;""),Results!$I274,""))</f>
        <v>3</v>
      </c>
      <c r="I269" s="18">
        <f>IF(AND(Results!$R$6&gt;0,$E269-1&gt;=Results!$R$6*Calc!$F$26),"",IF(AND(Results!$I274&lt;&gt;"",Results!$K274&lt;&gt;"",Results!$F274&lt;&gt;Results!$H274,$F269&lt;&gt;"",$G269&lt;&gt;""),Results!$K274,""))</f>
        <v>1</v>
      </c>
      <c r="J269" s="17" t="str">
        <f>IF(Plan!$I272=0,F269&amp;G269,"")</f>
        <v/>
      </c>
      <c r="K269" s="134">
        <f t="shared" si="6"/>
        <v>1</v>
      </c>
      <c r="L269" s="134" t="str">
        <f>IF(AND(K269&gt;0,Plan!$I272=0),H269&amp;Language!$E$65&amp;I269,"")</f>
        <v/>
      </c>
      <c r="M269" s="2" t="str">
        <f>IF(Plan!$I272=1,F269&amp;G269,"")</f>
        <v>SV Werder BremenHamburger SV</v>
      </c>
      <c r="N269" s="93" t="str">
        <f>IF(AND(K269&gt;0,Plan!$I272=1),H269&amp;Language!$E$65&amp;I269,"")</f>
        <v>3 : 1</v>
      </c>
      <c r="O269" s="379">
        <f>IF($H269="",0,Results!$L274)</f>
        <v>0</v>
      </c>
      <c r="P269" s="380">
        <f>IF($I269="",0,Results!$M274)</f>
        <v>0</v>
      </c>
    </row>
    <row r="270" spans="5:16" x14ac:dyDescent="0.2">
      <c r="E270" s="298">
        <v>267</v>
      </c>
      <c r="F270" s="190" t="str">
        <f>Plan!$Q273</f>
        <v>Eintracht Frankfurt</v>
      </c>
      <c r="G270" s="191" t="str">
        <f>Plan!$S273</f>
        <v>RB Leipzig</v>
      </c>
      <c r="H270" s="134">
        <f>IF(AND(Results!$R$6&gt;0,$E270-1&gt;=Results!$R$6*Calc!$F$26),"",IF(AND(Results!$I275&lt;&gt;"",Results!$K275&lt;&gt;"",Results!$F275&lt;&gt;Results!$H275,$F270&lt;&gt;"",$G270&lt;&gt;""),Results!$I275,""))</f>
        <v>1</v>
      </c>
      <c r="I270" s="18">
        <f>IF(AND(Results!$R$6&gt;0,$E270-1&gt;=Results!$R$6*Calc!$F$26),"",IF(AND(Results!$I275&lt;&gt;"",Results!$K275&lt;&gt;"",Results!$F275&lt;&gt;Results!$H275,$F270&lt;&gt;"",$G270&lt;&gt;""),Results!$K275,""))</f>
        <v>3</v>
      </c>
      <c r="J270" s="17" t="str">
        <f>IF(Plan!$I273=0,F270&amp;G270,"")</f>
        <v/>
      </c>
      <c r="K270" s="134">
        <f t="shared" si="6"/>
        <v>1</v>
      </c>
      <c r="L270" s="134" t="str">
        <f>IF(AND(K270&gt;0,Plan!$I273=0),H270&amp;Language!$E$65&amp;I270,"")</f>
        <v/>
      </c>
      <c r="M270" s="2" t="str">
        <f>IF(Plan!$I273=1,F270&amp;G270,"")</f>
        <v>Eintracht FrankfurtRB Leipzig</v>
      </c>
      <c r="N270" s="93" t="str">
        <f>IF(AND(K270&gt;0,Plan!$I273=1),H270&amp;Language!$E$65&amp;I270,"")</f>
        <v>1 : 3</v>
      </c>
      <c r="O270" s="379">
        <f>IF($H270="",0,Results!$L275)</f>
        <v>0</v>
      </c>
      <c r="P270" s="380">
        <f>IF($I270="",0,Results!$M275)</f>
        <v>0</v>
      </c>
    </row>
    <row r="271" spans="5:16" x14ac:dyDescent="0.2">
      <c r="E271" s="298">
        <v>268</v>
      </c>
      <c r="F271" s="190" t="str">
        <f>Plan!$Q274</f>
        <v>SC Freiburg</v>
      </c>
      <c r="G271" s="191" t="str">
        <f>Plan!$S274</f>
        <v>1. FC Heidenheim 1846</v>
      </c>
      <c r="H271" s="134">
        <f>IF(AND(Results!$R$6&gt;0,$E271-1&gt;=Results!$R$6*Calc!$F$26),"",IF(AND(Results!$I276&lt;&gt;"",Results!$K276&lt;&gt;"",Results!$F276&lt;&gt;Results!$H276,$F271&lt;&gt;"",$G271&lt;&gt;""),Results!$I276,""))</f>
        <v>2</v>
      </c>
      <c r="I271" s="18">
        <f>IF(AND(Results!$R$6&gt;0,$E271-1&gt;=Results!$R$6*Calc!$F$26),"",IF(AND(Results!$I276&lt;&gt;"",Results!$K276&lt;&gt;"",Results!$F276&lt;&gt;Results!$H276,$F271&lt;&gt;"",$G271&lt;&gt;""),Results!$K276,""))</f>
        <v>1</v>
      </c>
      <c r="J271" s="17" t="str">
        <f>IF(Plan!$I274=0,F271&amp;G271,"")</f>
        <v/>
      </c>
      <c r="K271" s="134">
        <f t="shared" si="6"/>
        <v>1</v>
      </c>
      <c r="L271" s="134" t="str">
        <f>IF(AND(K271&gt;0,Plan!$I274=0),H271&amp;Language!$E$65&amp;I271,"")</f>
        <v/>
      </c>
      <c r="M271" s="2" t="str">
        <f>IF(Plan!$I274=1,F271&amp;G271,"")</f>
        <v>SC Freiburg1. FC Heidenheim 1846</v>
      </c>
      <c r="N271" s="93" t="str">
        <f>IF(AND(K271&gt;0,Plan!$I274=1),H271&amp;Language!$E$65&amp;I271,"")</f>
        <v>2 : 1</v>
      </c>
      <c r="O271" s="379">
        <f>IF($H271="",0,Results!$L276)</f>
        <v>0</v>
      </c>
      <c r="P271" s="380">
        <f>IF($I271="",0,Results!$M276)</f>
        <v>0</v>
      </c>
    </row>
    <row r="272" spans="5:16" x14ac:dyDescent="0.2">
      <c r="E272" s="298">
        <v>269</v>
      </c>
      <c r="F272" s="190" t="str">
        <f>Plan!$Q275</f>
        <v>FC Bayern München</v>
      </c>
      <c r="G272" s="191" t="str">
        <f>Plan!$S275</f>
        <v>VfB Stuttgart</v>
      </c>
      <c r="H272" s="134">
        <f>IF(AND(Results!$R$6&gt;0,$E272-1&gt;=Results!$R$6*Calc!$F$26),"",IF(AND(Results!$I277&lt;&gt;"",Results!$K277&lt;&gt;"",Results!$F277&lt;&gt;Results!$H277,$F272&lt;&gt;"",$G272&lt;&gt;""),Results!$I277,""))</f>
        <v>4</v>
      </c>
      <c r="I272" s="18">
        <f>IF(AND(Results!$R$6&gt;0,$E272-1&gt;=Results!$R$6*Calc!$F$26),"",IF(AND(Results!$I277&lt;&gt;"",Results!$K277&lt;&gt;"",Results!$F277&lt;&gt;Results!$H277,$F272&lt;&gt;"",$G272&lt;&gt;""),Results!$K277,""))</f>
        <v>2</v>
      </c>
      <c r="J272" s="17" t="str">
        <f>IF(Plan!$I275=0,F272&amp;G272,"")</f>
        <v/>
      </c>
      <c r="K272" s="134">
        <f t="shared" si="6"/>
        <v>1</v>
      </c>
      <c r="L272" s="134" t="str">
        <f>IF(AND(K272&gt;0,Plan!$I275=0),H272&amp;Language!$E$65&amp;I272,"")</f>
        <v/>
      </c>
      <c r="M272" s="2" t="str">
        <f>IF(Plan!$I275=1,F272&amp;G272,"")</f>
        <v>FC Bayern MünchenVfB Stuttgart</v>
      </c>
      <c r="N272" s="93" t="str">
        <f>IF(AND(K272&gt;0,Plan!$I275=1),H272&amp;Language!$E$65&amp;I272,"")</f>
        <v>4 : 2</v>
      </c>
      <c r="O272" s="379">
        <f>IF($H272="",0,Results!$L277)</f>
        <v>0</v>
      </c>
      <c r="P272" s="380">
        <f>IF($I272="",0,Results!$M277)</f>
        <v>0</v>
      </c>
    </row>
    <row r="273" spans="5:16" x14ac:dyDescent="0.2">
      <c r="E273" s="298">
        <v>270</v>
      </c>
      <c r="F273" s="190" t="str">
        <f>Plan!$Q276</f>
        <v>Borussia Mönchengladbach</v>
      </c>
      <c r="G273" s="191" t="str">
        <f>Plan!$S276</f>
        <v>1. FSV Mainz 05</v>
      </c>
      <c r="H273" s="134">
        <f>IF(AND(Results!$R$6&gt;0,$E273-1&gt;=Results!$R$6*Calc!$F$26),"",IF(AND(Results!$I278&lt;&gt;"",Results!$K278&lt;&gt;"",Results!$F278&lt;&gt;Results!$H278,$F273&lt;&gt;"",$G273&lt;&gt;""),Results!$I278,""))</f>
        <v>1</v>
      </c>
      <c r="I273" s="18">
        <f>IF(AND(Results!$R$6&gt;0,$E273-1&gt;=Results!$R$6*Calc!$F$26),"",IF(AND(Results!$I278&lt;&gt;"",Results!$K278&lt;&gt;"",Results!$F278&lt;&gt;Results!$H278,$F273&lt;&gt;"",$G273&lt;&gt;""),Results!$K278,""))</f>
        <v>1</v>
      </c>
      <c r="J273" s="17" t="str">
        <f>IF(Plan!$I276=0,F273&amp;G273,"")</f>
        <v/>
      </c>
      <c r="K273" s="134">
        <f t="shared" si="6"/>
        <v>1</v>
      </c>
      <c r="L273" s="134" t="str">
        <f>IF(AND(K273&gt;0,Plan!$I276=0),H273&amp;Language!$E$65&amp;I273,"")</f>
        <v/>
      </c>
      <c r="M273" s="2" t="str">
        <f>IF(Plan!$I276=1,F273&amp;G273,"")</f>
        <v>Borussia Mönchengladbach1. FSV Mainz 05</v>
      </c>
      <c r="N273" s="93" t="str">
        <f>IF(AND(K273&gt;0,Plan!$I276=1),H273&amp;Language!$E$65&amp;I273,"")</f>
        <v>1 : 1</v>
      </c>
      <c r="O273" s="379">
        <f>IF($H273="",0,Results!$L278)</f>
        <v>0</v>
      </c>
      <c r="P273" s="380">
        <f>IF($I273="",0,Results!$M278)</f>
        <v>0</v>
      </c>
    </row>
    <row r="274" spans="5:16" x14ac:dyDescent="0.2">
      <c r="E274" s="298">
        <v>271</v>
      </c>
      <c r="F274" s="190" t="str">
        <f>Plan!$Q277</f>
        <v>RB Leipzig</v>
      </c>
      <c r="G274" s="191" t="str">
        <f>Plan!$S277</f>
        <v>1. FC Union Berlin</v>
      </c>
      <c r="H274" s="134">
        <f>IF(AND(Results!$R$6&gt;0,$E274-1&gt;=Results!$R$6*Calc!$F$26),"",IF(AND(Results!$I279&lt;&gt;"",Results!$K279&lt;&gt;"",Results!$F279&lt;&gt;Results!$H279,$F274&lt;&gt;"",$G274&lt;&gt;""),Results!$I279,""))</f>
        <v>3</v>
      </c>
      <c r="I274" s="18">
        <f>IF(AND(Results!$R$6&gt;0,$E274-1&gt;=Results!$R$6*Calc!$F$26),"",IF(AND(Results!$I279&lt;&gt;"",Results!$K279&lt;&gt;"",Results!$F279&lt;&gt;Results!$H279,$F274&lt;&gt;"",$G274&lt;&gt;""),Results!$K279,""))</f>
        <v>1</v>
      </c>
      <c r="J274" s="17" t="str">
        <f>IF(Plan!$I277=0,F274&amp;G274,"")</f>
        <v/>
      </c>
      <c r="K274" s="134">
        <f t="shared" si="6"/>
        <v>1</v>
      </c>
      <c r="L274" s="134" t="str">
        <f>IF(AND(K274&gt;0,Plan!$I277=0),H274&amp;Language!$E$65&amp;I274,"")</f>
        <v/>
      </c>
      <c r="M274" s="2" t="str">
        <f>IF(Plan!$I277=1,F274&amp;G274,"")</f>
        <v>RB Leipzig1. FC Union Berlin</v>
      </c>
      <c r="N274" s="93" t="str">
        <f>IF(AND(K274&gt;0,Plan!$I277=1),H274&amp;Language!$E$65&amp;I274,"")</f>
        <v>3 : 1</v>
      </c>
      <c r="O274" s="379">
        <f>IF($H274="",0,Results!$L279)</f>
        <v>0</v>
      </c>
      <c r="P274" s="380">
        <f>IF($I274="",0,Results!$M279)</f>
        <v>0</v>
      </c>
    </row>
    <row r="275" spans="5:16" x14ac:dyDescent="0.2">
      <c r="E275" s="298">
        <v>272</v>
      </c>
      <c r="F275" s="190" t="str">
        <f>Plan!$Q278</f>
        <v>1. FC Heidenheim 1846</v>
      </c>
      <c r="G275" s="191" t="str">
        <f>Plan!$S278</f>
        <v>FC St. Pauli</v>
      </c>
      <c r="H275" s="134">
        <f>IF(AND(Results!$R$6&gt;0,$E275-1&gt;=Results!$R$6*Calc!$F$26),"",IF(AND(Results!$I280&lt;&gt;"",Results!$K280&lt;&gt;"",Results!$F280&lt;&gt;Results!$H280,$F275&lt;&gt;"",$G275&lt;&gt;""),Results!$I280,""))</f>
        <v>2</v>
      </c>
      <c r="I275" s="18">
        <f>IF(AND(Results!$R$6&gt;0,$E275-1&gt;=Results!$R$6*Calc!$F$26),"",IF(AND(Results!$I280&lt;&gt;"",Results!$K280&lt;&gt;"",Results!$F280&lt;&gt;Results!$H280,$F275&lt;&gt;"",$G275&lt;&gt;""),Results!$K280,""))</f>
        <v>0</v>
      </c>
      <c r="J275" s="17" t="str">
        <f>IF(Plan!$I278=0,F275&amp;G275,"")</f>
        <v/>
      </c>
      <c r="K275" s="134">
        <f t="shared" si="6"/>
        <v>1</v>
      </c>
      <c r="L275" s="134" t="str">
        <f>IF(AND(K275&gt;0,Plan!$I278=0),H275&amp;Language!$E$65&amp;I275,"")</f>
        <v/>
      </c>
      <c r="M275" s="2" t="str">
        <f>IF(Plan!$I278=1,F275&amp;G275,"")</f>
        <v>1. FC Heidenheim 1846FC St. Pauli</v>
      </c>
      <c r="N275" s="93" t="str">
        <f>IF(AND(K275&gt;0,Plan!$I278=1),H275&amp;Language!$E$65&amp;I275,"")</f>
        <v>2 : 0</v>
      </c>
      <c r="O275" s="379">
        <f>IF($H275="",0,Results!$L280)</f>
        <v>0</v>
      </c>
      <c r="P275" s="380">
        <f>IF($I275="",0,Results!$M280)</f>
        <v>0</v>
      </c>
    </row>
    <row r="276" spans="5:16" x14ac:dyDescent="0.2">
      <c r="E276" s="298">
        <v>273</v>
      </c>
      <c r="F276" s="190" t="str">
        <f>Plan!$Q279</f>
        <v>1. FC Köln</v>
      </c>
      <c r="G276" s="191" t="str">
        <f>Plan!$S279</f>
        <v>Bayer 04 Leverkusen</v>
      </c>
      <c r="H276" s="134">
        <f>IF(AND(Results!$R$6&gt;0,$E276-1&gt;=Results!$R$6*Calc!$F$26),"",IF(AND(Results!$I281&lt;&gt;"",Results!$K281&lt;&gt;"",Results!$F281&lt;&gt;Results!$H281,$F276&lt;&gt;"",$G276&lt;&gt;""),Results!$I281,""))</f>
        <v>1</v>
      </c>
      <c r="I276" s="18">
        <f>IF(AND(Results!$R$6&gt;0,$E276-1&gt;=Results!$R$6*Calc!$F$26),"",IF(AND(Results!$I281&lt;&gt;"",Results!$K281&lt;&gt;"",Results!$F281&lt;&gt;Results!$H281,$F276&lt;&gt;"",$G276&lt;&gt;""),Results!$K281,""))</f>
        <v>2</v>
      </c>
      <c r="J276" s="17" t="str">
        <f>IF(Plan!$I279=0,F276&amp;G276,"")</f>
        <v/>
      </c>
      <c r="K276" s="134">
        <f t="shared" si="6"/>
        <v>1</v>
      </c>
      <c r="L276" s="134" t="str">
        <f>IF(AND(K276&gt;0,Plan!$I279=0),H276&amp;Language!$E$65&amp;I276,"")</f>
        <v/>
      </c>
      <c r="M276" s="2" t="str">
        <f>IF(Plan!$I279=1,F276&amp;G276,"")</f>
        <v>1. FC KölnBayer 04 Leverkusen</v>
      </c>
      <c r="N276" s="93" t="str">
        <f>IF(AND(K276&gt;0,Plan!$I279=1),H276&amp;Language!$E$65&amp;I276,"")</f>
        <v>1 : 2</v>
      </c>
      <c r="O276" s="379">
        <f>IF($H276="",0,Results!$L281)</f>
        <v>0</v>
      </c>
      <c r="P276" s="380">
        <f>IF($I276="",0,Results!$M281)</f>
        <v>0</v>
      </c>
    </row>
    <row r="277" spans="5:16" x14ac:dyDescent="0.2">
      <c r="E277" s="298">
        <v>274</v>
      </c>
      <c r="F277" s="190" t="str">
        <f>Plan!$Q280</f>
        <v>FC Augsburg</v>
      </c>
      <c r="G277" s="191" t="str">
        <f>Plan!$S280</f>
        <v>Eintracht Frankfurt</v>
      </c>
      <c r="H277" s="134">
        <f>IF(AND(Results!$R$6&gt;0,$E277-1&gt;=Results!$R$6*Calc!$F$26),"",IF(AND(Results!$I282&lt;&gt;"",Results!$K282&lt;&gt;"",Results!$F282&lt;&gt;Results!$H282,$F277&lt;&gt;"",$G277&lt;&gt;""),Results!$I282,""))</f>
        <v>1</v>
      </c>
      <c r="I277" s="18">
        <f>IF(AND(Results!$R$6&gt;0,$E277-1&gt;=Results!$R$6*Calc!$F$26),"",IF(AND(Results!$I282&lt;&gt;"",Results!$K282&lt;&gt;"",Results!$F282&lt;&gt;Results!$H282,$F277&lt;&gt;"",$G277&lt;&gt;""),Results!$K282,""))</f>
        <v>1</v>
      </c>
      <c r="J277" s="17" t="str">
        <f>IF(Plan!$I280=0,F277&amp;G277,"")</f>
        <v/>
      </c>
      <c r="K277" s="134">
        <f t="shared" si="6"/>
        <v>1</v>
      </c>
      <c r="L277" s="134" t="str">
        <f>IF(AND(K277&gt;0,Plan!$I280=0),H277&amp;Language!$E$65&amp;I277,"")</f>
        <v/>
      </c>
      <c r="M277" s="2" t="str">
        <f>IF(Plan!$I280=1,F277&amp;G277,"")</f>
        <v>FC AugsburgEintracht Frankfurt</v>
      </c>
      <c r="N277" s="93" t="str">
        <f>IF(AND(K277&gt;0,Plan!$I280=1),H277&amp;Language!$E$65&amp;I277,"")</f>
        <v>1 : 1</v>
      </c>
      <c r="O277" s="379">
        <f>IF($H277="",0,Results!$L282)</f>
        <v>0</v>
      </c>
      <c r="P277" s="380">
        <f>IF($I277="",0,Results!$M282)</f>
        <v>0</v>
      </c>
    </row>
    <row r="278" spans="5:16" x14ac:dyDescent="0.2">
      <c r="E278" s="298">
        <v>275</v>
      </c>
      <c r="F278" s="190" t="str">
        <f>Plan!$Q281</f>
        <v>1. FSV Mainz 05</v>
      </c>
      <c r="G278" s="191" t="str">
        <f>Plan!$S281</f>
        <v>FC Bayern München</v>
      </c>
      <c r="H278" s="134">
        <f>IF(AND(Results!$R$6&gt;0,$E278-1&gt;=Results!$R$6*Calc!$F$26),"",IF(AND(Results!$I283&lt;&gt;"",Results!$K283&lt;&gt;"",Results!$F283&lt;&gt;Results!$H283,$F278&lt;&gt;"",$G278&lt;&gt;""),Results!$I283,""))</f>
        <v>3</v>
      </c>
      <c r="I278" s="18">
        <f>IF(AND(Results!$R$6&gt;0,$E278-1&gt;=Results!$R$6*Calc!$F$26),"",IF(AND(Results!$I283&lt;&gt;"",Results!$K283&lt;&gt;"",Results!$F283&lt;&gt;Results!$H283,$F278&lt;&gt;"",$G278&lt;&gt;""),Results!$K283,""))</f>
        <v>4</v>
      </c>
      <c r="J278" s="17" t="str">
        <f>IF(Plan!$I281=0,F278&amp;G278,"")</f>
        <v/>
      </c>
      <c r="K278" s="134">
        <f t="shared" si="6"/>
        <v>1</v>
      </c>
      <c r="L278" s="134" t="str">
        <f>IF(AND(K278&gt;0,Plan!$I281=0),H278&amp;Language!$E$65&amp;I278,"")</f>
        <v/>
      </c>
      <c r="M278" s="2" t="str">
        <f>IF(Plan!$I281=1,F278&amp;G278,"")</f>
        <v>1. FSV Mainz 05FC Bayern München</v>
      </c>
      <c r="N278" s="93" t="str">
        <f>IF(AND(K278&gt;0,Plan!$I281=1),H278&amp;Language!$E$65&amp;I278,"")</f>
        <v>3 : 4</v>
      </c>
      <c r="O278" s="379">
        <f>IF($H278="",0,Results!$L283)</f>
        <v>0</v>
      </c>
      <c r="P278" s="380">
        <f>IF($I278="",0,Results!$M283)</f>
        <v>0</v>
      </c>
    </row>
    <row r="279" spans="5:16" x14ac:dyDescent="0.2">
      <c r="E279" s="298">
        <v>276</v>
      </c>
      <c r="F279" s="190" t="str">
        <f>Plan!$Q282</f>
        <v>VfL Wolfsburg</v>
      </c>
      <c r="G279" s="191" t="str">
        <f>Plan!$S282</f>
        <v>Borussia Mönchengladbach</v>
      </c>
      <c r="H279" s="134">
        <f>IF(AND(Results!$R$6&gt;0,$E279-1&gt;=Results!$R$6*Calc!$F$26),"",IF(AND(Results!$I284&lt;&gt;"",Results!$K284&lt;&gt;"",Results!$F284&lt;&gt;Results!$H284,$F279&lt;&gt;"",$G279&lt;&gt;""),Results!$I284,""))</f>
        <v>0</v>
      </c>
      <c r="I279" s="18">
        <f>IF(AND(Results!$R$6&gt;0,$E279-1&gt;=Results!$R$6*Calc!$F$26),"",IF(AND(Results!$I284&lt;&gt;"",Results!$K284&lt;&gt;"",Results!$F284&lt;&gt;Results!$H284,$F279&lt;&gt;"",$G279&lt;&gt;""),Results!$K284,""))</f>
        <v>0</v>
      </c>
      <c r="J279" s="17" t="str">
        <f>IF(Plan!$I282=0,F279&amp;G279,"")</f>
        <v/>
      </c>
      <c r="K279" s="134">
        <f t="shared" si="6"/>
        <v>1</v>
      </c>
      <c r="L279" s="134" t="str">
        <f>IF(AND(K279&gt;0,Plan!$I282=0),H279&amp;Language!$E$65&amp;I279,"")</f>
        <v/>
      </c>
      <c r="M279" s="2" t="str">
        <f>IF(Plan!$I282=1,F279&amp;G279,"")</f>
        <v>VfL WolfsburgBorussia Mönchengladbach</v>
      </c>
      <c r="N279" s="93" t="str">
        <f>IF(AND(K279&gt;0,Plan!$I282=1),H279&amp;Language!$E$65&amp;I279,"")</f>
        <v>0 : 0</v>
      </c>
      <c r="O279" s="379">
        <f>IF($H279="",0,Results!$L284)</f>
        <v>0</v>
      </c>
      <c r="P279" s="380">
        <f>IF($I279="",0,Results!$M284)</f>
        <v>0</v>
      </c>
    </row>
    <row r="280" spans="5:16" x14ac:dyDescent="0.2">
      <c r="E280" s="298">
        <v>277</v>
      </c>
      <c r="F280" s="190" t="str">
        <f>Plan!$Q283</f>
        <v>Hamburger SV</v>
      </c>
      <c r="G280" s="191" t="str">
        <f>Plan!$S283</f>
        <v>TSG Hoffenheim</v>
      </c>
      <c r="H280" s="134">
        <f>IF(AND(Results!$R$6&gt;0,$E280-1&gt;=Results!$R$6*Calc!$F$26),"",IF(AND(Results!$I285&lt;&gt;"",Results!$K285&lt;&gt;"",Results!$F285&lt;&gt;Results!$H285,$F280&lt;&gt;"",$G280&lt;&gt;""),Results!$I285,""))</f>
        <v>1</v>
      </c>
      <c r="I280" s="18">
        <f>IF(AND(Results!$R$6&gt;0,$E280-1&gt;=Results!$R$6*Calc!$F$26),"",IF(AND(Results!$I285&lt;&gt;"",Results!$K285&lt;&gt;"",Results!$F285&lt;&gt;Results!$H285,$F280&lt;&gt;"",$G280&lt;&gt;""),Results!$K285,""))</f>
        <v>2</v>
      </c>
      <c r="J280" s="17" t="str">
        <f>IF(Plan!$I283=0,F280&amp;G280,"")</f>
        <v/>
      </c>
      <c r="K280" s="134">
        <f t="shared" si="6"/>
        <v>1</v>
      </c>
      <c r="L280" s="134" t="str">
        <f>IF(AND(K280&gt;0,Plan!$I283=0),H280&amp;Language!$E$65&amp;I280,"")</f>
        <v/>
      </c>
      <c r="M280" s="2" t="str">
        <f>IF(Plan!$I283=1,F280&amp;G280,"")</f>
        <v>Hamburger SVTSG Hoffenheim</v>
      </c>
      <c r="N280" s="93" t="str">
        <f>IF(AND(K280&gt;0,Plan!$I283=1),H280&amp;Language!$E$65&amp;I280,"")</f>
        <v>1 : 2</v>
      </c>
      <c r="O280" s="379">
        <f>IF($H280="",0,Results!$L285)</f>
        <v>0</v>
      </c>
      <c r="P280" s="380">
        <f>IF($I280="",0,Results!$M285)</f>
        <v>0</v>
      </c>
    </row>
    <row r="281" spans="5:16" x14ac:dyDescent="0.2">
      <c r="E281" s="298">
        <v>278</v>
      </c>
      <c r="F281" s="190" t="str">
        <f>Plan!$Q284</f>
        <v>VfB Stuttgart</v>
      </c>
      <c r="G281" s="191" t="str">
        <f>Plan!$S284</f>
        <v>SV Werder Bremen</v>
      </c>
      <c r="H281" s="134">
        <f>IF(AND(Results!$R$6&gt;0,$E281-1&gt;=Results!$R$6*Calc!$F$26),"",IF(AND(Results!$I286&lt;&gt;"",Results!$K286&lt;&gt;"",Results!$F286&lt;&gt;Results!$H286,$F281&lt;&gt;"",$G281&lt;&gt;""),Results!$I286,""))</f>
        <v>1</v>
      </c>
      <c r="I281" s="18">
        <f>IF(AND(Results!$R$6&gt;0,$E281-1&gt;=Results!$R$6*Calc!$F$26),"",IF(AND(Results!$I286&lt;&gt;"",Results!$K286&lt;&gt;"",Results!$F286&lt;&gt;Results!$H286,$F281&lt;&gt;"",$G281&lt;&gt;""),Results!$K286,""))</f>
        <v>1</v>
      </c>
      <c r="J281" s="17" t="str">
        <f>IF(Plan!$I284=0,F281&amp;G281,"")</f>
        <v/>
      </c>
      <c r="K281" s="134">
        <f t="shared" si="6"/>
        <v>1</v>
      </c>
      <c r="L281" s="134" t="str">
        <f>IF(AND(K281&gt;0,Plan!$I284=0),H281&amp;Language!$E$65&amp;I281,"")</f>
        <v/>
      </c>
      <c r="M281" s="2" t="str">
        <f>IF(Plan!$I284=1,F281&amp;G281,"")</f>
        <v>VfB StuttgartSV Werder Bremen</v>
      </c>
      <c r="N281" s="93" t="str">
        <f>IF(AND(K281&gt;0,Plan!$I284=1),H281&amp;Language!$E$65&amp;I281,"")</f>
        <v>1 : 1</v>
      </c>
      <c r="O281" s="379">
        <f>IF($H281="",0,Results!$L286)</f>
        <v>0</v>
      </c>
      <c r="P281" s="380">
        <f>IF($I281="",0,Results!$M286)</f>
        <v>0</v>
      </c>
    </row>
    <row r="282" spans="5:16" x14ac:dyDescent="0.2">
      <c r="E282" s="298">
        <v>279</v>
      </c>
      <c r="F282" s="190" t="str">
        <f>Plan!$Q285</f>
        <v>Borussia Dortmund</v>
      </c>
      <c r="G282" s="191" t="str">
        <f>Plan!$S285</f>
        <v>SC Freiburg</v>
      </c>
      <c r="H282" s="134">
        <f>IF(AND(Results!$R$6&gt;0,$E282-1&gt;=Results!$R$6*Calc!$F$26),"",IF(AND(Results!$I287&lt;&gt;"",Results!$K287&lt;&gt;"",Results!$F287&lt;&gt;Results!$H287,$F282&lt;&gt;"",$G282&lt;&gt;""),Results!$I287,""))</f>
        <v>4</v>
      </c>
      <c r="I282" s="18">
        <f>IF(AND(Results!$R$6&gt;0,$E282-1&gt;=Results!$R$6*Calc!$F$26),"",IF(AND(Results!$I287&lt;&gt;"",Results!$K287&lt;&gt;"",Results!$F287&lt;&gt;Results!$H287,$F282&lt;&gt;"",$G282&lt;&gt;""),Results!$K287,""))</f>
        <v>0</v>
      </c>
      <c r="J282" s="17" t="str">
        <f>IF(Plan!$I285=0,F282&amp;G282,"")</f>
        <v/>
      </c>
      <c r="K282" s="134">
        <f t="shared" si="6"/>
        <v>1</v>
      </c>
      <c r="L282" s="134" t="str">
        <f>IF(AND(K282&gt;0,Plan!$I285=0),H282&amp;Language!$E$65&amp;I282,"")</f>
        <v/>
      </c>
      <c r="M282" s="2" t="str">
        <f>IF(Plan!$I285=1,F282&amp;G282,"")</f>
        <v>Borussia DortmundSC Freiburg</v>
      </c>
      <c r="N282" s="93" t="str">
        <f>IF(AND(K282&gt;0,Plan!$I285=1),H282&amp;Language!$E$65&amp;I282,"")</f>
        <v>4 : 0</v>
      </c>
      <c r="O282" s="379">
        <f>IF($H282="",0,Results!$L287)</f>
        <v>0</v>
      </c>
      <c r="P282" s="380">
        <f>IF($I282="",0,Results!$M287)</f>
        <v>0</v>
      </c>
    </row>
    <row r="283" spans="5:16" x14ac:dyDescent="0.2">
      <c r="E283" s="298">
        <v>280</v>
      </c>
      <c r="F283" s="190" t="str">
        <f>Plan!$Q286</f>
        <v>1. FC Union Berlin</v>
      </c>
      <c r="G283" s="191" t="str">
        <f>Plan!$S286</f>
        <v>1. FC Köln</v>
      </c>
      <c r="H283" s="134">
        <f>IF(AND(Results!$R$6&gt;0,$E283-1&gt;=Results!$R$6*Calc!$F$26),"",IF(AND(Results!$I288&lt;&gt;"",Results!$K288&lt;&gt;"",Results!$F288&lt;&gt;Results!$H288,$F283&lt;&gt;"",$G283&lt;&gt;""),Results!$I288,""))</f>
        <v>2</v>
      </c>
      <c r="I283" s="18">
        <f>IF(AND(Results!$R$6&gt;0,$E283-1&gt;=Results!$R$6*Calc!$F$26),"",IF(AND(Results!$I288&lt;&gt;"",Results!$K288&lt;&gt;"",Results!$F288&lt;&gt;Results!$H288,$F283&lt;&gt;"",$G283&lt;&gt;""),Results!$K288,""))</f>
        <v>2</v>
      </c>
      <c r="J283" s="17" t="str">
        <f>IF(Plan!$I286=0,F283&amp;G283,"")</f>
        <v/>
      </c>
      <c r="K283" s="134">
        <f t="shared" si="6"/>
        <v>1</v>
      </c>
      <c r="L283" s="134" t="str">
        <f>IF(AND(K283&gt;0,Plan!$I286=0),H283&amp;Language!$E$65&amp;I283,"")</f>
        <v/>
      </c>
      <c r="M283" s="2" t="str">
        <f>IF(Plan!$I286=1,F283&amp;G283,"")</f>
        <v>1. FC Union Berlin1. FC Köln</v>
      </c>
      <c r="N283" s="93" t="str">
        <f>IF(AND(K283&gt;0,Plan!$I286=1),H283&amp;Language!$E$65&amp;I283,"")</f>
        <v>2 : 2</v>
      </c>
      <c r="O283" s="379">
        <f>IF($H283="",0,Results!$L288)</f>
        <v>0</v>
      </c>
      <c r="P283" s="380">
        <f>IF($I283="",0,Results!$M288)</f>
        <v>0</v>
      </c>
    </row>
    <row r="284" spans="5:16" x14ac:dyDescent="0.2">
      <c r="E284" s="298">
        <v>281</v>
      </c>
      <c r="F284" s="190" t="str">
        <f>Plan!$Q287</f>
        <v>TSG Hoffenheim</v>
      </c>
      <c r="G284" s="191" t="str">
        <f>Plan!$S287</f>
        <v>VfB Stuttgart</v>
      </c>
      <c r="H284" s="134">
        <f>IF(AND(Results!$R$6&gt;0,$E284-1&gt;=Results!$R$6*Calc!$F$26),"",IF(AND(Results!$I289&lt;&gt;"",Results!$K289&lt;&gt;"",Results!$F289&lt;&gt;Results!$H289,$F284&lt;&gt;"",$G284&lt;&gt;""),Results!$I289,""))</f>
        <v>3</v>
      </c>
      <c r="I284" s="18">
        <f>IF(AND(Results!$R$6&gt;0,$E284-1&gt;=Results!$R$6*Calc!$F$26),"",IF(AND(Results!$I289&lt;&gt;"",Results!$K289&lt;&gt;"",Results!$F289&lt;&gt;Results!$H289,$F284&lt;&gt;"",$G284&lt;&gt;""),Results!$K289,""))</f>
        <v>3</v>
      </c>
      <c r="J284" s="17" t="str">
        <f>IF(Plan!$I287=0,F284&amp;G284,"")</f>
        <v/>
      </c>
      <c r="K284" s="134">
        <f t="shared" si="6"/>
        <v>1</v>
      </c>
      <c r="L284" s="134" t="str">
        <f>IF(AND(K284&gt;0,Plan!$I287=0),H284&amp;Language!$E$65&amp;I284,"")</f>
        <v/>
      </c>
      <c r="M284" s="2" t="str">
        <f>IF(Plan!$I287=1,F284&amp;G284,"")</f>
        <v>TSG HoffenheimVfB Stuttgart</v>
      </c>
      <c r="N284" s="93" t="str">
        <f>IF(AND(K284&gt;0,Plan!$I287=1),H284&amp;Language!$E$65&amp;I284,"")</f>
        <v>3 : 3</v>
      </c>
      <c r="O284" s="379">
        <f>IF($H284="",0,Results!$L289)</f>
        <v>0</v>
      </c>
      <c r="P284" s="380">
        <f>IF($I284="",0,Results!$M289)</f>
        <v>0</v>
      </c>
    </row>
    <row r="285" spans="5:16" x14ac:dyDescent="0.2">
      <c r="E285" s="298">
        <v>282</v>
      </c>
      <c r="F285" s="190" t="str">
        <f>Plan!$Q288</f>
        <v>SV Werder Bremen</v>
      </c>
      <c r="G285" s="191" t="str">
        <f>Plan!$S288</f>
        <v>FC Augsburg</v>
      </c>
      <c r="H285" s="134">
        <f>IF(AND(Results!$R$6&gt;0,$E285-1&gt;=Results!$R$6*Calc!$F$26),"",IF(AND(Results!$I290&lt;&gt;"",Results!$K290&lt;&gt;"",Results!$F290&lt;&gt;Results!$H290,$F285&lt;&gt;"",$G285&lt;&gt;""),Results!$I290,""))</f>
        <v>1</v>
      </c>
      <c r="I285" s="18">
        <f>IF(AND(Results!$R$6&gt;0,$E285-1&gt;=Results!$R$6*Calc!$F$26),"",IF(AND(Results!$I290&lt;&gt;"",Results!$K290&lt;&gt;"",Results!$F290&lt;&gt;Results!$H290,$F285&lt;&gt;"",$G285&lt;&gt;""),Results!$K290,""))</f>
        <v>3</v>
      </c>
      <c r="J285" s="17" t="str">
        <f>IF(Plan!$I288=0,F285&amp;G285,"")</f>
        <v/>
      </c>
      <c r="K285" s="134">
        <f t="shared" si="6"/>
        <v>1</v>
      </c>
      <c r="L285" s="134" t="str">
        <f>IF(AND(K285&gt;0,Plan!$I288=0),H285&amp;Language!$E$65&amp;I285,"")</f>
        <v/>
      </c>
      <c r="M285" s="2" t="str">
        <f>IF(Plan!$I288=1,F285&amp;G285,"")</f>
        <v>SV Werder BremenFC Augsburg</v>
      </c>
      <c r="N285" s="93" t="str">
        <f>IF(AND(K285&gt;0,Plan!$I288=1),H285&amp;Language!$E$65&amp;I285,"")</f>
        <v>1 : 3</v>
      </c>
      <c r="O285" s="379">
        <f>IF($H285="",0,Results!$L290)</f>
        <v>0</v>
      </c>
      <c r="P285" s="380">
        <f>IF($I285="",0,Results!$M290)</f>
        <v>0</v>
      </c>
    </row>
    <row r="286" spans="5:16" x14ac:dyDescent="0.2">
      <c r="E286" s="298">
        <v>283</v>
      </c>
      <c r="F286" s="190" t="str">
        <f>Plan!$Q289</f>
        <v>FC Bayern München</v>
      </c>
      <c r="G286" s="191" t="str">
        <f>Plan!$S289</f>
        <v>1. FC Heidenheim 1846</v>
      </c>
      <c r="H286" s="134">
        <f>IF(AND(Results!$R$6&gt;0,$E286-1&gt;=Results!$R$6*Calc!$F$26),"",IF(AND(Results!$I291&lt;&gt;"",Results!$K291&lt;&gt;"",Results!$F291&lt;&gt;Results!$H291,$F286&lt;&gt;"",$G286&lt;&gt;""),Results!$I291,""))</f>
        <v>3</v>
      </c>
      <c r="I286" s="18">
        <f>IF(AND(Results!$R$6&gt;0,$E286-1&gt;=Results!$R$6*Calc!$F$26),"",IF(AND(Results!$I291&lt;&gt;"",Results!$K291&lt;&gt;"",Results!$F291&lt;&gt;Results!$H291,$F286&lt;&gt;"",$G286&lt;&gt;""),Results!$K291,""))</f>
        <v>3</v>
      </c>
      <c r="J286" s="17" t="str">
        <f>IF(Plan!$I289=0,F286&amp;G286,"")</f>
        <v/>
      </c>
      <c r="K286" s="134">
        <f t="shared" si="6"/>
        <v>1</v>
      </c>
      <c r="L286" s="134" t="str">
        <f>IF(AND(K286&gt;0,Plan!$I289=0),H286&amp;Language!$E$65&amp;I286,"")</f>
        <v/>
      </c>
      <c r="M286" s="2" t="str">
        <f>IF(Plan!$I289=1,F286&amp;G286,"")</f>
        <v>FC Bayern München1. FC Heidenheim 1846</v>
      </c>
      <c r="N286" s="93" t="str">
        <f>IF(AND(K286&gt;0,Plan!$I289=1),H286&amp;Language!$E$65&amp;I286,"")</f>
        <v>3 : 3</v>
      </c>
      <c r="O286" s="379">
        <f>IF($H286="",0,Results!$L291)</f>
        <v>0</v>
      </c>
      <c r="P286" s="380">
        <f>IF($I286="",0,Results!$M291)</f>
        <v>0</v>
      </c>
    </row>
    <row r="287" spans="5:16" x14ac:dyDescent="0.2">
      <c r="E287" s="298">
        <v>284</v>
      </c>
      <c r="F287" s="190" t="str">
        <f>Plan!$Q290</f>
        <v>Eintracht Frankfurt</v>
      </c>
      <c r="G287" s="191" t="str">
        <f>Plan!$S290</f>
        <v>Hamburger SV</v>
      </c>
      <c r="H287" s="134">
        <f>IF(AND(Results!$R$6&gt;0,$E287-1&gt;=Results!$R$6*Calc!$F$26),"",IF(AND(Results!$I292&lt;&gt;"",Results!$K292&lt;&gt;"",Results!$F292&lt;&gt;Results!$H292,$F287&lt;&gt;"",$G287&lt;&gt;""),Results!$I292,""))</f>
        <v>1</v>
      </c>
      <c r="I287" s="18">
        <f>IF(AND(Results!$R$6&gt;0,$E287-1&gt;=Results!$R$6*Calc!$F$26),"",IF(AND(Results!$I292&lt;&gt;"",Results!$K292&lt;&gt;"",Results!$F292&lt;&gt;Results!$H292,$F287&lt;&gt;"",$G287&lt;&gt;""),Results!$K292,""))</f>
        <v>2</v>
      </c>
      <c r="J287" s="17" t="str">
        <f>IF(Plan!$I290=0,F287&amp;G287,"")</f>
        <v/>
      </c>
      <c r="K287" s="134">
        <f t="shared" si="6"/>
        <v>1</v>
      </c>
      <c r="L287" s="134" t="str">
        <f>IF(AND(K287&gt;0,Plan!$I290=0),H287&amp;Language!$E$65&amp;I287,"")</f>
        <v/>
      </c>
      <c r="M287" s="2" t="str">
        <f>IF(Plan!$I290=1,F287&amp;G287,"")</f>
        <v>Eintracht FrankfurtHamburger SV</v>
      </c>
      <c r="N287" s="93" t="str">
        <f>IF(AND(K287&gt;0,Plan!$I290=1),H287&amp;Language!$E$65&amp;I287,"")</f>
        <v>1 : 2</v>
      </c>
      <c r="O287" s="379">
        <f>IF($H287="",0,Results!$L292)</f>
        <v>0</v>
      </c>
      <c r="P287" s="380">
        <f>IF($I287="",0,Results!$M292)</f>
        <v>0</v>
      </c>
    </row>
    <row r="288" spans="5:16" x14ac:dyDescent="0.2">
      <c r="E288" s="298">
        <v>285</v>
      </c>
      <c r="F288" s="190" t="str">
        <f>Plan!$Q291</f>
        <v>Bayer 04 Leverkusen</v>
      </c>
      <c r="G288" s="191" t="str">
        <f>Plan!$S291</f>
        <v>RB Leipzig</v>
      </c>
      <c r="H288" s="134">
        <f>IF(AND(Results!$R$6&gt;0,$E288-1&gt;=Results!$R$6*Calc!$F$26),"",IF(AND(Results!$I293&lt;&gt;"",Results!$K293&lt;&gt;"",Results!$F293&lt;&gt;Results!$H293,$F288&lt;&gt;"",$G288&lt;&gt;""),Results!$I293,""))</f>
        <v>4</v>
      </c>
      <c r="I288" s="18">
        <f>IF(AND(Results!$R$6&gt;0,$E288-1&gt;=Results!$R$6*Calc!$F$26),"",IF(AND(Results!$I293&lt;&gt;"",Results!$K293&lt;&gt;"",Results!$F293&lt;&gt;Results!$H293,$F288&lt;&gt;"",$G288&lt;&gt;""),Results!$K293,""))</f>
        <v>1</v>
      </c>
      <c r="J288" s="17" t="str">
        <f>IF(Plan!$I291=0,F288&amp;G288,"")</f>
        <v/>
      </c>
      <c r="K288" s="134">
        <f t="shared" si="6"/>
        <v>1</v>
      </c>
      <c r="L288" s="134" t="str">
        <f>IF(AND(K288&gt;0,Plan!$I291=0),H288&amp;Language!$E$65&amp;I288,"")</f>
        <v/>
      </c>
      <c r="M288" s="2" t="str">
        <f>IF(Plan!$I291=1,F288&amp;G288,"")</f>
        <v>Bayer 04 LeverkusenRB Leipzig</v>
      </c>
      <c r="N288" s="93" t="str">
        <f>IF(AND(K288&gt;0,Plan!$I291=1),H288&amp;Language!$E$65&amp;I288,"")</f>
        <v>4 : 1</v>
      </c>
      <c r="O288" s="379">
        <f>IF($H288="",0,Results!$L293)</f>
        <v>0</v>
      </c>
      <c r="P288" s="380">
        <f>IF($I288="",0,Results!$M293)</f>
        <v>0</v>
      </c>
    </row>
    <row r="289" spans="5:16" x14ac:dyDescent="0.2">
      <c r="E289" s="298">
        <v>286</v>
      </c>
      <c r="F289" s="190" t="str">
        <f>Plan!$Q292</f>
        <v>FC St. Pauli</v>
      </c>
      <c r="G289" s="191" t="str">
        <f>Plan!$S292</f>
        <v>1. FSV Mainz 05</v>
      </c>
      <c r="H289" s="134">
        <f>IF(AND(Results!$R$6&gt;0,$E289-1&gt;=Results!$R$6*Calc!$F$26),"",IF(AND(Results!$I294&lt;&gt;"",Results!$K294&lt;&gt;"",Results!$F294&lt;&gt;Results!$H294,$F289&lt;&gt;"",$G289&lt;&gt;""),Results!$I294,""))</f>
        <v>1</v>
      </c>
      <c r="I289" s="18">
        <f>IF(AND(Results!$R$6&gt;0,$E289-1&gt;=Results!$R$6*Calc!$F$26),"",IF(AND(Results!$I294&lt;&gt;"",Results!$K294&lt;&gt;"",Results!$F294&lt;&gt;Results!$H294,$F289&lt;&gt;"",$G289&lt;&gt;""),Results!$K294,""))</f>
        <v>2</v>
      </c>
      <c r="J289" s="17" t="str">
        <f>IF(Plan!$I292=0,F289&amp;G289,"")</f>
        <v/>
      </c>
      <c r="K289" s="134">
        <f t="shared" si="6"/>
        <v>1</v>
      </c>
      <c r="L289" s="134" t="str">
        <f>IF(AND(K289&gt;0,Plan!$I292=0),H289&amp;Language!$E$65&amp;I289,"")</f>
        <v/>
      </c>
      <c r="M289" s="2" t="str">
        <f>IF(Plan!$I292=1,F289&amp;G289,"")</f>
        <v>FC St. Pauli1. FSV Mainz 05</v>
      </c>
      <c r="N289" s="93" t="str">
        <f>IF(AND(K289&gt;0,Plan!$I292=1),H289&amp;Language!$E$65&amp;I289,"")</f>
        <v>1 : 2</v>
      </c>
      <c r="O289" s="379">
        <f>IF($H289="",0,Results!$L294)</f>
        <v>0</v>
      </c>
      <c r="P289" s="380">
        <f>IF($I289="",0,Results!$M294)</f>
        <v>0</v>
      </c>
    </row>
    <row r="290" spans="5:16" x14ac:dyDescent="0.2">
      <c r="E290" s="298">
        <v>287</v>
      </c>
      <c r="F290" s="190" t="str">
        <f>Plan!$Q293</f>
        <v>Borussia Mönchengladbach</v>
      </c>
      <c r="G290" s="191" t="str">
        <f>Plan!$S293</f>
        <v>Borussia Dortmund</v>
      </c>
      <c r="H290" s="134">
        <f>IF(AND(Results!$R$6&gt;0,$E290-1&gt;=Results!$R$6*Calc!$F$26),"",IF(AND(Results!$I295&lt;&gt;"",Results!$K295&lt;&gt;"",Results!$F295&lt;&gt;Results!$H295,$F290&lt;&gt;"",$G290&lt;&gt;""),Results!$I295,""))</f>
        <v>1</v>
      </c>
      <c r="I290" s="18">
        <f>IF(AND(Results!$R$6&gt;0,$E290-1&gt;=Results!$R$6*Calc!$F$26),"",IF(AND(Results!$I295&lt;&gt;"",Results!$K295&lt;&gt;"",Results!$F295&lt;&gt;Results!$H295,$F290&lt;&gt;"",$G290&lt;&gt;""),Results!$K295,""))</f>
        <v>0</v>
      </c>
      <c r="J290" s="17" t="str">
        <f>IF(Plan!$I293=0,F290&amp;G290,"")</f>
        <v/>
      </c>
      <c r="K290" s="134">
        <f t="shared" si="6"/>
        <v>1</v>
      </c>
      <c r="L290" s="134" t="str">
        <f>IF(AND(K290&gt;0,Plan!$I293=0),H290&amp;Language!$E$65&amp;I290,"")</f>
        <v/>
      </c>
      <c r="M290" s="2" t="str">
        <f>IF(Plan!$I293=1,F290&amp;G290,"")</f>
        <v>Borussia MönchengladbachBorussia Dortmund</v>
      </c>
      <c r="N290" s="93" t="str">
        <f>IF(AND(K290&gt;0,Plan!$I293=1),H290&amp;Language!$E$65&amp;I290,"")</f>
        <v>1 : 0</v>
      </c>
      <c r="O290" s="379">
        <f>IF($H290="",0,Results!$L295)</f>
        <v>0</v>
      </c>
      <c r="P290" s="380">
        <f>IF($I290="",0,Results!$M295)</f>
        <v>0</v>
      </c>
    </row>
    <row r="291" spans="5:16" x14ac:dyDescent="0.2">
      <c r="E291" s="298">
        <v>288</v>
      </c>
      <c r="F291" s="190" t="str">
        <f>Plan!$Q294</f>
        <v>SC Freiburg</v>
      </c>
      <c r="G291" s="191" t="str">
        <f>Plan!$S294</f>
        <v>VfL Wolfsburg</v>
      </c>
      <c r="H291" s="134">
        <f>IF(AND(Results!$R$6&gt;0,$E291-1&gt;=Results!$R$6*Calc!$F$26),"",IF(AND(Results!$I296&lt;&gt;"",Results!$K296&lt;&gt;"",Results!$F296&lt;&gt;Results!$H296,$F291&lt;&gt;"",$G291&lt;&gt;""),Results!$I296,""))</f>
        <v>1</v>
      </c>
      <c r="I291" s="18">
        <f>IF(AND(Results!$R$6&gt;0,$E291-1&gt;=Results!$R$6*Calc!$F$26),"",IF(AND(Results!$I296&lt;&gt;"",Results!$K296&lt;&gt;"",Results!$F296&lt;&gt;Results!$H296,$F291&lt;&gt;"",$G291&lt;&gt;""),Results!$K296,""))</f>
        <v>1</v>
      </c>
      <c r="J291" s="17" t="str">
        <f>IF(Plan!$I294=0,F291&amp;G291,"")</f>
        <v/>
      </c>
      <c r="K291" s="134">
        <f t="shared" si="6"/>
        <v>1</v>
      </c>
      <c r="L291" s="134" t="str">
        <f>IF(AND(K291&gt;0,Plan!$I294=0),H291&amp;Language!$E$65&amp;I291,"")</f>
        <v/>
      </c>
      <c r="M291" s="2" t="str">
        <f>IF(Plan!$I294=1,F291&amp;G291,"")</f>
        <v>SC FreiburgVfL Wolfsburg</v>
      </c>
      <c r="N291" s="93" t="str">
        <f>IF(AND(K291&gt;0,Plan!$I294=1),H291&amp;Language!$E$65&amp;I291,"")</f>
        <v>1 : 1</v>
      </c>
      <c r="O291" s="379">
        <f>IF($H291="",0,Results!$L296)</f>
        <v>0</v>
      </c>
      <c r="P291" s="380">
        <f>IF($I291="",0,Results!$M296)</f>
        <v>0</v>
      </c>
    </row>
    <row r="292" spans="5:16" x14ac:dyDescent="0.2">
      <c r="E292" s="298">
        <v>289</v>
      </c>
      <c r="F292" s="190" t="str">
        <f>Plan!$Q295</f>
        <v>Borussia Dortmund</v>
      </c>
      <c r="G292" s="191" t="str">
        <f>Plan!$S295</f>
        <v>Eintracht Frankfurt</v>
      </c>
      <c r="H292" s="134">
        <f>IF(AND(Results!$R$6&gt;0,$E292-1&gt;=Results!$R$6*Calc!$F$26),"",IF(AND(Results!$I297&lt;&gt;"",Results!$K297&lt;&gt;"",Results!$F297&lt;&gt;Results!$H297,$F292&lt;&gt;"",$G292&lt;&gt;""),Results!$I297,""))</f>
        <v>3</v>
      </c>
      <c r="I292" s="18">
        <f>IF(AND(Results!$R$6&gt;0,$E292-1&gt;=Results!$R$6*Calc!$F$26),"",IF(AND(Results!$I297&lt;&gt;"",Results!$K297&lt;&gt;"",Results!$F297&lt;&gt;Results!$H297,$F292&lt;&gt;"",$G292&lt;&gt;""),Results!$K297,""))</f>
        <v>2</v>
      </c>
      <c r="J292" s="17" t="str">
        <f>IF(Plan!$I295=0,F292&amp;G292,"")</f>
        <v/>
      </c>
      <c r="K292" s="134">
        <f t="shared" si="6"/>
        <v>1</v>
      </c>
      <c r="L292" s="134" t="str">
        <f>IF(AND(K292&gt;0,Plan!$I295=0),H292&amp;Language!$E$65&amp;I292,"")</f>
        <v/>
      </c>
      <c r="M292" s="2" t="str">
        <f>IF(Plan!$I295=1,F292&amp;G292,"")</f>
        <v>Borussia DortmundEintracht Frankfurt</v>
      </c>
      <c r="N292" s="93" t="str">
        <f>IF(AND(K292&gt;0,Plan!$I295=1),H292&amp;Language!$E$65&amp;I292,"")</f>
        <v>3 : 2</v>
      </c>
      <c r="O292" s="379">
        <f>IF($H292="",0,Results!$L297)</f>
        <v>0</v>
      </c>
      <c r="P292" s="380">
        <f>IF($I292="",0,Results!$M297)</f>
        <v>0</v>
      </c>
    </row>
    <row r="293" spans="5:16" x14ac:dyDescent="0.2">
      <c r="E293" s="298">
        <v>290</v>
      </c>
      <c r="F293" s="190" t="str">
        <f>Plan!$Q296</f>
        <v>FC Augsburg</v>
      </c>
      <c r="G293" s="191" t="str">
        <f>Plan!$S296</f>
        <v>Borussia Mönchengladbach</v>
      </c>
      <c r="H293" s="134">
        <f>IF(AND(Results!$R$6&gt;0,$E293-1&gt;=Results!$R$6*Calc!$F$26),"",IF(AND(Results!$I298&lt;&gt;"",Results!$K298&lt;&gt;"",Results!$F298&lt;&gt;Results!$H298,$F293&lt;&gt;"",$G293&lt;&gt;""),Results!$I298,""))</f>
        <v>3</v>
      </c>
      <c r="I293" s="18">
        <f>IF(AND(Results!$R$6&gt;0,$E293-1&gt;=Results!$R$6*Calc!$F$26),"",IF(AND(Results!$I298&lt;&gt;"",Results!$K298&lt;&gt;"",Results!$F298&lt;&gt;Results!$H298,$F293&lt;&gt;"",$G293&lt;&gt;""),Results!$K298,""))</f>
        <v>1</v>
      </c>
      <c r="J293" s="17" t="str">
        <f>IF(Plan!$I296=0,F293&amp;G293,"")</f>
        <v/>
      </c>
      <c r="K293" s="134">
        <f t="shared" si="6"/>
        <v>1</v>
      </c>
      <c r="L293" s="134" t="str">
        <f>IF(AND(K293&gt;0,Plan!$I296=0),H293&amp;Language!$E$65&amp;I293,"")</f>
        <v/>
      </c>
      <c r="M293" s="2" t="str">
        <f>IF(Plan!$I296=1,F293&amp;G293,"")</f>
        <v>FC AugsburgBorussia Mönchengladbach</v>
      </c>
      <c r="N293" s="93" t="str">
        <f>IF(AND(K293&gt;0,Plan!$I296=1),H293&amp;Language!$E$65&amp;I293,"")</f>
        <v>3 : 1</v>
      </c>
      <c r="O293" s="379">
        <f>IF($H293="",0,Results!$L298)</f>
        <v>0</v>
      </c>
      <c r="P293" s="380">
        <f>IF($I293="",0,Results!$M298)</f>
        <v>0</v>
      </c>
    </row>
    <row r="294" spans="5:16" x14ac:dyDescent="0.2">
      <c r="E294" s="298">
        <v>291</v>
      </c>
      <c r="F294" s="190" t="str">
        <f>Plan!$Q297</f>
        <v>TSG Hoffenheim</v>
      </c>
      <c r="G294" s="191" t="str">
        <f>Plan!$S297</f>
        <v>SV Werder Bremen</v>
      </c>
      <c r="H294" s="134">
        <f>IF(AND(Results!$R$6&gt;0,$E294-1&gt;=Results!$R$6*Calc!$F$26),"",IF(AND(Results!$I299&lt;&gt;"",Results!$K299&lt;&gt;"",Results!$F299&lt;&gt;Results!$H299,$F294&lt;&gt;"",$G294&lt;&gt;""),Results!$I299,""))</f>
        <v>1</v>
      </c>
      <c r="I294" s="18">
        <f>IF(AND(Results!$R$6&gt;0,$E294-1&gt;=Results!$R$6*Calc!$F$26),"",IF(AND(Results!$I299&lt;&gt;"",Results!$K299&lt;&gt;"",Results!$F299&lt;&gt;Results!$H299,$F294&lt;&gt;"",$G294&lt;&gt;""),Results!$K299,""))</f>
        <v>0</v>
      </c>
      <c r="J294" s="17" t="str">
        <f>IF(Plan!$I297=0,F294&amp;G294,"")</f>
        <v/>
      </c>
      <c r="K294" s="134">
        <f t="shared" si="6"/>
        <v>1</v>
      </c>
      <c r="L294" s="134" t="str">
        <f>IF(AND(K294&gt;0,Plan!$I297=0),H294&amp;Language!$E$65&amp;I294,"")</f>
        <v/>
      </c>
      <c r="M294" s="2" t="str">
        <f>IF(Plan!$I297=1,F294&amp;G294,"")</f>
        <v>TSG HoffenheimSV Werder Bremen</v>
      </c>
      <c r="N294" s="93" t="str">
        <f>IF(AND(K294&gt;0,Plan!$I297=1),H294&amp;Language!$E$65&amp;I294,"")</f>
        <v>1 : 0</v>
      </c>
      <c r="O294" s="379">
        <f>IF($H294="",0,Results!$L299)</f>
        <v>0</v>
      </c>
      <c r="P294" s="380">
        <f>IF($I294="",0,Results!$M299)</f>
        <v>0</v>
      </c>
    </row>
    <row r="295" spans="5:16" x14ac:dyDescent="0.2">
      <c r="E295" s="298">
        <v>292</v>
      </c>
      <c r="F295" s="190" t="str">
        <f>Plan!$Q298</f>
        <v>RB Leipzig</v>
      </c>
      <c r="G295" s="191" t="str">
        <f>Plan!$S298</f>
        <v>FC St. Pauli</v>
      </c>
      <c r="H295" s="134">
        <f>IF(AND(Results!$R$6&gt;0,$E295-1&gt;=Results!$R$6*Calc!$F$26),"",IF(AND(Results!$I300&lt;&gt;"",Results!$K300&lt;&gt;"",Results!$F300&lt;&gt;Results!$H300,$F295&lt;&gt;"",$G295&lt;&gt;""),Results!$I300,""))</f>
        <v>2</v>
      </c>
      <c r="I295" s="18">
        <f>IF(AND(Results!$R$6&gt;0,$E295-1&gt;=Results!$R$6*Calc!$F$26),"",IF(AND(Results!$I300&lt;&gt;"",Results!$K300&lt;&gt;"",Results!$F300&lt;&gt;Results!$H300,$F295&lt;&gt;"",$G295&lt;&gt;""),Results!$K300,""))</f>
        <v>1</v>
      </c>
      <c r="J295" s="17" t="str">
        <f>IF(Plan!$I298=0,F295&amp;G295,"")</f>
        <v/>
      </c>
      <c r="K295" s="134">
        <f t="shared" si="6"/>
        <v>1</v>
      </c>
      <c r="L295" s="134" t="str">
        <f>IF(AND(K295&gt;0,Plan!$I298=0),H295&amp;Language!$E$65&amp;I295,"")</f>
        <v/>
      </c>
      <c r="M295" s="2" t="str">
        <f>IF(Plan!$I298=1,F295&amp;G295,"")</f>
        <v>RB LeipzigFC St. Pauli</v>
      </c>
      <c r="N295" s="93" t="str">
        <f>IF(AND(K295&gt;0,Plan!$I298=1),H295&amp;Language!$E$65&amp;I295,"")</f>
        <v>2 : 1</v>
      </c>
      <c r="O295" s="379">
        <f>IF($H295="",0,Results!$L300)</f>
        <v>0</v>
      </c>
      <c r="P295" s="380">
        <f>IF($I295="",0,Results!$M300)</f>
        <v>0</v>
      </c>
    </row>
    <row r="296" spans="5:16" x14ac:dyDescent="0.2">
      <c r="E296" s="298">
        <v>293</v>
      </c>
      <c r="F296" s="190" t="str">
        <f>Plan!$Q299</f>
        <v>VfB Stuttgart</v>
      </c>
      <c r="G296" s="191" t="str">
        <f>Plan!$S299</f>
        <v>Bayer 04 Leverkusen</v>
      </c>
      <c r="H296" s="134">
        <f>IF(AND(Results!$R$6&gt;0,$E296-1&gt;=Results!$R$6*Calc!$F$26),"",IF(AND(Results!$I301&lt;&gt;"",Results!$K301&lt;&gt;"",Results!$F301&lt;&gt;Results!$H301,$F296&lt;&gt;"",$G296&lt;&gt;""),Results!$I301,""))</f>
        <v>3</v>
      </c>
      <c r="I296" s="18">
        <f>IF(AND(Results!$R$6&gt;0,$E296-1&gt;=Results!$R$6*Calc!$F$26),"",IF(AND(Results!$I301&lt;&gt;"",Results!$K301&lt;&gt;"",Results!$F301&lt;&gt;Results!$H301,$F296&lt;&gt;"",$G296&lt;&gt;""),Results!$K301,""))</f>
        <v>1</v>
      </c>
      <c r="J296" s="17" t="str">
        <f>IF(Plan!$I299=0,F296&amp;G296,"")</f>
        <v/>
      </c>
      <c r="K296" s="134">
        <f t="shared" si="6"/>
        <v>1</v>
      </c>
      <c r="L296" s="134" t="str">
        <f>IF(AND(K296&gt;0,Plan!$I299=0),H296&amp;Language!$E$65&amp;I296,"")</f>
        <v/>
      </c>
      <c r="M296" s="2" t="str">
        <f>IF(Plan!$I299=1,F296&amp;G296,"")</f>
        <v>VfB StuttgartBayer 04 Leverkusen</v>
      </c>
      <c r="N296" s="93" t="str">
        <f>IF(AND(K296&gt;0,Plan!$I299=1),H296&amp;Language!$E$65&amp;I296,"")</f>
        <v>3 : 1</v>
      </c>
      <c r="O296" s="379">
        <f>IF($H296="",0,Results!$L301)</f>
        <v>0</v>
      </c>
      <c r="P296" s="380">
        <f>IF($I296="",0,Results!$M301)</f>
        <v>0</v>
      </c>
    </row>
    <row r="297" spans="5:16" x14ac:dyDescent="0.2">
      <c r="E297" s="298">
        <v>294</v>
      </c>
      <c r="F297" s="190" t="str">
        <f>Plan!$Q300</f>
        <v>VfL Wolfsburg</v>
      </c>
      <c r="G297" s="191" t="str">
        <f>Plan!$S300</f>
        <v>FC Bayern München</v>
      </c>
      <c r="H297" s="134">
        <f>IF(AND(Results!$R$6&gt;0,$E297-1&gt;=Results!$R$6*Calc!$F$26),"",IF(AND(Results!$I302&lt;&gt;"",Results!$K302&lt;&gt;"",Results!$F302&lt;&gt;Results!$H302,$F297&lt;&gt;"",$G297&lt;&gt;""),Results!$I302,""))</f>
        <v>0</v>
      </c>
      <c r="I297" s="18">
        <f>IF(AND(Results!$R$6&gt;0,$E297-1&gt;=Results!$R$6*Calc!$F$26),"",IF(AND(Results!$I302&lt;&gt;"",Results!$K302&lt;&gt;"",Results!$F302&lt;&gt;Results!$H302,$F297&lt;&gt;"",$G297&lt;&gt;""),Results!$K302,""))</f>
        <v>1</v>
      </c>
      <c r="J297" s="17" t="str">
        <f>IF(Plan!$I300=0,F297&amp;G297,"")</f>
        <v/>
      </c>
      <c r="K297" s="134">
        <f t="shared" si="6"/>
        <v>1</v>
      </c>
      <c r="L297" s="134" t="str">
        <f>IF(AND(K297&gt;0,Plan!$I300=0),H297&amp;Language!$E$65&amp;I297,"")</f>
        <v/>
      </c>
      <c r="M297" s="2" t="str">
        <f>IF(Plan!$I300=1,F297&amp;G297,"")</f>
        <v>VfL WolfsburgFC Bayern München</v>
      </c>
      <c r="N297" s="93" t="str">
        <f>IF(AND(K297&gt;0,Plan!$I300=1),H297&amp;Language!$E$65&amp;I297,"")</f>
        <v>0 : 1</v>
      </c>
      <c r="O297" s="379">
        <f>IF($H297="",0,Results!$L302)</f>
        <v>0</v>
      </c>
      <c r="P297" s="380">
        <f>IF($I297="",0,Results!$M302)</f>
        <v>0</v>
      </c>
    </row>
    <row r="298" spans="5:16" x14ac:dyDescent="0.2">
      <c r="E298" s="298">
        <v>295</v>
      </c>
      <c r="F298" s="190" t="str">
        <f>Plan!$Q301</f>
        <v>Hamburger SV</v>
      </c>
      <c r="G298" s="191" t="str">
        <f>Plan!$S301</f>
        <v>SC Freiburg</v>
      </c>
      <c r="H298" s="134">
        <f>IF(AND(Results!$R$6&gt;0,$E298-1&gt;=Results!$R$6*Calc!$F$26),"",IF(AND(Results!$I303&lt;&gt;"",Results!$K303&lt;&gt;"",Results!$F303&lt;&gt;Results!$H303,$F298&lt;&gt;"",$G298&lt;&gt;""),Results!$I303,""))</f>
        <v>3</v>
      </c>
      <c r="I298" s="18">
        <f>IF(AND(Results!$R$6&gt;0,$E298-1&gt;=Results!$R$6*Calc!$F$26),"",IF(AND(Results!$I303&lt;&gt;"",Results!$K303&lt;&gt;"",Results!$F303&lt;&gt;Results!$H303,$F298&lt;&gt;"",$G298&lt;&gt;""),Results!$K303,""))</f>
        <v>2</v>
      </c>
      <c r="J298" s="17" t="str">
        <f>IF(Plan!$I301=0,F298&amp;G298,"")</f>
        <v/>
      </c>
      <c r="K298" s="134">
        <f t="shared" si="6"/>
        <v>1</v>
      </c>
      <c r="L298" s="134" t="str">
        <f>IF(AND(K298&gt;0,Plan!$I301=0),H298&amp;Language!$E$65&amp;I298,"")</f>
        <v/>
      </c>
      <c r="M298" s="2" t="str">
        <f>IF(Plan!$I301=1,F298&amp;G298,"")</f>
        <v>Hamburger SVSC Freiburg</v>
      </c>
      <c r="N298" s="93" t="str">
        <f>IF(AND(K298&gt;0,Plan!$I301=1),H298&amp;Language!$E$65&amp;I298,"")</f>
        <v>3 : 2</v>
      </c>
      <c r="O298" s="379">
        <f>IF($H298="",0,Results!$L303)</f>
        <v>0</v>
      </c>
      <c r="P298" s="380">
        <f>IF($I298="",0,Results!$M303)</f>
        <v>0</v>
      </c>
    </row>
    <row r="299" spans="5:16" x14ac:dyDescent="0.2">
      <c r="E299" s="298">
        <v>296</v>
      </c>
      <c r="F299" s="190" t="str">
        <f>Plan!$Q302</f>
        <v>1. FC Köln</v>
      </c>
      <c r="G299" s="191" t="str">
        <f>Plan!$S302</f>
        <v>1. FC Heidenheim 1846</v>
      </c>
      <c r="H299" s="134">
        <f>IF(AND(Results!$R$6&gt;0,$E299-1&gt;=Results!$R$6*Calc!$F$26),"",IF(AND(Results!$I304&lt;&gt;"",Results!$K304&lt;&gt;"",Results!$F304&lt;&gt;Results!$H304,$F299&lt;&gt;"",$G299&lt;&gt;""),Results!$I304,""))</f>
        <v>1</v>
      </c>
      <c r="I299" s="18">
        <f>IF(AND(Results!$R$6&gt;0,$E299-1&gt;=Results!$R$6*Calc!$F$26),"",IF(AND(Results!$I304&lt;&gt;"",Results!$K304&lt;&gt;"",Results!$F304&lt;&gt;Results!$H304,$F299&lt;&gt;"",$G299&lt;&gt;""),Results!$K304,""))</f>
        <v>3</v>
      </c>
      <c r="J299" s="17" t="str">
        <f>IF(Plan!$I302=0,F299&amp;G299,"")</f>
        <v/>
      </c>
      <c r="K299" s="134">
        <f t="shared" si="6"/>
        <v>1</v>
      </c>
      <c r="L299" s="134" t="str">
        <f>IF(AND(K299&gt;0,Plan!$I302=0),H299&amp;Language!$E$65&amp;I299,"")</f>
        <v/>
      </c>
      <c r="M299" s="2" t="str">
        <f>IF(Plan!$I302=1,F299&amp;G299,"")</f>
        <v>1. FC Köln1. FC Heidenheim 1846</v>
      </c>
      <c r="N299" s="93" t="str">
        <f>IF(AND(K299&gt;0,Plan!$I302=1),H299&amp;Language!$E$65&amp;I299,"")</f>
        <v>1 : 3</v>
      </c>
      <c r="O299" s="379">
        <f>IF($H299="",0,Results!$L304)</f>
        <v>0</v>
      </c>
      <c r="P299" s="380">
        <f>IF($I299="",0,Results!$M304)</f>
        <v>0</v>
      </c>
    </row>
    <row r="300" spans="5:16" x14ac:dyDescent="0.2">
      <c r="E300" s="298">
        <v>297</v>
      </c>
      <c r="F300" s="190" t="str">
        <f>Plan!$Q303</f>
        <v>1. FSV Mainz 05</v>
      </c>
      <c r="G300" s="191" t="str">
        <f>Plan!$S303</f>
        <v>1. FC Union Berlin</v>
      </c>
      <c r="H300" s="134">
        <f>IF(AND(Results!$R$6&gt;0,$E300-1&gt;=Results!$R$6*Calc!$F$26),"",IF(AND(Results!$I305&lt;&gt;"",Results!$K305&lt;&gt;"",Results!$F305&lt;&gt;Results!$H305,$F300&lt;&gt;"",$G300&lt;&gt;""),Results!$I305,""))</f>
        <v>0</v>
      </c>
      <c r="I300" s="18">
        <f>IF(AND(Results!$R$6&gt;0,$E300-1&gt;=Results!$R$6*Calc!$F$26),"",IF(AND(Results!$I305&lt;&gt;"",Results!$K305&lt;&gt;"",Results!$F305&lt;&gt;Results!$H305,$F300&lt;&gt;"",$G300&lt;&gt;""),Results!$K305,""))</f>
        <v>1</v>
      </c>
      <c r="J300" s="17" t="str">
        <f>IF(Plan!$I303=0,F300&amp;G300,"")</f>
        <v/>
      </c>
      <c r="K300" s="134">
        <f t="shared" si="6"/>
        <v>1</v>
      </c>
      <c r="L300" s="134" t="str">
        <f>IF(AND(K300&gt;0,Plan!$I303=0),H300&amp;Language!$E$65&amp;I300,"")</f>
        <v/>
      </c>
      <c r="M300" s="2" t="str">
        <f>IF(Plan!$I303=1,F300&amp;G300,"")</f>
        <v>1. FSV Mainz 051. FC Union Berlin</v>
      </c>
      <c r="N300" s="93" t="str">
        <f>IF(AND(K300&gt;0,Plan!$I303=1),H300&amp;Language!$E$65&amp;I300,"")</f>
        <v>0 : 1</v>
      </c>
      <c r="O300" s="379">
        <f>IF($H300="",0,Results!$L305)</f>
        <v>0</v>
      </c>
      <c r="P300" s="380">
        <f>IF($I300="",0,Results!$M305)</f>
        <v>0</v>
      </c>
    </row>
    <row r="301" spans="5:16" x14ac:dyDescent="0.2">
      <c r="E301" s="298">
        <v>298</v>
      </c>
      <c r="F301" s="190" t="str">
        <f>Plan!$Q304</f>
        <v>1. FC Union Berlin</v>
      </c>
      <c r="G301" s="191" t="str">
        <f>Plan!$S304</f>
        <v>FC Augsburg</v>
      </c>
      <c r="H301" s="134">
        <f>IF(AND(Results!$R$6&gt;0,$E301-1&gt;=Results!$R$6*Calc!$F$26),"",IF(AND(Results!$I306&lt;&gt;"",Results!$K306&lt;&gt;"",Results!$F306&lt;&gt;Results!$H306,$F301&lt;&gt;"",$G301&lt;&gt;""),Results!$I306,""))</f>
        <v>4</v>
      </c>
      <c r="I301" s="18">
        <f>IF(AND(Results!$R$6&gt;0,$E301-1&gt;=Results!$R$6*Calc!$F$26),"",IF(AND(Results!$I306&lt;&gt;"",Results!$K306&lt;&gt;"",Results!$F306&lt;&gt;Results!$H306,$F301&lt;&gt;"",$G301&lt;&gt;""),Results!$K306,""))</f>
        <v>0</v>
      </c>
      <c r="J301" s="17" t="str">
        <f>IF(Plan!$I304=0,F301&amp;G301,"")</f>
        <v/>
      </c>
      <c r="K301" s="134">
        <f t="shared" si="6"/>
        <v>1</v>
      </c>
      <c r="L301" s="134" t="str">
        <f>IF(AND(K301&gt;0,Plan!$I304=0),H301&amp;Language!$E$65&amp;I301,"")</f>
        <v/>
      </c>
      <c r="M301" s="2" t="str">
        <f>IF(Plan!$I304=1,F301&amp;G301,"")</f>
        <v>1. FC Union BerlinFC Augsburg</v>
      </c>
      <c r="N301" s="93" t="str">
        <f>IF(AND(K301&gt;0,Plan!$I304=1),H301&amp;Language!$E$65&amp;I301,"")</f>
        <v>4 : 0</v>
      </c>
      <c r="O301" s="379">
        <f>IF($H301="",0,Results!$L306)</f>
        <v>0</v>
      </c>
      <c r="P301" s="380">
        <f>IF($I301="",0,Results!$M306)</f>
        <v>0</v>
      </c>
    </row>
    <row r="302" spans="5:16" x14ac:dyDescent="0.2">
      <c r="E302" s="298">
        <v>299</v>
      </c>
      <c r="F302" s="190" t="str">
        <f>Plan!$Q305</f>
        <v>Borussia Mönchengladbach</v>
      </c>
      <c r="G302" s="191" t="str">
        <f>Plan!$S305</f>
        <v>TSG Hoffenheim</v>
      </c>
      <c r="H302" s="134">
        <f>IF(AND(Results!$R$6&gt;0,$E302-1&gt;=Results!$R$6*Calc!$F$26),"",IF(AND(Results!$I307&lt;&gt;"",Results!$K307&lt;&gt;"",Results!$F307&lt;&gt;Results!$H307,$F302&lt;&gt;"",$G302&lt;&gt;""),Results!$I307,""))</f>
        <v>4</v>
      </c>
      <c r="I302" s="18">
        <f>IF(AND(Results!$R$6&gt;0,$E302-1&gt;=Results!$R$6*Calc!$F$26),"",IF(AND(Results!$I307&lt;&gt;"",Results!$K307&lt;&gt;"",Results!$F307&lt;&gt;Results!$H307,$F302&lt;&gt;"",$G302&lt;&gt;""),Results!$K307,""))</f>
        <v>0</v>
      </c>
      <c r="J302" s="17" t="str">
        <f>IF(Plan!$I305=0,F302&amp;G302,"")</f>
        <v/>
      </c>
      <c r="K302" s="134">
        <f t="shared" si="6"/>
        <v>1</v>
      </c>
      <c r="L302" s="134" t="str">
        <f>IF(AND(K302&gt;0,Plan!$I305=0),H302&amp;Language!$E$65&amp;I302,"")</f>
        <v/>
      </c>
      <c r="M302" s="2" t="str">
        <f>IF(Plan!$I305=1,F302&amp;G302,"")</f>
        <v>Borussia MönchengladbachTSG Hoffenheim</v>
      </c>
      <c r="N302" s="93" t="str">
        <f>IF(AND(K302&gt;0,Plan!$I305=1),H302&amp;Language!$E$65&amp;I302,"")</f>
        <v>4 : 0</v>
      </c>
      <c r="O302" s="379">
        <f>IF($H302="",0,Results!$L307)</f>
        <v>0</v>
      </c>
      <c r="P302" s="380">
        <f>IF($I302="",0,Results!$M307)</f>
        <v>0</v>
      </c>
    </row>
    <row r="303" spans="5:16" x14ac:dyDescent="0.2">
      <c r="E303" s="298">
        <v>300</v>
      </c>
      <c r="F303" s="190" t="str">
        <f>Plan!$Q306</f>
        <v>1. FC Heidenheim 1846</v>
      </c>
      <c r="G303" s="191" t="str">
        <f>Plan!$S306</f>
        <v>1. FSV Mainz 05</v>
      </c>
      <c r="H303" s="134">
        <f>IF(AND(Results!$R$6&gt;0,$E303-1&gt;=Results!$R$6*Calc!$F$26),"",IF(AND(Results!$I308&lt;&gt;"",Results!$K308&lt;&gt;"",Results!$F308&lt;&gt;Results!$H308,$F303&lt;&gt;"",$G303&lt;&gt;""),Results!$I308,""))</f>
        <v>0</v>
      </c>
      <c r="I303" s="18">
        <f>IF(AND(Results!$R$6&gt;0,$E303-1&gt;=Results!$R$6*Calc!$F$26),"",IF(AND(Results!$I308&lt;&gt;"",Results!$K308&lt;&gt;"",Results!$F308&lt;&gt;Results!$H308,$F303&lt;&gt;"",$G303&lt;&gt;""),Results!$K308,""))</f>
        <v>2</v>
      </c>
      <c r="J303" s="17" t="str">
        <f>IF(Plan!$I306=0,F303&amp;G303,"")</f>
        <v/>
      </c>
      <c r="K303" s="134">
        <f t="shared" si="6"/>
        <v>1</v>
      </c>
      <c r="L303" s="134" t="str">
        <f>IF(AND(K303&gt;0,Plan!$I306=0),H303&amp;Language!$E$65&amp;I303,"")</f>
        <v/>
      </c>
      <c r="M303" s="2" t="str">
        <f>IF(Plan!$I306=1,F303&amp;G303,"")</f>
        <v>1. FC Heidenheim 18461. FSV Mainz 05</v>
      </c>
      <c r="N303" s="93" t="str">
        <f>IF(AND(K303&gt;0,Plan!$I306=1),H303&amp;Language!$E$65&amp;I303,"")</f>
        <v>0 : 2</v>
      </c>
      <c r="O303" s="379">
        <f>IF($H303="",0,Results!$L308)</f>
        <v>0</v>
      </c>
      <c r="P303" s="380">
        <f>IF($I303="",0,Results!$M308)</f>
        <v>0</v>
      </c>
    </row>
    <row r="304" spans="5:16" x14ac:dyDescent="0.2">
      <c r="E304" s="298">
        <v>301</v>
      </c>
      <c r="F304" s="190" t="str">
        <f>Plan!$Q307</f>
        <v>FC St. Pauli</v>
      </c>
      <c r="G304" s="191" t="str">
        <f>Plan!$S307</f>
        <v>VfL Wolfsburg</v>
      </c>
      <c r="H304" s="134">
        <f>IF(AND(Results!$R$6&gt;0,$E304-1&gt;=Results!$R$6*Calc!$F$26),"",IF(AND(Results!$I309&lt;&gt;"",Results!$K309&lt;&gt;"",Results!$F309&lt;&gt;Results!$H309,$F304&lt;&gt;"",$G304&lt;&gt;""),Results!$I309,""))</f>
        <v>1</v>
      </c>
      <c r="I304" s="18">
        <f>IF(AND(Results!$R$6&gt;0,$E304-1&gt;=Results!$R$6*Calc!$F$26),"",IF(AND(Results!$I309&lt;&gt;"",Results!$K309&lt;&gt;"",Results!$F309&lt;&gt;Results!$H309,$F304&lt;&gt;"",$G304&lt;&gt;""),Results!$K309,""))</f>
        <v>3</v>
      </c>
      <c r="J304" s="17" t="str">
        <f>IF(Plan!$I307=0,F304&amp;G304,"")</f>
        <v/>
      </c>
      <c r="K304" s="134">
        <f t="shared" si="6"/>
        <v>1</v>
      </c>
      <c r="L304" s="134" t="str">
        <f>IF(AND(K304&gt;0,Plan!$I307=0),H304&amp;Language!$E$65&amp;I304,"")</f>
        <v/>
      </c>
      <c r="M304" s="2" t="str">
        <f>IF(Plan!$I307=1,F304&amp;G304,"")</f>
        <v>FC St. PauliVfL Wolfsburg</v>
      </c>
      <c r="N304" s="93" t="str">
        <f>IF(AND(K304&gt;0,Plan!$I307=1),H304&amp;Language!$E$65&amp;I304,"")</f>
        <v>1 : 3</v>
      </c>
      <c r="O304" s="379">
        <f>IF($H304="",0,Results!$L309)</f>
        <v>0</v>
      </c>
      <c r="P304" s="380">
        <f>IF($I304="",0,Results!$M309)</f>
        <v>0</v>
      </c>
    </row>
    <row r="305" spans="5:16" x14ac:dyDescent="0.2">
      <c r="E305" s="298">
        <v>302</v>
      </c>
      <c r="F305" s="190" t="str">
        <f>Plan!$Q308</f>
        <v>SV Werder Bremen</v>
      </c>
      <c r="G305" s="191" t="str">
        <f>Plan!$S308</f>
        <v>Borussia Dortmund</v>
      </c>
      <c r="H305" s="134">
        <f>IF(AND(Results!$R$6&gt;0,$E305-1&gt;=Results!$R$6*Calc!$F$26),"",IF(AND(Results!$I310&lt;&gt;"",Results!$K310&lt;&gt;"",Results!$F310&lt;&gt;Results!$H310,$F305&lt;&gt;"",$G305&lt;&gt;""),Results!$I310,""))</f>
        <v>0</v>
      </c>
      <c r="I305" s="18">
        <f>IF(AND(Results!$R$6&gt;0,$E305-1&gt;=Results!$R$6*Calc!$F$26),"",IF(AND(Results!$I310&lt;&gt;"",Results!$K310&lt;&gt;"",Results!$F310&lt;&gt;Results!$H310,$F305&lt;&gt;"",$G305&lt;&gt;""),Results!$K310,""))</f>
        <v>2</v>
      </c>
      <c r="J305" s="17" t="str">
        <f>IF(Plan!$I308=0,F305&amp;G305,"")</f>
        <v/>
      </c>
      <c r="K305" s="134">
        <f t="shared" si="6"/>
        <v>1</v>
      </c>
      <c r="L305" s="134" t="str">
        <f>IF(AND(K305&gt;0,Plan!$I308=0),H305&amp;Language!$E$65&amp;I305,"")</f>
        <v/>
      </c>
      <c r="M305" s="2" t="str">
        <f>IF(Plan!$I308=1,F305&amp;G305,"")</f>
        <v>SV Werder BremenBorussia Dortmund</v>
      </c>
      <c r="N305" s="93" t="str">
        <f>IF(AND(K305&gt;0,Plan!$I308=1),H305&amp;Language!$E$65&amp;I305,"")</f>
        <v>0 : 2</v>
      </c>
      <c r="O305" s="379">
        <f>IF($H305="",0,Results!$L310)</f>
        <v>0</v>
      </c>
      <c r="P305" s="380">
        <f>IF($I305="",0,Results!$M310)</f>
        <v>0</v>
      </c>
    </row>
    <row r="306" spans="5:16" x14ac:dyDescent="0.2">
      <c r="E306" s="298">
        <v>303</v>
      </c>
      <c r="F306" s="190" t="str">
        <f>Plan!$Q309</f>
        <v>Bayer 04 Leverkusen</v>
      </c>
      <c r="G306" s="191" t="str">
        <f>Plan!$S309</f>
        <v>Hamburger SV</v>
      </c>
      <c r="H306" s="134">
        <f>IF(AND(Results!$R$6&gt;0,$E306-1&gt;=Results!$R$6*Calc!$F$26),"",IF(AND(Results!$I311&lt;&gt;"",Results!$K311&lt;&gt;"",Results!$F311&lt;&gt;Results!$H311,$F306&lt;&gt;"",$G306&lt;&gt;""),Results!$I311,""))</f>
        <v>1</v>
      </c>
      <c r="I306" s="18">
        <f>IF(AND(Results!$R$6&gt;0,$E306-1&gt;=Results!$R$6*Calc!$F$26),"",IF(AND(Results!$I311&lt;&gt;"",Results!$K311&lt;&gt;"",Results!$F311&lt;&gt;Results!$H311,$F306&lt;&gt;"",$G306&lt;&gt;""),Results!$K311,""))</f>
        <v>1</v>
      </c>
      <c r="J306" s="17" t="str">
        <f>IF(Plan!$I309=0,F306&amp;G306,"")</f>
        <v/>
      </c>
      <c r="K306" s="134">
        <f t="shared" si="6"/>
        <v>1</v>
      </c>
      <c r="L306" s="134" t="str">
        <f>IF(AND(K306&gt;0,Plan!$I309=0),H306&amp;Language!$E$65&amp;I306,"")</f>
        <v/>
      </c>
      <c r="M306" s="2" t="str">
        <f>IF(Plan!$I309=1,F306&amp;G306,"")</f>
        <v>Bayer 04 LeverkusenHamburger SV</v>
      </c>
      <c r="N306" s="93" t="str">
        <f>IF(AND(K306&gt;0,Plan!$I309=1),H306&amp;Language!$E$65&amp;I306,"")</f>
        <v>1 : 1</v>
      </c>
      <c r="O306" s="379">
        <f>IF($H306="",0,Results!$L311)</f>
        <v>0</v>
      </c>
      <c r="P306" s="380">
        <f>IF($I306="",0,Results!$M311)</f>
        <v>0</v>
      </c>
    </row>
    <row r="307" spans="5:16" x14ac:dyDescent="0.2">
      <c r="E307" s="298">
        <v>304</v>
      </c>
      <c r="F307" s="190" t="str">
        <f>Plan!$Q310</f>
        <v>FC Bayern München</v>
      </c>
      <c r="G307" s="191" t="str">
        <f>Plan!$S310</f>
        <v>1. FC Köln</v>
      </c>
      <c r="H307" s="134">
        <f>IF(AND(Results!$R$6&gt;0,$E307-1&gt;=Results!$R$6*Calc!$F$26),"",IF(AND(Results!$I312&lt;&gt;"",Results!$K312&lt;&gt;"",Results!$F312&lt;&gt;Results!$H312,$F307&lt;&gt;"",$G307&lt;&gt;""),Results!$I312,""))</f>
        <v>5</v>
      </c>
      <c r="I307" s="18">
        <f>IF(AND(Results!$R$6&gt;0,$E307-1&gt;=Results!$R$6*Calc!$F$26),"",IF(AND(Results!$I312&lt;&gt;"",Results!$K312&lt;&gt;"",Results!$F312&lt;&gt;Results!$H312,$F307&lt;&gt;"",$G307&lt;&gt;""),Results!$K312,""))</f>
        <v>1</v>
      </c>
      <c r="J307" s="17" t="str">
        <f>IF(Plan!$I310=0,F307&amp;G307,"")</f>
        <v/>
      </c>
      <c r="K307" s="134">
        <f t="shared" si="6"/>
        <v>1</v>
      </c>
      <c r="L307" s="134" t="str">
        <f>IF(AND(K307&gt;0,Plan!$I310=0),H307&amp;Language!$E$65&amp;I307,"")</f>
        <v/>
      </c>
      <c r="M307" s="2" t="str">
        <f>IF(Plan!$I310=1,F307&amp;G307,"")</f>
        <v>FC Bayern München1. FC Köln</v>
      </c>
      <c r="N307" s="93" t="str">
        <f>IF(AND(K307&gt;0,Plan!$I310=1),H307&amp;Language!$E$65&amp;I307,"")</f>
        <v>5 : 1</v>
      </c>
      <c r="O307" s="379">
        <f>IF($H307="",0,Results!$L312)</f>
        <v>0</v>
      </c>
      <c r="P307" s="380">
        <f>IF($I307="",0,Results!$M312)</f>
        <v>0</v>
      </c>
    </row>
    <row r="308" spans="5:16" x14ac:dyDescent="0.2">
      <c r="E308" s="298">
        <v>305</v>
      </c>
      <c r="F308" s="190" t="str">
        <f>Plan!$Q311</f>
        <v>SC Freiburg</v>
      </c>
      <c r="G308" s="191" t="str">
        <f>Plan!$S311</f>
        <v>RB Leipzig</v>
      </c>
      <c r="H308" s="134">
        <f>IF(AND(Results!$R$6&gt;0,$E308-1&gt;=Results!$R$6*Calc!$F$26),"",IF(AND(Results!$I313&lt;&gt;"",Results!$K313&lt;&gt;"",Results!$F313&lt;&gt;Results!$H313,$F308&lt;&gt;"",$G308&lt;&gt;""),Results!$I313,""))</f>
        <v>4</v>
      </c>
      <c r="I308" s="18">
        <f>IF(AND(Results!$R$6&gt;0,$E308-1&gt;=Results!$R$6*Calc!$F$26),"",IF(AND(Results!$I313&lt;&gt;"",Results!$K313&lt;&gt;"",Results!$F313&lt;&gt;Results!$H313,$F308&lt;&gt;"",$G308&lt;&gt;""),Results!$K313,""))</f>
        <v>1</v>
      </c>
      <c r="J308" s="17" t="str">
        <f>IF(Plan!$I311=0,F308&amp;G308,"")</f>
        <v/>
      </c>
      <c r="K308" s="134">
        <f t="shared" si="6"/>
        <v>1</v>
      </c>
      <c r="L308" s="134" t="str">
        <f>IF(AND(K308&gt;0,Plan!$I311=0),H308&amp;Language!$E$65&amp;I308,"")</f>
        <v/>
      </c>
      <c r="M308" s="2" t="str">
        <f>IF(Plan!$I311=1,F308&amp;G308,"")</f>
        <v>SC FreiburgRB Leipzig</v>
      </c>
      <c r="N308" s="93" t="str">
        <f>IF(AND(K308&gt;0,Plan!$I311=1),H308&amp;Language!$E$65&amp;I308,"")</f>
        <v>4 : 1</v>
      </c>
      <c r="O308" s="379">
        <f>IF($H308="",0,Results!$L313)</f>
        <v>0</v>
      </c>
      <c r="P308" s="380">
        <f>IF($I308="",0,Results!$M313)</f>
        <v>0</v>
      </c>
    </row>
    <row r="309" spans="5:16" x14ac:dyDescent="0.2">
      <c r="E309" s="298">
        <v>306</v>
      </c>
      <c r="F309" s="190" t="str">
        <f>Plan!$Q312</f>
        <v>Eintracht Frankfurt</v>
      </c>
      <c r="G309" s="191" t="str">
        <f>Plan!$S312</f>
        <v>VfB Stuttgart</v>
      </c>
      <c r="H309" s="134">
        <f>IF(AND(Results!$R$6&gt;0,$E309-1&gt;=Results!$R$6*Calc!$F$26),"",IF(AND(Results!$I314&lt;&gt;"",Results!$K314&lt;&gt;"",Results!$F314&lt;&gt;Results!$H314,$F309&lt;&gt;"",$G309&lt;&gt;""),Results!$I314,""))</f>
        <v>2</v>
      </c>
      <c r="I309" s="18">
        <f>IF(AND(Results!$R$6&gt;0,$E309-1&gt;=Results!$R$6*Calc!$F$26),"",IF(AND(Results!$I314&lt;&gt;"",Results!$K314&lt;&gt;"",Results!$F314&lt;&gt;Results!$H314,$F309&lt;&gt;"",$G309&lt;&gt;""),Results!$K314,""))</f>
        <v>2</v>
      </c>
      <c r="J309" s="17" t="str">
        <f>IF(Plan!$I312=0,F309&amp;G309,"")</f>
        <v/>
      </c>
      <c r="K309" s="134">
        <f t="shared" si="6"/>
        <v>1</v>
      </c>
      <c r="L309" s="134" t="str">
        <f>IF(AND(K309&gt;0,Plan!$I312=0),H309&amp;Language!$E$65&amp;I309,"")</f>
        <v/>
      </c>
      <c r="M309" s="2" t="str">
        <f>IF(Plan!$I312=1,F309&amp;G309,"")</f>
        <v>Eintracht FrankfurtVfB Stuttgart</v>
      </c>
      <c r="N309" s="93" t="str">
        <f>IF(AND(K309&gt;0,Plan!$I312=1),H309&amp;Language!$E$65&amp;I309,"")</f>
        <v>2 : 2</v>
      </c>
      <c r="O309" s="379">
        <f>IF($H309="",0,Results!$L314)</f>
        <v>0</v>
      </c>
      <c r="P309" s="380">
        <f>IF($I309="",0,Results!$M314)</f>
        <v>0</v>
      </c>
    </row>
    <row r="310" spans="5:16" x14ac:dyDescent="0.2">
      <c r="E310" s="298">
        <v>307</v>
      </c>
      <c r="F310" s="190" t="str">
        <f>Plan!$Q313</f>
        <v/>
      </c>
      <c r="G310" s="191" t="str">
        <f>Plan!$S313</f>
        <v/>
      </c>
      <c r="H310" s="134" t="str">
        <f>IF(AND(Results!$R$6&gt;0,$E310-1&gt;=Results!$R$6*Calc!$F$26),"",IF(AND(Results!$I315&lt;&gt;"",Results!$K315&lt;&gt;"",Results!$F315&lt;&gt;Results!$H315,$F310&lt;&gt;"",$G310&lt;&gt;""),Results!$I315,""))</f>
        <v/>
      </c>
      <c r="I310" s="18" t="str">
        <f>IF(AND(Results!$R$6&gt;0,$E310-1&gt;=Results!$R$6*Calc!$F$26),"",IF(AND(Results!$I315&lt;&gt;"",Results!$K315&lt;&gt;"",Results!$F315&lt;&gt;Results!$H315,$F310&lt;&gt;"",$G310&lt;&gt;""),Results!$K315,""))</f>
        <v/>
      </c>
      <c r="J310" s="17" t="str">
        <f>IF(Plan!$I313=0,F310&amp;G310,"")</f>
        <v/>
      </c>
      <c r="K310" s="134">
        <f t="shared" si="6"/>
        <v>0</v>
      </c>
      <c r="L310" s="134" t="str">
        <f>IF(AND(K310&gt;0,Plan!$I313=0),H310&amp;Language!$E$65&amp;I310,"")</f>
        <v/>
      </c>
      <c r="M310" s="2" t="str">
        <f>IF(Plan!$I313=1,F310&amp;G310,"")</f>
        <v/>
      </c>
      <c r="N310" s="93" t="str">
        <f>IF(AND(K310&gt;0,Plan!$I313=1),H310&amp;Language!$E$65&amp;I310,"")</f>
        <v/>
      </c>
      <c r="O310" s="379">
        <f>IF($H310="",0,Results!$L315)</f>
        <v>0</v>
      </c>
      <c r="P310" s="380">
        <f>IF($I310="",0,Results!$M315)</f>
        <v>0</v>
      </c>
    </row>
    <row r="311" spans="5:16" x14ac:dyDescent="0.2">
      <c r="E311" s="298">
        <v>308</v>
      </c>
      <c r="F311" s="190" t="str">
        <f>Plan!$Q314</f>
        <v/>
      </c>
      <c r="G311" s="191" t="str">
        <f>Plan!$S314</f>
        <v/>
      </c>
      <c r="H311" s="134" t="str">
        <f>IF(AND(Results!$R$6&gt;0,$E311-1&gt;=Results!$R$6*Calc!$F$26),"",IF(AND(Results!$I316&lt;&gt;"",Results!$K316&lt;&gt;"",Results!$F316&lt;&gt;Results!$H316,$F311&lt;&gt;"",$G311&lt;&gt;""),Results!$I316,""))</f>
        <v/>
      </c>
      <c r="I311" s="18" t="str">
        <f>IF(AND(Results!$R$6&gt;0,$E311-1&gt;=Results!$R$6*Calc!$F$26),"",IF(AND(Results!$I316&lt;&gt;"",Results!$K316&lt;&gt;"",Results!$F316&lt;&gt;Results!$H316,$F311&lt;&gt;"",$G311&lt;&gt;""),Results!$K316,""))</f>
        <v/>
      </c>
      <c r="J311" s="17" t="str">
        <f>IF(Plan!$I314=0,F311&amp;G311,"")</f>
        <v/>
      </c>
      <c r="K311" s="134">
        <f t="shared" si="6"/>
        <v>0</v>
      </c>
      <c r="L311" s="134" t="str">
        <f>IF(AND(K311&gt;0,Plan!$I314=0),H311&amp;Language!$E$65&amp;I311,"")</f>
        <v/>
      </c>
      <c r="M311" s="2" t="str">
        <f>IF(Plan!$I314=1,F311&amp;G311,"")</f>
        <v/>
      </c>
      <c r="N311" s="93" t="str">
        <f>IF(AND(K311&gt;0,Plan!$I314=1),H311&amp;Language!$E$65&amp;I311,"")</f>
        <v/>
      </c>
      <c r="O311" s="379">
        <f>IF($H311="",0,Results!$L316)</f>
        <v>0</v>
      </c>
      <c r="P311" s="380">
        <f>IF($I311="",0,Results!$M316)</f>
        <v>0</v>
      </c>
    </row>
    <row r="312" spans="5:16" x14ac:dyDescent="0.2">
      <c r="E312" s="298">
        <v>309</v>
      </c>
      <c r="F312" s="190" t="str">
        <f>Plan!$Q315</f>
        <v/>
      </c>
      <c r="G312" s="191" t="str">
        <f>Plan!$S315</f>
        <v/>
      </c>
      <c r="H312" s="134" t="str">
        <f>IF(AND(Results!$R$6&gt;0,$E312-1&gt;=Results!$R$6*Calc!$F$26),"",IF(AND(Results!$I317&lt;&gt;"",Results!$K317&lt;&gt;"",Results!$F317&lt;&gt;Results!$H317,$F312&lt;&gt;"",$G312&lt;&gt;""),Results!$I317,""))</f>
        <v/>
      </c>
      <c r="I312" s="18" t="str">
        <f>IF(AND(Results!$R$6&gt;0,$E312-1&gt;=Results!$R$6*Calc!$F$26),"",IF(AND(Results!$I317&lt;&gt;"",Results!$K317&lt;&gt;"",Results!$F317&lt;&gt;Results!$H317,$F312&lt;&gt;"",$G312&lt;&gt;""),Results!$K317,""))</f>
        <v/>
      </c>
      <c r="J312" s="17" t="str">
        <f>IF(Plan!$I315=0,F312&amp;G312,"")</f>
        <v/>
      </c>
      <c r="K312" s="134">
        <f t="shared" si="6"/>
        <v>0</v>
      </c>
      <c r="L312" s="134" t="str">
        <f>IF(AND(K312&gt;0,Plan!$I315=0),H312&amp;Language!$E$65&amp;I312,"")</f>
        <v/>
      </c>
      <c r="M312" s="2" t="str">
        <f>IF(Plan!$I315=1,F312&amp;G312,"")</f>
        <v/>
      </c>
      <c r="N312" s="93" t="str">
        <f>IF(AND(K312&gt;0,Plan!$I315=1),H312&amp;Language!$E$65&amp;I312,"")</f>
        <v/>
      </c>
      <c r="O312" s="379">
        <f>IF($H312="",0,Results!$L317)</f>
        <v>0</v>
      </c>
      <c r="P312" s="380">
        <f>IF($I312="",0,Results!$M317)</f>
        <v>0</v>
      </c>
    </row>
    <row r="313" spans="5:16" x14ac:dyDescent="0.2">
      <c r="E313" s="298">
        <v>310</v>
      </c>
      <c r="F313" s="190" t="str">
        <f>Plan!$Q316</f>
        <v/>
      </c>
      <c r="G313" s="191" t="str">
        <f>Plan!$S316</f>
        <v/>
      </c>
      <c r="H313" s="134" t="str">
        <f>IF(AND(Results!$R$6&gt;0,$E313-1&gt;=Results!$R$6*Calc!$F$26),"",IF(AND(Results!$I318&lt;&gt;"",Results!$K318&lt;&gt;"",Results!$F318&lt;&gt;Results!$H318,$F313&lt;&gt;"",$G313&lt;&gt;""),Results!$I318,""))</f>
        <v/>
      </c>
      <c r="I313" s="18" t="str">
        <f>IF(AND(Results!$R$6&gt;0,$E313-1&gt;=Results!$R$6*Calc!$F$26),"",IF(AND(Results!$I318&lt;&gt;"",Results!$K318&lt;&gt;"",Results!$F318&lt;&gt;Results!$H318,$F313&lt;&gt;"",$G313&lt;&gt;""),Results!$K318,""))</f>
        <v/>
      </c>
      <c r="J313" s="17" t="str">
        <f>IF(Plan!$I316=0,F313&amp;G313,"")</f>
        <v/>
      </c>
      <c r="K313" s="134">
        <f t="shared" si="6"/>
        <v>0</v>
      </c>
      <c r="L313" s="134" t="str">
        <f>IF(AND(K313&gt;0,Plan!$I316=0),H313&amp;Language!$E$65&amp;I313,"")</f>
        <v/>
      </c>
      <c r="M313" s="2" t="str">
        <f>IF(Plan!$I316=1,F313&amp;G313,"")</f>
        <v/>
      </c>
      <c r="N313" s="93" t="str">
        <f>IF(AND(K313&gt;0,Plan!$I316=1),H313&amp;Language!$E$65&amp;I313,"")</f>
        <v/>
      </c>
      <c r="O313" s="379">
        <f>IF($H313="",0,Results!$L318)</f>
        <v>0</v>
      </c>
      <c r="P313" s="380">
        <f>IF($I313="",0,Results!$M318)</f>
        <v>0</v>
      </c>
    </row>
    <row r="314" spans="5:16" x14ac:dyDescent="0.2">
      <c r="E314" s="298">
        <v>311</v>
      </c>
      <c r="F314" s="190" t="str">
        <f>Plan!$Q317</f>
        <v/>
      </c>
      <c r="G314" s="191" t="str">
        <f>Plan!$S317</f>
        <v/>
      </c>
      <c r="H314" s="134" t="str">
        <f>IF(AND(Results!$R$6&gt;0,$E314-1&gt;=Results!$R$6*Calc!$F$26),"",IF(AND(Results!$I319&lt;&gt;"",Results!$K319&lt;&gt;"",Results!$F319&lt;&gt;Results!$H319,$F314&lt;&gt;"",$G314&lt;&gt;""),Results!$I319,""))</f>
        <v/>
      </c>
      <c r="I314" s="18" t="str">
        <f>IF(AND(Results!$R$6&gt;0,$E314-1&gt;=Results!$R$6*Calc!$F$26),"",IF(AND(Results!$I319&lt;&gt;"",Results!$K319&lt;&gt;"",Results!$F319&lt;&gt;Results!$H319,$F314&lt;&gt;"",$G314&lt;&gt;""),Results!$K319,""))</f>
        <v/>
      </c>
      <c r="J314" s="17" t="str">
        <f>IF(Plan!$I317=0,F314&amp;G314,"")</f>
        <v/>
      </c>
      <c r="K314" s="134">
        <f t="shared" si="6"/>
        <v>0</v>
      </c>
      <c r="L314" s="134" t="str">
        <f>IF(AND(K314&gt;0,Plan!$I317=0),H314&amp;Language!$E$65&amp;I314,"")</f>
        <v/>
      </c>
      <c r="M314" s="2" t="str">
        <f>IF(Plan!$I317=1,F314&amp;G314,"")</f>
        <v/>
      </c>
      <c r="N314" s="93" t="str">
        <f>IF(AND(K314&gt;0,Plan!$I317=1),H314&amp;Language!$E$65&amp;I314,"")</f>
        <v/>
      </c>
      <c r="O314" s="379">
        <f>IF($H314="",0,Results!$L319)</f>
        <v>0</v>
      </c>
      <c r="P314" s="380">
        <f>IF($I314="",0,Results!$M319)</f>
        <v>0</v>
      </c>
    </row>
    <row r="315" spans="5:16" x14ac:dyDescent="0.2">
      <c r="E315" s="298">
        <v>312</v>
      </c>
      <c r="F315" s="190" t="str">
        <f>Plan!$Q318</f>
        <v/>
      </c>
      <c r="G315" s="191" t="str">
        <f>Plan!$S318</f>
        <v/>
      </c>
      <c r="H315" s="134" t="str">
        <f>IF(AND(Results!$R$6&gt;0,$E315-1&gt;=Results!$R$6*Calc!$F$26),"",IF(AND(Results!$I320&lt;&gt;"",Results!$K320&lt;&gt;"",Results!$F320&lt;&gt;Results!$H320,$F315&lt;&gt;"",$G315&lt;&gt;""),Results!$I320,""))</f>
        <v/>
      </c>
      <c r="I315" s="18" t="str">
        <f>IF(AND(Results!$R$6&gt;0,$E315-1&gt;=Results!$R$6*Calc!$F$26),"",IF(AND(Results!$I320&lt;&gt;"",Results!$K320&lt;&gt;"",Results!$F320&lt;&gt;Results!$H320,$F315&lt;&gt;"",$G315&lt;&gt;""),Results!$K320,""))</f>
        <v/>
      </c>
      <c r="J315" s="17" t="str">
        <f>IF(Plan!$I318=0,F315&amp;G315,"")</f>
        <v/>
      </c>
      <c r="K315" s="134">
        <f t="shared" si="6"/>
        <v>0</v>
      </c>
      <c r="L315" s="134" t="str">
        <f>IF(AND(K315&gt;0,Plan!$I318=0),H315&amp;Language!$E$65&amp;I315,"")</f>
        <v/>
      </c>
      <c r="M315" s="2" t="str">
        <f>IF(Plan!$I318=1,F315&amp;G315,"")</f>
        <v/>
      </c>
      <c r="N315" s="93" t="str">
        <f>IF(AND(K315&gt;0,Plan!$I318=1),H315&amp;Language!$E$65&amp;I315,"")</f>
        <v/>
      </c>
      <c r="O315" s="379">
        <f>IF($H315="",0,Results!$L320)</f>
        <v>0</v>
      </c>
      <c r="P315" s="380">
        <f>IF($I315="",0,Results!$M320)</f>
        <v>0</v>
      </c>
    </row>
    <row r="316" spans="5:16" x14ac:dyDescent="0.2">
      <c r="E316" s="298">
        <v>313</v>
      </c>
      <c r="F316" s="190" t="str">
        <f>Plan!$Q319</f>
        <v/>
      </c>
      <c r="G316" s="191" t="str">
        <f>Plan!$S319</f>
        <v/>
      </c>
      <c r="H316" s="134" t="str">
        <f>IF(AND(Results!$R$6&gt;0,$E316-1&gt;=Results!$R$6*Calc!$F$26),"",IF(AND(Results!$I321&lt;&gt;"",Results!$K321&lt;&gt;"",Results!$F321&lt;&gt;Results!$H321,$F316&lt;&gt;"",$G316&lt;&gt;""),Results!$I321,""))</f>
        <v/>
      </c>
      <c r="I316" s="18" t="str">
        <f>IF(AND(Results!$R$6&gt;0,$E316-1&gt;=Results!$R$6*Calc!$F$26),"",IF(AND(Results!$I321&lt;&gt;"",Results!$K321&lt;&gt;"",Results!$F321&lt;&gt;Results!$H321,$F316&lt;&gt;"",$G316&lt;&gt;""),Results!$K321,""))</f>
        <v/>
      </c>
      <c r="J316" s="17" t="str">
        <f>IF(Plan!$I319=0,F316&amp;G316,"")</f>
        <v/>
      </c>
      <c r="K316" s="134">
        <f t="shared" si="6"/>
        <v>0</v>
      </c>
      <c r="L316" s="134" t="str">
        <f>IF(AND(K316&gt;0,Plan!$I319=0),H316&amp;Language!$E$65&amp;I316,"")</f>
        <v/>
      </c>
      <c r="M316" s="2" t="str">
        <f>IF(Plan!$I319=1,F316&amp;G316,"")</f>
        <v/>
      </c>
      <c r="N316" s="93" t="str">
        <f>IF(AND(K316&gt;0,Plan!$I319=1),H316&amp;Language!$E$65&amp;I316,"")</f>
        <v/>
      </c>
      <c r="O316" s="379">
        <f>IF($H316="",0,Results!$L321)</f>
        <v>0</v>
      </c>
      <c r="P316" s="380">
        <f>IF($I316="",0,Results!$M321)</f>
        <v>0</v>
      </c>
    </row>
    <row r="317" spans="5:16" x14ac:dyDescent="0.2">
      <c r="E317" s="298">
        <v>314</v>
      </c>
      <c r="F317" s="190" t="str">
        <f>Plan!$Q320</f>
        <v/>
      </c>
      <c r="G317" s="191" t="str">
        <f>Plan!$S320</f>
        <v/>
      </c>
      <c r="H317" s="134" t="str">
        <f>IF(AND(Results!$R$6&gt;0,$E317-1&gt;=Results!$R$6*Calc!$F$26),"",IF(AND(Results!$I322&lt;&gt;"",Results!$K322&lt;&gt;"",Results!$F322&lt;&gt;Results!$H322,$F317&lt;&gt;"",$G317&lt;&gt;""),Results!$I322,""))</f>
        <v/>
      </c>
      <c r="I317" s="18" t="str">
        <f>IF(AND(Results!$R$6&gt;0,$E317-1&gt;=Results!$R$6*Calc!$F$26),"",IF(AND(Results!$I322&lt;&gt;"",Results!$K322&lt;&gt;"",Results!$F322&lt;&gt;Results!$H322,$F317&lt;&gt;"",$G317&lt;&gt;""),Results!$K322,""))</f>
        <v/>
      </c>
      <c r="J317" s="17" t="str">
        <f>IF(Plan!$I320=0,F317&amp;G317,"")</f>
        <v/>
      </c>
      <c r="K317" s="134">
        <f t="shared" si="6"/>
        <v>0</v>
      </c>
      <c r="L317" s="134" t="str">
        <f>IF(AND(K317&gt;0,Plan!$I320=0),H317&amp;Language!$E$65&amp;I317,"")</f>
        <v/>
      </c>
      <c r="M317" s="2" t="str">
        <f>IF(Plan!$I320=1,F317&amp;G317,"")</f>
        <v/>
      </c>
      <c r="N317" s="93" t="str">
        <f>IF(AND(K317&gt;0,Plan!$I320=1),H317&amp;Language!$E$65&amp;I317,"")</f>
        <v/>
      </c>
      <c r="O317" s="379">
        <f>IF($H317="",0,Results!$L322)</f>
        <v>0</v>
      </c>
      <c r="P317" s="380">
        <f>IF($I317="",0,Results!$M322)</f>
        <v>0</v>
      </c>
    </row>
    <row r="318" spans="5:16" x14ac:dyDescent="0.2">
      <c r="E318" s="298">
        <v>315</v>
      </c>
      <c r="F318" s="190" t="str">
        <f>Plan!$Q321</f>
        <v/>
      </c>
      <c r="G318" s="191" t="str">
        <f>Plan!$S321</f>
        <v/>
      </c>
      <c r="H318" s="134" t="str">
        <f>IF(AND(Results!$R$6&gt;0,$E318-1&gt;=Results!$R$6*Calc!$F$26),"",IF(AND(Results!$I323&lt;&gt;"",Results!$K323&lt;&gt;"",Results!$F323&lt;&gt;Results!$H323,$F318&lt;&gt;"",$G318&lt;&gt;""),Results!$I323,""))</f>
        <v/>
      </c>
      <c r="I318" s="18" t="str">
        <f>IF(AND(Results!$R$6&gt;0,$E318-1&gt;=Results!$R$6*Calc!$F$26),"",IF(AND(Results!$I323&lt;&gt;"",Results!$K323&lt;&gt;"",Results!$F323&lt;&gt;Results!$H323,$F318&lt;&gt;"",$G318&lt;&gt;""),Results!$K323,""))</f>
        <v/>
      </c>
      <c r="J318" s="17" t="str">
        <f>IF(Plan!$I321=0,F318&amp;G318,"")</f>
        <v/>
      </c>
      <c r="K318" s="134">
        <f t="shared" si="6"/>
        <v>0</v>
      </c>
      <c r="L318" s="134" t="str">
        <f>IF(AND(K318&gt;0,Plan!$I321=0),H318&amp;Language!$E$65&amp;I318,"")</f>
        <v/>
      </c>
      <c r="M318" s="2" t="str">
        <f>IF(Plan!$I321=1,F318&amp;G318,"")</f>
        <v/>
      </c>
      <c r="N318" s="93" t="str">
        <f>IF(AND(K318&gt;0,Plan!$I321=1),H318&amp;Language!$E$65&amp;I318,"")</f>
        <v/>
      </c>
      <c r="O318" s="379">
        <f>IF($H318="",0,Results!$L323)</f>
        <v>0</v>
      </c>
      <c r="P318" s="380">
        <f>IF($I318="",0,Results!$M323)</f>
        <v>0</v>
      </c>
    </row>
    <row r="319" spans="5:16" x14ac:dyDescent="0.2">
      <c r="E319" s="298">
        <v>316</v>
      </c>
      <c r="F319" s="190" t="str">
        <f>Plan!$Q322</f>
        <v/>
      </c>
      <c r="G319" s="191" t="str">
        <f>Plan!$S322</f>
        <v/>
      </c>
      <c r="H319" s="134" t="str">
        <f>IF(AND(Results!$R$6&gt;0,$E319-1&gt;=Results!$R$6*Calc!$F$26),"",IF(AND(Results!$I324&lt;&gt;"",Results!$K324&lt;&gt;"",Results!$F324&lt;&gt;Results!$H324,$F319&lt;&gt;"",$G319&lt;&gt;""),Results!$I324,""))</f>
        <v/>
      </c>
      <c r="I319" s="18" t="str">
        <f>IF(AND(Results!$R$6&gt;0,$E319-1&gt;=Results!$R$6*Calc!$F$26),"",IF(AND(Results!$I324&lt;&gt;"",Results!$K324&lt;&gt;"",Results!$F324&lt;&gt;Results!$H324,$F319&lt;&gt;"",$G319&lt;&gt;""),Results!$K324,""))</f>
        <v/>
      </c>
      <c r="J319" s="17" t="str">
        <f>IF(Plan!$I322=0,F319&amp;G319,"")</f>
        <v/>
      </c>
      <c r="K319" s="134">
        <f t="shared" si="6"/>
        <v>0</v>
      </c>
      <c r="L319" s="134" t="str">
        <f>IF(AND(K319&gt;0,Plan!$I322=0),H319&amp;Language!$E$65&amp;I319,"")</f>
        <v/>
      </c>
      <c r="M319" s="2" t="str">
        <f>IF(Plan!$I322=1,F319&amp;G319,"")</f>
        <v/>
      </c>
      <c r="N319" s="93" t="str">
        <f>IF(AND(K319&gt;0,Plan!$I322=1),H319&amp;Language!$E$65&amp;I319,"")</f>
        <v/>
      </c>
      <c r="O319" s="379">
        <f>IF($H319="",0,Results!$L324)</f>
        <v>0</v>
      </c>
      <c r="P319" s="380">
        <f>IF($I319="",0,Results!$M324)</f>
        <v>0</v>
      </c>
    </row>
    <row r="320" spans="5:16" x14ac:dyDescent="0.2">
      <c r="E320" s="298">
        <v>317</v>
      </c>
      <c r="F320" s="190" t="str">
        <f>Plan!$Q323</f>
        <v/>
      </c>
      <c r="G320" s="191" t="str">
        <f>Plan!$S323</f>
        <v/>
      </c>
      <c r="H320" s="134" t="str">
        <f>IF(AND(Results!$R$6&gt;0,$E320-1&gt;=Results!$R$6*Calc!$F$26),"",IF(AND(Results!$I325&lt;&gt;"",Results!$K325&lt;&gt;"",Results!$F325&lt;&gt;Results!$H325,$F320&lt;&gt;"",$G320&lt;&gt;""),Results!$I325,""))</f>
        <v/>
      </c>
      <c r="I320" s="18" t="str">
        <f>IF(AND(Results!$R$6&gt;0,$E320-1&gt;=Results!$R$6*Calc!$F$26),"",IF(AND(Results!$I325&lt;&gt;"",Results!$K325&lt;&gt;"",Results!$F325&lt;&gt;Results!$H325,$F320&lt;&gt;"",$G320&lt;&gt;""),Results!$K325,""))</f>
        <v/>
      </c>
      <c r="J320" s="17" t="str">
        <f>IF(Plan!$I323=0,F320&amp;G320,"")</f>
        <v/>
      </c>
      <c r="K320" s="134">
        <f t="shared" si="6"/>
        <v>0</v>
      </c>
      <c r="L320" s="134" t="str">
        <f>IF(AND(K320&gt;0,Plan!$I323=0),H320&amp;Language!$E$65&amp;I320,"")</f>
        <v/>
      </c>
      <c r="M320" s="2" t="str">
        <f>IF(Plan!$I323=1,F320&amp;G320,"")</f>
        <v/>
      </c>
      <c r="N320" s="93" t="str">
        <f>IF(AND(K320&gt;0,Plan!$I323=1),H320&amp;Language!$E$65&amp;I320,"")</f>
        <v/>
      </c>
      <c r="O320" s="379">
        <f>IF($H320="",0,Results!$L325)</f>
        <v>0</v>
      </c>
      <c r="P320" s="380">
        <f>IF($I320="",0,Results!$M325)</f>
        <v>0</v>
      </c>
    </row>
    <row r="321" spans="5:16" x14ac:dyDescent="0.2">
      <c r="E321" s="298">
        <v>318</v>
      </c>
      <c r="F321" s="190" t="str">
        <f>Plan!$Q324</f>
        <v/>
      </c>
      <c r="G321" s="191" t="str">
        <f>Plan!$S324</f>
        <v/>
      </c>
      <c r="H321" s="134" t="str">
        <f>IF(AND(Results!$R$6&gt;0,$E321-1&gt;=Results!$R$6*Calc!$F$26),"",IF(AND(Results!$I326&lt;&gt;"",Results!$K326&lt;&gt;"",Results!$F326&lt;&gt;Results!$H326,$F321&lt;&gt;"",$G321&lt;&gt;""),Results!$I326,""))</f>
        <v/>
      </c>
      <c r="I321" s="18" t="str">
        <f>IF(AND(Results!$R$6&gt;0,$E321-1&gt;=Results!$R$6*Calc!$F$26),"",IF(AND(Results!$I326&lt;&gt;"",Results!$K326&lt;&gt;"",Results!$F326&lt;&gt;Results!$H326,$F321&lt;&gt;"",$G321&lt;&gt;""),Results!$K326,""))</f>
        <v/>
      </c>
      <c r="J321" s="17" t="str">
        <f>IF(Plan!$I324=0,F321&amp;G321,"")</f>
        <v/>
      </c>
      <c r="K321" s="134">
        <f t="shared" si="6"/>
        <v>0</v>
      </c>
      <c r="L321" s="134" t="str">
        <f>IF(AND(K321&gt;0,Plan!$I324=0),H321&amp;Language!$E$65&amp;I321,"")</f>
        <v/>
      </c>
      <c r="M321" s="2" t="str">
        <f>IF(Plan!$I324=1,F321&amp;G321,"")</f>
        <v/>
      </c>
      <c r="N321" s="93" t="str">
        <f>IF(AND(K321&gt;0,Plan!$I324=1),H321&amp;Language!$E$65&amp;I321,"")</f>
        <v/>
      </c>
      <c r="O321" s="379">
        <f>IF($H321="",0,Results!$L326)</f>
        <v>0</v>
      </c>
      <c r="P321" s="380">
        <f>IF($I321="",0,Results!$M326)</f>
        <v>0</v>
      </c>
    </row>
    <row r="322" spans="5:16" x14ac:dyDescent="0.2">
      <c r="E322" s="298">
        <v>319</v>
      </c>
      <c r="F322" s="190" t="str">
        <f>Plan!$Q325</f>
        <v/>
      </c>
      <c r="G322" s="191" t="str">
        <f>Plan!$S325</f>
        <v/>
      </c>
      <c r="H322" s="134" t="str">
        <f>IF(AND(Results!$R$6&gt;0,$E322-1&gt;=Results!$R$6*Calc!$F$26),"",IF(AND(Results!$I327&lt;&gt;"",Results!$K327&lt;&gt;"",Results!$F327&lt;&gt;Results!$H327,$F322&lt;&gt;"",$G322&lt;&gt;""),Results!$I327,""))</f>
        <v/>
      </c>
      <c r="I322" s="18" t="str">
        <f>IF(AND(Results!$R$6&gt;0,$E322-1&gt;=Results!$R$6*Calc!$F$26),"",IF(AND(Results!$I327&lt;&gt;"",Results!$K327&lt;&gt;"",Results!$F327&lt;&gt;Results!$H327,$F322&lt;&gt;"",$G322&lt;&gt;""),Results!$K327,""))</f>
        <v/>
      </c>
      <c r="J322" s="17" t="str">
        <f>IF(Plan!$I325=0,F322&amp;G322,"")</f>
        <v/>
      </c>
      <c r="K322" s="134">
        <f t="shared" si="6"/>
        <v>0</v>
      </c>
      <c r="L322" s="134" t="str">
        <f>IF(AND(K322&gt;0,Plan!$I325=0),H322&amp;Language!$E$65&amp;I322,"")</f>
        <v/>
      </c>
      <c r="M322" s="2" t="str">
        <f>IF(Plan!$I325=1,F322&amp;G322,"")</f>
        <v/>
      </c>
      <c r="N322" s="93" t="str">
        <f>IF(AND(K322&gt;0,Plan!$I325=1),H322&amp;Language!$E$65&amp;I322,"")</f>
        <v/>
      </c>
      <c r="O322" s="379">
        <f>IF($H322="",0,Results!$L327)</f>
        <v>0</v>
      </c>
      <c r="P322" s="380">
        <f>IF($I322="",0,Results!$M327)</f>
        <v>0</v>
      </c>
    </row>
    <row r="323" spans="5:16" x14ac:dyDescent="0.2">
      <c r="E323" s="298">
        <v>320</v>
      </c>
      <c r="F323" s="190" t="str">
        <f>Plan!$Q326</f>
        <v/>
      </c>
      <c r="G323" s="191" t="str">
        <f>Plan!$S326</f>
        <v/>
      </c>
      <c r="H323" s="134" t="str">
        <f>IF(AND(Results!$R$6&gt;0,$E323-1&gt;=Results!$R$6*Calc!$F$26),"",IF(AND(Results!$I328&lt;&gt;"",Results!$K328&lt;&gt;"",Results!$F328&lt;&gt;Results!$H328,$F323&lt;&gt;"",$G323&lt;&gt;""),Results!$I328,""))</f>
        <v/>
      </c>
      <c r="I323" s="18" t="str">
        <f>IF(AND(Results!$R$6&gt;0,$E323-1&gt;=Results!$R$6*Calc!$F$26),"",IF(AND(Results!$I328&lt;&gt;"",Results!$K328&lt;&gt;"",Results!$F328&lt;&gt;Results!$H328,$F323&lt;&gt;"",$G323&lt;&gt;""),Results!$K328,""))</f>
        <v/>
      </c>
      <c r="J323" s="17" t="str">
        <f>IF(Plan!$I326=0,F323&amp;G323,"")</f>
        <v/>
      </c>
      <c r="K323" s="134">
        <f t="shared" si="6"/>
        <v>0</v>
      </c>
      <c r="L323" s="134" t="str">
        <f>IF(AND(K323&gt;0,Plan!$I326=0),H323&amp;Language!$E$65&amp;I323,"")</f>
        <v/>
      </c>
      <c r="M323" s="2" t="str">
        <f>IF(Plan!$I326=1,F323&amp;G323,"")</f>
        <v/>
      </c>
      <c r="N323" s="93" t="str">
        <f>IF(AND(K323&gt;0,Plan!$I326=1),H323&amp;Language!$E$65&amp;I323,"")</f>
        <v/>
      </c>
      <c r="O323" s="379">
        <f>IF($H323="",0,Results!$L328)</f>
        <v>0</v>
      </c>
      <c r="P323" s="380">
        <f>IF($I323="",0,Results!$M328)</f>
        <v>0</v>
      </c>
    </row>
    <row r="324" spans="5:16" x14ac:dyDescent="0.2">
      <c r="E324" s="298">
        <v>321</v>
      </c>
      <c r="F324" s="190" t="str">
        <f>Plan!$Q327</f>
        <v/>
      </c>
      <c r="G324" s="191" t="str">
        <f>Plan!$S327</f>
        <v/>
      </c>
      <c r="H324" s="134" t="str">
        <f>IF(AND(Results!$R$6&gt;0,$E324-1&gt;=Results!$R$6*Calc!$F$26),"",IF(AND(Results!$I329&lt;&gt;"",Results!$K329&lt;&gt;"",Results!$F329&lt;&gt;Results!$H329,$F324&lt;&gt;"",$G324&lt;&gt;""),Results!$I329,""))</f>
        <v/>
      </c>
      <c r="I324" s="18" t="str">
        <f>IF(AND(Results!$R$6&gt;0,$E324-1&gt;=Results!$R$6*Calc!$F$26),"",IF(AND(Results!$I329&lt;&gt;"",Results!$K329&lt;&gt;"",Results!$F329&lt;&gt;Results!$H329,$F324&lt;&gt;"",$G324&lt;&gt;""),Results!$K329,""))</f>
        <v/>
      </c>
      <c r="J324" s="17" t="str">
        <f>IF(Plan!$I327=0,F324&amp;G324,"")</f>
        <v/>
      </c>
      <c r="K324" s="134">
        <f t="shared" si="6"/>
        <v>0</v>
      </c>
      <c r="L324" s="134" t="str">
        <f>IF(AND(K324&gt;0,Plan!$I327=0),H324&amp;Language!$E$65&amp;I324,"")</f>
        <v/>
      </c>
      <c r="M324" s="2" t="str">
        <f>IF(Plan!$I327=1,F324&amp;G324,"")</f>
        <v/>
      </c>
      <c r="N324" s="93" t="str">
        <f>IF(AND(K324&gt;0,Plan!$I327=1),H324&amp;Language!$E$65&amp;I324,"")</f>
        <v/>
      </c>
      <c r="O324" s="379">
        <f>IF($H324="",0,Results!$L329)</f>
        <v>0</v>
      </c>
      <c r="P324" s="380">
        <f>IF($I324="",0,Results!$M329)</f>
        <v>0</v>
      </c>
    </row>
    <row r="325" spans="5:16" x14ac:dyDescent="0.2">
      <c r="E325" s="298">
        <v>322</v>
      </c>
      <c r="F325" s="190" t="str">
        <f>Plan!$Q328</f>
        <v/>
      </c>
      <c r="G325" s="191" t="str">
        <f>Plan!$S328</f>
        <v/>
      </c>
      <c r="H325" s="134" t="str">
        <f>IF(AND(Results!$R$6&gt;0,$E325-1&gt;=Results!$R$6*Calc!$F$26),"",IF(AND(Results!$I330&lt;&gt;"",Results!$K330&lt;&gt;"",Results!$F330&lt;&gt;Results!$H330,$F325&lt;&gt;"",$G325&lt;&gt;""),Results!$I330,""))</f>
        <v/>
      </c>
      <c r="I325" s="18" t="str">
        <f>IF(AND(Results!$R$6&gt;0,$E325-1&gt;=Results!$R$6*Calc!$F$26),"",IF(AND(Results!$I330&lt;&gt;"",Results!$K330&lt;&gt;"",Results!$F330&lt;&gt;Results!$H330,$F325&lt;&gt;"",$G325&lt;&gt;""),Results!$K330,""))</f>
        <v/>
      </c>
      <c r="J325" s="17" t="str">
        <f>IF(Plan!$I328=0,F325&amp;G325,"")</f>
        <v/>
      </c>
      <c r="K325" s="134">
        <f t="shared" si="6"/>
        <v>0</v>
      </c>
      <c r="L325" s="134" t="str">
        <f>IF(AND(K325&gt;0,Plan!$I328=0),H325&amp;Language!$E$65&amp;I325,"")</f>
        <v/>
      </c>
      <c r="M325" s="2" t="str">
        <f>IF(Plan!$I328=1,F325&amp;G325,"")</f>
        <v/>
      </c>
      <c r="N325" s="93" t="str">
        <f>IF(AND(K325&gt;0,Plan!$I328=1),H325&amp;Language!$E$65&amp;I325,"")</f>
        <v/>
      </c>
      <c r="O325" s="379">
        <f>IF($H325="",0,Results!$L330)</f>
        <v>0</v>
      </c>
      <c r="P325" s="380">
        <f>IF($I325="",0,Results!$M330)</f>
        <v>0</v>
      </c>
    </row>
    <row r="326" spans="5:16" x14ac:dyDescent="0.2">
      <c r="E326" s="298">
        <v>323</v>
      </c>
      <c r="F326" s="190" t="str">
        <f>Plan!$Q329</f>
        <v/>
      </c>
      <c r="G326" s="191" t="str">
        <f>Plan!$S329</f>
        <v/>
      </c>
      <c r="H326" s="134" t="str">
        <f>IF(AND(Results!$R$6&gt;0,$E326-1&gt;=Results!$R$6*Calc!$F$26),"",IF(AND(Results!$I331&lt;&gt;"",Results!$K331&lt;&gt;"",Results!$F331&lt;&gt;Results!$H331,$F326&lt;&gt;"",$G326&lt;&gt;""),Results!$I331,""))</f>
        <v/>
      </c>
      <c r="I326" s="18" t="str">
        <f>IF(AND(Results!$R$6&gt;0,$E326-1&gt;=Results!$R$6*Calc!$F$26),"",IF(AND(Results!$I331&lt;&gt;"",Results!$K331&lt;&gt;"",Results!$F331&lt;&gt;Results!$H331,$F326&lt;&gt;"",$G326&lt;&gt;""),Results!$K331,""))</f>
        <v/>
      </c>
      <c r="J326" s="17" t="str">
        <f>IF(Plan!$I329=0,F326&amp;G326,"")</f>
        <v/>
      </c>
      <c r="K326" s="134">
        <f t="shared" si="6"/>
        <v>0</v>
      </c>
      <c r="L326" s="134" t="str">
        <f>IF(AND(K326&gt;0,Plan!$I329=0),H326&amp;Language!$E$65&amp;I326,"")</f>
        <v/>
      </c>
      <c r="M326" s="2" t="str">
        <f>IF(Plan!$I329=1,F326&amp;G326,"")</f>
        <v/>
      </c>
      <c r="N326" s="93" t="str">
        <f>IF(AND(K326&gt;0,Plan!$I329=1),H326&amp;Language!$E$65&amp;I326,"")</f>
        <v/>
      </c>
      <c r="O326" s="379">
        <f>IF($H326="",0,Results!$L331)</f>
        <v>0</v>
      </c>
      <c r="P326" s="380">
        <f>IF($I326="",0,Results!$M331)</f>
        <v>0</v>
      </c>
    </row>
    <row r="327" spans="5:16" x14ac:dyDescent="0.2">
      <c r="E327" s="298">
        <v>324</v>
      </c>
      <c r="F327" s="190" t="str">
        <f>Plan!$Q330</f>
        <v/>
      </c>
      <c r="G327" s="191" t="str">
        <f>Plan!$S330</f>
        <v/>
      </c>
      <c r="H327" s="134" t="str">
        <f>IF(AND(Results!$R$6&gt;0,$E327-1&gt;=Results!$R$6*Calc!$F$26),"",IF(AND(Results!$I332&lt;&gt;"",Results!$K332&lt;&gt;"",Results!$F332&lt;&gt;Results!$H332,$F327&lt;&gt;"",$G327&lt;&gt;""),Results!$I332,""))</f>
        <v/>
      </c>
      <c r="I327" s="18" t="str">
        <f>IF(AND(Results!$R$6&gt;0,$E327-1&gt;=Results!$R$6*Calc!$F$26),"",IF(AND(Results!$I332&lt;&gt;"",Results!$K332&lt;&gt;"",Results!$F332&lt;&gt;Results!$H332,$F327&lt;&gt;"",$G327&lt;&gt;""),Results!$K332,""))</f>
        <v/>
      </c>
      <c r="J327" s="17" t="str">
        <f>IF(Plan!$I330=0,F327&amp;G327,"")</f>
        <v/>
      </c>
      <c r="K327" s="134">
        <f t="shared" si="6"/>
        <v>0</v>
      </c>
      <c r="L327" s="134" t="str">
        <f>IF(AND(K327&gt;0,Plan!$I330=0),H327&amp;Language!$E$65&amp;I327,"")</f>
        <v/>
      </c>
      <c r="M327" s="2" t="str">
        <f>IF(Plan!$I330=1,F327&amp;G327,"")</f>
        <v/>
      </c>
      <c r="N327" s="93" t="str">
        <f>IF(AND(K327&gt;0,Plan!$I330=1),H327&amp;Language!$E$65&amp;I327,"")</f>
        <v/>
      </c>
      <c r="O327" s="379">
        <f>IF($H327="",0,Results!$L332)</f>
        <v>0</v>
      </c>
      <c r="P327" s="380">
        <f>IF($I327="",0,Results!$M332)</f>
        <v>0</v>
      </c>
    </row>
    <row r="328" spans="5:16" x14ac:dyDescent="0.2">
      <c r="E328" s="298">
        <v>325</v>
      </c>
      <c r="F328" s="190" t="str">
        <f>Plan!$Q331</f>
        <v/>
      </c>
      <c r="G328" s="191" t="str">
        <f>Plan!$S331</f>
        <v/>
      </c>
      <c r="H328" s="134" t="str">
        <f>IF(AND(Results!$R$6&gt;0,$E328-1&gt;=Results!$R$6*Calc!$F$26),"",IF(AND(Results!$I333&lt;&gt;"",Results!$K333&lt;&gt;"",Results!$F333&lt;&gt;Results!$H333,$F328&lt;&gt;"",$G328&lt;&gt;""),Results!$I333,""))</f>
        <v/>
      </c>
      <c r="I328" s="18" t="str">
        <f>IF(AND(Results!$R$6&gt;0,$E328-1&gt;=Results!$R$6*Calc!$F$26),"",IF(AND(Results!$I333&lt;&gt;"",Results!$K333&lt;&gt;"",Results!$F333&lt;&gt;Results!$H333,$F328&lt;&gt;"",$G328&lt;&gt;""),Results!$K333,""))</f>
        <v/>
      </c>
      <c r="J328" s="17" t="str">
        <f>IF(Plan!$I331=0,F328&amp;G328,"")</f>
        <v/>
      </c>
      <c r="K328" s="134">
        <f t="shared" si="6"/>
        <v>0</v>
      </c>
      <c r="L328" s="134" t="str">
        <f>IF(AND(K328&gt;0,Plan!$I331=0),H328&amp;Language!$E$65&amp;I328,"")</f>
        <v/>
      </c>
      <c r="M328" s="2" t="str">
        <f>IF(Plan!$I331=1,F328&amp;G328,"")</f>
        <v/>
      </c>
      <c r="N328" s="93" t="str">
        <f>IF(AND(K328&gt;0,Plan!$I331=1),H328&amp;Language!$E$65&amp;I328,"")</f>
        <v/>
      </c>
      <c r="O328" s="379">
        <f>IF($H328="",0,Results!$L333)</f>
        <v>0</v>
      </c>
      <c r="P328" s="380">
        <f>IF($I328="",0,Results!$M333)</f>
        <v>0</v>
      </c>
    </row>
    <row r="329" spans="5:16" x14ac:dyDescent="0.2">
      <c r="E329" s="298">
        <v>326</v>
      </c>
      <c r="F329" s="190" t="str">
        <f>Plan!$Q332</f>
        <v/>
      </c>
      <c r="G329" s="191" t="str">
        <f>Plan!$S332</f>
        <v/>
      </c>
      <c r="H329" s="134" t="str">
        <f>IF(AND(Results!$R$6&gt;0,$E329-1&gt;=Results!$R$6*Calc!$F$26),"",IF(AND(Results!$I334&lt;&gt;"",Results!$K334&lt;&gt;"",Results!$F334&lt;&gt;Results!$H334,$F329&lt;&gt;"",$G329&lt;&gt;""),Results!$I334,""))</f>
        <v/>
      </c>
      <c r="I329" s="18" t="str">
        <f>IF(AND(Results!$R$6&gt;0,$E329-1&gt;=Results!$R$6*Calc!$F$26),"",IF(AND(Results!$I334&lt;&gt;"",Results!$K334&lt;&gt;"",Results!$F334&lt;&gt;Results!$H334,$F329&lt;&gt;"",$G329&lt;&gt;""),Results!$K334,""))</f>
        <v/>
      </c>
      <c r="J329" s="17" t="str">
        <f>IF(Plan!$I332=0,F329&amp;G329,"")</f>
        <v/>
      </c>
      <c r="K329" s="134">
        <f t="shared" si="6"/>
        <v>0</v>
      </c>
      <c r="L329" s="134" t="str">
        <f>IF(AND(K329&gt;0,Plan!$I332=0),H329&amp;Language!$E$65&amp;I329,"")</f>
        <v/>
      </c>
      <c r="M329" s="2" t="str">
        <f>IF(Plan!$I332=1,F329&amp;G329,"")</f>
        <v/>
      </c>
      <c r="N329" s="93" t="str">
        <f>IF(AND(K329&gt;0,Plan!$I332=1),H329&amp;Language!$E$65&amp;I329,"")</f>
        <v/>
      </c>
      <c r="O329" s="379">
        <f>IF($H329="",0,Results!$L334)</f>
        <v>0</v>
      </c>
      <c r="P329" s="380">
        <f>IF($I329="",0,Results!$M334)</f>
        <v>0</v>
      </c>
    </row>
    <row r="330" spans="5:16" x14ac:dyDescent="0.2">
      <c r="E330" s="298">
        <v>327</v>
      </c>
      <c r="F330" s="190" t="str">
        <f>Plan!$Q333</f>
        <v/>
      </c>
      <c r="G330" s="191" t="str">
        <f>Plan!$S333</f>
        <v/>
      </c>
      <c r="H330" s="134" t="str">
        <f>IF(AND(Results!$R$6&gt;0,$E330-1&gt;=Results!$R$6*Calc!$F$26),"",IF(AND(Results!$I335&lt;&gt;"",Results!$K335&lt;&gt;"",Results!$F335&lt;&gt;Results!$H335,$F330&lt;&gt;"",$G330&lt;&gt;""),Results!$I335,""))</f>
        <v/>
      </c>
      <c r="I330" s="18" t="str">
        <f>IF(AND(Results!$R$6&gt;0,$E330-1&gt;=Results!$R$6*Calc!$F$26),"",IF(AND(Results!$I335&lt;&gt;"",Results!$K335&lt;&gt;"",Results!$F335&lt;&gt;Results!$H335,$F330&lt;&gt;"",$G330&lt;&gt;""),Results!$K335,""))</f>
        <v/>
      </c>
      <c r="J330" s="17" t="str">
        <f>IF(Plan!$I333=0,F330&amp;G330,"")</f>
        <v/>
      </c>
      <c r="K330" s="134">
        <f t="shared" si="6"/>
        <v>0</v>
      </c>
      <c r="L330" s="134" t="str">
        <f>IF(AND(K330&gt;0,Plan!$I333=0),H330&amp;Language!$E$65&amp;I330,"")</f>
        <v/>
      </c>
      <c r="M330" s="2" t="str">
        <f>IF(Plan!$I333=1,F330&amp;G330,"")</f>
        <v/>
      </c>
      <c r="N330" s="93" t="str">
        <f>IF(AND(K330&gt;0,Plan!$I333=1),H330&amp;Language!$E$65&amp;I330,"")</f>
        <v/>
      </c>
      <c r="O330" s="379">
        <f>IF($H330="",0,Results!$L335)</f>
        <v>0</v>
      </c>
      <c r="P330" s="380">
        <f>IF($I330="",0,Results!$M335)</f>
        <v>0</v>
      </c>
    </row>
    <row r="331" spans="5:16" x14ac:dyDescent="0.2">
      <c r="E331" s="298">
        <v>328</v>
      </c>
      <c r="F331" s="190" t="str">
        <f>Plan!$Q334</f>
        <v/>
      </c>
      <c r="G331" s="191" t="str">
        <f>Plan!$S334</f>
        <v/>
      </c>
      <c r="H331" s="134" t="str">
        <f>IF(AND(Results!$R$6&gt;0,$E331-1&gt;=Results!$R$6*Calc!$F$26),"",IF(AND(Results!$I336&lt;&gt;"",Results!$K336&lt;&gt;"",Results!$F336&lt;&gt;Results!$H336,$F331&lt;&gt;"",$G331&lt;&gt;""),Results!$I336,""))</f>
        <v/>
      </c>
      <c r="I331" s="18" t="str">
        <f>IF(AND(Results!$R$6&gt;0,$E331-1&gt;=Results!$R$6*Calc!$F$26),"",IF(AND(Results!$I336&lt;&gt;"",Results!$K336&lt;&gt;"",Results!$F336&lt;&gt;Results!$H336,$F331&lt;&gt;"",$G331&lt;&gt;""),Results!$K336,""))</f>
        <v/>
      </c>
      <c r="J331" s="17" t="str">
        <f>IF(Plan!$I334=0,F331&amp;G331,"")</f>
        <v/>
      </c>
      <c r="K331" s="134">
        <f t="shared" ref="K331:K383" si="7">IF(AND(F331&lt;&gt;"",G331&lt;&gt;"",F331&lt;&gt;G331,H331&lt;&gt;"",I331&lt;&gt;""),1,0)</f>
        <v>0</v>
      </c>
      <c r="L331" s="134" t="str">
        <f>IF(AND(K331&gt;0,Plan!$I334=0),H331&amp;Language!$E$65&amp;I331,"")</f>
        <v/>
      </c>
      <c r="M331" s="2" t="str">
        <f>IF(Plan!$I334=1,F331&amp;G331,"")</f>
        <v/>
      </c>
      <c r="N331" s="93" t="str">
        <f>IF(AND(K331&gt;0,Plan!$I334=1),H331&amp;Language!$E$65&amp;I331,"")</f>
        <v/>
      </c>
      <c r="O331" s="379">
        <f>IF($H331="",0,Results!$L336)</f>
        <v>0</v>
      </c>
      <c r="P331" s="380">
        <f>IF($I331="",0,Results!$M336)</f>
        <v>0</v>
      </c>
    </row>
    <row r="332" spans="5:16" x14ac:dyDescent="0.2">
      <c r="E332" s="298">
        <v>329</v>
      </c>
      <c r="F332" s="190" t="str">
        <f>Plan!$Q335</f>
        <v/>
      </c>
      <c r="G332" s="191" t="str">
        <f>Plan!$S335</f>
        <v/>
      </c>
      <c r="H332" s="134" t="str">
        <f>IF(AND(Results!$R$6&gt;0,$E332-1&gt;=Results!$R$6*Calc!$F$26),"",IF(AND(Results!$I337&lt;&gt;"",Results!$K337&lt;&gt;"",Results!$F337&lt;&gt;Results!$H337,$F332&lt;&gt;"",$G332&lt;&gt;""),Results!$I337,""))</f>
        <v/>
      </c>
      <c r="I332" s="18" t="str">
        <f>IF(AND(Results!$R$6&gt;0,$E332-1&gt;=Results!$R$6*Calc!$F$26),"",IF(AND(Results!$I337&lt;&gt;"",Results!$K337&lt;&gt;"",Results!$F337&lt;&gt;Results!$H337,$F332&lt;&gt;"",$G332&lt;&gt;""),Results!$K337,""))</f>
        <v/>
      </c>
      <c r="J332" s="17" t="str">
        <f>IF(Plan!$I335=0,F332&amp;G332,"")</f>
        <v/>
      </c>
      <c r="K332" s="134">
        <f t="shared" si="7"/>
        <v>0</v>
      </c>
      <c r="L332" s="134" t="str">
        <f>IF(AND(K332&gt;0,Plan!$I335=0),H332&amp;Language!$E$65&amp;I332,"")</f>
        <v/>
      </c>
      <c r="M332" s="2" t="str">
        <f>IF(Plan!$I335=1,F332&amp;G332,"")</f>
        <v/>
      </c>
      <c r="N332" s="93" t="str">
        <f>IF(AND(K332&gt;0,Plan!$I335=1),H332&amp;Language!$E$65&amp;I332,"")</f>
        <v/>
      </c>
      <c r="O332" s="379">
        <f>IF($H332="",0,Results!$L337)</f>
        <v>0</v>
      </c>
      <c r="P332" s="380">
        <f>IF($I332="",0,Results!$M337)</f>
        <v>0</v>
      </c>
    </row>
    <row r="333" spans="5:16" x14ac:dyDescent="0.2">
      <c r="E333" s="298">
        <v>330</v>
      </c>
      <c r="F333" s="190" t="str">
        <f>Plan!$Q336</f>
        <v/>
      </c>
      <c r="G333" s="191" t="str">
        <f>Plan!$S336</f>
        <v/>
      </c>
      <c r="H333" s="134" t="str">
        <f>IF(AND(Results!$R$6&gt;0,$E333-1&gt;=Results!$R$6*Calc!$F$26),"",IF(AND(Results!$I338&lt;&gt;"",Results!$K338&lt;&gt;"",Results!$F338&lt;&gt;Results!$H338,$F333&lt;&gt;"",$G333&lt;&gt;""),Results!$I338,""))</f>
        <v/>
      </c>
      <c r="I333" s="18" t="str">
        <f>IF(AND(Results!$R$6&gt;0,$E333-1&gt;=Results!$R$6*Calc!$F$26),"",IF(AND(Results!$I338&lt;&gt;"",Results!$K338&lt;&gt;"",Results!$F338&lt;&gt;Results!$H338,$F333&lt;&gt;"",$G333&lt;&gt;""),Results!$K338,""))</f>
        <v/>
      </c>
      <c r="J333" s="17" t="str">
        <f>IF(Plan!$I336=0,F333&amp;G333,"")</f>
        <v/>
      </c>
      <c r="K333" s="134">
        <f t="shared" si="7"/>
        <v>0</v>
      </c>
      <c r="L333" s="134" t="str">
        <f>IF(AND(K333&gt;0,Plan!$I336=0),H333&amp;Language!$E$65&amp;I333,"")</f>
        <v/>
      </c>
      <c r="M333" s="2" t="str">
        <f>IF(Plan!$I336=1,F333&amp;G333,"")</f>
        <v/>
      </c>
      <c r="N333" s="93" t="str">
        <f>IF(AND(K333&gt;0,Plan!$I336=1),H333&amp;Language!$E$65&amp;I333,"")</f>
        <v/>
      </c>
      <c r="O333" s="379">
        <f>IF($H333="",0,Results!$L338)</f>
        <v>0</v>
      </c>
      <c r="P333" s="380">
        <f>IF($I333="",0,Results!$M338)</f>
        <v>0</v>
      </c>
    </row>
    <row r="334" spans="5:16" x14ac:dyDescent="0.2">
      <c r="E334" s="298">
        <v>331</v>
      </c>
      <c r="F334" s="190" t="str">
        <f>Plan!$Q337</f>
        <v/>
      </c>
      <c r="G334" s="191" t="str">
        <f>Plan!$S337</f>
        <v/>
      </c>
      <c r="H334" s="134" t="str">
        <f>IF(AND(Results!$R$6&gt;0,$E334-1&gt;=Results!$R$6*Calc!$F$26),"",IF(AND(Results!$I339&lt;&gt;"",Results!$K339&lt;&gt;"",Results!$F339&lt;&gt;Results!$H339,$F334&lt;&gt;"",$G334&lt;&gt;""),Results!$I339,""))</f>
        <v/>
      </c>
      <c r="I334" s="18" t="str">
        <f>IF(AND(Results!$R$6&gt;0,$E334-1&gt;=Results!$R$6*Calc!$F$26),"",IF(AND(Results!$I339&lt;&gt;"",Results!$K339&lt;&gt;"",Results!$F339&lt;&gt;Results!$H339,$F334&lt;&gt;"",$G334&lt;&gt;""),Results!$K339,""))</f>
        <v/>
      </c>
      <c r="J334" s="17" t="str">
        <f>IF(Plan!$I337=0,F334&amp;G334,"")</f>
        <v/>
      </c>
      <c r="K334" s="134">
        <f t="shared" si="7"/>
        <v>0</v>
      </c>
      <c r="L334" s="134" t="str">
        <f>IF(AND(K334&gt;0,Plan!$I337=0),H334&amp;Language!$E$65&amp;I334,"")</f>
        <v/>
      </c>
      <c r="M334" s="2" t="str">
        <f>IF(Plan!$I337=1,F334&amp;G334,"")</f>
        <v/>
      </c>
      <c r="N334" s="93" t="str">
        <f>IF(AND(K334&gt;0,Plan!$I337=1),H334&amp;Language!$E$65&amp;I334,"")</f>
        <v/>
      </c>
      <c r="O334" s="379">
        <f>IF($H334="",0,Results!$L339)</f>
        <v>0</v>
      </c>
      <c r="P334" s="380">
        <f>IF($I334="",0,Results!$M339)</f>
        <v>0</v>
      </c>
    </row>
    <row r="335" spans="5:16" x14ac:dyDescent="0.2">
      <c r="E335" s="298">
        <v>332</v>
      </c>
      <c r="F335" s="190" t="str">
        <f>Plan!$Q338</f>
        <v/>
      </c>
      <c r="G335" s="191" t="str">
        <f>Plan!$S338</f>
        <v/>
      </c>
      <c r="H335" s="134" t="str">
        <f>IF(AND(Results!$R$6&gt;0,$E335-1&gt;=Results!$R$6*Calc!$F$26),"",IF(AND(Results!$I340&lt;&gt;"",Results!$K340&lt;&gt;"",Results!$F340&lt;&gt;Results!$H340,$F335&lt;&gt;"",$G335&lt;&gt;""),Results!$I340,""))</f>
        <v/>
      </c>
      <c r="I335" s="18" t="str">
        <f>IF(AND(Results!$R$6&gt;0,$E335-1&gt;=Results!$R$6*Calc!$F$26),"",IF(AND(Results!$I340&lt;&gt;"",Results!$K340&lt;&gt;"",Results!$F340&lt;&gt;Results!$H340,$F335&lt;&gt;"",$G335&lt;&gt;""),Results!$K340,""))</f>
        <v/>
      </c>
      <c r="J335" s="17" t="str">
        <f>IF(Plan!$I338=0,F335&amp;G335,"")</f>
        <v/>
      </c>
      <c r="K335" s="134">
        <f t="shared" si="7"/>
        <v>0</v>
      </c>
      <c r="L335" s="134" t="str">
        <f>IF(AND(K335&gt;0,Plan!$I338=0),H335&amp;Language!$E$65&amp;I335,"")</f>
        <v/>
      </c>
      <c r="M335" s="2" t="str">
        <f>IF(Plan!$I338=1,F335&amp;G335,"")</f>
        <v/>
      </c>
      <c r="N335" s="93" t="str">
        <f>IF(AND(K335&gt;0,Plan!$I338=1),H335&amp;Language!$E$65&amp;I335,"")</f>
        <v/>
      </c>
      <c r="O335" s="379">
        <f>IF($H335="",0,Results!$L340)</f>
        <v>0</v>
      </c>
      <c r="P335" s="380">
        <f>IF($I335="",0,Results!$M340)</f>
        <v>0</v>
      </c>
    </row>
    <row r="336" spans="5:16" x14ac:dyDescent="0.2">
      <c r="E336" s="298">
        <v>333</v>
      </c>
      <c r="F336" s="190" t="str">
        <f>Plan!$Q339</f>
        <v/>
      </c>
      <c r="G336" s="191" t="str">
        <f>Plan!$S339</f>
        <v/>
      </c>
      <c r="H336" s="134" t="str">
        <f>IF(AND(Results!$R$6&gt;0,$E336-1&gt;=Results!$R$6*Calc!$F$26),"",IF(AND(Results!$I341&lt;&gt;"",Results!$K341&lt;&gt;"",Results!$F341&lt;&gt;Results!$H341,$F336&lt;&gt;"",$G336&lt;&gt;""),Results!$I341,""))</f>
        <v/>
      </c>
      <c r="I336" s="18" t="str">
        <f>IF(AND(Results!$R$6&gt;0,$E336-1&gt;=Results!$R$6*Calc!$F$26),"",IF(AND(Results!$I341&lt;&gt;"",Results!$K341&lt;&gt;"",Results!$F341&lt;&gt;Results!$H341,$F336&lt;&gt;"",$G336&lt;&gt;""),Results!$K341,""))</f>
        <v/>
      </c>
      <c r="J336" s="17" t="str">
        <f>IF(Plan!$I339=0,F336&amp;G336,"")</f>
        <v/>
      </c>
      <c r="K336" s="134">
        <f t="shared" si="7"/>
        <v>0</v>
      </c>
      <c r="L336" s="134" t="str">
        <f>IF(AND(K336&gt;0,Plan!$I339=0),H336&amp;Language!$E$65&amp;I336,"")</f>
        <v/>
      </c>
      <c r="M336" s="2" t="str">
        <f>IF(Plan!$I339=1,F336&amp;G336,"")</f>
        <v/>
      </c>
      <c r="N336" s="93" t="str">
        <f>IF(AND(K336&gt;0,Plan!$I339=1),H336&amp;Language!$E$65&amp;I336,"")</f>
        <v/>
      </c>
      <c r="O336" s="379">
        <f>IF($H336="",0,Results!$L341)</f>
        <v>0</v>
      </c>
      <c r="P336" s="380">
        <f>IF($I336="",0,Results!$M341)</f>
        <v>0</v>
      </c>
    </row>
    <row r="337" spans="5:16" x14ac:dyDescent="0.2">
      <c r="E337" s="298">
        <v>334</v>
      </c>
      <c r="F337" s="190" t="str">
        <f>Plan!$Q340</f>
        <v/>
      </c>
      <c r="G337" s="191" t="str">
        <f>Plan!$S340</f>
        <v/>
      </c>
      <c r="H337" s="134" t="str">
        <f>IF(AND(Results!$R$6&gt;0,$E337-1&gt;=Results!$R$6*Calc!$F$26),"",IF(AND(Results!$I342&lt;&gt;"",Results!$K342&lt;&gt;"",Results!$F342&lt;&gt;Results!$H342,$F337&lt;&gt;"",$G337&lt;&gt;""),Results!$I342,""))</f>
        <v/>
      </c>
      <c r="I337" s="18" t="str">
        <f>IF(AND(Results!$R$6&gt;0,$E337-1&gt;=Results!$R$6*Calc!$F$26),"",IF(AND(Results!$I342&lt;&gt;"",Results!$K342&lt;&gt;"",Results!$F342&lt;&gt;Results!$H342,$F337&lt;&gt;"",$G337&lt;&gt;""),Results!$K342,""))</f>
        <v/>
      </c>
      <c r="J337" s="17" t="str">
        <f>IF(Plan!$I340=0,F337&amp;G337,"")</f>
        <v/>
      </c>
      <c r="K337" s="134">
        <f t="shared" si="7"/>
        <v>0</v>
      </c>
      <c r="L337" s="134" t="str">
        <f>IF(AND(K337&gt;0,Plan!$I340=0),H337&amp;Language!$E$65&amp;I337,"")</f>
        <v/>
      </c>
      <c r="M337" s="2" t="str">
        <f>IF(Plan!$I340=1,F337&amp;G337,"")</f>
        <v/>
      </c>
      <c r="N337" s="93" t="str">
        <f>IF(AND(K337&gt;0,Plan!$I340=1),H337&amp;Language!$E$65&amp;I337,"")</f>
        <v/>
      </c>
      <c r="O337" s="379">
        <f>IF($H337="",0,Results!$L342)</f>
        <v>0</v>
      </c>
      <c r="P337" s="380">
        <f>IF($I337="",0,Results!$M342)</f>
        <v>0</v>
      </c>
    </row>
    <row r="338" spans="5:16" x14ac:dyDescent="0.2">
      <c r="E338" s="298">
        <v>335</v>
      </c>
      <c r="F338" s="190" t="str">
        <f>Plan!$Q341</f>
        <v/>
      </c>
      <c r="G338" s="191" t="str">
        <f>Plan!$S341</f>
        <v/>
      </c>
      <c r="H338" s="134" t="str">
        <f>IF(AND(Results!$R$6&gt;0,$E338-1&gt;=Results!$R$6*Calc!$F$26),"",IF(AND(Results!$I343&lt;&gt;"",Results!$K343&lt;&gt;"",Results!$F343&lt;&gt;Results!$H343,$F338&lt;&gt;"",$G338&lt;&gt;""),Results!$I343,""))</f>
        <v/>
      </c>
      <c r="I338" s="18" t="str">
        <f>IF(AND(Results!$R$6&gt;0,$E338-1&gt;=Results!$R$6*Calc!$F$26),"",IF(AND(Results!$I343&lt;&gt;"",Results!$K343&lt;&gt;"",Results!$F343&lt;&gt;Results!$H343,$F338&lt;&gt;"",$G338&lt;&gt;""),Results!$K343,""))</f>
        <v/>
      </c>
      <c r="J338" s="17" t="str">
        <f>IF(Plan!$I341=0,F338&amp;G338,"")</f>
        <v/>
      </c>
      <c r="K338" s="134">
        <f t="shared" si="7"/>
        <v>0</v>
      </c>
      <c r="L338" s="134" t="str">
        <f>IF(AND(K338&gt;0,Plan!$I341=0),H338&amp;Language!$E$65&amp;I338,"")</f>
        <v/>
      </c>
      <c r="M338" s="2" t="str">
        <f>IF(Plan!$I341=1,F338&amp;G338,"")</f>
        <v/>
      </c>
      <c r="N338" s="93" t="str">
        <f>IF(AND(K338&gt;0,Plan!$I341=1),H338&amp;Language!$E$65&amp;I338,"")</f>
        <v/>
      </c>
      <c r="O338" s="379">
        <f>IF($H338="",0,Results!$L343)</f>
        <v>0</v>
      </c>
      <c r="P338" s="380">
        <f>IF($I338="",0,Results!$M343)</f>
        <v>0</v>
      </c>
    </row>
    <row r="339" spans="5:16" x14ac:dyDescent="0.2">
      <c r="E339" s="298">
        <v>336</v>
      </c>
      <c r="F339" s="190" t="str">
        <f>Plan!$Q342</f>
        <v/>
      </c>
      <c r="G339" s="191" t="str">
        <f>Plan!$S342</f>
        <v/>
      </c>
      <c r="H339" s="134" t="str">
        <f>IF(AND(Results!$R$6&gt;0,$E339-1&gt;=Results!$R$6*Calc!$F$26),"",IF(AND(Results!$I344&lt;&gt;"",Results!$K344&lt;&gt;"",Results!$F344&lt;&gt;Results!$H344,$F339&lt;&gt;"",$G339&lt;&gt;""),Results!$I344,""))</f>
        <v/>
      </c>
      <c r="I339" s="18" t="str">
        <f>IF(AND(Results!$R$6&gt;0,$E339-1&gt;=Results!$R$6*Calc!$F$26),"",IF(AND(Results!$I344&lt;&gt;"",Results!$K344&lt;&gt;"",Results!$F344&lt;&gt;Results!$H344,$F339&lt;&gt;"",$G339&lt;&gt;""),Results!$K344,""))</f>
        <v/>
      </c>
      <c r="J339" s="17" t="str">
        <f>IF(Plan!$I342=0,F339&amp;G339,"")</f>
        <v/>
      </c>
      <c r="K339" s="134">
        <f t="shared" si="7"/>
        <v>0</v>
      </c>
      <c r="L339" s="134" t="str">
        <f>IF(AND(K339&gt;0,Plan!$I342=0),H339&amp;Language!$E$65&amp;I339,"")</f>
        <v/>
      </c>
      <c r="M339" s="2" t="str">
        <f>IF(Plan!$I342=1,F339&amp;G339,"")</f>
        <v/>
      </c>
      <c r="N339" s="93" t="str">
        <f>IF(AND(K339&gt;0,Plan!$I342=1),H339&amp;Language!$E$65&amp;I339,"")</f>
        <v/>
      </c>
      <c r="O339" s="379">
        <f>IF($H339="",0,Results!$L344)</f>
        <v>0</v>
      </c>
      <c r="P339" s="380">
        <f>IF($I339="",0,Results!$M344)</f>
        <v>0</v>
      </c>
    </row>
    <row r="340" spans="5:16" x14ac:dyDescent="0.2">
      <c r="E340" s="298">
        <v>337</v>
      </c>
      <c r="F340" s="190" t="str">
        <f>Plan!$Q343</f>
        <v/>
      </c>
      <c r="G340" s="191" t="str">
        <f>Plan!$S343</f>
        <v/>
      </c>
      <c r="H340" s="134" t="str">
        <f>IF(AND(Results!$R$6&gt;0,$E340-1&gt;=Results!$R$6*Calc!$F$26),"",IF(AND(Results!$I345&lt;&gt;"",Results!$K345&lt;&gt;"",Results!$F345&lt;&gt;Results!$H345,$F340&lt;&gt;"",$G340&lt;&gt;""),Results!$I345,""))</f>
        <v/>
      </c>
      <c r="I340" s="18" t="str">
        <f>IF(AND(Results!$R$6&gt;0,$E340-1&gt;=Results!$R$6*Calc!$F$26),"",IF(AND(Results!$I345&lt;&gt;"",Results!$K345&lt;&gt;"",Results!$F345&lt;&gt;Results!$H345,$F340&lt;&gt;"",$G340&lt;&gt;""),Results!$K345,""))</f>
        <v/>
      </c>
      <c r="J340" s="17" t="str">
        <f>IF(Plan!$I343=0,F340&amp;G340,"")</f>
        <v/>
      </c>
      <c r="K340" s="134">
        <f t="shared" si="7"/>
        <v>0</v>
      </c>
      <c r="L340" s="134" t="str">
        <f>IF(AND(K340&gt;0,Plan!$I343=0),H340&amp;Language!$E$65&amp;I340,"")</f>
        <v/>
      </c>
      <c r="M340" s="2" t="str">
        <f>IF(Plan!$I343=1,F340&amp;G340,"")</f>
        <v/>
      </c>
      <c r="N340" s="93" t="str">
        <f>IF(AND(K340&gt;0,Plan!$I343=1),H340&amp;Language!$E$65&amp;I340,"")</f>
        <v/>
      </c>
      <c r="O340" s="379">
        <f>IF($H340="",0,Results!$L345)</f>
        <v>0</v>
      </c>
      <c r="P340" s="380">
        <f>IF($I340="",0,Results!$M345)</f>
        <v>0</v>
      </c>
    </row>
    <row r="341" spans="5:16" x14ac:dyDescent="0.2">
      <c r="E341" s="298">
        <v>338</v>
      </c>
      <c r="F341" s="190" t="str">
        <f>Plan!$Q344</f>
        <v/>
      </c>
      <c r="G341" s="191" t="str">
        <f>Plan!$S344</f>
        <v/>
      </c>
      <c r="H341" s="134" t="str">
        <f>IF(AND(Results!$R$6&gt;0,$E341-1&gt;=Results!$R$6*Calc!$F$26),"",IF(AND(Results!$I346&lt;&gt;"",Results!$K346&lt;&gt;"",Results!$F346&lt;&gt;Results!$H346,$F341&lt;&gt;"",$G341&lt;&gt;""),Results!$I346,""))</f>
        <v/>
      </c>
      <c r="I341" s="18" t="str">
        <f>IF(AND(Results!$R$6&gt;0,$E341-1&gt;=Results!$R$6*Calc!$F$26),"",IF(AND(Results!$I346&lt;&gt;"",Results!$K346&lt;&gt;"",Results!$F346&lt;&gt;Results!$H346,$F341&lt;&gt;"",$G341&lt;&gt;""),Results!$K346,""))</f>
        <v/>
      </c>
      <c r="J341" s="17" t="str">
        <f>IF(Plan!$I344=0,F341&amp;G341,"")</f>
        <v/>
      </c>
      <c r="K341" s="134">
        <f t="shared" si="7"/>
        <v>0</v>
      </c>
      <c r="L341" s="134" t="str">
        <f>IF(AND(K341&gt;0,Plan!$I344=0),H341&amp;Language!$E$65&amp;I341,"")</f>
        <v/>
      </c>
      <c r="M341" s="2" t="str">
        <f>IF(Plan!$I344=1,F341&amp;G341,"")</f>
        <v/>
      </c>
      <c r="N341" s="93" t="str">
        <f>IF(AND(K341&gt;0,Plan!$I344=1),H341&amp;Language!$E$65&amp;I341,"")</f>
        <v/>
      </c>
      <c r="O341" s="379">
        <f>IF($H341="",0,Results!$L346)</f>
        <v>0</v>
      </c>
      <c r="P341" s="380">
        <f>IF($I341="",0,Results!$M346)</f>
        <v>0</v>
      </c>
    </row>
    <row r="342" spans="5:16" x14ac:dyDescent="0.2">
      <c r="E342" s="298">
        <v>339</v>
      </c>
      <c r="F342" s="190" t="str">
        <f>Plan!$Q345</f>
        <v/>
      </c>
      <c r="G342" s="191" t="str">
        <f>Plan!$S345</f>
        <v/>
      </c>
      <c r="H342" s="134" t="str">
        <f>IF(AND(Results!$R$6&gt;0,$E342-1&gt;=Results!$R$6*Calc!$F$26),"",IF(AND(Results!$I347&lt;&gt;"",Results!$K347&lt;&gt;"",Results!$F347&lt;&gt;Results!$H347,$F342&lt;&gt;"",$G342&lt;&gt;""),Results!$I347,""))</f>
        <v/>
      </c>
      <c r="I342" s="18" t="str">
        <f>IF(AND(Results!$R$6&gt;0,$E342-1&gt;=Results!$R$6*Calc!$F$26),"",IF(AND(Results!$I347&lt;&gt;"",Results!$K347&lt;&gt;"",Results!$F347&lt;&gt;Results!$H347,$F342&lt;&gt;"",$G342&lt;&gt;""),Results!$K347,""))</f>
        <v/>
      </c>
      <c r="J342" s="17" t="str">
        <f>IF(Plan!$I345=0,F342&amp;G342,"")</f>
        <v/>
      </c>
      <c r="K342" s="134">
        <f t="shared" si="7"/>
        <v>0</v>
      </c>
      <c r="L342" s="134" t="str">
        <f>IF(AND(K342&gt;0,Plan!$I345=0),H342&amp;Language!$E$65&amp;I342,"")</f>
        <v/>
      </c>
      <c r="M342" s="2" t="str">
        <f>IF(Plan!$I345=1,F342&amp;G342,"")</f>
        <v/>
      </c>
      <c r="N342" s="93" t="str">
        <f>IF(AND(K342&gt;0,Plan!$I345=1),H342&amp;Language!$E$65&amp;I342,"")</f>
        <v/>
      </c>
      <c r="O342" s="379">
        <f>IF($H342="",0,Results!$L347)</f>
        <v>0</v>
      </c>
      <c r="P342" s="380">
        <f>IF($I342="",0,Results!$M347)</f>
        <v>0</v>
      </c>
    </row>
    <row r="343" spans="5:16" x14ac:dyDescent="0.2">
      <c r="E343" s="298">
        <v>340</v>
      </c>
      <c r="F343" s="190" t="str">
        <f>Plan!$Q346</f>
        <v/>
      </c>
      <c r="G343" s="191" t="str">
        <f>Plan!$S346</f>
        <v/>
      </c>
      <c r="H343" s="134" t="str">
        <f>IF(AND(Results!$R$6&gt;0,$E343-1&gt;=Results!$R$6*Calc!$F$26),"",IF(AND(Results!$I348&lt;&gt;"",Results!$K348&lt;&gt;"",Results!$F348&lt;&gt;Results!$H348,$F343&lt;&gt;"",$G343&lt;&gt;""),Results!$I348,""))</f>
        <v/>
      </c>
      <c r="I343" s="18" t="str">
        <f>IF(AND(Results!$R$6&gt;0,$E343-1&gt;=Results!$R$6*Calc!$F$26),"",IF(AND(Results!$I348&lt;&gt;"",Results!$K348&lt;&gt;"",Results!$F348&lt;&gt;Results!$H348,$F343&lt;&gt;"",$G343&lt;&gt;""),Results!$K348,""))</f>
        <v/>
      </c>
      <c r="J343" s="17" t="str">
        <f>IF(Plan!$I346=0,F343&amp;G343,"")</f>
        <v/>
      </c>
      <c r="K343" s="134">
        <f t="shared" si="7"/>
        <v>0</v>
      </c>
      <c r="L343" s="134" t="str">
        <f>IF(AND(K343&gt;0,Plan!$I346=0),H343&amp;Language!$E$65&amp;I343,"")</f>
        <v/>
      </c>
      <c r="M343" s="2" t="str">
        <f>IF(Plan!$I346=1,F343&amp;G343,"")</f>
        <v/>
      </c>
      <c r="N343" s="93" t="str">
        <f>IF(AND(K343&gt;0,Plan!$I346=1),H343&amp;Language!$E$65&amp;I343,"")</f>
        <v/>
      </c>
      <c r="O343" s="379">
        <f>IF($H343="",0,Results!$L348)</f>
        <v>0</v>
      </c>
      <c r="P343" s="380">
        <f>IF($I343="",0,Results!$M348)</f>
        <v>0</v>
      </c>
    </row>
    <row r="344" spans="5:16" x14ac:dyDescent="0.2">
      <c r="E344" s="298">
        <v>341</v>
      </c>
      <c r="F344" s="190" t="str">
        <f>Plan!$Q347</f>
        <v/>
      </c>
      <c r="G344" s="191" t="str">
        <f>Plan!$S347</f>
        <v/>
      </c>
      <c r="H344" s="134" t="str">
        <f>IF(AND(Results!$R$6&gt;0,$E344-1&gt;=Results!$R$6*Calc!$F$26),"",IF(AND(Results!$I349&lt;&gt;"",Results!$K349&lt;&gt;"",Results!$F349&lt;&gt;Results!$H349,$F344&lt;&gt;"",$G344&lt;&gt;""),Results!$I349,""))</f>
        <v/>
      </c>
      <c r="I344" s="18" t="str">
        <f>IF(AND(Results!$R$6&gt;0,$E344-1&gt;=Results!$R$6*Calc!$F$26),"",IF(AND(Results!$I349&lt;&gt;"",Results!$K349&lt;&gt;"",Results!$F349&lt;&gt;Results!$H349,$F344&lt;&gt;"",$G344&lt;&gt;""),Results!$K349,""))</f>
        <v/>
      </c>
      <c r="J344" s="17" t="str">
        <f>IF(Plan!$I347=0,F344&amp;G344,"")</f>
        <v/>
      </c>
      <c r="K344" s="134">
        <f t="shared" si="7"/>
        <v>0</v>
      </c>
      <c r="L344" s="134" t="str">
        <f>IF(AND(K344&gt;0,Plan!$I347=0),H344&amp;Language!$E$65&amp;I344,"")</f>
        <v/>
      </c>
      <c r="M344" s="2" t="str">
        <f>IF(Plan!$I347=1,F344&amp;G344,"")</f>
        <v/>
      </c>
      <c r="N344" s="93" t="str">
        <f>IF(AND(K344&gt;0,Plan!$I347=1),H344&amp;Language!$E$65&amp;I344,"")</f>
        <v/>
      </c>
      <c r="O344" s="379">
        <f>IF($H344="",0,Results!$L349)</f>
        <v>0</v>
      </c>
      <c r="P344" s="380">
        <f>IF($I344="",0,Results!$M349)</f>
        <v>0</v>
      </c>
    </row>
    <row r="345" spans="5:16" x14ac:dyDescent="0.2">
      <c r="E345" s="298">
        <v>342</v>
      </c>
      <c r="F345" s="190" t="str">
        <f>Plan!$Q348</f>
        <v/>
      </c>
      <c r="G345" s="191" t="str">
        <f>Plan!$S348</f>
        <v/>
      </c>
      <c r="H345" s="134" t="str">
        <f>IF(AND(Results!$R$6&gt;0,$E345-1&gt;=Results!$R$6*Calc!$F$26),"",IF(AND(Results!$I350&lt;&gt;"",Results!$K350&lt;&gt;"",Results!$F350&lt;&gt;Results!$H350,$F345&lt;&gt;"",$G345&lt;&gt;""),Results!$I350,""))</f>
        <v/>
      </c>
      <c r="I345" s="18" t="str">
        <f>IF(AND(Results!$R$6&gt;0,$E345-1&gt;=Results!$R$6*Calc!$F$26),"",IF(AND(Results!$I350&lt;&gt;"",Results!$K350&lt;&gt;"",Results!$F350&lt;&gt;Results!$H350,$F345&lt;&gt;"",$G345&lt;&gt;""),Results!$K350,""))</f>
        <v/>
      </c>
      <c r="J345" s="17" t="str">
        <f>IF(Plan!$I348=0,F345&amp;G345,"")</f>
        <v/>
      </c>
      <c r="K345" s="134">
        <f t="shared" si="7"/>
        <v>0</v>
      </c>
      <c r="L345" s="134" t="str">
        <f>IF(AND(K345&gt;0,Plan!$I348=0),H345&amp;Language!$E$65&amp;I345,"")</f>
        <v/>
      </c>
      <c r="M345" s="2" t="str">
        <f>IF(Plan!$I348=1,F345&amp;G345,"")</f>
        <v/>
      </c>
      <c r="N345" s="93" t="str">
        <f>IF(AND(K345&gt;0,Plan!$I348=1),H345&amp;Language!$E$65&amp;I345,"")</f>
        <v/>
      </c>
      <c r="O345" s="379">
        <f>IF($H345="",0,Results!$L350)</f>
        <v>0</v>
      </c>
      <c r="P345" s="380">
        <f>IF($I345="",0,Results!$M350)</f>
        <v>0</v>
      </c>
    </row>
    <row r="346" spans="5:16" x14ac:dyDescent="0.2">
      <c r="E346" s="298">
        <v>343</v>
      </c>
      <c r="F346" s="190" t="str">
        <f>Plan!$Q349</f>
        <v/>
      </c>
      <c r="G346" s="191" t="str">
        <f>Plan!$S349</f>
        <v/>
      </c>
      <c r="H346" s="134" t="str">
        <f>IF(AND(Results!$R$6&gt;0,$E346-1&gt;=Results!$R$6*Calc!$F$26),"",IF(AND(Results!$I351&lt;&gt;"",Results!$K351&lt;&gt;"",Results!$F351&lt;&gt;Results!$H351,$F346&lt;&gt;"",$G346&lt;&gt;""),Results!$I351,""))</f>
        <v/>
      </c>
      <c r="I346" s="18" t="str">
        <f>IF(AND(Results!$R$6&gt;0,$E346-1&gt;=Results!$R$6*Calc!$F$26),"",IF(AND(Results!$I351&lt;&gt;"",Results!$K351&lt;&gt;"",Results!$F351&lt;&gt;Results!$H351,$F346&lt;&gt;"",$G346&lt;&gt;""),Results!$K351,""))</f>
        <v/>
      </c>
      <c r="J346" s="17" t="str">
        <f>IF(Plan!$I349=0,F346&amp;G346,"")</f>
        <v/>
      </c>
      <c r="K346" s="134">
        <f t="shared" si="7"/>
        <v>0</v>
      </c>
      <c r="L346" s="134" t="str">
        <f>IF(AND(K346&gt;0,Plan!$I349=0),H346&amp;Language!$E$65&amp;I346,"")</f>
        <v/>
      </c>
      <c r="M346" s="2" t="str">
        <f>IF(Plan!$I349=1,F346&amp;G346,"")</f>
        <v/>
      </c>
      <c r="N346" s="93" t="str">
        <f>IF(AND(K346&gt;0,Plan!$I349=1),H346&amp;Language!$E$65&amp;I346,"")</f>
        <v/>
      </c>
      <c r="O346" s="379">
        <f>IF($H346="",0,Results!$L351)</f>
        <v>0</v>
      </c>
      <c r="P346" s="380">
        <f>IF($I346="",0,Results!$M351)</f>
        <v>0</v>
      </c>
    </row>
    <row r="347" spans="5:16" x14ac:dyDescent="0.2">
      <c r="E347" s="298">
        <v>344</v>
      </c>
      <c r="F347" s="190" t="str">
        <f>Plan!$Q350</f>
        <v/>
      </c>
      <c r="G347" s="191" t="str">
        <f>Plan!$S350</f>
        <v/>
      </c>
      <c r="H347" s="134" t="str">
        <f>IF(AND(Results!$R$6&gt;0,$E347-1&gt;=Results!$R$6*Calc!$F$26),"",IF(AND(Results!$I352&lt;&gt;"",Results!$K352&lt;&gt;"",Results!$F352&lt;&gt;Results!$H352,$F347&lt;&gt;"",$G347&lt;&gt;""),Results!$I352,""))</f>
        <v/>
      </c>
      <c r="I347" s="18" t="str">
        <f>IF(AND(Results!$R$6&gt;0,$E347-1&gt;=Results!$R$6*Calc!$F$26),"",IF(AND(Results!$I352&lt;&gt;"",Results!$K352&lt;&gt;"",Results!$F352&lt;&gt;Results!$H352,$F347&lt;&gt;"",$G347&lt;&gt;""),Results!$K352,""))</f>
        <v/>
      </c>
      <c r="J347" s="17" t="str">
        <f>IF(Plan!$I350=0,F347&amp;G347,"")</f>
        <v/>
      </c>
      <c r="K347" s="134">
        <f t="shared" si="7"/>
        <v>0</v>
      </c>
      <c r="L347" s="134" t="str">
        <f>IF(AND(K347&gt;0,Plan!$I350=0),H347&amp;Language!$E$65&amp;I347,"")</f>
        <v/>
      </c>
      <c r="M347" s="2" t="str">
        <f>IF(Plan!$I350=1,F347&amp;G347,"")</f>
        <v/>
      </c>
      <c r="N347" s="93" t="str">
        <f>IF(AND(K347&gt;0,Plan!$I350=1),H347&amp;Language!$E$65&amp;I347,"")</f>
        <v/>
      </c>
      <c r="O347" s="379">
        <f>IF($H347="",0,Results!$L352)</f>
        <v>0</v>
      </c>
      <c r="P347" s="380">
        <f>IF($I347="",0,Results!$M352)</f>
        <v>0</v>
      </c>
    </row>
    <row r="348" spans="5:16" x14ac:dyDescent="0.2">
      <c r="E348" s="298">
        <v>345</v>
      </c>
      <c r="F348" s="190" t="str">
        <f>Plan!$Q351</f>
        <v/>
      </c>
      <c r="G348" s="191" t="str">
        <f>Plan!$S351</f>
        <v/>
      </c>
      <c r="H348" s="134" t="str">
        <f>IF(AND(Results!$R$6&gt;0,$E348-1&gt;=Results!$R$6*Calc!$F$26),"",IF(AND(Results!$I353&lt;&gt;"",Results!$K353&lt;&gt;"",Results!$F353&lt;&gt;Results!$H353,$F348&lt;&gt;"",$G348&lt;&gt;""),Results!$I353,""))</f>
        <v/>
      </c>
      <c r="I348" s="18" t="str">
        <f>IF(AND(Results!$R$6&gt;0,$E348-1&gt;=Results!$R$6*Calc!$F$26),"",IF(AND(Results!$I353&lt;&gt;"",Results!$K353&lt;&gt;"",Results!$F353&lt;&gt;Results!$H353,$F348&lt;&gt;"",$G348&lt;&gt;""),Results!$K353,""))</f>
        <v/>
      </c>
      <c r="J348" s="17" t="str">
        <f>IF(Plan!$I351=0,F348&amp;G348,"")</f>
        <v/>
      </c>
      <c r="K348" s="134">
        <f t="shared" si="7"/>
        <v>0</v>
      </c>
      <c r="L348" s="134" t="str">
        <f>IF(AND(K348&gt;0,Plan!$I351=0),H348&amp;Language!$E$65&amp;I348,"")</f>
        <v/>
      </c>
      <c r="M348" s="2" t="str">
        <f>IF(Plan!$I351=1,F348&amp;G348,"")</f>
        <v/>
      </c>
      <c r="N348" s="93" t="str">
        <f>IF(AND(K348&gt;0,Plan!$I351=1),H348&amp;Language!$E$65&amp;I348,"")</f>
        <v/>
      </c>
      <c r="O348" s="379">
        <f>IF($H348="",0,Results!$L353)</f>
        <v>0</v>
      </c>
      <c r="P348" s="380">
        <f>IF($I348="",0,Results!$M353)</f>
        <v>0</v>
      </c>
    </row>
    <row r="349" spans="5:16" x14ac:dyDescent="0.2">
      <c r="E349" s="298">
        <v>346</v>
      </c>
      <c r="F349" s="190" t="str">
        <f>Plan!$Q352</f>
        <v/>
      </c>
      <c r="G349" s="191" t="str">
        <f>Plan!$S352</f>
        <v/>
      </c>
      <c r="H349" s="134" t="str">
        <f>IF(AND(Results!$R$6&gt;0,$E349-1&gt;=Results!$R$6*Calc!$F$26),"",IF(AND(Results!$I354&lt;&gt;"",Results!$K354&lt;&gt;"",Results!$F354&lt;&gt;Results!$H354,$F349&lt;&gt;"",$G349&lt;&gt;""),Results!$I354,""))</f>
        <v/>
      </c>
      <c r="I349" s="18" t="str">
        <f>IF(AND(Results!$R$6&gt;0,$E349-1&gt;=Results!$R$6*Calc!$F$26),"",IF(AND(Results!$I354&lt;&gt;"",Results!$K354&lt;&gt;"",Results!$F354&lt;&gt;Results!$H354,$F349&lt;&gt;"",$G349&lt;&gt;""),Results!$K354,""))</f>
        <v/>
      </c>
      <c r="J349" s="17" t="str">
        <f>IF(Plan!$I352=0,F349&amp;G349,"")</f>
        <v/>
      </c>
      <c r="K349" s="134">
        <f t="shared" si="7"/>
        <v>0</v>
      </c>
      <c r="L349" s="134" t="str">
        <f>IF(AND(K349&gt;0,Plan!$I352=0),H349&amp;Language!$E$65&amp;I349,"")</f>
        <v/>
      </c>
      <c r="M349" s="2" t="str">
        <f>IF(Plan!$I352=1,F349&amp;G349,"")</f>
        <v/>
      </c>
      <c r="N349" s="93" t="str">
        <f>IF(AND(K349&gt;0,Plan!$I352=1),H349&amp;Language!$E$65&amp;I349,"")</f>
        <v/>
      </c>
      <c r="O349" s="379">
        <f>IF($H349="",0,Results!$L354)</f>
        <v>0</v>
      </c>
      <c r="P349" s="380">
        <f>IF($I349="",0,Results!$M354)</f>
        <v>0</v>
      </c>
    </row>
    <row r="350" spans="5:16" x14ac:dyDescent="0.2">
      <c r="E350" s="298">
        <v>347</v>
      </c>
      <c r="F350" s="190" t="str">
        <f>Plan!$Q353</f>
        <v/>
      </c>
      <c r="G350" s="191" t="str">
        <f>Plan!$S353</f>
        <v/>
      </c>
      <c r="H350" s="134" t="str">
        <f>IF(AND(Results!$R$6&gt;0,$E350-1&gt;=Results!$R$6*Calc!$F$26),"",IF(AND(Results!$I355&lt;&gt;"",Results!$K355&lt;&gt;"",Results!$F355&lt;&gt;Results!$H355,$F350&lt;&gt;"",$G350&lt;&gt;""),Results!$I355,""))</f>
        <v/>
      </c>
      <c r="I350" s="18" t="str">
        <f>IF(AND(Results!$R$6&gt;0,$E350-1&gt;=Results!$R$6*Calc!$F$26),"",IF(AND(Results!$I355&lt;&gt;"",Results!$K355&lt;&gt;"",Results!$F355&lt;&gt;Results!$H355,$F350&lt;&gt;"",$G350&lt;&gt;""),Results!$K355,""))</f>
        <v/>
      </c>
      <c r="J350" s="17" t="str">
        <f>IF(Plan!$I353=0,F350&amp;G350,"")</f>
        <v/>
      </c>
      <c r="K350" s="134">
        <f t="shared" si="7"/>
        <v>0</v>
      </c>
      <c r="L350" s="134" t="str">
        <f>IF(AND(K350&gt;0,Plan!$I353=0),H350&amp;Language!$E$65&amp;I350,"")</f>
        <v/>
      </c>
      <c r="M350" s="2" t="str">
        <f>IF(Plan!$I353=1,F350&amp;G350,"")</f>
        <v/>
      </c>
      <c r="N350" s="93" t="str">
        <f>IF(AND(K350&gt;0,Plan!$I353=1),H350&amp;Language!$E$65&amp;I350,"")</f>
        <v/>
      </c>
      <c r="O350" s="379">
        <f>IF($H350="",0,Results!$L355)</f>
        <v>0</v>
      </c>
      <c r="P350" s="380">
        <f>IF($I350="",0,Results!$M355)</f>
        <v>0</v>
      </c>
    </row>
    <row r="351" spans="5:16" x14ac:dyDescent="0.2">
      <c r="E351" s="298">
        <v>348</v>
      </c>
      <c r="F351" s="190" t="str">
        <f>Plan!$Q354</f>
        <v/>
      </c>
      <c r="G351" s="191" t="str">
        <f>Plan!$S354</f>
        <v/>
      </c>
      <c r="H351" s="134" t="str">
        <f>IF(AND(Results!$R$6&gt;0,$E351-1&gt;=Results!$R$6*Calc!$F$26),"",IF(AND(Results!$I356&lt;&gt;"",Results!$K356&lt;&gt;"",Results!$F356&lt;&gt;Results!$H356,$F351&lt;&gt;"",$G351&lt;&gt;""),Results!$I356,""))</f>
        <v/>
      </c>
      <c r="I351" s="18" t="str">
        <f>IF(AND(Results!$R$6&gt;0,$E351-1&gt;=Results!$R$6*Calc!$F$26),"",IF(AND(Results!$I356&lt;&gt;"",Results!$K356&lt;&gt;"",Results!$F356&lt;&gt;Results!$H356,$F351&lt;&gt;"",$G351&lt;&gt;""),Results!$K356,""))</f>
        <v/>
      </c>
      <c r="J351" s="17" t="str">
        <f>IF(Plan!$I354=0,F351&amp;G351,"")</f>
        <v/>
      </c>
      <c r="K351" s="134">
        <f t="shared" si="7"/>
        <v>0</v>
      </c>
      <c r="L351" s="134" t="str">
        <f>IF(AND(K351&gt;0,Plan!$I354=0),H351&amp;Language!$E$65&amp;I351,"")</f>
        <v/>
      </c>
      <c r="M351" s="2" t="str">
        <f>IF(Plan!$I354=1,F351&amp;G351,"")</f>
        <v/>
      </c>
      <c r="N351" s="93" t="str">
        <f>IF(AND(K351&gt;0,Plan!$I354=1),H351&amp;Language!$E$65&amp;I351,"")</f>
        <v/>
      </c>
      <c r="O351" s="379">
        <f>IF($H351="",0,Results!$L356)</f>
        <v>0</v>
      </c>
      <c r="P351" s="380">
        <f>IF($I351="",0,Results!$M356)</f>
        <v>0</v>
      </c>
    </row>
    <row r="352" spans="5:16" x14ac:dyDescent="0.2">
      <c r="E352" s="298">
        <v>349</v>
      </c>
      <c r="F352" s="190" t="str">
        <f>Plan!$Q355</f>
        <v/>
      </c>
      <c r="G352" s="191" t="str">
        <f>Plan!$S355</f>
        <v/>
      </c>
      <c r="H352" s="134" t="str">
        <f>IF(AND(Results!$R$6&gt;0,$E352-1&gt;=Results!$R$6*Calc!$F$26),"",IF(AND(Results!$I357&lt;&gt;"",Results!$K357&lt;&gt;"",Results!$F357&lt;&gt;Results!$H357,$F352&lt;&gt;"",$G352&lt;&gt;""),Results!$I357,""))</f>
        <v/>
      </c>
      <c r="I352" s="18" t="str">
        <f>IF(AND(Results!$R$6&gt;0,$E352-1&gt;=Results!$R$6*Calc!$F$26),"",IF(AND(Results!$I357&lt;&gt;"",Results!$K357&lt;&gt;"",Results!$F357&lt;&gt;Results!$H357,$F352&lt;&gt;"",$G352&lt;&gt;""),Results!$K357,""))</f>
        <v/>
      </c>
      <c r="J352" s="17" t="str">
        <f>IF(Plan!$I355=0,F352&amp;G352,"")</f>
        <v/>
      </c>
      <c r="K352" s="134">
        <f t="shared" si="7"/>
        <v>0</v>
      </c>
      <c r="L352" s="134" t="str">
        <f>IF(AND(K352&gt;0,Plan!$I355=0),H352&amp;Language!$E$65&amp;I352,"")</f>
        <v/>
      </c>
      <c r="M352" s="2" t="str">
        <f>IF(Plan!$I355=1,F352&amp;G352,"")</f>
        <v/>
      </c>
      <c r="N352" s="93" t="str">
        <f>IF(AND(K352&gt;0,Plan!$I355=1),H352&amp;Language!$E$65&amp;I352,"")</f>
        <v/>
      </c>
      <c r="O352" s="379">
        <f>IF($H352="",0,Results!$L357)</f>
        <v>0</v>
      </c>
      <c r="P352" s="380">
        <f>IF($I352="",0,Results!$M357)</f>
        <v>0</v>
      </c>
    </row>
    <row r="353" spans="5:16" x14ac:dyDescent="0.2">
      <c r="E353" s="298">
        <v>350</v>
      </c>
      <c r="F353" s="190" t="str">
        <f>Plan!$Q356</f>
        <v/>
      </c>
      <c r="G353" s="191" t="str">
        <f>Plan!$S356</f>
        <v/>
      </c>
      <c r="H353" s="134" t="str">
        <f>IF(AND(Results!$R$6&gt;0,$E353-1&gt;=Results!$R$6*Calc!$F$26),"",IF(AND(Results!$I358&lt;&gt;"",Results!$K358&lt;&gt;"",Results!$F358&lt;&gt;Results!$H358,$F353&lt;&gt;"",$G353&lt;&gt;""),Results!$I358,""))</f>
        <v/>
      </c>
      <c r="I353" s="18" t="str">
        <f>IF(AND(Results!$R$6&gt;0,$E353-1&gt;=Results!$R$6*Calc!$F$26),"",IF(AND(Results!$I358&lt;&gt;"",Results!$K358&lt;&gt;"",Results!$F358&lt;&gt;Results!$H358,$F353&lt;&gt;"",$G353&lt;&gt;""),Results!$K358,""))</f>
        <v/>
      </c>
      <c r="J353" s="17" t="str">
        <f>IF(Plan!$I356=0,F353&amp;G353,"")</f>
        <v/>
      </c>
      <c r="K353" s="134">
        <f t="shared" si="7"/>
        <v>0</v>
      </c>
      <c r="L353" s="134" t="str">
        <f>IF(AND(K353&gt;0,Plan!$I356=0),H353&amp;Language!$E$65&amp;I353,"")</f>
        <v/>
      </c>
      <c r="M353" s="2" t="str">
        <f>IF(Plan!$I356=1,F353&amp;G353,"")</f>
        <v/>
      </c>
      <c r="N353" s="93" t="str">
        <f>IF(AND(K353&gt;0,Plan!$I356=1),H353&amp;Language!$E$65&amp;I353,"")</f>
        <v/>
      </c>
      <c r="O353" s="379">
        <f>IF($H353="",0,Results!$L358)</f>
        <v>0</v>
      </c>
      <c r="P353" s="380">
        <f>IF($I353="",0,Results!$M358)</f>
        <v>0</v>
      </c>
    </row>
    <row r="354" spans="5:16" x14ac:dyDescent="0.2">
      <c r="E354" s="298">
        <v>351</v>
      </c>
      <c r="F354" s="190" t="str">
        <f>Plan!$Q357</f>
        <v/>
      </c>
      <c r="G354" s="191" t="str">
        <f>Plan!$S357</f>
        <v/>
      </c>
      <c r="H354" s="134" t="str">
        <f>IF(AND(Results!$R$6&gt;0,$E354-1&gt;=Results!$R$6*Calc!$F$26),"",IF(AND(Results!$I359&lt;&gt;"",Results!$K359&lt;&gt;"",Results!$F359&lt;&gt;Results!$H359,$F354&lt;&gt;"",$G354&lt;&gt;""),Results!$I359,""))</f>
        <v/>
      </c>
      <c r="I354" s="18" t="str">
        <f>IF(AND(Results!$R$6&gt;0,$E354-1&gt;=Results!$R$6*Calc!$F$26),"",IF(AND(Results!$I359&lt;&gt;"",Results!$K359&lt;&gt;"",Results!$F359&lt;&gt;Results!$H359,$F354&lt;&gt;"",$G354&lt;&gt;""),Results!$K359,""))</f>
        <v/>
      </c>
      <c r="J354" s="17" t="str">
        <f>IF(Plan!$I357=0,F354&amp;G354,"")</f>
        <v/>
      </c>
      <c r="K354" s="134">
        <f t="shared" si="7"/>
        <v>0</v>
      </c>
      <c r="L354" s="134" t="str">
        <f>IF(AND(K354&gt;0,Plan!$I357=0),H354&amp;Language!$E$65&amp;I354,"")</f>
        <v/>
      </c>
      <c r="M354" s="2" t="str">
        <f>IF(Plan!$I357=1,F354&amp;G354,"")</f>
        <v/>
      </c>
      <c r="N354" s="93" t="str">
        <f>IF(AND(K354&gt;0,Plan!$I357=1),H354&amp;Language!$E$65&amp;I354,"")</f>
        <v/>
      </c>
      <c r="O354" s="379">
        <f>IF($H354="",0,Results!$L359)</f>
        <v>0</v>
      </c>
      <c r="P354" s="380">
        <f>IF($I354="",0,Results!$M359)</f>
        <v>0</v>
      </c>
    </row>
    <row r="355" spans="5:16" x14ac:dyDescent="0.2">
      <c r="E355" s="298">
        <v>352</v>
      </c>
      <c r="F355" s="190" t="str">
        <f>Plan!$Q358</f>
        <v/>
      </c>
      <c r="G355" s="191" t="str">
        <f>Plan!$S358</f>
        <v/>
      </c>
      <c r="H355" s="134" t="str">
        <f>IF(AND(Results!$R$6&gt;0,$E355-1&gt;=Results!$R$6*Calc!$F$26),"",IF(AND(Results!$I360&lt;&gt;"",Results!$K360&lt;&gt;"",Results!$F360&lt;&gt;Results!$H360,$F355&lt;&gt;"",$G355&lt;&gt;""),Results!$I360,""))</f>
        <v/>
      </c>
      <c r="I355" s="18" t="str">
        <f>IF(AND(Results!$R$6&gt;0,$E355-1&gt;=Results!$R$6*Calc!$F$26),"",IF(AND(Results!$I360&lt;&gt;"",Results!$K360&lt;&gt;"",Results!$F360&lt;&gt;Results!$H360,$F355&lt;&gt;"",$G355&lt;&gt;""),Results!$K360,""))</f>
        <v/>
      </c>
      <c r="J355" s="17" t="str">
        <f>IF(Plan!$I358=0,F355&amp;G355,"")</f>
        <v/>
      </c>
      <c r="K355" s="134">
        <f t="shared" si="7"/>
        <v>0</v>
      </c>
      <c r="L355" s="134" t="str">
        <f>IF(AND(K355&gt;0,Plan!$I358=0),H355&amp;Language!$E$65&amp;I355,"")</f>
        <v/>
      </c>
      <c r="M355" s="2" t="str">
        <f>IF(Plan!$I358=1,F355&amp;G355,"")</f>
        <v/>
      </c>
      <c r="N355" s="93" t="str">
        <f>IF(AND(K355&gt;0,Plan!$I358=1),H355&amp;Language!$E$65&amp;I355,"")</f>
        <v/>
      </c>
      <c r="O355" s="379">
        <f>IF($H355="",0,Results!$L360)</f>
        <v>0</v>
      </c>
      <c r="P355" s="380">
        <f>IF($I355="",0,Results!$M360)</f>
        <v>0</v>
      </c>
    </row>
    <row r="356" spans="5:16" x14ac:dyDescent="0.2">
      <c r="E356" s="298">
        <v>353</v>
      </c>
      <c r="F356" s="190" t="str">
        <f>Plan!$Q359</f>
        <v/>
      </c>
      <c r="G356" s="191" t="str">
        <f>Plan!$S359</f>
        <v/>
      </c>
      <c r="H356" s="134" t="str">
        <f>IF(AND(Results!$R$6&gt;0,$E356-1&gt;=Results!$R$6*Calc!$F$26),"",IF(AND(Results!$I361&lt;&gt;"",Results!$K361&lt;&gt;"",Results!$F361&lt;&gt;Results!$H361,$F356&lt;&gt;"",$G356&lt;&gt;""),Results!$I361,""))</f>
        <v/>
      </c>
      <c r="I356" s="18" t="str">
        <f>IF(AND(Results!$R$6&gt;0,$E356-1&gt;=Results!$R$6*Calc!$F$26),"",IF(AND(Results!$I361&lt;&gt;"",Results!$K361&lt;&gt;"",Results!$F361&lt;&gt;Results!$H361,$F356&lt;&gt;"",$G356&lt;&gt;""),Results!$K361,""))</f>
        <v/>
      </c>
      <c r="J356" s="17" t="str">
        <f>IF(Plan!$I359=0,F356&amp;G356,"")</f>
        <v/>
      </c>
      <c r="K356" s="134">
        <f t="shared" si="7"/>
        <v>0</v>
      </c>
      <c r="L356" s="134" t="str">
        <f>IF(AND(K356&gt;0,Plan!$I359=0),H356&amp;Language!$E$65&amp;I356,"")</f>
        <v/>
      </c>
      <c r="M356" s="2" t="str">
        <f>IF(Plan!$I359=1,F356&amp;G356,"")</f>
        <v/>
      </c>
      <c r="N356" s="93" t="str">
        <f>IF(AND(K356&gt;0,Plan!$I359=1),H356&amp;Language!$E$65&amp;I356,"")</f>
        <v/>
      </c>
      <c r="O356" s="379">
        <f>IF($H356="",0,Results!$L361)</f>
        <v>0</v>
      </c>
      <c r="P356" s="380">
        <f>IF($I356="",0,Results!$M361)</f>
        <v>0</v>
      </c>
    </row>
    <row r="357" spans="5:16" x14ac:dyDescent="0.2">
      <c r="E357" s="298">
        <v>354</v>
      </c>
      <c r="F357" s="190" t="str">
        <f>Plan!$Q360</f>
        <v/>
      </c>
      <c r="G357" s="191" t="str">
        <f>Plan!$S360</f>
        <v/>
      </c>
      <c r="H357" s="134" t="str">
        <f>IF(AND(Results!$R$6&gt;0,$E357-1&gt;=Results!$R$6*Calc!$F$26),"",IF(AND(Results!$I362&lt;&gt;"",Results!$K362&lt;&gt;"",Results!$F362&lt;&gt;Results!$H362,$F357&lt;&gt;"",$G357&lt;&gt;""),Results!$I362,""))</f>
        <v/>
      </c>
      <c r="I357" s="18" t="str">
        <f>IF(AND(Results!$R$6&gt;0,$E357-1&gt;=Results!$R$6*Calc!$F$26),"",IF(AND(Results!$I362&lt;&gt;"",Results!$K362&lt;&gt;"",Results!$F362&lt;&gt;Results!$H362,$F357&lt;&gt;"",$G357&lt;&gt;""),Results!$K362,""))</f>
        <v/>
      </c>
      <c r="J357" s="17" t="str">
        <f>IF(Plan!$I360=0,F357&amp;G357,"")</f>
        <v/>
      </c>
      <c r="K357" s="134">
        <f t="shared" si="7"/>
        <v>0</v>
      </c>
      <c r="L357" s="134" t="str">
        <f>IF(AND(K357&gt;0,Plan!$I360=0),H357&amp;Language!$E$65&amp;I357,"")</f>
        <v/>
      </c>
      <c r="M357" s="2" t="str">
        <f>IF(Plan!$I360=1,F357&amp;G357,"")</f>
        <v/>
      </c>
      <c r="N357" s="93" t="str">
        <f>IF(AND(K357&gt;0,Plan!$I360=1),H357&amp;Language!$E$65&amp;I357,"")</f>
        <v/>
      </c>
      <c r="O357" s="379">
        <f>IF($H357="",0,Results!$L362)</f>
        <v>0</v>
      </c>
      <c r="P357" s="380">
        <f>IF($I357="",0,Results!$M362)</f>
        <v>0</v>
      </c>
    </row>
    <row r="358" spans="5:16" x14ac:dyDescent="0.2">
      <c r="E358" s="298">
        <v>355</v>
      </c>
      <c r="F358" s="190" t="str">
        <f>Plan!$Q361</f>
        <v/>
      </c>
      <c r="G358" s="191" t="str">
        <f>Plan!$S361</f>
        <v/>
      </c>
      <c r="H358" s="134" t="str">
        <f>IF(AND(Results!$R$6&gt;0,$E358-1&gt;=Results!$R$6*Calc!$F$26),"",IF(AND(Results!$I363&lt;&gt;"",Results!$K363&lt;&gt;"",Results!$F363&lt;&gt;Results!$H363,$F358&lt;&gt;"",$G358&lt;&gt;""),Results!$I363,""))</f>
        <v/>
      </c>
      <c r="I358" s="18" t="str">
        <f>IF(AND(Results!$R$6&gt;0,$E358-1&gt;=Results!$R$6*Calc!$F$26),"",IF(AND(Results!$I363&lt;&gt;"",Results!$K363&lt;&gt;"",Results!$F363&lt;&gt;Results!$H363,$F358&lt;&gt;"",$G358&lt;&gt;""),Results!$K363,""))</f>
        <v/>
      </c>
      <c r="J358" s="17" t="str">
        <f>IF(Plan!$I361=0,F358&amp;G358,"")</f>
        <v/>
      </c>
      <c r="K358" s="134">
        <f t="shared" si="7"/>
        <v>0</v>
      </c>
      <c r="L358" s="134" t="str">
        <f>IF(AND(K358&gt;0,Plan!$I361=0),H358&amp;Language!$E$65&amp;I358,"")</f>
        <v/>
      </c>
      <c r="M358" s="2" t="str">
        <f>IF(Plan!$I361=1,F358&amp;G358,"")</f>
        <v/>
      </c>
      <c r="N358" s="93" t="str">
        <f>IF(AND(K358&gt;0,Plan!$I361=1),H358&amp;Language!$E$65&amp;I358,"")</f>
        <v/>
      </c>
      <c r="O358" s="379">
        <f>IF($H358="",0,Results!$L363)</f>
        <v>0</v>
      </c>
      <c r="P358" s="380">
        <f>IF($I358="",0,Results!$M363)</f>
        <v>0</v>
      </c>
    </row>
    <row r="359" spans="5:16" x14ac:dyDescent="0.2">
      <c r="E359" s="298">
        <v>356</v>
      </c>
      <c r="F359" s="190" t="str">
        <f>Plan!$Q362</f>
        <v/>
      </c>
      <c r="G359" s="191" t="str">
        <f>Plan!$S362</f>
        <v/>
      </c>
      <c r="H359" s="134" t="str">
        <f>IF(AND(Results!$R$6&gt;0,$E359-1&gt;=Results!$R$6*Calc!$F$26),"",IF(AND(Results!$I364&lt;&gt;"",Results!$K364&lt;&gt;"",Results!$F364&lt;&gt;Results!$H364,$F359&lt;&gt;"",$G359&lt;&gt;""),Results!$I364,""))</f>
        <v/>
      </c>
      <c r="I359" s="18" t="str">
        <f>IF(AND(Results!$R$6&gt;0,$E359-1&gt;=Results!$R$6*Calc!$F$26),"",IF(AND(Results!$I364&lt;&gt;"",Results!$K364&lt;&gt;"",Results!$F364&lt;&gt;Results!$H364,$F359&lt;&gt;"",$G359&lt;&gt;""),Results!$K364,""))</f>
        <v/>
      </c>
      <c r="J359" s="17" t="str">
        <f>IF(Plan!$I362=0,F359&amp;G359,"")</f>
        <v/>
      </c>
      <c r="K359" s="134">
        <f t="shared" si="7"/>
        <v>0</v>
      </c>
      <c r="L359" s="134" t="str">
        <f>IF(AND(K359&gt;0,Plan!$I362=0),H359&amp;Language!$E$65&amp;I359,"")</f>
        <v/>
      </c>
      <c r="M359" s="2" t="str">
        <f>IF(Plan!$I362=1,F359&amp;G359,"")</f>
        <v/>
      </c>
      <c r="N359" s="93" t="str">
        <f>IF(AND(K359&gt;0,Plan!$I362=1),H359&amp;Language!$E$65&amp;I359,"")</f>
        <v/>
      </c>
      <c r="O359" s="379">
        <f>IF($H359="",0,Results!$L364)</f>
        <v>0</v>
      </c>
      <c r="P359" s="380">
        <f>IF($I359="",0,Results!$M364)</f>
        <v>0</v>
      </c>
    </row>
    <row r="360" spans="5:16" x14ac:dyDescent="0.2">
      <c r="E360" s="298">
        <v>357</v>
      </c>
      <c r="F360" s="190" t="str">
        <f>Plan!$Q363</f>
        <v/>
      </c>
      <c r="G360" s="191" t="str">
        <f>Plan!$S363</f>
        <v/>
      </c>
      <c r="H360" s="134" t="str">
        <f>IF(AND(Results!$R$6&gt;0,$E360-1&gt;=Results!$R$6*Calc!$F$26),"",IF(AND(Results!$I365&lt;&gt;"",Results!$K365&lt;&gt;"",Results!$F365&lt;&gt;Results!$H365,$F360&lt;&gt;"",$G360&lt;&gt;""),Results!$I365,""))</f>
        <v/>
      </c>
      <c r="I360" s="18" t="str">
        <f>IF(AND(Results!$R$6&gt;0,$E360-1&gt;=Results!$R$6*Calc!$F$26),"",IF(AND(Results!$I365&lt;&gt;"",Results!$K365&lt;&gt;"",Results!$F365&lt;&gt;Results!$H365,$F360&lt;&gt;"",$G360&lt;&gt;""),Results!$K365,""))</f>
        <v/>
      </c>
      <c r="J360" s="17" t="str">
        <f>IF(Plan!$I363=0,F360&amp;G360,"")</f>
        <v/>
      </c>
      <c r="K360" s="134">
        <f t="shared" si="7"/>
        <v>0</v>
      </c>
      <c r="L360" s="134" t="str">
        <f>IF(AND(K360&gt;0,Plan!$I363=0),H360&amp;Language!$E$65&amp;I360,"")</f>
        <v/>
      </c>
      <c r="M360" s="2" t="str">
        <f>IF(Plan!$I363=1,F360&amp;G360,"")</f>
        <v/>
      </c>
      <c r="N360" s="93" t="str">
        <f>IF(AND(K360&gt;0,Plan!$I363=1),H360&amp;Language!$E$65&amp;I360,"")</f>
        <v/>
      </c>
      <c r="O360" s="379">
        <f>IF($H360="",0,Results!$L365)</f>
        <v>0</v>
      </c>
      <c r="P360" s="380">
        <f>IF($I360="",0,Results!$M365)</f>
        <v>0</v>
      </c>
    </row>
    <row r="361" spans="5:16" x14ac:dyDescent="0.2">
      <c r="E361" s="298">
        <v>358</v>
      </c>
      <c r="F361" s="190" t="str">
        <f>Plan!$Q364</f>
        <v/>
      </c>
      <c r="G361" s="191" t="str">
        <f>Plan!$S364</f>
        <v/>
      </c>
      <c r="H361" s="134" t="str">
        <f>IF(AND(Results!$R$6&gt;0,$E361-1&gt;=Results!$R$6*Calc!$F$26),"",IF(AND(Results!$I366&lt;&gt;"",Results!$K366&lt;&gt;"",Results!$F366&lt;&gt;Results!$H366,$F361&lt;&gt;"",$G361&lt;&gt;""),Results!$I366,""))</f>
        <v/>
      </c>
      <c r="I361" s="18" t="str">
        <f>IF(AND(Results!$R$6&gt;0,$E361-1&gt;=Results!$R$6*Calc!$F$26),"",IF(AND(Results!$I366&lt;&gt;"",Results!$K366&lt;&gt;"",Results!$F366&lt;&gt;Results!$H366,$F361&lt;&gt;"",$G361&lt;&gt;""),Results!$K366,""))</f>
        <v/>
      </c>
      <c r="J361" s="17" t="str">
        <f>IF(Plan!$I364=0,F361&amp;G361,"")</f>
        <v/>
      </c>
      <c r="K361" s="134">
        <f t="shared" si="7"/>
        <v>0</v>
      </c>
      <c r="L361" s="134" t="str">
        <f>IF(AND(K361&gt;0,Plan!$I364=0),H361&amp;Language!$E$65&amp;I361,"")</f>
        <v/>
      </c>
      <c r="M361" s="2" t="str">
        <f>IF(Plan!$I364=1,F361&amp;G361,"")</f>
        <v/>
      </c>
      <c r="N361" s="93" t="str">
        <f>IF(AND(K361&gt;0,Plan!$I364=1),H361&amp;Language!$E$65&amp;I361,"")</f>
        <v/>
      </c>
      <c r="O361" s="379">
        <f>IF($H361="",0,Results!$L366)</f>
        <v>0</v>
      </c>
      <c r="P361" s="380">
        <f>IF($I361="",0,Results!$M366)</f>
        <v>0</v>
      </c>
    </row>
    <row r="362" spans="5:16" x14ac:dyDescent="0.2">
      <c r="E362" s="298">
        <v>359</v>
      </c>
      <c r="F362" s="190" t="str">
        <f>Plan!$Q365</f>
        <v/>
      </c>
      <c r="G362" s="191" t="str">
        <f>Plan!$S365</f>
        <v/>
      </c>
      <c r="H362" s="134" t="str">
        <f>IF(AND(Results!$R$6&gt;0,$E362-1&gt;=Results!$R$6*Calc!$F$26),"",IF(AND(Results!$I367&lt;&gt;"",Results!$K367&lt;&gt;"",Results!$F367&lt;&gt;Results!$H367,$F362&lt;&gt;"",$G362&lt;&gt;""),Results!$I367,""))</f>
        <v/>
      </c>
      <c r="I362" s="18" t="str">
        <f>IF(AND(Results!$R$6&gt;0,$E362-1&gt;=Results!$R$6*Calc!$F$26),"",IF(AND(Results!$I367&lt;&gt;"",Results!$K367&lt;&gt;"",Results!$F367&lt;&gt;Results!$H367,$F362&lt;&gt;"",$G362&lt;&gt;""),Results!$K367,""))</f>
        <v/>
      </c>
      <c r="J362" s="17" t="str">
        <f>IF(Plan!$I365=0,F362&amp;G362,"")</f>
        <v/>
      </c>
      <c r="K362" s="134">
        <f t="shared" si="7"/>
        <v>0</v>
      </c>
      <c r="L362" s="134" t="str">
        <f>IF(AND(K362&gt;0,Plan!$I365=0),H362&amp;Language!$E$65&amp;I362,"")</f>
        <v/>
      </c>
      <c r="M362" s="2" t="str">
        <f>IF(Plan!$I365=1,F362&amp;G362,"")</f>
        <v/>
      </c>
      <c r="N362" s="93" t="str">
        <f>IF(AND(K362&gt;0,Plan!$I365=1),H362&amp;Language!$E$65&amp;I362,"")</f>
        <v/>
      </c>
      <c r="O362" s="379">
        <f>IF($H362="",0,Results!$L367)</f>
        <v>0</v>
      </c>
      <c r="P362" s="380">
        <f>IF($I362="",0,Results!$M367)</f>
        <v>0</v>
      </c>
    </row>
    <row r="363" spans="5:16" x14ac:dyDescent="0.2">
      <c r="E363" s="298">
        <v>360</v>
      </c>
      <c r="F363" s="190" t="str">
        <f>Plan!$Q366</f>
        <v/>
      </c>
      <c r="G363" s="191" t="str">
        <f>Plan!$S366</f>
        <v/>
      </c>
      <c r="H363" s="134" t="str">
        <f>IF(AND(Results!$R$6&gt;0,$E363-1&gt;=Results!$R$6*Calc!$F$26),"",IF(AND(Results!$I368&lt;&gt;"",Results!$K368&lt;&gt;"",Results!$F368&lt;&gt;Results!$H368,$F363&lt;&gt;"",$G363&lt;&gt;""),Results!$I368,""))</f>
        <v/>
      </c>
      <c r="I363" s="18" t="str">
        <f>IF(AND(Results!$R$6&gt;0,$E363-1&gt;=Results!$R$6*Calc!$F$26),"",IF(AND(Results!$I368&lt;&gt;"",Results!$K368&lt;&gt;"",Results!$F368&lt;&gt;Results!$H368,$F363&lt;&gt;"",$G363&lt;&gt;""),Results!$K368,""))</f>
        <v/>
      </c>
      <c r="J363" s="17" t="str">
        <f>IF(Plan!$I366=0,F363&amp;G363,"")</f>
        <v/>
      </c>
      <c r="K363" s="134">
        <f t="shared" si="7"/>
        <v>0</v>
      </c>
      <c r="L363" s="134" t="str">
        <f>IF(AND(K363&gt;0,Plan!$I366=0),H363&amp;Language!$E$65&amp;I363,"")</f>
        <v/>
      </c>
      <c r="M363" s="2" t="str">
        <f>IF(Plan!$I366=1,F363&amp;G363,"")</f>
        <v/>
      </c>
      <c r="N363" s="93" t="str">
        <f>IF(AND(K363&gt;0,Plan!$I366=1),H363&amp;Language!$E$65&amp;I363,"")</f>
        <v/>
      </c>
      <c r="O363" s="379">
        <f>IF($H363="",0,Results!$L368)</f>
        <v>0</v>
      </c>
      <c r="P363" s="380">
        <f>IF($I363="",0,Results!$M368)</f>
        <v>0</v>
      </c>
    </row>
    <row r="364" spans="5:16" x14ac:dyDescent="0.2">
      <c r="E364" s="298">
        <v>361</v>
      </c>
      <c r="F364" s="190" t="str">
        <f>Plan!$Q367</f>
        <v/>
      </c>
      <c r="G364" s="191" t="str">
        <f>Plan!$S367</f>
        <v/>
      </c>
      <c r="H364" s="134" t="str">
        <f>IF(AND(Results!$R$6&gt;0,$E364-1&gt;=Results!$R$6*Calc!$F$26),"",IF(AND(Results!$I369&lt;&gt;"",Results!$K369&lt;&gt;"",Results!$F369&lt;&gt;Results!$H369,$F364&lt;&gt;"",$G364&lt;&gt;""),Results!$I369,""))</f>
        <v/>
      </c>
      <c r="I364" s="18" t="str">
        <f>IF(AND(Results!$R$6&gt;0,$E364-1&gt;=Results!$R$6*Calc!$F$26),"",IF(AND(Results!$I369&lt;&gt;"",Results!$K369&lt;&gt;"",Results!$F369&lt;&gt;Results!$H369,$F364&lt;&gt;"",$G364&lt;&gt;""),Results!$K369,""))</f>
        <v/>
      </c>
      <c r="J364" s="17" t="str">
        <f>IF(Plan!$I367=0,F364&amp;G364,"")</f>
        <v/>
      </c>
      <c r="K364" s="134">
        <f t="shared" si="7"/>
        <v>0</v>
      </c>
      <c r="L364" s="134" t="str">
        <f>IF(AND(K364&gt;0,Plan!$I367=0),H364&amp;Language!$E$65&amp;I364,"")</f>
        <v/>
      </c>
      <c r="M364" s="2" t="str">
        <f>IF(Plan!$I367=1,F364&amp;G364,"")</f>
        <v/>
      </c>
      <c r="N364" s="93" t="str">
        <f>IF(AND(K364&gt;0,Plan!$I367=1),H364&amp;Language!$E$65&amp;I364,"")</f>
        <v/>
      </c>
      <c r="O364" s="379">
        <f>IF($H364="",0,Results!$L369)</f>
        <v>0</v>
      </c>
      <c r="P364" s="380">
        <f>IF($I364="",0,Results!$M369)</f>
        <v>0</v>
      </c>
    </row>
    <row r="365" spans="5:16" x14ac:dyDescent="0.2">
      <c r="E365" s="298">
        <v>362</v>
      </c>
      <c r="F365" s="190" t="str">
        <f>Plan!$Q368</f>
        <v/>
      </c>
      <c r="G365" s="191" t="str">
        <f>Plan!$S368</f>
        <v/>
      </c>
      <c r="H365" s="134" t="str">
        <f>IF(AND(Results!$R$6&gt;0,$E365-1&gt;=Results!$R$6*Calc!$F$26),"",IF(AND(Results!$I370&lt;&gt;"",Results!$K370&lt;&gt;"",Results!$F370&lt;&gt;Results!$H370,$F365&lt;&gt;"",$G365&lt;&gt;""),Results!$I370,""))</f>
        <v/>
      </c>
      <c r="I365" s="18" t="str">
        <f>IF(AND(Results!$R$6&gt;0,$E365-1&gt;=Results!$R$6*Calc!$F$26),"",IF(AND(Results!$I370&lt;&gt;"",Results!$K370&lt;&gt;"",Results!$F370&lt;&gt;Results!$H370,$F365&lt;&gt;"",$G365&lt;&gt;""),Results!$K370,""))</f>
        <v/>
      </c>
      <c r="J365" s="17" t="str">
        <f>IF(Plan!$I368=0,F365&amp;G365,"")</f>
        <v/>
      </c>
      <c r="K365" s="134">
        <f t="shared" si="7"/>
        <v>0</v>
      </c>
      <c r="L365" s="134" t="str">
        <f>IF(AND(K365&gt;0,Plan!$I368=0),H365&amp;Language!$E$65&amp;I365,"")</f>
        <v/>
      </c>
      <c r="M365" s="2" t="str">
        <f>IF(Plan!$I368=1,F365&amp;G365,"")</f>
        <v/>
      </c>
      <c r="N365" s="93" t="str">
        <f>IF(AND(K365&gt;0,Plan!$I368=1),H365&amp;Language!$E$65&amp;I365,"")</f>
        <v/>
      </c>
      <c r="O365" s="379">
        <f>IF($H365="",0,Results!$L370)</f>
        <v>0</v>
      </c>
      <c r="P365" s="380">
        <f>IF($I365="",0,Results!$M370)</f>
        <v>0</v>
      </c>
    </row>
    <row r="366" spans="5:16" x14ac:dyDescent="0.2">
      <c r="E366" s="298">
        <v>363</v>
      </c>
      <c r="F366" s="190" t="str">
        <f>Plan!$Q369</f>
        <v/>
      </c>
      <c r="G366" s="191" t="str">
        <f>Plan!$S369</f>
        <v/>
      </c>
      <c r="H366" s="134" t="str">
        <f>IF(AND(Results!$R$6&gt;0,$E366-1&gt;=Results!$R$6*Calc!$F$26),"",IF(AND(Results!$I371&lt;&gt;"",Results!$K371&lt;&gt;"",Results!$F371&lt;&gt;Results!$H371,$F366&lt;&gt;"",$G366&lt;&gt;""),Results!$I371,""))</f>
        <v/>
      </c>
      <c r="I366" s="18" t="str">
        <f>IF(AND(Results!$R$6&gt;0,$E366-1&gt;=Results!$R$6*Calc!$F$26),"",IF(AND(Results!$I371&lt;&gt;"",Results!$K371&lt;&gt;"",Results!$F371&lt;&gt;Results!$H371,$F366&lt;&gt;"",$G366&lt;&gt;""),Results!$K371,""))</f>
        <v/>
      </c>
      <c r="J366" s="17" t="str">
        <f>IF(Plan!$I369=0,F366&amp;G366,"")</f>
        <v/>
      </c>
      <c r="K366" s="134">
        <f t="shared" si="7"/>
        <v>0</v>
      </c>
      <c r="L366" s="134" t="str">
        <f>IF(AND(K366&gt;0,Plan!$I369=0),H366&amp;Language!$E$65&amp;I366,"")</f>
        <v/>
      </c>
      <c r="M366" s="2" t="str">
        <f>IF(Plan!$I369=1,F366&amp;G366,"")</f>
        <v/>
      </c>
      <c r="N366" s="93" t="str">
        <f>IF(AND(K366&gt;0,Plan!$I369=1),H366&amp;Language!$E$65&amp;I366,"")</f>
        <v/>
      </c>
      <c r="O366" s="379">
        <f>IF($H366="",0,Results!$L371)</f>
        <v>0</v>
      </c>
      <c r="P366" s="380">
        <f>IF($I366="",0,Results!$M371)</f>
        <v>0</v>
      </c>
    </row>
    <row r="367" spans="5:16" x14ac:dyDescent="0.2">
      <c r="E367" s="298">
        <v>364</v>
      </c>
      <c r="F367" s="190" t="str">
        <f>Plan!$Q370</f>
        <v/>
      </c>
      <c r="G367" s="191" t="str">
        <f>Plan!$S370</f>
        <v/>
      </c>
      <c r="H367" s="134" t="str">
        <f>IF(AND(Results!$R$6&gt;0,$E367-1&gt;=Results!$R$6*Calc!$F$26),"",IF(AND(Results!$I372&lt;&gt;"",Results!$K372&lt;&gt;"",Results!$F372&lt;&gt;Results!$H372,$F367&lt;&gt;"",$G367&lt;&gt;""),Results!$I372,""))</f>
        <v/>
      </c>
      <c r="I367" s="18" t="str">
        <f>IF(AND(Results!$R$6&gt;0,$E367-1&gt;=Results!$R$6*Calc!$F$26),"",IF(AND(Results!$I372&lt;&gt;"",Results!$K372&lt;&gt;"",Results!$F372&lt;&gt;Results!$H372,$F367&lt;&gt;"",$G367&lt;&gt;""),Results!$K372,""))</f>
        <v/>
      </c>
      <c r="J367" s="17" t="str">
        <f>IF(Plan!$I370=0,F367&amp;G367,"")</f>
        <v/>
      </c>
      <c r="K367" s="134">
        <f t="shared" si="7"/>
        <v>0</v>
      </c>
      <c r="L367" s="134" t="str">
        <f>IF(AND(K367&gt;0,Plan!$I370=0),H367&amp;Language!$E$65&amp;I367,"")</f>
        <v/>
      </c>
      <c r="M367" s="2" t="str">
        <f>IF(Plan!$I370=1,F367&amp;G367,"")</f>
        <v/>
      </c>
      <c r="N367" s="93" t="str">
        <f>IF(AND(K367&gt;0,Plan!$I370=1),H367&amp;Language!$E$65&amp;I367,"")</f>
        <v/>
      </c>
      <c r="O367" s="379">
        <f>IF($H367="",0,Results!$L372)</f>
        <v>0</v>
      </c>
      <c r="P367" s="380">
        <f>IF($I367="",0,Results!$M372)</f>
        <v>0</v>
      </c>
    </row>
    <row r="368" spans="5:16" x14ac:dyDescent="0.2">
      <c r="E368" s="298">
        <v>365</v>
      </c>
      <c r="F368" s="190" t="str">
        <f>Plan!$Q371</f>
        <v/>
      </c>
      <c r="G368" s="191" t="str">
        <f>Plan!$S371</f>
        <v/>
      </c>
      <c r="H368" s="134" t="str">
        <f>IF(AND(Results!$R$6&gt;0,$E368-1&gt;=Results!$R$6*Calc!$F$26),"",IF(AND(Results!$I373&lt;&gt;"",Results!$K373&lt;&gt;"",Results!$F373&lt;&gt;Results!$H373,$F368&lt;&gt;"",$G368&lt;&gt;""),Results!$I373,""))</f>
        <v/>
      </c>
      <c r="I368" s="18" t="str">
        <f>IF(AND(Results!$R$6&gt;0,$E368-1&gt;=Results!$R$6*Calc!$F$26),"",IF(AND(Results!$I373&lt;&gt;"",Results!$K373&lt;&gt;"",Results!$F373&lt;&gt;Results!$H373,$F368&lt;&gt;"",$G368&lt;&gt;""),Results!$K373,""))</f>
        <v/>
      </c>
      <c r="J368" s="17" t="str">
        <f>IF(Plan!$I371=0,F368&amp;G368,"")</f>
        <v/>
      </c>
      <c r="K368" s="134">
        <f t="shared" si="7"/>
        <v>0</v>
      </c>
      <c r="L368" s="134" t="str">
        <f>IF(AND(K368&gt;0,Plan!$I371=0),H368&amp;Language!$E$65&amp;I368,"")</f>
        <v/>
      </c>
      <c r="M368" s="2" t="str">
        <f>IF(Plan!$I371=1,F368&amp;G368,"")</f>
        <v/>
      </c>
      <c r="N368" s="93" t="str">
        <f>IF(AND(K368&gt;0,Plan!$I371=1),H368&amp;Language!$E$65&amp;I368,"")</f>
        <v/>
      </c>
      <c r="O368" s="379">
        <f>IF($H368="",0,Results!$L373)</f>
        <v>0</v>
      </c>
      <c r="P368" s="380">
        <f>IF($I368="",0,Results!$M373)</f>
        <v>0</v>
      </c>
    </row>
    <row r="369" spans="5:16" x14ac:dyDescent="0.2">
      <c r="E369" s="298">
        <v>366</v>
      </c>
      <c r="F369" s="190" t="str">
        <f>Plan!$Q372</f>
        <v/>
      </c>
      <c r="G369" s="191" t="str">
        <f>Plan!$S372</f>
        <v/>
      </c>
      <c r="H369" s="134" t="str">
        <f>IF(AND(Results!$R$6&gt;0,$E369-1&gt;=Results!$R$6*Calc!$F$26),"",IF(AND(Results!$I374&lt;&gt;"",Results!$K374&lt;&gt;"",Results!$F374&lt;&gt;Results!$H374,$F369&lt;&gt;"",$G369&lt;&gt;""),Results!$I374,""))</f>
        <v/>
      </c>
      <c r="I369" s="18" t="str">
        <f>IF(AND(Results!$R$6&gt;0,$E369-1&gt;=Results!$R$6*Calc!$F$26),"",IF(AND(Results!$I374&lt;&gt;"",Results!$K374&lt;&gt;"",Results!$F374&lt;&gt;Results!$H374,$F369&lt;&gt;"",$G369&lt;&gt;""),Results!$K374,""))</f>
        <v/>
      </c>
      <c r="J369" s="17" t="str">
        <f>IF(Plan!$I372=0,F369&amp;G369,"")</f>
        <v/>
      </c>
      <c r="K369" s="134">
        <f t="shared" si="7"/>
        <v>0</v>
      </c>
      <c r="L369" s="134" t="str">
        <f>IF(AND(K369&gt;0,Plan!$I372=0),H369&amp;Language!$E$65&amp;I369,"")</f>
        <v/>
      </c>
      <c r="M369" s="2" t="str">
        <f>IF(Plan!$I372=1,F369&amp;G369,"")</f>
        <v/>
      </c>
      <c r="N369" s="93" t="str">
        <f>IF(AND(K369&gt;0,Plan!$I372=1),H369&amp;Language!$E$65&amp;I369,"")</f>
        <v/>
      </c>
      <c r="O369" s="379">
        <f>IF($H369="",0,Results!$L374)</f>
        <v>0</v>
      </c>
      <c r="P369" s="380">
        <f>IF($I369="",0,Results!$M374)</f>
        <v>0</v>
      </c>
    </row>
    <row r="370" spans="5:16" x14ac:dyDescent="0.2">
      <c r="E370" s="298">
        <v>367</v>
      </c>
      <c r="F370" s="190" t="str">
        <f>Plan!$Q373</f>
        <v/>
      </c>
      <c r="G370" s="191" t="str">
        <f>Plan!$S373</f>
        <v/>
      </c>
      <c r="H370" s="134" t="str">
        <f>IF(AND(Results!$R$6&gt;0,$E370-1&gt;=Results!$R$6*Calc!$F$26),"",IF(AND(Results!$I375&lt;&gt;"",Results!$K375&lt;&gt;"",Results!$F375&lt;&gt;Results!$H375,$F370&lt;&gt;"",$G370&lt;&gt;""),Results!$I375,""))</f>
        <v/>
      </c>
      <c r="I370" s="18" t="str">
        <f>IF(AND(Results!$R$6&gt;0,$E370-1&gt;=Results!$R$6*Calc!$F$26),"",IF(AND(Results!$I375&lt;&gt;"",Results!$K375&lt;&gt;"",Results!$F375&lt;&gt;Results!$H375,$F370&lt;&gt;"",$G370&lt;&gt;""),Results!$K375,""))</f>
        <v/>
      </c>
      <c r="J370" s="17" t="str">
        <f>IF(Plan!$I373=0,F370&amp;G370,"")</f>
        <v/>
      </c>
      <c r="K370" s="134">
        <f t="shared" si="7"/>
        <v>0</v>
      </c>
      <c r="L370" s="134" t="str">
        <f>IF(AND(K370&gt;0,Plan!$I373=0),H370&amp;Language!$E$65&amp;I370,"")</f>
        <v/>
      </c>
      <c r="M370" s="2" t="str">
        <f>IF(Plan!$I373=1,F370&amp;G370,"")</f>
        <v/>
      </c>
      <c r="N370" s="93" t="str">
        <f>IF(AND(K370&gt;0,Plan!$I373=1),H370&amp;Language!$E$65&amp;I370,"")</f>
        <v/>
      </c>
      <c r="O370" s="379">
        <f>IF($H370="",0,Results!$L375)</f>
        <v>0</v>
      </c>
      <c r="P370" s="380">
        <f>IF($I370="",0,Results!$M375)</f>
        <v>0</v>
      </c>
    </row>
    <row r="371" spans="5:16" x14ac:dyDescent="0.2">
      <c r="E371" s="298">
        <v>368</v>
      </c>
      <c r="F371" s="190" t="str">
        <f>Plan!$Q374</f>
        <v/>
      </c>
      <c r="G371" s="191" t="str">
        <f>Plan!$S374</f>
        <v/>
      </c>
      <c r="H371" s="134" t="str">
        <f>IF(AND(Results!$R$6&gt;0,$E371-1&gt;=Results!$R$6*Calc!$F$26),"",IF(AND(Results!$I376&lt;&gt;"",Results!$K376&lt;&gt;"",Results!$F376&lt;&gt;Results!$H376,$F371&lt;&gt;"",$G371&lt;&gt;""),Results!$I376,""))</f>
        <v/>
      </c>
      <c r="I371" s="18" t="str">
        <f>IF(AND(Results!$R$6&gt;0,$E371-1&gt;=Results!$R$6*Calc!$F$26),"",IF(AND(Results!$I376&lt;&gt;"",Results!$K376&lt;&gt;"",Results!$F376&lt;&gt;Results!$H376,$F371&lt;&gt;"",$G371&lt;&gt;""),Results!$K376,""))</f>
        <v/>
      </c>
      <c r="J371" s="17" t="str">
        <f>IF(Plan!$I374=0,F371&amp;G371,"")</f>
        <v/>
      </c>
      <c r="K371" s="134">
        <f t="shared" si="7"/>
        <v>0</v>
      </c>
      <c r="L371" s="134" t="str">
        <f>IF(AND(K371&gt;0,Plan!$I374=0),H371&amp;Language!$E$65&amp;I371,"")</f>
        <v/>
      </c>
      <c r="M371" s="2" t="str">
        <f>IF(Plan!$I374=1,F371&amp;G371,"")</f>
        <v/>
      </c>
      <c r="N371" s="93" t="str">
        <f>IF(AND(K371&gt;0,Plan!$I374=1),H371&amp;Language!$E$65&amp;I371,"")</f>
        <v/>
      </c>
      <c r="O371" s="379">
        <f>IF($H371="",0,Results!$L376)</f>
        <v>0</v>
      </c>
      <c r="P371" s="380">
        <f>IF($I371="",0,Results!$M376)</f>
        <v>0</v>
      </c>
    </row>
    <row r="372" spans="5:16" x14ac:dyDescent="0.2">
      <c r="E372" s="298">
        <v>369</v>
      </c>
      <c r="F372" s="190" t="str">
        <f>Plan!$Q375</f>
        <v/>
      </c>
      <c r="G372" s="191" t="str">
        <f>Plan!$S375</f>
        <v/>
      </c>
      <c r="H372" s="134" t="str">
        <f>IF(AND(Results!$R$6&gt;0,$E372-1&gt;=Results!$R$6*Calc!$F$26),"",IF(AND(Results!$I377&lt;&gt;"",Results!$K377&lt;&gt;"",Results!$F377&lt;&gt;Results!$H377,$F372&lt;&gt;"",$G372&lt;&gt;""),Results!$I377,""))</f>
        <v/>
      </c>
      <c r="I372" s="18" t="str">
        <f>IF(AND(Results!$R$6&gt;0,$E372-1&gt;=Results!$R$6*Calc!$F$26),"",IF(AND(Results!$I377&lt;&gt;"",Results!$K377&lt;&gt;"",Results!$F377&lt;&gt;Results!$H377,$F372&lt;&gt;"",$G372&lt;&gt;""),Results!$K377,""))</f>
        <v/>
      </c>
      <c r="J372" s="17" t="str">
        <f>IF(Plan!$I375=0,F372&amp;G372,"")</f>
        <v/>
      </c>
      <c r="K372" s="134">
        <f t="shared" si="7"/>
        <v>0</v>
      </c>
      <c r="L372" s="134" t="str">
        <f>IF(AND(K372&gt;0,Plan!$I375=0),H372&amp;Language!$E$65&amp;I372,"")</f>
        <v/>
      </c>
      <c r="M372" s="2" t="str">
        <f>IF(Plan!$I375=1,F372&amp;G372,"")</f>
        <v/>
      </c>
      <c r="N372" s="93" t="str">
        <f>IF(AND(K372&gt;0,Plan!$I375=1),H372&amp;Language!$E$65&amp;I372,"")</f>
        <v/>
      </c>
      <c r="O372" s="379">
        <f>IF($H372="",0,Results!$L377)</f>
        <v>0</v>
      </c>
      <c r="P372" s="380">
        <f>IF($I372="",0,Results!$M377)</f>
        <v>0</v>
      </c>
    </row>
    <row r="373" spans="5:16" x14ac:dyDescent="0.2">
      <c r="E373" s="298">
        <v>370</v>
      </c>
      <c r="F373" s="190" t="str">
        <f>Plan!$Q376</f>
        <v/>
      </c>
      <c r="G373" s="191" t="str">
        <f>Plan!$S376</f>
        <v/>
      </c>
      <c r="H373" s="134" t="str">
        <f>IF(AND(Results!$R$6&gt;0,$E373-1&gt;=Results!$R$6*Calc!$F$26),"",IF(AND(Results!$I378&lt;&gt;"",Results!$K378&lt;&gt;"",Results!$F378&lt;&gt;Results!$H378,$F373&lt;&gt;"",$G373&lt;&gt;""),Results!$I378,""))</f>
        <v/>
      </c>
      <c r="I373" s="18" t="str">
        <f>IF(AND(Results!$R$6&gt;0,$E373-1&gt;=Results!$R$6*Calc!$F$26),"",IF(AND(Results!$I378&lt;&gt;"",Results!$K378&lt;&gt;"",Results!$F378&lt;&gt;Results!$H378,$F373&lt;&gt;"",$G373&lt;&gt;""),Results!$K378,""))</f>
        <v/>
      </c>
      <c r="J373" s="17" t="str">
        <f>IF(Plan!$I376=0,F373&amp;G373,"")</f>
        <v/>
      </c>
      <c r="K373" s="134">
        <f t="shared" si="7"/>
        <v>0</v>
      </c>
      <c r="L373" s="134" t="str">
        <f>IF(AND(K373&gt;0,Plan!$I376=0),H373&amp;Language!$E$65&amp;I373,"")</f>
        <v/>
      </c>
      <c r="M373" s="2" t="str">
        <f>IF(Plan!$I376=1,F373&amp;G373,"")</f>
        <v/>
      </c>
      <c r="N373" s="93" t="str">
        <f>IF(AND(K373&gt;0,Plan!$I376=1),H373&amp;Language!$E$65&amp;I373,"")</f>
        <v/>
      </c>
      <c r="O373" s="379">
        <f>IF($H373="",0,Results!$L378)</f>
        <v>0</v>
      </c>
      <c r="P373" s="380">
        <f>IF($I373="",0,Results!$M378)</f>
        <v>0</v>
      </c>
    </row>
    <row r="374" spans="5:16" x14ac:dyDescent="0.2">
      <c r="E374" s="298">
        <v>371</v>
      </c>
      <c r="F374" s="190" t="str">
        <f>Plan!$Q377</f>
        <v/>
      </c>
      <c r="G374" s="191" t="str">
        <f>Plan!$S377</f>
        <v/>
      </c>
      <c r="H374" s="134" t="str">
        <f>IF(AND(Results!$R$6&gt;0,$E374-1&gt;=Results!$R$6*Calc!$F$26),"",IF(AND(Results!$I379&lt;&gt;"",Results!$K379&lt;&gt;"",Results!$F379&lt;&gt;Results!$H379,$F374&lt;&gt;"",$G374&lt;&gt;""),Results!$I379,""))</f>
        <v/>
      </c>
      <c r="I374" s="18" t="str">
        <f>IF(AND(Results!$R$6&gt;0,$E374-1&gt;=Results!$R$6*Calc!$F$26),"",IF(AND(Results!$I379&lt;&gt;"",Results!$K379&lt;&gt;"",Results!$F379&lt;&gt;Results!$H379,$F374&lt;&gt;"",$G374&lt;&gt;""),Results!$K379,""))</f>
        <v/>
      </c>
      <c r="J374" s="17" t="str">
        <f>IF(Plan!$I377=0,F374&amp;G374,"")</f>
        <v/>
      </c>
      <c r="K374" s="134">
        <f t="shared" si="7"/>
        <v>0</v>
      </c>
      <c r="L374" s="134" t="str">
        <f>IF(AND(K374&gt;0,Plan!$I377=0),H374&amp;Language!$E$65&amp;I374,"")</f>
        <v/>
      </c>
      <c r="M374" s="2" t="str">
        <f>IF(Plan!$I377=1,F374&amp;G374,"")</f>
        <v/>
      </c>
      <c r="N374" s="93" t="str">
        <f>IF(AND(K374&gt;0,Plan!$I377=1),H374&amp;Language!$E$65&amp;I374,"")</f>
        <v/>
      </c>
      <c r="O374" s="379">
        <f>IF($H374="",0,Results!$L379)</f>
        <v>0</v>
      </c>
      <c r="P374" s="380">
        <f>IF($I374="",0,Results!$M379)</f>
        <v>0</v>
      </c>
    </row>
    <row r="375" spans="5:16" x14ac:dyDescent="0.2">
      <c r="E375" s="298">
        <v>372</v>
      </c>
      <c r="F375" s="190" t="str">
        <f>Plan!$Q378</f>
        <v/>
      </c>
      <c r="G375" s="191" t="str">
        <f>Plan!$S378</f>
        <v/>
      </c>
      <c r="H375" s="134" t="str">
        <f>IF(AND(Results!$R$6&gt;0,$E375-1&gt;=Results!$R$6*Calc!$F$26),"",IF(AND(Results!$I380&lt;&gt;"",Results!$K380&lt;&gt;"",Results!$F380&lt;&gt;Results!$H380,$F375&lt;&gt;"",$G375&lt;&gt;""),Results!$I380,""))</f>
        <v/>
      </c>
      <c r="I375" s="18" t="str">
        <f>IF(AND(Results!$R$6&gt;0,$E375-1&gt;=Results!$R$6*Calc!$F$26),"",IF(AND(Results!$I380&lt;&gt;"",Results!$K380&lt;&gt;"",Results!$F380&lt;&gt;Results!$H380,$F375&lt;&gt;"",$G375&lt;&gt;""),Results!$K380,""))</f>
        <v/>
      </c>
      <c r="J375" s="17" t="str">
        <f>IF(Plan!$I378=0,F375&amp;G375,"")</f>
        <v/>
      </c>
      <c r="K375" s="134">
        <f t="shared" si="7"/>
        <v>0</v>
      </c>
      <c r="L375" s="134" t="str">
        <f>IF(AND(K375&gt;0,Plan!$I378=0),H375&amp;Language!$E$65&amp;I375,"")</f>
        <v/>
      </c>
      <c r="M375" s="2" t="str">
        <f>IF(Plan!$I378=1,F375&amp;G375,"")</f>
        <v/>
      </c>
      <c r="N375" s="93" t="str">
        <f>IF(AND(K375&gt;0,Plan!$I378=1),H375&amp;Language!$E$65&amp;I375,"")</f>
        <v/>
      </c>
      <c r="O375" s="379">
        <f>IF($H375="",0,Results!$L380)</f>
        <v>0</v>
      </c>
      <c r="P375" s="380">
        <f>IF($I375="",0,Results!$M380)</f>
        <v>0</v>
      </c>
    </row>
    <row r="376" spans="5:16" x14ac:dyDescent="0.2">
      <c r="E376" s="298">
        <v>373</v>
      </c>
      <c r="F376" s="190" t="str">
        <f>Plan!$Q379</f>
        <v/>
      </c>
      <c r="G376" s="191" t="str">
        <f>Plan!$S379</f>
        <v/>
      </c>
      <c r="H376" s="134" t="str">
        <f>IF(AND(Results!$R$6&gt;0,$E376-1&gt;=Results!$R$6*Calc!$F$26),"",IF(AND(Results!$I381&lt;&gt;"",Results!$K381&lt;&gt;"",Results!$F381&lt;&gt;Results!$H381,$F376&lt;&gt;"",$G376&lt;&gt;""),Results!$I381,""))</f>
        <v/>
      </c>
      <c r="I376" s="18" t="str">
        <f>IF(AND(Results!$R$6&gt;0,$E376-1&gt;=Results!$R$6*Calc!$F$26),"",IF(AND(Results!$I381&lt;&gt;"",Results!$K381&lt;&gt;"",Results!$F381&lt;&gt;Results!$H381,$F376&lt;&gt;"",$G376&lt;&gt;""),Results!$K381,""))</f>
        <v/>
      </c>
      <c r="J376" s="17" t="str">
        <f>IF(Plan!$I379=0,F376&amp;G376,"")</f>
        <v/>
      </c>
      <c r="K376" s="134">
        <f t="shared" si="7"/>
        <v>0</v>
      </c>
      <c r="L376" s="134" t="str">
        <f>IF(AND(K376&gt;0,Plan!$I379=0),H376&amp;Language!$E$65&amp;I376,"")</f>
        <v/>
      </c>
      <c r="M376" s="2" t="str">
        <f>IF(Plan!$I379=1,F376&amp;G376,"")</f>
        <v/>
      </c>
      <c r="N376" s="93" t="str">
        <f>IF(AND(K376&gt;0,Plan!$I379=1),H376&amp;Language!$E$65&amp;I376,"")</f>
        <v/>
      </c>
      <c r="O376" s="379">
        <f>IF($H376="",0,Results!$L381)</f>
        <v>0</v>
      </c>
      <c r="P376" s="380">
        <f>IF($I376="",0,Results!$M381)</f>
        <v>0</v>
      </c>
    </row>
    <row r="377" spans="5:16" x14ac:dyDescent="0.2">
      <c r="E377" s="298">
        <v>374</v>
      </c>
      <c r="F377" s="190" t="str">
        <f>Plan!$Q380</f>
        <v/>
      </c>
      <c r="G377" s="191" t="str">
        <f>Plan!$S380</f>
        <v/>
      </c>
      <c r="H377" s="134" t="str">
        <f>IF(AND(Results!$R$6&gt;0,$E377-1&gt;=Results!$R$6*Calc!$F$26),"",IF(AND(Results!$I382&lt;&gt;"",Results!$K382&lt;&gt;"",Results!$F382&lt;&gt;Results!$H382,$F377&lt;&gt;"",$G377&lt;&gt;""),Results!$I382,""))</f>
        <v/>
      </c>
      <c r="I377" s="18" t="str">
        <f>IF(AND(Results!$R$6&gt;0,$E377-1&gt;=Results!$R$6*Calc!$F$26),"",IF(AND(Results!$I382&lt;&gt;"",Results!$K382&lt;&gt;"",Results!$F382&lt;&gt;Results!$H382,$F377&lt;&gt;"",$G377&lt;&gt;""),Results!$K382,""))</f>
        <v/>
      </c>
      <c r="J377" s="17" t="str">
        <f>IF(Plan!$I380=0,F377&amp;G377,"")</f>
        <v/>
      </c>
      <c r="K377" s="134">
        <f t="shared" si="7"/>
        <v>0</v>
      </c>
      <c r="L377" s="134" t="str">
        <f>IF(AND(K377&gt;0,Plan!$I380=0),H377&amp;Language!$E$65&amp;I377,"")</f>
        <v/>
      </c>
      <c r="M377" s="2" t="str">
        <f>IF(Plan!$I380=1,F377&amp;G377,"")</f>
        <v/>
      </c>
      <c r="N377" s="93" t="str">
        <f>IF(AND(K377&gt;0,Plan!$I380=1),H377&amp;Language!$E$65&amp;I377,"")</f>
        <v/>
      </c>
      <c r="O377" s="379">
        <f>IF($H377="",0,Results!$L382)</f>
        <v>0</v>
      </c>
      <c r="P377" s="380">
        <f>IF($I377="",0,Results!$M382)</f>
        <v>0</v>
      </c>
    </row>
    <row r="378" spans="5:16" x14ac:dyDescent="0.2">
      <c r="E378" s="298">
        <v>375</v>
      </c>
      <c r="F378" s="190" t="str">
        <f>Plan!$Q381</f>
        <v/>
      </c>
      <c r="G378" s="191" t="str">
        <f>Plan!$S381</f>
        <v/>
      </c>
      <c r="H378" s="134" t="str">
        <f>IF(AND(Results!$R$6&gt;0,$E378-1&gt;=Results!$R$6*Calc!$F$26),"",IF(AND(Results!$I383&lt;&gt;"",Results!$K383&lt;&gt;"",Results!$F383&lt;&gt;Results!$H383,$F378&lt;&gt;"",$G378&lt;&gt;""),Results!$I383,""))</f>
        <v/>
      </c>
      <c r="I378" s="18" t="str">
        <f>IF(AND(Results!$R$6&gt;0,$E378-1&gt;=Results!$R$6*Calc!$F$26),"",IF(AND(Results!$I383&lt;&gt;"",Results!$K383&lt;&gt;"",Results!$F383&lt;&gt;Results!$H383,$F378&lt;&gt;"",$G378&lt;&gt;""),Results!$K383,""))</f>
        <v/>
      </c>
      <c r="J378" s="17" t="str">
        <f>IF(Plan!$I381=0,F378&amp;G378,"")</f>
        <v/>
      </c>
      <c r="K378" s="134">
        <f t="shared" si="7"/>
        <v>0</v>
      </c>
      <c r="L378" s="134" t="str">
        <f>IF(AND(K378&gt;0,Plan!$I381=0),H378&amp;Language!$E$65&amp;I378,"")</f>
        <v/>
      </c>
      <c r="M378" s="2" t="str">
        <f>IF(Plan!$I381=1,F378&amp;G378,"")</f>
        <v/>
      </c>
      <c r="N378" s="93" t="str">
        <f>IF(AND(K378&gt;0,Plan!$I381=1),H378&amp;Language!$E$65&amp;I378,"")</f>
        <v/>
      </c>
      <c r="O378" s="379">
        <f>IF($H378="",0,Results!$L383)</f>
        <v>0</v>
      </c>
      <c r="P378" s="380">
        <f>IF($I378="",0,Results!$M383)</f>
        <v>0</v>
      </c>
    </row>
    <row r="379" spans="5:16" x14ac:dyDescent="0.2">
      <c r="E379" s="298">
        <v>376</v>
      </c>
      <c r="F379" s="190" t="str">
        <f>Plan!$Q382</f>
        <v/>
      </c>
      <c r="G379" s="191" t="str">
        <f>Plan!$S382</f>
        <v/>
      </c>
      <c r="H379" s="134" t="str">
        <f>IF(AND(Results!$R$6&gt;0,$E379-1&gt;=Results!$R$6*Calc!$F$26),"",IF(AND(Results!$I384&lt;&gt;"",Results!$K384&lt;&gt;"",Results!$F384&lt;&gt;Results!$H384,$F379&lt;&gt;"",$G379&lt;&gt;""),Results!$I384,""))</f>
        <v/>
      </c>
      <c r="I379" s="18" t="str">
        <f>IF(AND(Results!$R$6&gt;0,$E379-1&gt;=Results!$R$6*Calc!$F$26),"",IF(AND(Results!$I384&lt;&gt;"",Results!$K384&lt;&gt;"",Results!$F384&lt;&gt;Results!$H384,$F379&lt;&gt;"",$G379&lt;&gt;""),Results!$K384,""))</f>
        <v/>
      </c>
      <c r="J379" s="17" t="str">
        <f>IF(Plan!$I382=0,F379&amp;G379,"")</f>
        <v/>
      </c>
      <c r="K379" s="134">
        <f t="shared" si="7"/>
        <v>0</v>
      </c>
      <c r="L379" s="134" t="str">
        <f>IF(AND(K379&gt;0,Plan!$I382=0),H379&amp;Language!$E$65&amp;I379,"")</f>
        <v/>
      </c>
      <c r="M379" s="2" t="str">
        <f>IF(Plan!$I382=1,F379&amp;G379,"")</f>
        <v/>
      </c>
      <c r="N379" s="93" t="str">
        <f>IF(AND(K379&gt;0,Plan!$I382=1),H379&amp;Language!$E$65&amp;I379,"")</f>
        <v/>
      </c>
      <c r="O379" s="379">
        <f>IF($H379="",0,Results!$L384)</f>
        <v>0</v>
      </c>
      <c r="P379" s="380">
        <f>IF($I379="",0,Results!$M384)</f>
        <v>0</v>
      </c>
    </row>
    <row r="380" spans="5:16" x14ac:dyDescent="0.2">
      <c r="E380" s="298">
        <v>377</v>
      </c>
      <c r="F380" s="190" t="str">
        <f>Plan!$Q383</f>
        <v/>
      </c>
      <c r="G380" s="191" t="str">
        <f>Plan!$S383</f>
        <v/>
      </c>
      <c r="H380" s="134" t="str">
        <f>IF(AND(Results!$R$6&gt;0,$E380-1&gt;=Results!$R$6*Calc!$F$26),"",IF(AND(Results!$I385&lt;&gt;"",Results!$K385&lt;&gt;"",Results!$F385&lt;&gt;Results!$H385,$F380&lt;&gt;"",$G380&lt;&gt;""),Results!$I385,""))</f>
        <v/>
      </c>
      <c r="I380" s="18" t="str">
        <f>IF(AND(Results!$R$6&gt;0,$E380-1&gt;=Results!$R$6*Calc!$F$26),"",IF(AND(Results!$I385&lt;&gt;"",Results!$K385&lt;&gt;"",Results!$F385&lt;&gt;Results!$H385,$F380&lt;&gt;"",$G380&lt;&gt;""),Results!$K385,""))</f>
        <v/>
      </c>
      <c r="J380" s="17" t="str">
        <f>IF(Plan!$I383=0,F380&amp;G380,"")</f>
        <v/>
      </c>
      <c r="K380" s="134">
        <f t="shared" si="7"/>
        <v>0</v>
      </c>
      <c r="L380" s="134" t="str">
        <f>IF(AND(K380&gt;0,Plan!$I383=0),H380&amp;Language!$E$65&amp;I380,"")</f>
        <v/>
      </c>
      <c r="M380" s="4" t="str">
        <f>IF(Plan!$I383=1,F380&amp;G380,"")</f>
        <v/>
      </c>
      <c r="N380" s="93" t="str">
        <f>IF(AND(K380&gt;0,Plan!$I383=1),H380&amp;Language!$E$65&amp;I380,"")</f>
        <v/>
      </c>
      <c r="O380" s="379">
        <f>IF($H380="",0,Results!$L385)</f>
        <v>0</v>
      </c>
      <c r="P380" s="380">
        <f>IF($I380="",0,Results!$M385)</f>
        <v>0</v>
      </c>
    </row>
    <row r="381" spans="5:16" x14ac:dyDescent="0.2">
      <c r="E381" s="298">
        <v>378</v>
      </c>
      <c r="F381" s="190" t="str">
        <f>Plan!$Q384</f>
        <v/>
      </c>
      <c r="G381" s="191" t="str">
        <f>Plan!$S384</f>
        <v/>
      </c>
      <c r="H381" s="134" t="str">
        <f>IF(AND(Results!$R$6&gt;0,$E381-1&gt;=Results!$R$6*Calc!$F$26),"",IF(AND(Results!$I386&lt;&gt;"",Results!$K386&lt;&gt;"",Results!$F386&lt;&gt;Results!$H386,$F381&lt;&gt;"",$G381&lt;&gt;""),Results!$I386,""))</f>
        <v/>
      </c>
      <c r="I381" s="18" t="str">
        <f>IF(AND(Results!$R$6&gt;0,$E381-1&gt;=Results!$R$6*Calc!$F$26),"",IF(AND(Results!$I386&lt;&gt;"",Results!$K386&lt;&gt;"",Results!$F386&lt;&gt;Results!$H386,$F381&lt;&gt;"",$G381&lt;&gt;""),Results!$K386,""))</f>
        <v/>
      </c>
      <c r="J381" s="17" t="str">
        <f>IF(Plan!$I384=0,F381&amp;G381,"")</f>
        <v/>
      </c>
      <c r="K381" s="134">
        <f t="shared" si="7"/>
        <v>0</v>
      </c>
      <c r="L381" s="134" t="str">
        <f>IF(AND(K381&gt;0,Plan!$I384=0),H381&amp;Language!$E$65&amp;I381,"")</f>
        <v/>
      </c>
      <c r="M381" s="4" t="str">
        <f>IF(Plan!$I384=1,F381&amp;G381,"")</f>
        <v/>
      </c>
      <c r="N381" s="93" t="str">
        <f>IF(AND(K381&gt;0,Plan!$I384=1),H381&amp;Language!$E$65&amp;I381,"")</f>
        <v/>
      </c>
      <c r="O381" s="379">
        <f>IF($H381="",0,Results!$L386)</f>
        <v>0</v>
      </c>
      <c r="P381" s="380">
        <f>IF($I381="",0,Results!$M386)</f>
        <v>0</v>
      </c>
    </row>
    <row r="382" spans="5:16" x14ac:dyDescent="0.2">
      <c r="E382" s="298">
        <v>379</v>
      </c>
      <c r="F382" s="190" t="str">
        <f>Plan!$Q385</f>
        <v/>
      </c>
      <c r="G382" s="191" t="str">
        <f>Plan!$S385</f>
        <v/>
      </c>
      <c r="H382" s="134" t="str">
        <f>IF(AND(Results!$R$6&gt;0,$E382-1&gt;=Results!$R$6*Calc!$F$26),"",IF(AND(Results!$I387&lt;&gt;"",Results!$K387&lt;&gt;"",Results!$F387&lt;&gt;Results!$H387,$F382&lt;&gt;"",$G382&lt;&gt;""),Results!$I387,""))</f>
        <v/>
      </c>
      <c r="I382" s="18" t="str">
        <f>IF(AND(Results!$R$6&gt;0,$E382-1&gt;=Results!$R$6*Calc!$F$26),"",IF(AND(Results!$I387&lt;&gt;"",Results!$K387&lt;&gt;"",Results!$F387&lt;&gt;Results!$H387,$F382&lt;&gt;"",$G382&lt;&gt;""),Results!$K387,""))</f>
        <v/>
      </c>
      <c r="J382" s="17" t="str">
        <f>IF(Plan!$I385=0,F382&amp;G382,"")</f>
        <v/>
      </c>
      <c r="K382" s="134">
        <f t="shared" si="7"/>
        <v>0</v>
      </c>
      <c r="L382" s="134" t="str">
        <f>IF(AND(K382&gt;0,Plan!$I385=0),H382&amp;Language!$E$65&amp;I382,"")</f>
        <v/>
      </c>
      <c r="M382" s="4" t="str">
        <f>IF(Plan!$I385=1,F382&amp;G382,"")</f>
        <v/>
      </c>
      <c r="N382" s="93" t="str">
        <f>IF(AND(K382&gt;0,Plan!$I385=1),H382&amp;Language!$E$65&amp;I382,"")</f>
        <v/>
      </c>
      <c r="O382" s="379">
        <f>IF($H382="",0,Results!$L387)</f>
        <v>0</v>
      </c>
      <c r="P382" s="380">
        <f>IF($I382="",0,Results!$M387)</f>
        <v>0</v>
      </c>
    </row>
    <row r="383" spans="5:16" ht="13.5" thickBot="1" x14ac:dyDescent="0.25">
      <c r="E383" s="299">
        <v>380</v>
      </c>
      <c r="F383" s="192" t="str">
        <f>Plan!$Q386</f>
        <v/>
      </c>
      <c r="G383" s="193" t="str">
        <f>Plan!$S386</f>
        <v/>
      </c>
      <c r="H383" s="20" t="str">
        <f>IF(AND(Results!$R$6&gt;0,$E383-1&gt;=Results!$R$6*Calc!$F$26),"",IF(AND(Results!$I388&lt;&gt;"",Results!$K388&lt;&gt;"",Results!$F388&lt;&gt;Results!$H388,$F383&lt;&gt;"",$G383&lt;&gt;""),Results!$I388,""))</f>
        <v/>
      </c>
      <c r="I383" s="21" t="str">
        <f>IF(AND(Results!$R$6&gt;0,$E383-1&gt;=Results!$R$6*Calc!$F$26),"",IF(AND(Results!$I388&lt;&gt;"",Results!$K388&lt;&gt;"",Results!$F388&lt;&gt;Results!$H388,$F383&lt;&gt;"",$G383&lt;&gt;""),Results!$K388,""))</f>
        <v/>
      </c>
      <c r="J383" s="19" t="str">
        <f>IF(Plan!$I386=0,F383&amp;G383,"")</f>
        <v/>
      </c>
      <c r="K383" s="20">
        <f t="shared" si="7"/>
        <v>0</v>
      </c>
      <c r="L383" s="20" t="str">
        <f>IF(AND(K383&gt;0,Plan!$I386=0),H383&amp;Language!$E$65&amp;I383,"")</f>
        <v/>
      </c>
      <c r="M383" s="196" t="str">
        <f>IF(Plan!$I386=1,F383&amp;G383,"")</f>
        <v/>
      </c>
      <c r="N383" s="197" t="str">
        <f>IF(AND(K383&gt;0,Plan!$I386=1),H383&amp;Language!$E$65&amp;I383,"")</f>
        <v/>
      </c>
      <c r="O383" s="381">
        <f>IF($H383="",0,Results!$L388)</f>
        <v>0</v>
      </c>
      <c r="P383" s="382">
        <f>IF($I383="",0,Results!$M388)</f>
        <v>0</v>
      </c>
    </row>
    <row r="384" spans="5:16" ht="13.5" thickTop="1" x14ac:dyDescent="0.2">
      <c r="I384" s="40" t="s">
        <v>5</v>
      </c>
      <c r="J384" s="17" t="str">
        <f>IF(Plan!$I7=0,G4&amp;F4,"")</f>
        <v>RB LeipzigFC Bayern München</v>
      </c>
      <c r="K384" s="134">
        <f t="shared" ref="K384:K415" si="8">K4</f>
        <v>1</v>
      </c>
      <c r="L384" s="134" t="str">
        <f>IF(AND(K384&gt;0,Plan!$I7=0),I4&amp;Language!$E$65&amp;H4,"")</f>
        <v>0 : 6</v>
      </c>
      <c r="M384" s="4" t="str">
        <f>IF(Plan!$I7=1,G4&amp;F4,"")</f>
        <v/>
      </c>
      <c r="N384" s="93" t="str">
        <f>IF(AND(K384&gt;0,Plan!$I7=1),I4&amp;Language!$E$65&amp;H4,"")</f>
        <v/>
      </c>
    </row>
    <row r="385" spans="9:14" x14ac:dyDescent="0.2">
      <c r="I385" s="40" t="s">
        <v>6</v>
      </c>
      <c r="J385" s="17" t="str">
        <f>IF(Plan!$I8=0,G5&amp;F5,"")</f>
        <v>VfB Stuttgart1. FC Union Berlin</v>
      </c>
      <c r="K385" s="134">
        <f t="shared" si="8"/>
        <v>1</v>
      </c>
      <c r="L385" s="134" t="str">
        <f>IF(AND(K385&gt;0,Plan!$I8=0),I5&amp;Language!$E$65&amp;H5,"")</f>
        <v>1 : 2</v>
      </c>
      <c r="M385" s="4" t="str">
        <f>IF(Plan!$I8=1,G5&amp;F5,"")</f>
        <v/>
      </c>
      <c r="N385" s="93" t="str">
        <f>IF(AND(K385&gt;0,Plan!$I8=1),I5&amp;Language!$E$65&amp;H5,"")</f>
        <v/>
      </c>
    </row>
    <row r="386" spans="9:14" x14ac:dyDescent="0.2">
      <c r="I386" s="40" t="s">
        <v>7</v>
      </c>
      <c r="J386" s="17" t="str">
        <f>IF(Plan!$I9=0,G6&amp;F6,"")</f>
        <v>VfL Wolfsburg1. FC Heidenheim 1846</v>
      </c>
      <c r="K386" s="134">
        <f t="shared" si="8"/>
        <v>1</v>
      </c>
      <c r="L386" s="134" t="str">
        <f>IF(AND(K386&gt;0,Plan!$I9=0),I6&amp;Language!$E$65&amp;H6,"")</f>
        <v>3 : 1</v>
      </c>
      <c r="M386" s="4" t="str">
        <f>IF(Plan!$I9=1,G6&amp;F6,"")</f>
        <v/>
      </c>
      <c r="N386" s="93" t="str">
        <f>IF(AND(K386&gt;0,Plan!$I9=1),I6&amp;Language!$E$65&amp;H6,"")</f>
        <v/>
      </c>
    </row>
    <row r="387" spans="9:14" x14ac:dyDescent="0.2">
      <c r="I387" s="40" t="s">
        <v>8</v>
      </c>
      <c r="J387" s="17" t="str">
        <f>IF(Plan!$I10=0,G7&amp;F7,"")</f>
        <v>FC AugsburgSC Freiburg</v>
      </c>
      <c r="K387" s="134">
        <f t="shared" si="8"/>
        <v>1</v>
      </c>
      <c r="L387" s="134" t="str">
        <f>IF(AND(K387&gt;0,Plan!$I10=0),I7&amp;Language!$E$65&amp;H7,"")</f>
        <v>3 : 1</v>
      </c>
      <c r="M387" s="4" t="str">
        <f>IF(Plan!$I10=1,G7&amp;F7,"")</f>
        <v/>
      </c>
      <c r="N387" s="93" t="str">
        <f>IF(AND(K387&gt;0,Plan!$I10=1),I7&amp;Language!$E$65&amp;H7,"")</f>
        <v/>
      </c>
    </row>
    <row r="388" spans="9:14" x14ac:dyDescent="0.2">
      <c r="I388" s="40" t="s">
        <v>9</v>
      </c>
      <c r="J388" s="17" t="str">
        <f>IF(Plan!$I11=0,G8&amp;F8,"")</f>
        <v>TSG HoffenheimBayer 04 Leverkusen</v>
      </c>
      <c r="K388" s="7">
        <f t="shared" si="8"/>
        <v>1</v>
      </c>
      <c r="L388" s="7" t="str">
        <f>IF(AND(K388&gt;0,Plan!$I11=0),I8&amp;Language!$E$65&amp;H8,"")</f>
        <v>2 : 1</v>
      </c>
      <c r="M388" s="2" t="str">
        <f>IF(Plan!$I11=1,G8&amp;F8,"")</f>
        <v/>
      </c>
      <c r="N388" s="93" t="str">
        <f>IF(AND(K388&gt;0,Plan!$I11=1),I8&amp;Language!$E$65&amp;H8,"")</f>
        <v/>
      </c>
    </row>
    <row r="389" spans="9:14" x14ac:dyDescent="0.2">
      <c r="I389" s="40" t="s">
        <v>10</v>
      </c>
      <c r="J389" s="17" t="str">
        <f>IF(Plan!$I12=0,G9&amp;F9,"")</f>
        <v>SV Werder BremenEintracht Frankfurt</v>
      </c>
      <c r="K389" s="7">
        <f t="shared" si="8"/>
        <v>1</v>
      </c>
      <c r="L389" s="7" t="str">
        <f>IF(AND(K389&gt;0,Plan!$I12=0),I9&amp;Language!$E$65&amp;H9,"")</f>
        <v>1 : 4</v>
      </c>
      <c r="M389" s="2" t="str">
        <f>IF(Plan!$I12=1,G9&amp;F9,"")</f>
        <v/>
      </c>
      <c r="N389" s="93" t="str">
        <f>IF(AND(K389&gt;0,Plan!$I12=1),I9&amp;Language!$E$65&amp;H9,"")</f>
        <v/>
      </c>
    </row>
    <row r="390" spans="9:14" x14ac:dyDescent="0.2">
      <c r="I390" s="40" t="s">
        <v>13</v>
      </c>
      <c r="J390" s="17" t="str">
        <f>IF(Plan!$I13=0,G10&amp;F10,"")</f>
        <v>Borussia DortmundFC St. Pauli</v>
      </c>
      <c r="K390" s="7">
        <f t="shared" si="8"/>
        <v>1</v>
      </c>
      <c r="L390" s="7" t="str">
        <f>IF(AND(K390&gt;0,Plan!$I13=0),I10&amp;Language!$E$65&amp;H10,"")</f>
        <v>3 : 3</v>
      </c>
      <c r="M390" s="2" t="str">
        <f>IF(Plan!$I13=1,G10&amp;F10,"")</f>
        <v/>
      </c>
      <c r="N390" s="93" t="str">
        <f>IF(AND(K390&gt;0,Plan!$I13=1),I10&amp;Language!$E$65&amp;H10,"")</f>
        <v/>
      </c>
    </row>
    <row r="391" spans="9:14" x14ac:dyDescent="0.2">
      <c r="I391" s="40" t="s">
        <v>14</v>
      </c>
      <c r="J391" s="17" t="str">
        <f>IF(Plan!$I14=0,G11&amp;F11,"")</f>
        <v>1. FC Köln1. FSV Mainz 05</v>
      </c>
      <c r="K391" s="7">
        <f t="shared" si="8"/>
        <v>1</v>
      </c>
      <c r="L391" s="7" t="str">
        <f>IF(AND(K391&gt;0,Plan!$I14=0),I11&amp;Language!$E$65&amp;H11,"")</f>
        <v>1 : 0</v>
      </c>
      <c r="M391" s="2" t="str">
        <f>IF(Plan!$I14=1,G11&amp;F11,"")</f>
        <v/>
      </c>
      <c r="N391" s="93" t="str">
        <f>IF(AND(K391&gt;0,Plan!$I14=1),I11&amp;Language!$E$65&amp;H11,"")</f>
        <v/>
      </c>
    </row>
    <row r="392" spans="9:14" x14ac:dyDescent="0.2">
      <c r="I392" s="40" t="s">
        <v>15</v>
      </c>
      <c r="J392" s="17" t="str">
        <f>IF(Plan!$I15=0,G12&amp;F12,"")</f>
        <v>Hamburger SVBorussia Mönchengladbach</v>
      </c>
      <c r="K392" s="7">
        <f t="shared" si="8"/>
        <v>1</v>
      </c>
      <c r="L392" s="7" t="str">
        <f>IF(AND(K392&gt;0,Plan!$I15=0),I12&amp;Language!$E$65&amp;H12,"")</f>
        <v>0 : 0</v>
      </c>
      <c r="M392" s="2" t="str">
        <f>IF(Plan!$I15=1,G12&amp;F12,"")</f>
        <v/>
      </c>
      <c r="N392" s="93" t="str">
        <f>IF(AND(K392&gt;0,Plan!$I15=1),I12&amp;Language!$E$65&amp;H12,"")</f>
        <v/>
      </c>
    </row>
    <row r="393" spans="9:14" x14ac:dyDescent="0.2">
      <c r="I393" s="40" t="s">
        <v>21</v>
      </c>
      <c r="J393" s="17" t="str">
        <f>IF(Plan!$I16=0,G13&amp;F13,"")</f>
        <v>FC St. PauliHamburger SV</v>
      </c>
      <c r="K393" s="7">
        <f t="shared" si="8"/>
        <v>1</v>
      </c>
      <c r="L393" s="7" t="str">
        <f>IF(AND(K393&gt;0,Plan!$I16=0),I13&amp;Language!$E$65&amp;H13,"")</f>
        <v>2 : 0</v>
      </c>
      <c r="M393" s="2" t="str">
        <f>IF(Plan!$I16=1,G13&amp;F13,"")</f>
        <v/>
      </c>
      <c r="N393" s="93" t="str">
        <f>IF(AND(K393&gt;0,Plan!$I16=1),I13&amp;Language!$E$65&amp;H13,"")</f>
        <v/>
      </c>
    </row>
    <row r="394" spans="9:14" x14ac:dyDescent="0.2">
      <c r="I394" s="40" t="s">
        <v>22</v>
      </c>
      <c r="J394" s="17" t="str">
        <f>IF(Plan!$I17=0,G14&amp;F14,"")</f>
        <v>Borussia MönchengladbachVfB Stuttgart</v>
      </c>
      <c r="K394" s="7">
        <f t="shared" si="8"/>
        <v>1</v>
      </c>
      <c r="L394" s="7" t="str">
        <f>IF(AND(K394&gt;0,Plan!$I17=0),I14&amp;Language!$E$65&amp;H14,"")</f>
        <v>0 : 1</v>
      </c>
      <c r="M394" s="2" t="str">
        <f>IF(Plan!$I17=1,G14&amp;F14,"")</f>
        <v/>
      </c>
      <c r="N394" s="93" t="str">
        <f>IF(AND(K394&gt;0,Plan!$I17=1),I14&amp;Language!$E$65&amp;H14,"")</f>
        <v/>
      </c>
    </row>
    <row r="395" spans="9:14" x14ac:dyDescent="0.2">
      <c r="I395" s="40" t="s">
        <v>23</v>
      </c>
      <c r="J395" s="17" t="str">
        <f>IF(Plan!$I18=0,G15&amp;F15,"")</f>
        <v>Eintracht FrankfurtTSG Hoffenheim</v>
      </c>
      <c r="K395" s="7">
        <f t="shared" si="8"/>
        <v>1</v>
      </c>
      <c r="L395" s="7" t="str">
        <f>IF(AND(K395&gt;0,Plan!$I18=0),I15&amp;Language!$E$65&amp;H15,"")</f>
        <v>3 : 1</v>
      </c>
      <c r="M395" s="2" t="str">
        <f>IF(Plan!$I18=1,G15&amp;F15,"")</f>
        <v/>
      </c>
      <c r="N395" s="93" t="str">
        <f>IF(AND(K395&gt;0,Plan!$I18=1),I15&amp;Language!$E$65&amp;H15,"")</f>
        <v/>
      </c>
    </row>
    <row r="396" spans="9:14" x14ac:dyDescent="0.2">
      <c r="I396" s="40" t="s">
        <v>24</v>
      </c>
      <c r="J396" s="17" t="str">
        <f>IF(Plan!$I19=0,G16&amp;F16,"")</f>
        <v>1. FC Heidenheim 1846RB Leipzig</v>
      </c>
      <c r="K396" s="7">
        <f t="shared" si="8"/>
        <v>1</v>
      </c>
      <c r="L396" s="7" t="str">
        <f>IF(AND(K396&gt;0,Plan!$I19=0),I16&amp;Language!$E$65&amp;H16,"")</f>
        <v>0 : 2</v>
      </c>
      <c r="M396" s="2" t="str">
        <f>IF(Plan!$I19=1,G16&amp;F16,"")</f>
        <v/>
      </c>
      <c r="N396" s="93" t="str">
        <f>IF(AND(K396&gt;0,Plan!$I19=1),I16&amp;Language!$E$65&amp;H16,"")</f>
        <v/>
      </c>
    </row>
    <row r="397" spans="9:14" x14ac:dyDescent="0.2">
      <c r="I397" s="40" t="s">
        <v>25</v>
      </c>
      <c r="J397" s="17" t="str">
        <f>IF(Plan!$I20=0,G17&amp;F17,"")</f>
        <v>Bayer 04 LeverkusenSV Werder Bremen</v>
      </c>
      <c r="K397" s="7">
        <f t="shared" si="8"/>
        <v>1</v>
      </c>
      <c r="L397" s="7" t="str">
        <f>IF(AND(K397&gt;0,Plan!$I20=0),I17&amp;Language!$E$65&amp;H17,"")</f>
        <v>3 : 3</v>
      </c>
      <c r="M397" s="2" t="str">
        <f>IF(Plan!$I20=1,G17&amp;F17,"")</f>
        <v/>
      </c>
      <c r="N397" s="93" t="str">
        <f>IF(AND(K397&gt;0,Plan!$I20=1),I17&amp;Language!$E$65&amp;H17,"")</f>
        <v/>
      </c>
    </row>
    <row r="398" spans="9:14" x14ac:dyDescent="0.2">
      <c r="I398" s="40" t="s">
        <v>26</v>
      </c>
      <c r="J398" s="17" t="str">
        <f>IF(Plan!$I21=0,G18&amp;F18,"")</f>
        <v>FC Bayern MünchenFC Augsburg</v>
      </c>
      <c r="K398" s="7">
        <f t="shared" si="8"/>
        <v>1</v>
      </c>
      <c r="L398" s="7" t="str">
        <f>IF(AND(K398&gt;0,Plan!$I21=0),I18&amp;Language!$E$65&amp;H18,"")</f>
        <v>3 : 2</v>
      </c>
      <c r="M398" s="2" t="str">
        <f>IF(Plan!$I21=1,G18&amp;F18,"")</f>
        <v/>
      </c>
      <c r="N398" s="93" t="str">
        <f>IF(AND(K398&gt;0,Plan!$I21=1),I18&amp;Language!$E$65&amp;H18,"")</f>
        <v/>
      </c>
    </row>
    <row r="399" spans="9:14" x14ac:dyDescent="0.2">
      <c r="I399" s="40" t="s">
        <v>27</v>
      </c>
      <c r="J399" s="17" t="str">
        <f>IF(Plan!$I22=0,G19&amp;F19,"")</f>
        <v>1. FSV Mainz 05VfL Wolfsburg</v>
      </c>
      <c r="K399" s="7">
        <f t="shared" si="8"/>
        <v>1</v>
      </c>
      <c r="L399" s="7" t="str">
        <f>IF(AND(K399&gt;0,Plan!$I22=0),I19&amp;Language!$E$65&amp;H19,"")</f>
        <v>1 : 1</v>
      </c>
      <c r="M399" s="2" t="str">
        <f>IF(Plan!$I22=1,G19&amp;F19,"")</f>
        <v/>
      </c>
      <c r="N399" s="93" t="str">
        <f>IF(AND(K399&gt;0,Plan!$I22=1),I19&amp;Language!$E$65&amp;H19,"")</f>
        <v/>
      </c>
    </row>
    <row r="400" spans="9:14" x14ac:dyDescent="0.2">
      <c r="I400" s="40" t="s">
        <v>28</v>
      </c>
      <c r="J400" s="17" t="str">
        <f>IF(Plan!$I23=0,G20&amp;F20,"")</f>
        <v>1. FC Union BerlinBorussia Dortmund</v>
      </c>
      <c r="K400" s="7">
        <f t="shared" si="8"/>
        <v>1</v>
      </c>
      <c r="L400" s="7" t="str">
        <f>IF(AND(K400&gt;0,Plan!$I23=0),I20&amp;Language!$E$65&amp;H20,"")</f>
        <v>0 : 3</v>
      </c>
      <c r="M400" s="2" t="str">
        <f>IF(Plan!$I23=1,G20&amp;F20,"")</f>
        <v/>
      </c>
      <c r="N400" s="93" t="str">
        <f>IF(AND(K400&gt;0,Plan!$I23=1),I20&amp;Language!$E$65&amp;H20,"")</f>
        <v/>
      </c>
    </row>
    <row r="401" spans="9:14" x14ac:dyDescent="0.2">
      <c r="I401" s="40" t="s">
        <v>29</v>
      </c>
      <c r="J401" s="17" t="str">
        <f>IF(Plan!$I24=0,G21&amp;F21,"")</f>
        <v>SC Freiburg1. FC Köln</v>
      </c>
      <c r="K401" s="7">
        <f t="shared" si="8"/>
        <v>1</v>
      </c>
      <c r="L401" s="7" t="str">
        <f>IF(AND(K401&gt;0,Plan!$I24=0),I21&amp;Language!$E$65&amp;H21,"")</f>
        <v>1 : 4</v>
      </c>
      <c r="M401" s="2" t="str">
        <f>IF(Plan!$I24=1,G21&amp;F21,"")</f>
        <v/>
      </c>
      <c r="N401" s="93" t="str">
        <f>IF(AND(K401&gt;0,Plan!$I24=1),I21&amp;Language!$E$65&amp;H21,"")</f>
        <v/>
      </c>
    </row>
    <row r="402" spans="9:14" x14ac:dyDescent="0.2">
      <c r="I402" s="40" t="s">
        <v>30</v>
      </c>
      <c r="J402" s="17" t="str">
        <f>IF(Plan!$I25=0,G22&amp;F22,"")</f>
        <v>Eintracht FrankfurtBayer 04 Leverkusen</v>
      </c>
      <c r="K402" s="7">
        <f t="shared" si="8"/>
        <v>1</v>
      </c>
      <c r="L402" s="7" t="str">
        <f>IF(AND(K402&gt;0,Plan!$I25=0),I22&amp;Language!$E$65&amp;H22,"")</f>
        <v>1 : 3</v>
      </c>
      <c r="M402" s="2" t="str">
        <f>IF(Plan!$I25=1,G22&amp;F22,"")</f>
        <v/>
      </c>
      <c r="N402" s="93" t="str">
        <f>IF(AND(K402&gt;0,Plan!$I25=1),I22&amp;Language!$E$65&amp;H22,"")</f>
        <v/>
      </c>
    </row>
    <row r="403" spans="9:14" x14ac:dyDescent="0.2">
      <c r="I403" s="40" t="s">
        <v>31</v>
      </c>
      <c r="J403" s="17" t="str">
        <f>IF(Plan!$I26=0,G23&amp;F23,"")</f>
        <v>TSG Hoffenheim1. FC Union Berlin</v>
      </c>
      <c r="K403" s="7">
        <f t="shared" si="8"/>
        <v>1</v>
      </c>
      <c r="L403" s="7" t="str">
        <f>IF(AND(K403&gt;0,Plan!$I26=0),I23&amp;Language!$E$65&amp;H23,"")</f>
        <v>4 : 2</v>
      </c>
      <c r="M403" s="2" t="str">
        <f>IF(Plan!$I26=1,G23&amp;F23,"")</f>
        <v/>
      </c>
      <c r="N403" s="93" t="str">
        <f>IF(AND(K403&gt;0,Plan!$I26=1),I23&amp;Language!$E$65&amp;H23,"")</f>
        <v/>
      </c>
    </row>
    <row r="404" spans="9:14" x14ac:dyDescent="0.2">
      <c r="I404" s="40" t="s">
        <v>32</v>
      </c>
      <c r="J404" s="17" t="str">
        <f>IF(Plan!$I27=0,G24&amp;F24,"")</f>
        <v>Borussia Dortmund1. FC Heidenheim 1846</v>
      </c>
      <c r="K404" s="7">
        <f t="shared" si="8"/>
        <v>1</v>
      </c>
      <c r="L404" s="7" t="str">
        <f>IF(AND(K404&gt;0,Plan!$I27=0),I24&amp;Language!$E$65&amp;H24,"")</f>
        <v>2 : 0</v>
      </c>
      <c r="M404" s="2" t="str">
        <f>IF(Plan!$I27=1,G24&amp;F24,"")</f>
        <v/>
      </c>
      <c r="N404" s="93" t="str">
        <f>IF(AND(K404&gt;0,Plan!$I27=1),I24&amp;Language!$E$65&amp;H24,"")</f>
        <v/>
      </c>
    </row>
    <row r="405" spans="9:14" x14ac:dyDescent="0.2">
      <c r="I405" s="40" t="s">
        <v>33</v>
      </c>
      <c r="J405" s="17" t="str">
        <f>IF(Plan!$I28=0,G25&amp;F25,"")</f>
        <v>1. FC KölnVfL Wolfsburg</v>
      </c>
      <c r="K405" s="7">
        <f t="shared" si="8"/>
        <v>1</v>
      </c>
      <c r="L405" s="7" t="str">
        <f>IF(AND(K405&gt;0,Plan!$I28=0),I25&amp;Language!$E$65&amp;H25,"")</f>
        <v>3 : 3</v>
      </c>
      <c r="M405" s="2" t="str">
        <f>IF(Plan!$I28=1,G25&amp;F25,"")</f>
        <v/>
      </c>
      <c r="N405" s="93" t="str">
        <f>IF(AND(K405&gt;0,Plan!$I28=1),I25&amp;Language!$E$65&amp;H25,"")</f>
        <v/>
      </c>
    </row>
    <row r="406" spans="9:14" x14ac:dyDescent="0.2">
      <c r="I406" s="40" t="s">
        <v>34</v>
      </c>
      <c r="J406" s="17" t="str">
        <f>IF(Plan!$I29=0,G26&amp;F26,"")</f>
        <v>VfB StuttgartSC Freiburg</v>
      </c>
      <c r="K406" s="7">
        <f t="shared" si="8"/>
        <v>1</v>
      </c>
      <c r="L406" s="7" t="str">
        <f>IF(AND(K406&gt;0,Plan!$I29=0),I26&amp;Language!$E$65&amp;H26,"")</f>
        <v>1 : 3</v>
      </c>
      <c r="M406" s="2" t="str">
        <f>IF(Plan!$I29=1,G26&amp;F26,"")</f>
        <v/>
      </c>
      <c r="N406" s="93" t="str">
        <f>IF(AND(K406&gt;0,Plan!$I29=1),I26&amp;Language!$E$65&amp;H26,"")</f>
        <v/>
      </c>
    </row>
    <row r="407" spans="9:14" x14ac:dyDescent="0.2">
      <c r="I407" s="40" t="s">
        <v>35</v>
      </c>
      <c r="J407" s="17" t="str">
        <f>IF(Plan!$I30=0,G27&amp;F27,"")</f>
        <v>RB Leipzig1. FSV Mainz 05</v>
      </c>
      <c r="K407" s="7">
        <f t="shared" si="8"/>
        <v>1</v>
      </c>
      <c r="L407" s="7" t="str">
        <f>IF(AND(K407&gt;0,Plan!$I30=0),I27&amp;Language!$E$65&amp;H27,"")</f>
        <v>1 : 0</v>
      </c>
      <c r="M407" s="2" t="str">
        <f>IF(Plan!$I30=1,G27&amp;F27,"")</f>
        <v/>
      </c>
      <c r="N407" s="93" t="str">
        <f>IF(AND(K407&gt;0,Plan!$I30=1),I27&amp;Language!$E$65&amp;H27,"")</f>
        <v/>
      </c>
    </row>
    <row r="408" spans="9:14" x14ac:dyDescent="0.2">
      <c r="I408" s="40" t="s">
        <v>36</v>
      </c>
      <c r="J408" s="17" t="str">
        <f>IF(Plan!$I31=0,G28&amp;F28,"")</f>
        <v>Hamburger SVFC Bayern München</v>
      </c>
      <c r="K408" s="7">
        <f t="shared" si="8"/>
        <v>1</v>
      </c>
      <c r="L408" s="7" t="str">
        <f>IF(AND(K408&gt;0,Plan!$I31=0),I28&amp;Language!$E$65&amp;H28,"")</f>
        <v>0 : 5</v>
      </c>
      <c r="M408" s="2" t="str">
        <f>IF(Plan!$I31=1,G28&amp;F28,"")</f>
        <v/>
      </c>
      <c r="N408" s="93" t="str">
        <f>IF(AND(K408&gt;0,Plan!$I31=1),I28&amp;Language!$E$65&amp;H28,"")</f>
        <v/>
      </c>
    </row>
    <row r="409" spans="9:14" x14ac:dyDescent="0.2">
      <c r="I409" s="40" t="s">
        <v>37</v>
      </c>
      <c r="J409" s="17" t="str">
        <f>IF(Plan!$I32=0,G29&amp;F29,"")</f>
        <v>FC AugsburgFC St. Pauli</v>
      </c>
      <c r="K409" s="7">
        <f t="shared" si="8"/>
        <v>1</v>
      </c>
      <c r="L409" s="7" t="str">
        <f>IF(AND(K409&gt;0,Plan!$I32=0),I29&amp;Language!$E$65&amp;H29,"")</f>
        <v>1 : 2</v>
      </c>
      <c r="M409" s="2" t="str">
        <f>IF(Plan!$I32=1,G29&amp;F29,"")</f>
        <v/>
      </c>
      <c r="N409" s="93" t="str">
        <f>IF(AND(K409&gt;0,Plan!$I32=1),I29&amp;Language!$E$65&amp;H29,"")</f>
        <v/>
      </c>
    </row>
    <row r="410" spans="9:14" x14ac:dyDescent="0.2">
      <c r="I410" s="40" t="s">
        <v>38</v>
      </c>
      <c r="J410" s="17" t="str">
        <f>IF(Plan!$I33=0,G30&amp;F30,"")</f>
        <v>SV Werder BremenBorussia Mönchengladbach</v>
      </c>
      <c r="K410" s="7">
        <f t="shared" si="8"/>
        <v>1</v>
      </c>
      <c r="L410" s="7" t="str">
        <f>IF(AND(K410&gt;0,Plan!$I33=0),I30&amp;Language!$E$65&amp;H30,"")</f>
        <v>4 : 0</v>
      </c>
      <c r="M410" s="2" t="str">
        <f>IF(Plan!$I33=1,G30&amp;F30,"")</f>
        <v/>
      </c>
      <c r="N410" s="93" t="str">
        <f>IF(AND(K410&gt;0,Plan!$I33=1),I30&amp;Language!$E$65&amp;H30,"")</f>
        <v/>
      </c>
    </row>
    <row r="411" spans="9:14" x14ac:dyDescent="0.2">
      <c r="I411" s="40" t="s">
        <v>39</v>
      </c>
      <c r="J411" s="17" t="str">
        <f>IF(Plan!$I34=0,G31&amp;F31,"")</f>
        <v>FC St. PauliVfB Stuttgart</v>
      </c>
      <c r="K411" s="7">
        <f t="shared" si="8"/>
        <v>1</v>
      </c>
      <c r="L411" s="7" t="str">
        <f>IF(AND(K411&gt;0,Plan!$I34=0),I31&amp;Language!$E$65&amp;H31,"")</f>
        <v>0 : 2</v>
      </c>
      <c r="M411" s="2" t="str">
        <f>IF(Plan!$I34=1,G31&amp;F31,"")</f>
        <v/>
      </c>
      <c r="N411" s="93" t="str">
        <f>IF(AND(K411&gt;0,Plan!$I34=1),I31&amp;Language!$E$65&amp;H31,"")</f>
        <v/>
      </c>
    </row>
    <row r="412" spans="9:14" x14ac:dyDescent="0.2">
      <c r="I412" s="40" t="s">
        <v>40</v>
      </c>
      <c r="J412" s="17" t="str">
        <f>IF(Plan!$I35=0,G32&amp;F32,"")</f>
        <v>FC Bayern MünchenTSG Hoffenheim</v>
      </c>
      <c r="K412" s="7">
        <f t="shared" si="8"/>
        <v>1</v>
      </c>
      <c r="L412" s="7" t="str">
        <f>IF(AND(K412&gt;0,Plan!$I35=0),I32&amp;Language!$E$65&amp;H32,"")</f>
        <v>4 : 1</v>
      </c>
      <c r="M412" s="2" t="str">
        <f>IF(Plan!$I35=1,G32&amp;F32,"")</f>
        <v/>
      </c>
      <c r="N412" s="93" t="str">
        <f>IF(AND(K412&gt;0,Plan!$I35=1),I32&amp;Language!$E$65&amp;H32,"")</f>
        <v/>
      </c>
    </row>
    <row r="413" spans="9:14" x14ac:dyDescent="0.2">
      <c r="I413" s="40" t="s">
        <v>41</v>
      </c>
      <c r="J413" s="17" t="str">
        <f>IF(Plan!$I36=0,G33&amp;F33,"")</f>
        <v>1. FC Heidenheim 1846Hamburger SV</v>
      </c>
      <c r="K413" s="7">
        <f t="shared" si="8"/>
        <v>1</v>
      </c>
      <c r="L413" s="7" t="str">
        <f>IF(AND(K413&gt;0,Plan!$I36=0),I33&amp;Language!$E$65&amp;H33,"")</f>
        <v>1 : 2</v>
      </c>
      <c r="M413" s="2" t="str">
        <f>IF(Plan!$I36=1,G33&amp;F33,"")</f>
        <v/>
      </c>
      <c r="N413" s="93" t="str">
        <f>IF(AND(K413&gt;0,Plan!$I36=1),I33&amp;Language!$E$65&amp;H33,"")</f>
        <v/>
      </c>
    </row>
    <row r="414" spans="9:14" x14ac:dyDescent="0.2">
      <c r="I414" s="40" t="s">
        <v>42</v>
      </c>
      <c r="J414" s="17" t="str">
        <f>IF(Plan!$I37=0,G34&amp;F34,"")</f>
        <v>SC FreiburgSV Werder Bremen</v>
      </c>
      <c r="K414" s="7">
        <f t="shared" si="8"/>
        <v>1</v>
      </c>
      <c r="L414" s="7" t="str">
        <f>IF(AND(K414&gt;0,Plan!$I37=0),I34&amp;Language!$E$65&amp;H34,"")</f>
        <v>3 : 0</v>
      </c>
      <c r="M414" s="2" t="str">
        <f>IF(Plan!$I37=1,G34&amp;F34,"")</f>
        <v/>
      </c>
      <c r="N414" s="93" t="str">
        <f>IF(AND(K414&gt;0,Plan!$I37=1),I34&amp;Language!$E$65&amp;H34,"")</f>
        <v/>
      </c>
    </row>
    <row r="415" spans="9:14" x14ac:dyDescent="0.2">
      <c r="I415" s="40" t="s">
        <v>43</v>
      </c>
      <c r="J415" s="17" t="str">
        <f>IF(Plan!$I38=0,G35&amp;F35,"")</f>
        <v>1. FSV Mainz 05FC Augsburg</v>
      </c>
      <c r="K415" s="7">
        <f t="shared" si="8"/>
        <v>1</v>
      </c>
      <c r="L415" s="7" t="str">
        <f>IF(AND(K415&gt;0,Plan!$I38=0),I35&amp;Language!$E$65&amp;H35,"")</f>
        <v>4 : 1</v>
      </c>
      <c r="M415" s="2" t="str">
        <f>IF(Plan!$I38=1,G35&amp;F35,"")</f>
        <v/>
      </c>
      <c r="N415" s="93" t="str">
        <f>IF(AND(K415&gt;0,Plan!$I38=1),I35&amp;Language!$E$65&amp;H35,"")</f>
        <v/>
      </c>
    </row>
    <row r="416" spans="9:14" x14ac:dyDescent="0.2">
      <c r="I416" s="40" t="s">
        <v>44</v>
      </c>
      <c r="J416" s="17" t="str">
        <f>IF(Plan!$I39=0,G36&amp;F36,"")</f>
        <v>1. FC KölnRB Leipzig</v>
      </c>
      <c r="K416" s="7">
        <f t="shared" ref="K416:K447" si="9">K36</f>
        <v>1</v>
      </c>
      <c r="L416" s="7" t="str">
        <f>IF(AND(K416&gt;0,Plan!$I39=0),I36&amp;Language!$E$65&amp;H36,"")</f>
        <v>1 : 3</v>
      </c>
      <c r="M416" s="2" t="str">
        <f>IF(Plan!$I39=1,G36&amp;F36,"")</f>
        <v/>
      </c>
      <c r="N416" s="93" t="str">
        <f>IF(AND(K416&gt;0,Plan!$I39=1),I36&amp;Language!$E$65&amp;H36,"")</f>
        <v/>
      </c>
    </row>
    <row r="417" spans="9:14" x14ac:dyDescent="0.2">
      <c r="I417" s="40" t="s">
        <v>45</v>
      </c>
      <c r="J417" s="17" t="str">
        <f>IF(Plan!$I40=0,G37&amp;F37,"")</f>
        <v>1. FC Union BerlinEintracht Frankfurt</v>
      </c>
      <c r="K417" s="7">
        <f t="shared" si="9"/>
        <v>1</v>
      </c>
      <c r="L417" s="7" t="str">
        <f>IF(AND(K417&gt;0,Plan!$I40=0),I37&amp;Language!$E$65&amp;H37,"")</f>
        <v>4 : 3</v>
      </c>
      <c r="M417" s="2" t="str">
        <f>IF(Plan!$I40=1,G37&amp;F37,"")</f>
        <v/>
      </c>
      <c r="N417" s="93" t="str">
        <f>IF(AND(K417&gt;0,Plan!$I40=1),I37&amp;Language!$E$65&amp;H37,"")</f>
        <v/>
      </c>
    </row>
    <row r="418" spans="9:14" x14ac:dyDescent="0.2">
      <c r="I418" s="40" t="s">
        <v>46</v>
      </c>
      <c r="J418" s="17" t="str">
        <f>IF(Plan!$I41=0,G38&amp;F38,"")</f>
        <v>Borussia MönchengladbachBayer 04 Leverkusen</v>
      </c>
      <c r="K418" s="7">
        <f t="shared" si="9"/>
        <v>1</v>
      </c>
      <c r="L418" s="7" t="str">
        <f>IF(AND(K418&gt;0,Plan!$I41=0),I38&amp;Language!$E$65&amp;H38,"")</f>
        <v>1 : 1</v>
      </c>
      <c r="M418" s="2" t="str">
        <f>IF(Plan!$I41=1,G38&amp;F38,"")</f>
        <v/>
      </c>
      <c r="N418" s="93" t="str">
        <f>IF(AND(K418&gt;0,Plan!$I41=1),I38&amp;Language!$E$65&amp;H38,"")</f>
        <v/>
      </c>
    </row>
    <row r="419" spans="9:14" x14ac:dyDescent="0.2">
      <c r="I419" s="40" t="s">
        <v>47</v>
      </c>
      <c r="J419" s="17" t="str">
        <f>IF(Plan!$I42=0,G39&amp;F39,"")</f>
        <v>VfL WolfsburgBorussia Dortmund</v>
      </c>
      <c r="K419" s="7">
        <f t="shared" si="9"/>
        <v>1</v>
      </c>
      <c r="L419" s="7" t="str">
        <f>IF(AND(K419&gt;0,Plan!$I42=0),I39&amp;Language!$E$65&amp;H39,"")</f>
        <v>0 : 1</v>
      </c>
      <c r="M419" s="2" t="str">
        <f>IF(Plan!$I42=1,G39&amp;F39,"")</f>
        <v/>
      </c>
      <c r="N419" s="93" t="str">
        <f>IF(AND(K419&gt;0,Plan!$I42=1),I39&amp;Language!$E$65&amp;H39,"")</f>
        <v/>
      </c>
    </row>
    <row r="420" spans="9:14" x14ac:dyDescent="0.2">
      <c r="I420" s="40" t="s">
        <v>54</v>
      </c>
      <c r="J420" s="17" t="str">
        <f>IF(Plan!$I43=0,G40&amp;F40,"")</f>
        <v>SV Werder BremenFC Bayern München</v>
      </c>
      <c r="K420" s="7">
        <f t="shared" si="9"/>
        <v>1</v>
      </c>
      <c r="L420" s="7" t="str">
        <f>IF(AND(K420&gt;0,Plan!$I43=0),I40&amp;Language!$E$65&amp;H40,"")</f>
        <v>0 : 4</v>
      </c>
      <c r="M420" s="2" t="str">
        <f>IF(Plan!$I43=1,G40&amp;F40,"")</f>
        <v/>
      </c>
      <c r="N420" s="93" t="str">
        <f>IF(AND(K420&gt;0,Plan!$I43=1),I40&amp;Language!$E$65&amp;H40,"")</f>
        <v/>
      </c>
    </row>
    <row r="421" spans="9:14" x14ac:dyDescent="0.2">
      <c r="I421" s="40" t="s">
        <v>55</v>
      </c>
      <c r="J421" s="17" t="str">
        <f>IF(Plan!$I44=0,G41&amp;F41,"")</f>
        <v>Bayer 04 LeverkusenFC St. Pauli</v>
      </c>
      <c r="K421" s="7">
        <f t="shared" si="9"/>
        <v>1</v>
      </c>
      <c r="L421" s="7" t="str">
        <f>IF(AND(K421&gt;0,Plan!$I44=0),I41&amp;Language!$E$65&amp;H41,"")</f>
        <v>2 : 1</v>
      </c>
      <c r="M421" s="2" t="str">
        <f>IF(Plan!$I44=1,G41&amp;F41,"")</f>
        <v/>
      </c>
      <c r="N421" s="93" t="str">
        <f>IF(AND(K421&gt;0,Plan!$I44=1),I41&amp;Language!$E$65&amp;H41,"")</f>
        <v/>
      </c>
    </row>
    <row r="422" spans="9:14" x14ac:dyDescent="0.2">
      <c r="I422" s="40" t="s">
        <v>56</v>
      </c>
      <c r="J422" s="17" t="str">
        <f>IF(Plan!$I45=0,G42&amp;F42,"")</f>
        <v>FC Augsburg1. FC Heidenheim 1846</v>
      </c>
      <c r="K422" s="7">
        <f t="shared" si="9"/>
        <v>1</v>
      </c>
      <c r="L422" s="7" t="str">
        <f>IF(AND(K422&gt;0,Plan!$I45=0),I42&amp;Language!$E$65&amp;H42,"")</f>
        <v>1 : 2</v>
      </c>
      <c r="M422" s="2" t="str">
        <f>IF(Plan!$I45=1,G42&amp;F42,"")</f>
        <v/>
      </c>
      <c r="N422" s="93" t="str">
        <f>IF(AND(K422&gt;0,Plan!$I45=1),I42&amp;Language!$E$65&amp;H42,"")</f>
        <v/>
      </c>
    </row>
    <row r="423" spans="9:14" x14ac:dyDescent="0.2">
      <c r="I423" s="40" t="s">
        <v>57</v>
      </c>
      <c r="J423" s="17" t="str">
        <f>IF(Plan!$I46=0,G43&amp;F43,"")</f>
        <v>Borussia Dortmund1. FSV Mainz 05</v>
      </c>
      <c r="K423" s="7">
        <f t="shared" si="9"/>
        <v>1</v>
      </c>
      <c r="L423" s="7" t="str">
        <f>IF(AND(K423&gt;0,Plan!$I46=0),I43&amp;Language!$E$65&amp;H43,"")</f>
        <v>2 : 0</v>
      </c>
      <c r="M423" s="2" t="str">
        <f>IF(Plan!$I46=1,G43&amp;F43,"")</f>
        <v/>
      </c>
      <c r="N423" s="93" t="str">
        <f>IF(AND(K423&gt;0,Plan!$I46=1),I43&amp;Language!$E$65&amp;H43,"")</f>
        <v/>
      </c>
    </row>
    <row r="424" spans="9:14" x14ac:dyDescent="0.2">
      <c r="I424" s="40" t="s">
        <v>58</v>
      </c>
      <c r="J424" s="17" t="str">
        <f>IF(Plan!$I47=0,G44&amp;F44,"")</f>
        <v>RB LeipzigVfL Wolfsburg</v>
      </c>
      <c r="K424" s="7">
        <f t="shared" si="9"/>
        <v>1</v>
      </c>
      <c r="L424" s="7" t="str">
        <f>IF(AND(K424&gt;0,Plan!$I47=0),I44&amp;Language!$E$65&amp;H44,"")</f>
        <v>1 : 0</v>
      </c>
      <c r="M424" s="2" t="str">
        <f>IF(Plan!$I47=1,G44&amp;F44,"")</f>
        <v/>
      </c>
      <c r="N424" s="93" t="str">
        <f>IF(AND(K424&gt;0,Plan!$I47=1),I44&amp;Language!$E$65&amp;H44,"")</f>
        <v/>
      </c>
    </row>
    <row r="425" spans="9:14" x14ac:dyDescent="0.2">
      <c r="I425" s="40" t="s">
        <v>59</v>
      </c>
      <c r="J425" s="17" t="str">
        <f>IF(Plan!$I48=0,G45&amp;F45,"")</f>
        <v>Eintracht FrankfurtBorussia Mönchengladbach</v>
      </c>
      <c r="K425" s="7">
        <f t="shared" si="9"/>
        <v>1</v>
      </c>
      <c r="L425" s="7" t="str">
        <f>IF(AND(K425&gt;0,Plan!$I48=0),I45&amp;Language!$E$65&amp;H45,"")</f>
        <v>6 : 4</v>
      </c>
      <c r="M425" s="2" t="str">
        <f>IF(Plan!$I48=1,G45&amp;F45,"")</f>
        <v/>
      </c>
      <c r="N425" s="93" t="str">
        <f>IF(AND(K425&gt;0,Plan!$I48=1),I45&amp;Language!$E$65&amp;H45,"")</f>
        <v/>
      </c>
    </row>
    <row r="426" spans="9:14" x14ac:dyDescent="0.2">
      <c r="I426" s="40" t="s">
        <v>60</v>
      </c>
      <c r="J426" s="17" t="str">
        <f>IF(Plan!$I49=0,G46&amp;F46,"")</f>
        <v>TSG HoffenheimSC Freiburg</v>
      </c>
      <c r="K426" s="7">
        <f t="shared" si="9"/>
        <v>1</v>
      </c>
      <c r="L426" s="7" t="str">
        <f>IF(AND(K426&gt;0,Plan!$I49=0),I46&amp;Language!$E$65&amp;H46,"")</f>
        <v>1 : 1</v>
      </c>
      <c r="M426" s="2" t="str">
        <f>IF(Plan!$I49=1,G46&amp;F46,"")</f>
        <v/>
      </c>
      <c r="N426" s="93" t="str">
        <f>IF(AND(K426&gt;0,Plan!$I49=1),I46&amp;Language!$E$65&amp;H46,"")</f>
        <v/>
      </c>
    </row>
    <row r="427" spans="9:14" x14ac:dyDescent="0.2">
      <c r="I427" s="40" t="s">
        <v>61</v>
      </c>
      <c r="J427" s="17" t="str">
        <f>IF(Plan!$I50=0,G47&amp;F47,"")</f>
        <v>VfB Stuttgart1. FC Köln</v>
      </c>
      <c r="K427" s="7">
        <f t="shared" si="9"/>
        <v>1</v>
      </c>
      <c r="L427" s="7" t="str">
        <f>IF(AND(K427&gt;0,Plan!$I50=0),I47&amp;Language!$E$65&amp;H47,"")</f>
        <v>2 : 1</v>
      </c>
      <c r="M427" s="2" t="str">
        <f>IF(Plan!$I50=1,G47&amp;F47,"")</f>
        <v/>
      </c>
      <c r="N427" s="93" t="str">
        <f>IF(AND(K427&gt;0,Plan!$I50=1),I47&amp;Language!$E$65&amp;H47,"")</f>
        <v/>
      </c>
    </row>
    <row r="428" spans="9:14" x14ac:dyDescent="0.2">
      <c r="I428" s="40" t="s">
        <v>62</v>
      </c>
      <c r="J428" s="17" t="str">
        <f>IF(Plan!$I51=0,G48&amp;F48,"")</f>
        <v>Hamburger SV1. FC Union Berlin</v>
      </c>
      <c r="K428" s="7">
        <f t="shared" si="9"/>
        <v>1</v>
      </c>
      <c r="L428" s="7" t="str">
        <f>IF(AND(K428&gt;0,Plan!$I51=0),I48&amp;Language!$E$65&amp;H48,"")</f>
        <v>0 : 0</v>
      </c>
      <c r="M428" s="2" t="str">
        <f>IF(Plan!$I51=1,G48&amp;F48,"")</f>
        <v/>
      </c>
      <c r="N428" s="93" t="str">
        <f>IF(AND(K428&gt;0,Plan!$I51=1),I48&amp;Language!$E$65&amp;H48,"")</f>
        <v/>
      </c>
    </row>
    <row r="429" spans="9:14" x14ac:dyDescent="0.2">
      <c r="I429" s="40" t="s">
        <v>63</v>
      </c>
      <c r="J429" s="17" t="str">
        <f>IF(Plan!$I52=0,G49&amp;F49,"")</f>
        <v>1. FC KölnTSG Hoffenheim</v>
      </c>
      <c r="K429" s="7">
        <f t="shared" si="9"/>
        <v>1</v>
      </c>
      <c r="L429" s="7" t="str">
        <f>IF(AND(K429&gt;0,Plan!$I52=0),I49&amp;Language!$E$65&amp;H49,"")</f>
        <v>1 : 0</v>
      </c>
      <c r="M429" s="2" t="str">
        <f>IF(Plan!$I52=1,G49&amp;F49,"")</f>
        <v/>
      </c>
      <c r="N429" s="93" t="str">
        <f>IF(AND(K429&gt;0,Plan!$I52=1),I49&amp;Language!$E$65&amp;H49,"")</f>
        <v/>
      </c>
    </row>
    <row r="430" spans="9:14" x14ac:dyDescent="0.2">
      <c r="I430" s="40" t="s">
        <v>64</v>
      </c>
      <c r="J430" s="17" t="str">
        <f>IF(Plan!$I53=0,G50&amp;F50,"")</f>
        <v>FC St. PauliSV Werder Bremen</v>
      </c>
      <c r="K430" s="7">
        <f t="shared" si="9"/>
        <v>1</v>
      </c>
      <c r="L430" s="7" t="str">
        <f>IF(AND(K430&gt;0,Plan!$I53=0),I50&amp;Language!$E$65&amp;H50,"")</f>
        <v>0 : 1</v>
      </c>
      <c r="M430" s="2" t="str">
        <f>IF(Plan!$I53=1,G50&amp;F50,"")</f>
        <v/>
      </c>
      <c r="N430" s="93" t="str">
        <f>IF(AND(K430&gt;0,Plan!$I53=1),I50&amp;Language!$E$65&amp;H50,"")</f>
        <v/>
      </c>
    </row>
    <row r="431" spans="9:14" x14ac:dyDescent="0.2">
      <c r="I431" s="40" t="s">
        <v>65</v>
      </c>
      <c r="J431" s="17" t="str">
        <f>IF(Plan!$I54=0,G51&amp;F51,"")</f>
        <v>VfL WolfsburgFC Augsburg</v>
      </c>
      <c r="K431" s="7">
        <f t="shared" si="9"/>
        <v>1</v>
      </c>
      <c r="L431" s="7" t="str">
        <f>IF(AND(K431&gt;0,Plan!$I54=0),I51&amp;Language!$E$65&amp;H51,"")</f>
        <v>1 : 3</v>
      </c>
      <c r="M431" s="2" t="str">
        <f>IF(Plan!$I54=1,G51&amp;F51,"")</f>
        <v/>
      </c>
      <c r="N431" s="93" t="str">
        <f>IF(AND(K431&gt;0,Plan!$I54=1),I51&amp;Language!$E$65&amp;H51,"")</f>
        <v/>
      </c>
    </row>
    <row r="432" spans="9:14" x14ac:dyDescent="0.2">
      <c r="I432" s="40" t="s">
        <v>66</v>
      </c>
      <c r="J432" s="17" t="str">
        <f>IF(Plan!$I55=0,G52&amp;F52,"")</f>
        <v>1. FC Union BerlinBayer 04 Leverkusen</v>
      </c>
      <c r="K432" s="7">
        <f t="shared" si="9"/>
        <v>1</v>
      </c>
      <c r="L432" s="7" t="str">
        <f>IF(AND(K432&gt;0,Plan!$I55=0),I52&amp;Language!$E$65&amp;H52,"")</f>
        <v>0 : 2</v>
      </c>
      <c r="M432" s="2" t="str">
        <f>IF(Plan!$I55=1,G52&amp;F52,"")</f>
        <v/>
      </c>
      <c r="N432" s="93" t="str">
        <f>IF(AND(K432&gt;0,Plan!$I55=1),I52&amp;Language!$E$65&amp;H52,"")</f>
        <v/>
      </c>
    </row>
    <row r="433" spans="9:14" x14ac:dyDescent="0.2">
      <c r="I433" s="40" t="s">
        <v>67</v>
      </c>
      <c r="J433" s="17" t="str">
        <f>IF(Plan!$I56=0,G53&amp;F53,"")</f>
        <v>RB LeipzigBorussia Dortmund</v>
      </c>
      <c r="K433" s="7">
        <f t="shared" si="9"/>
        <v>1</v>
      </c>
      <c r="L433" s="7" t="str">
        <f>IF(AND(K433&gt;0,Plan!$I56=0),I53&amp;Language!$E$65&amp;H53,"")</f>
        <v>1 : 1</v>
      </c>
      <c r="M433" s="2" t="str">
        <f>IF(Plan!$I56=1,G53&amp;F53,"")</f>
        <v/>
      </c>
      <c r="N433" s="93" t="str">
        <f>IF(AND(K433&gt;0,Plan!$I56=1),I53&amp;Language!$E$65&amp;H53,"")</f>
        <v/>
      </c>
    </row>
    <row r="434" spans="9:14" x14ac:dyDescent="0.2">
      <c r="I434" s="40" t="s">
        <v>68</v>
      </c>
      <c r="J434" s="17" t="str">
        <f>IF(Plan!$I57=0,G54&amp;F54,"")</f>
        <v>FC Bayern MünchenEintracht Frankfurt</v>
      </c>
      <c r="K434" s="7">
        <f t="shared" si="9"/>
        <v>1</v>
      </c>
      <c r="L434" s="7" t="str">
        <f>IF(AND(K434&gt;0,Plan!$I57=0),I54&amp;Language!$E$65&amp;H54,"")</f>
        <v>3 : 0</v>
      </c>
      <c r="M434" s="2" t="str">
        <f>IF(Plan!$I57=1,G54&amp;F54,"")</f>
        <v/>
      </c>
      <c r="N434" s="93" t="str">
        <f>IF(AND(K434&gt;0,Plan!$I57=1),I54&amp;Language!$E$65&amp;H54,"")</f>
        <v/>
      </c>
    </row>
    <row r="435" spans="9:14" x14ac:dyDescent="0.2">
      <c r="I435" s="40" t="s">
        <v>69</v>
      </c>
      <c r="J435" s="17" t="str">
        <f>IF(Plan!$I58=0,G55&amp;F55,"")</f>
        <v>1. FC Heidenheim 1846VfB Stuttgart</v>
      </c>
      <c r="K435" s="7">
        <f t="shared" si="9"/>
        <v>1</v>
      </c>
      <c r="L435" s="7" t="str">
        <f>IF(AND(K435&gt;0,Plan!$I58=0),I55&amp;Language!$E$65&amp;H55,"")</f>
        <v>0 : 1</v>
      </c>
      <c r="M435" s="2" t="str">
        <f>IF(Plan!$I58=1,G55&amp;F55,"")</f>
        <v/>
      </c>
      <c r="N435" s="93" t="str">
        <f>IF(AND(K435&gt;0,Plan!$I58=1),I55&amp;Language!$E$65&amp;H55,"")</f>
        <v/>
      </c>
    </row>
    <row r="436" spans="9:14" x14ac:dyDescent="0.2">
      <c r="I436" s="40" t="s">
        <v>70</v>
      </c>
      <c r="J436" s="17" t="str">
        <f>IF(Plan!$I59=0,G56&amp;F56,"")</f>
        <v>1. FSV Mainz 05Hamburger SV</v>
      </c>
      <c r="K436" s="7">
        <f t="shared" si="9"/>
        <v>1</v>
      </c>
      <c r="L436" s="7" t="str">
        <f>IF(AND(K436&gt;0,Plan!$I59=0),I56&amp;Language!$E$65&amp;H56,"")</f>
        <v>0 : 4</v>
      </c>
      <c r="M436" s="2" t="str">
        <f>IF(Plan!$I59=1,G56&amp;F56,"")</f>
        <v/>
      </c>
      <c r="N436" s="93" t="str">
        <f>IF(AND(K436&gt;0,Plan!$I59=1),I56&amp;Language!$E$65&amp;H56,"")</f>
        <v/>
      </c>
    </row>
    <row r="437" spans="9:14" x14ac:dyDescent="0.2">
      <c r="I437" s="40" t="s">
        <v>71</v>
      </c>
      <c r="J437" s="17" t="str">
        <f>IF(Plan!$I60=0,G57&amp;F57,"")</f>
        <v>SC FreiburgBorussia Mönchengladbach</v>
      </c>
      <c r="K437" s="7">
        <f t="shared" si="9"/>
        <v>1</v>
      </c>
      <c r="L437" s="7" t="str">
        <f>IF(AND(K437&gt;0,Plan!$I60=0),I57&amp;Language!$E$65&amp;H57,"")</f>
        <v>0 : 0</v>
      </c>
      <c r="M437" s="2" t="str">
        <f>IF(Plan!$I60=1,G57&amp;F57,"")</f>
        <v/>
      </c>
      <c r="N437" s="93" t="str">
        <f>IF(AND(K437&gt;0,Plan!$I60=1),I57&amp;Language!$E$65&amp;H57,"")</f>
        <v/>
      </c>
    </row>
    <row r="438" spans="9:14" x14ac:dyDescent="0.2">
      <c r="I438" s="40" t="s">
        <v>72</v>
      </c>
      <c r="J438" s="17" t="str">
        <f>IF(Plan!$I61=0,G58&amp;F58,"")</f>
        <v>Borussia Mönchengladbach1. FC Union Berlin</v>
      </c>
      <c r="K438" s="7">
        <f t="shared" si="9"/>
        <v>1</v>
      </c>
      <c r="L438" s="7" t="str">
        <f>IF(AND(K438&gt;0,Plan!$I61=0),I58&amp;Language!$E$65&amp;H58,"")</f>
        <v>1 : 3</v>
      </c>
      <c r="M438" s="2" t="str">
        <f>IF(Plan!$I61=1,G58&amp;F58,"")</f>
        <v/>
      </c>
      <c r="N438" s="93" t="str">
        <f>IF(AND(K438&gt;0,Plan!$I61=1),I58&amp;Language!$E$65&amp;H58,"")</f>
        <v/>
      </c>
    </row>
    <row r="439" spans="9:14" x14ac:dyDescent="0.2">
      <c r="I439" s="40" t="s">
        <v>73</v>
      </c>
      <c r="J439" s="17" t="str">
        <f>IF(Plan!$I62=0,G59&amp;F59,"")</f>
        <v>SV Werder Bremen1. FC Heidenheim 1846</v>
      </c>
      <c r="K439" s="7">
        <f t="shared" si="9"/>
        <v>1</v>
      </c>
      <c r="L439" s="7" t="str">
        <f>IF(AND(K439&gt;0,Plan!$I62=0),I59&amp;Language!$E$65&amp;H59,"")</f>
        <v>2 : 2</v>
      </c>
      <c r="M439" s="2" t="str">
        <f>IF(Plan!$I62=1,G59&amp;F59,"")</f>
        <v/>
      </c>
      <c r="N439" s="93" t="str">
        <f>IF(AND(K439&gt;0,Plan!$I62=1),I59&amp;Language!$E$65&amp;H59,"")</f>
        <v/>
      </c>
    </row>
    <row r="440" spans="9:14" x14ac:dyDescent="0.2">
      <c r="I440" s="40" t="s">
        <v>74</v>
      </c>
      <c r="J440" s="17" t="str">
        <f>IF(Plan!$I63=0,G60&amp;F60,"")</f>
        <v>FC Augsburg1. FC Köln</v>
      </c>
      <c r="K440" s="7">
        <f t="shared" si="9"/>
        <v>1</v>
      </c>
      <c r="L440" s="7" t="str">
        <f>IF(AND(K440&gt;0,Plan!$I63=0),I60&amp;Language!$E$65&amp;H60,"")</f>
        <v>1 : 1</v>
      </c>
      <c r="M440" s="2" t="str">
        <f>IF(Plan!$I63=1,G60&amp;F60,"")</f>
        <v/>
      </c>
      <c r="N440" s="93" t="str">
        <f>IF(AND(K440&gt;0,Plan!$I63=1),I60&amp;Language!$E$65&amp;H60,"")</f>
        <v/>
      </c>
    </row>
    <row r="441" spans="9:14" x14ac:dyDescent="0.2">
      <c r="I441" s="40" t="s">
        <v>75</v>
      </c>
      <c r="J441" s="17" t="str">
        <f>IF(Plan!$I64=0,G61&amp;F61,"")</f>
        <v>VfB StuttgartVfL Wolfsburg</v>
      </c>
      <c r="K441" s="7">
        <f t="shared" si="9"/>
        <v>1</v>
      </c>
      <c r="L441" s="7" t="str">
        <f>IF(AND(K441&gt;0,Plan!$I64=0),I61&amp;Language!$E$65&amp;H61,"")</f>
        <v>3 : 0</v>
      </c>
      <c r="M441" s="2" t="str">
        <f>IF(Plan!$I64=1,G61&amp;F61,"")</f>
        <v/>
      </c>
      <c r="N441" s="93" t="str">
        <f>IF(AND(K441&gt;0,Plan!$I64=1),I61&amp;Language!$E$65&amp;H61,"")</f>
        <v/>
      </c>
    </row>
    <row r="442" spans="9:14" x14ac:dyDescent="0.2">
      <c r="I442" s="40" t="s">
        <v>76</v>
      </c>
      <c r="J442" s="17" t="str">
        <f>IF(Plan!$I65=0,G62&amp;F62,"")</f>
        <v>Bayer 04 Leverkusen1. FSV Mainz 05</v>
      </c>
      <c r="K442" s="7">
        <f t="shared" si="9"/>
        <v>1</v>
      </c>
      <c r="L442" s="7" t="str">
        <f>IF(AND(K442&gt;0,Plan!$I65=0),I62&amp;Language!$E$65&amp;H62,"")</f>
        <v>4 : 3</v>
      </c>
      <c r="M442" s="2" t="str">
        <f>IF(Plan!$I65=1,G62&amp;F62,"")</f>
        <v/>
      </c>
      <c r="N442" s="93" t="str">
        <f>IF(AND(K442&gt;0,Plan!$I65=1),I62&amp;Language!$E$65&amp;H62,"")</f>
        <v/>
      </c>
    </row>
    <row r="443" spans="9:14" x14ac:dyDescent="0.2">
      <c r="I443" s="40" t="s">
        <v>77</v>
      </c>
      <c r="J443" s="17" t="str">
        <f>IF(Plan!$I66=0,G63&amp;F63,"")</f>
        <v>Hamburger SVRB Leipzig</v>
      </c>
      <c r="K443" s="7">
        <f t="shared" si="9"/>
        <v>1</v>
      </c>
      <c r="L443" s="7" t="str">
        <f>IF(AND(K443&gt;0,Plan!$I66=0),I63&amp;Language!$E$65&amp;H63,"")</f>
        <v>1 : 2</v>
      </c>
      <c r="M443" s="2" t="str">
        <f>IF(Plan!$I66=1,G63&amp;F63,"")</f>
        <v/>
      </c>
      <c r="N443" s="93" t="str">
        <f>IF(AND(K443&gt;0,Plan!$I66=1),I63&amp;Language!$E$65&amp;H63,"")</f>
        <v/>
      </c>
    </row>
    <row r="444" spans="9:14" x14ac:dyDescent="0.2">
      <c r="I444" s="40" t="s">
        <v>78</v>
      </c>
      <c r="J444" s="17" t="str">
        <f>IF(Plan!$I67=0,G64&amp;F64,"")</f>
        <v>Borussia DortmundFC Bayern München</v>
      </c>
      <c r="K444" s="7">
        <f t="shared" si="9"/>
        <v>1</v>
      </c>
      <c r="L444" s="7" t="str">
        <f>IF(AND(K444&gt;0,Plan!$I67=0),I64&amp;Language!$E$65&amp;H64,"")</f>
        <v>1 : 2</v>
      </c>
      <c r="M444" s="2" t="str">
        <f>IF(Plan!$I67=1,G64&amp;F64,"")</f>
        <v/>
      </c>
      <c r="N444" s="93" t="str">
        <f>IF(AND(K444&gt;0,Plan!$I67=1),I64&amp;Language!$E$65&amp;H64,"")</f>
        <v/>
      </c>
    </row>
    <row r="445" spans="9:14" x14ac:dyDescent="0.2">
      <c r="I445" s="40" t="s">
        <v>79</v>
      </c>
      <c r="J445" s="17" t="str">
        <f>IF(Plan!$I68=0,G65&amp;F65,"")</f>
        <v>Eintracht FrankfurtSC Freiburg</v>
      </c>
      <c r="K445" s="7">
        <f t="shared" si="9"/>
        <v>1</v>
      </c>
      <c r="L445" s="7" t="str">
        <f>IF(AND(K445&gt;0,Plan!$I68=0),I65&amp;Language!$E$65&amp;H65,"")</f>
        <v>2 : 2</v>
      </c>
      <c r="M445" s="2" t="str">
        <f>IF(Plan!$I68=1,G65&amp;F65,"")</f>
        <v/>
      </c>
      <c r="N445" s="93" t="str">
        <f>IF(AND(K445&gt;0,Plan!$I68=1),I65&amp;Language!$E$65&amp;H65,"")</f>
        <v/>
      </c>
    </row>
    <row r="446" spans="9:14" x14ac:dyDescent="0.2">
      <c r="I446" s="40" t="s">
        <v>80</v>
      </c>
      <c r="J446" s="17" t="str">
        <f>IF(Plan!$I69=0,G66&amp;F66,"")</f>
        <v>TSG HoffenheimFC St. Pauli</v>
      </c>
      <c r="K446" s="7">
        <f t="shared" si="9"/>
        <v>1</v>
      </c>
      <c r="L446" s="7" t="str">
        <f>IF(AND(K446&gt;0,Plan!$I69=0),I66&amp;Language!$E$65&amp;H66,"")</f>
        <v>3 : 0</v>
      </c>
      <c r="M446" s="2" t="str">
        <f>IF(Plan!$I69=1,G66&amp;F66,"")</f>
        <v/>
      </c>
      <c r="N446" s="93" t="str">
        <f>IF(AND(K446&gt;0,Plan!$I69=1),I66&amp;Language!$E$65&amp;H66,"")</f>
        <v/>
      </c>
    </row>
    <row r="447" spans="9:14" x14ac:dyDescent="0.2">
      <c r="I447" s="40" t="s">
        <v>81</v>
      </c>
      <c r="J447" s="17" t="str">
        <f>IF(Plan!$I70=0,G67&amp;F67,"")</f>
        <v>1. FC Union BerlinSV Werder Bremen</v>
      </c>
      <c r="K447" s="7">
        <f t="shared" si="9"/>
        <v>1</v>
      </c>
      <c r="L447" s="7" t="str">
        <f>IF(AND(K447&gt;0,Plan!$I70=0),I67&amp;Language!$E$65&amp;H67,"")</f>
        <v>0 : 1</v>
      </c>
      <c r="M447" s="2" t="str">
        <f>IF(Plan!$I70=1,G67&amp;F67,"")</f>
        <v/>
      </c>
      <c r="N447" s="93" t="str">
        <f>IF(AND(K447&gt;0,Plan!$I70=1),I67&amp;Language!$E$65&amp;H67,"")</f>
        <v/>
      </c>
    </row>
    <row r="448" spans="9:14" x14ac:dyDescent="0.2">
      <c r="I448" s="40" t="s">
        <v>82</v>
      </c>
      <c r="J448" s="17" t="str">
        <f>IF(Plan!$I71=0,G68&amp;F68,"")</f>
        <v>1. FC Heidenheim 1846TSG Hoffenheim</v>
      </c>
      <c r="K448" s="7">
        <f t="shared" ref="K448:K454" si="10">K68</f>
        <v>1</v>
      </c>
      <c r="L448" s="7" t="str">
        <f>IF(AND(K448&gt;0,Plan!$I71=0),I68&amp;Language!$E$65&amp;H68,"")</f>
        <v>1 : 3</v>
      </c>
      <c r="M448" s="2" t="str">
        <f>IF(Plan!$I71=1,G68&amp;F68,"")</f>
        <v/>
      </c>
      <c r="N448" s="93" t="str">
        <f>IF(AND(K448&gt;0,Plan!$I71=1),I68&amp;Language!$E$65&amp;H68,"")</f>
        <v/>
      </c>
    </row>
    <row r="449" spans="9:14" x14ac:dyDescent="0.2">
      <c r="I449" s="40" t="s">
        <v>83</v>
      </c>
      <c r="J449" s="17" t="str">
        <f>IF(Plan!$I72=0,G69&amp;F69,"")</f>
        <v>VfL WolfsburgHamburger SV</v>
      </c>
      <c r="K449" s="7">
        <f t="shared" si="10"/>
        <v>1</v>
      </c>
      <c r="L449" s="7" t="str">
        <f>IF(AND(K449&gt;0,Plan!$I72=0),I69&amp;Language!$E$65&amp;H69,"")</f>
        <v>1 : 0</v>
      </c>
      <c r="M449" s="2" t="str">
        <f>IF(Plan!$I72=1,G69&amp;F69,"")</f>
        <v/>
      </c>
      <c r="N449" s="93" t="str">
        <f>IF(AND(K449&gt;0,Plan!$I72=1),I69&amp;Language!$E$65&amp;H69,"")</f>
        <v/>
      </c>
    </row>
    <row r="450" spans="9:14" x14ac:dyDescent="0.2">
      <c r="I450" s="40" t="s">
        <v>84</v>
      </c>
      <c r="J450" s="17" t="str">
        <f>IF(Plan!$I73=0,G70&amp;F70,"")</f>
        <v>RB LeipzigFC Augsburg</v>
      </c>
      <c r="K450" s="7">
        <f t="shared" si="10"/>
        <v>1</v>
      </c>
      <c r="L450" s="7" t="str">
        <f>IF(AND(K450&gt;0,Plan!$I73=0),I70&amp;Language!$E$65&amp;H70,"")</f>
        <v>6 : 0</v>
      </c>
      <c r="M450" s="2" t="str">
        <f>IF(Plan!$I73=1,G70&amp;F70,"")</f>
        <v/>
      </c>
      <c r="N450" s="93" t="str">
        <f>IF(AND(K450&gt;0,Plan!$I73=1),I70&amp;Language!$E$65&amp;H70,"")</f>
        <v/>
      </c>
    </row>
    <row r="451" spans="9:14" x14ac:dyDescent="0.2">
      <c r="I451" s="40" t="s">
        <v>85</v>
      </c>
      <c r="J451" s="17" t="str">
        <f>IF(Plan!$I74=0,G71&amp;F71,"")</f>
        <v>FC St. PauliEintracht Frankfurt</v>
      </c>
      <c r="K451" s="7">
        <f t="shared" si="10"/>
        <v>1</v>
      </c>
      <c r="L451" s="7" t="str">
        <f>IF(AND(K451&gt;0,Plan!$I74=0),I71&amp;Language!$E$65&amp;H71,"")</f>
        <v>0 : 2</v>
      </c>
      <c r="M451" s="2" t="str">
        <f>IF(Plan!$I74=1,G71&amp;F71,"")</f>
        <v/>
      </c>
      <c r="N451" s="93" t="str">
        <f>IF(AND(K451&gt;0,Plan!$I74=1),I71&amp;Language!$E$65&amp;H71,"")</f>
        <v/>
      </c>
    </row>
    <row r="452" spans="9:14" x14ac:dyDescent="0.2">
      <c r="I452" s="40" t="s">
        <v>86</v>
      </c>
      <c r="J452" s="17" t="str">
        <f>IF(Plan!$I75=0,G72&amp;F72,"")</f>
        <v>FC Bayern MünchenBorussia Mönchengladbach</v>
      </c>
      <c r="K452" s="7">
        <f t="shared" si="10"/>
        <v>1</v>
      </c>
      <c r="L452" s="7" t="str">
        <f>IF(AND(K452&gt;0,Plan!$I75=0),I72&amp;Language!$E$65&amp;H72,"")</f>
        <v>3 : 0</v>
      </c>
      <c r="M452" s="2" t="str">
        <f>IF(Plan!$I75=1,G72&amp;F72,"")</f>
        <v/>
      </c>
      <c r="N452" s="93" t="str">
        <f>IF(AND(K452&gt;0,Plan!$I75=1),I72&amp;Language!$E$65&amp;H72,"")</f>
        <v/>
      </c>
    </row>
    <row r="453" spans="9:14" x14ac:dyDescent="0.2">
      <c r="I453" s="40" t="s">
        <v>87</v>
      </c>
      <c r="J453" s="17" t="str">
        <f>IF(Plan!$I76=0,G73&amp;F73,"")</f>
        <v>1. FC KölnBorussia Dortmund</v>
      </c>
      <c r="K453" s="7">
        <f t="shared" si="10"/>
        <v>1</v>
      </c>
      <c r="L453" s="7" t="str">
        <f>IF(AND(K453&gt;0,Plan!$I76=0),I73&amp;Language!$E$65&amp;H73,"")</f>
        <v>0 : 1</v>
      </c>
      <c r="M453" s="2" t="str">
        <f>IF(Plan!$I76=1,G73&amp;F73,"")</f>
        <v/>
      </c>
      <c r="N453" s="93" t="str">
        <f>IF(AND(K453&gt;0,Plan!$I76=1),I73&amp;Language!$E$65&amp;H73,"")</f>
        <v/>
      </c>
    </row>
    <row r="454" spans="9:14" x14ac:dyDescent="0.2">
      <c r="I454" s="40" t="s">
        <v>88</v>
      </c>
      <c r="J454" s="17" t="str">
        <f>IF(Plan!$I77=0,G74&amp;F74,"")</f>
        <v>SC FreiburgBayer 04 Leverkusen</v>
      </c>
      <c r="K454" s="7">
        <f t="shared" si="10"/>
        <v>1</v>
      </c>
      <c r="L454" s="7" t="str">
        <f>IF(AND(K454&gt;0,Plan!$I77=0),I74&amp;Language!$E$65&amp;H74,"")</f>
        <v>0 : 2</v>
      </c>
      <c r="M454" s="2" t="str">
        <f>IF(Plan!$I77=1,G74&amp;F74,"")</f>
        <v/>
      </c>
      <c r="N454" s="93" t="str">
        <f>IF(AND(K454&gt;0,Plan!$I77=1),I74&amp;Language!$E$65&amp;H74,"")</f>
        <v/>
      </c>
    </row>
    <row r="455" spans="9:14" x14ac:dyDescent="0.2">
      <c r="I455" s="40" t="s">
        <v>89</v>
      </c>
      <c r="J455" s="17" t="str">
        <f>IF(Plan!$I78=0,G75&amp;F75,"")</f>
        <v>1. FSV Mainz 05VfB Stuttgart</v>
      </c>
      <c r="K455" s="134">
        <f t="shared" ref="K455:K518" si="11">K75</f>
        <v>1</v>
      </c>
      <c r="L455" s="134" t="str">
        <f>IF(AND(K455&gt;0,Plan!$I78=0),I75&amp;Language!$E$65&amp;H75,"")</f>
        <v>1 : 2</v>
      </c>
      <c r="M455" s="2" t="str">
        <f>IF(Plan!$I78=1,G75&amp;F75,"")</f>
        <v/>
      </c>
      <c r="N455" s="93" t="str">
        <f>IF(AND(K455&gt;0,Plan!$I78=1),I75&amp;Language!$E$65&amp;H75,"")</f>
        <v/>
      </c>
    </row>
    <row r="456" spans="9:14" x14ac:dyDescent="0.2">
      <c r="I456" s="40" t="s">
        <v>156</v>
      </c>
      <c r="J456" s="17" t="str">
        <f>IF(Plan!$I79=0,G76&amp;F76,"")</f>
        <v>Borussia DortmundFC Augsburg</v>
      </c>
      <c r="K456" s="134">
        <f t="shared" si="11"/>
        <v>1</v>
      </c>
      <c r="L456" s="134" t="str">
        <f>IF(AND(K456&gt;0,Plan!$I79=0),I76&amp;Language!$E$65&amp;H76,"")</f>
        <v>1 : 0</v>
      </c>
      <c r="M456" s="2" t="str">
        <f>IF(Plan!$I79=1,G76&amp;F76,"")</f>
        <v/>
      </c>
      <c r="N456" s="93" t="str">
        <f>IF(AND(K456&gt;0,Plan!$I79=1),I76&amp;Language!$E$65&amp;H76,"")</f>
        <v/>
      </c>
    </row>
    <row r="457" spans="9:14" x14ac:dyDescent="0.2">
      <c r="I457" s="40" t="s">
        <v>157</v>
      </c>
      <c r="J457" s="17" t="str">
        <f>IF(Plan!$I80=0,G77&amp;F77,"")</f>
        <v>Borussia MönchengladbachFC St. Pauli</v>
      </c>
      <c r="K457" s="134">
        <f t="shared" si="11"/>
        <v>1</v>
      </c>
      <c r="L457" s="134" t="str">
        <f>IF(AND(K457&gt;0,Plan!$I80=0),I77&amp;Language!$E$65&amp;H77,"")</f>
        <v>4 : 0</v>
      </c>
      <c r="M457" s="2" t="str">
        <f>IF(Plan!$I80=1,G77&amp;F77,"")</f>
        <v/>
      </c>
      <c r="N457" s="93" t="str">
        <f>IF(AND(K457&gt;0,Plan!$I80=1),I77&amp;Language!$E$65&amp;H77,"")</f>
        <v/>
      </c>
    </row>
    <row r="458" spans="9:14" x14ac:dyDescent="0.2">
      <c r="I458" s="40" t="s">
        <v>158</v>
      </c>
      <c r="J458" s="17" t="str">
        <f>IF(Plan!$I81=0,G78&amp;F78,"")</f>
        <v>Eintracht Frankfurt1. FC Heidenheim 1846</v>
      </c>
      <c r="K458" s="134">
        <f t="shared" si="11"/>
        <v>1</v>
      </c>
      <c r="L458" s="134" t="str">
        <f>IF(AND(K458&gt;0,Plan!$I81=0),I78&amp;Language!$E$65&amp;H78,"")</f>
        <v>1 : 1</v>
      </c>
      <c r="M458" s="2" t="str">
        <f>IF(Plan!$I81=1,G78&amp;F78,"")</f>
        <v/>
      </c>
      <c r="N458" s="93" t="str">
        <f>IF(AND(K458&gt;0,Plan!$I81=1),I78&amp;Language!$E$65&amp;H78,"")</f>
        <v/>
      </c>
    </row>
    <row r="459" spans="9:14" x14ac:dyDescent="0.2">
      <c r="I459" s="40" t="s">
        <v>159</v>
      </c>
      <c r="J459" s="17" t="str">
        <f>IF(Plan!$I82=0,G79&amp;F79,"")</f>
        <v>SC Freiburg1. FC Union Berlin</v>
      </c>
      <c r="K459" s="134">
        <f t="shared" si="11"/>
        <v>1</v>
      </c>
      <c r="L459" s="134" t="str">
        <f>IF(AND(K459&gt;0,Plan!$I82=0),I79&amp;Language!$E$65&amp;H79,"")</f>
        <v>0 : 0</v>
      </c>
      <c r="M459" s="2" t="str">
        <f>IF(Plan!$I82=1,G79&amp;F79,"")</f>
        <v/>
      </c>
      <c r="N459" s="93" t="str">
        <f>IF(AND(K459&gt;0,Plan!$I82=1),I79&amp;Language!$E$65&amp;H79,"")</f>
        <v/>
      </c>
    </row>
    <row r="460" spans="9:14" x14ac:dyDescent="0.2">
      <c r="I460" s="40" t="s">
        <v>160</v>
      </c>
      <c r="J460" s="17" t="str">
        <f>IF(Plan!$I83=0,G80&amp;F80,"")</f>
        <v>SV Werder Bremen1. FSV Mainz 05</v>
      </c>
      <c r="K460" s="134">
        <f t="shared" si="11"/>
        <v>1</v>
      </c>
      <c r="L460" s="134" t="str">
        <f>IF(AND(K460&gt;0,Plan!$I83=0),I80&amp;Language!$E$65&amp;H80,"")</f>
        <v>1 : 1</v>
      </c>
      <c r="M460" s="2" t="str">
        <f>IF(Plan!$I83=1,G80&amp;F80,"")</f>
        <v/>
      </c>
      <c r="N460" s="93" t="str">
        <f>IF(AND(K460&gt;0,Plan!$I83=1),I80&amp;Language!$E$65&amp;H80,"")</f>
        <v/>
      </c>
    </row>
    <row r="461" spans="9:14" x14ac:dyDescent="0.2">
      <c r="I461" s="40" t="s">
        <v>161</v>
      </c>
      <c r="J461" s="17" t="str">
        <f>IF(Plan!$I84=0,G81&amp;F81,"")</f>
        <v>VfB StuttgartRB Leipzig</v>
      </c>
      <c r="K461" s="134">
        <f t="shared" si="11"/>
        <v>1</v>
      </c>
      <c r="L461" s="134" t="str">
        <f>IF(AND(K461&gt;0,Plan!$I84=0),I81&amp;Language!$E$65&amp;H81,"")</f>
        <v>1 : 3</v>
      </c>
      <c r="M461" s="2" t="str">
        <f>IF(Plan!$I84=1,G81&amp;F81,"")</f>
        <v/>
      </c>
      <c r="N461" s="93" t="str">
        <f>IF(AND(K461&gt;0,Plan!$I84=1),I81&amp;Language!$E$65&amp;H81,"")</f>
        <v/>
      </c>
    </row>
    <row r="462" spans="9:14" x14ac:dyDescent="0.2">
      <c r="I462" s="40" t="s">
        <v>162</v>
      </c>
      <c r="J462" s="17" t="str">
        <f>IF(Plan!$I85=0,G82&amp;F82,"")</f>
        <v>Bayer 04 LeverkusenFC Bayern München</v>
      </c>
      <c r="K462" s="134">
        <f t="shared" si="11"/>
        <v>1</v>
      </c>
      <c r="L462" s="134" t="str">
        <f>IF(AND(K462&gt;0,Plan!$I85=0),I82&amp;Language!$E$65&amp;H82,"")</f>
        <v>0 : 3</v>
      </c>
      <c r="M462" s="2" t="str">
        <f>IF(Plan!$I85=1,G82&amp;F82,"")</f>
        <v/>
      </c>
      <c r="N462" s="93" t="str">
        <f>IF(AND(K462&gt;0,Plan!$I85=1),I82&amp;Language!$E$65&amp;H82,"")</f>
        <v/>
      </c>
    </row>
    <row r="463" spans="9:14" x14ac:dyDescent="0.2">
      <c r="I463" s="40" t="s">
        <v>163</v>
      </c>
      <c r="J463" s="17" t="str">
        <f>IF(Plan!$I86=0,G83&amp;F83,"")</f>
        <v>Hamburger SV1. FC Köln</v>
      </c>
      <c r="K463" s="134">
        <f t="shared" si="11"/>
        <v>1</v>
      </c>
      <c r="L463" s="134" t="str">
        <f>IF(AND(K463&gt;0,Plan!$I86=0),I83&amp;Language!$E$65&amp;H83,"")</f>
        <v>1 : 4</v>
      </c>
      <c r="M463" s="2" t="str">
        <f>IF(Plan!$I86=1,G83&amp;F83,"")</f>
        <v/>
      </c>
      <c r="N463" s="93" t="str">
        <f>IF(AND(K463&gt;0,Plan!$I86=1),I83&amp;Language!$E$65&amp;H83,"")</f>
        <v/>
      </c>
    </row>
    <row r="464" spans="9:14" x14ac:dyDescent="0.2">
      <c r="I464" s="40" t="s">
        <v>164</v>
      </c>
      <c r="J464" s="17" t="str">
        <f>IF(Plan!$I87=0,G84&amp;F84,"")</f>
        <v>TSG HoffenheimVfL Wolfsburg</v>
      </c>
      <c r="K464" s="134">
        <f t="shared" si="11"/>
        <v>1</v>
      </c>
      <c r="L464" s="134" t="str">
        <f>IF(AND(K464&gt;0,Plan!$I87=0),I84&amp;Language!$E$65&amp;H84,"")</f>
        <v>3 : 2</v>
      </c>
      <c r="M464" s="2" t="str">
        <f>IF(Plan!$I87=1,G84&amp;F84,"")</f>
        <v/>
      </c>
      <c r="N464" s="93" t="str">
        <f>IF(AND(K464&gt;0,Plan!$I87=1),I84&amp;Language!$E$65&amp;H84,"")</f>
        <v/>
      </c>
    </row>
    <row r="465" spans="9:14" x14ac:dyDescent="0.2">
      <c r="I465" s="40" t="s">
        <v>165</v>
      </c>
      <c r="J465" s="17" t="str">
        <f>IF(Plan!$I88=0,G85&amp;F85,"")</f>
        <v>VfL WolfsburgSV Werder Bremen</v>
      </c>
      <c r="K465" s="134">
        <f t="shared" si="11"/>
        <v>1</v>
      </c>
      <c r="L465" s="134" t="str">
        <f>IF(AND(K465&gt;0,Plan!$I88=0),I85&amp;Language!$E$65&amp;H85,"")</f>
        <v>1 : 2</v>
      </c>
      <c r="M465" s="2" t="str">
        <f>IF(Plan!$I88=1,G85&amp;F85,"")</f>
        <v/>
      </c>
      <c r="N465" s="93" t="str">
        <f>IF(AND(K465&gt;0,Plan!$I88=1),I85&amp;Language!$E$65&amp;H85,"")</f>
        <v/>
      </c>
    </row>
    <row r="466" spans="9:14" x14ac:dyDescent="0.2">
      <c r="I466" s="40" t="s">
        <v>166</v>
      </c>
      <c r="J466" s="17" t="str">
        <f>IF(Plan!$I89=0,G86&amp;F86,"")</f>
        <v>RB LeipzigTSG Hoffenheim</v>
      </c>
      <c r="K466" s="134">
        <f t="shared" si="11"/>
        <v>1</v>
      </c>
      <c r="L466" s="134" t="str">
        <f>IF(AND(K466&gt;0,Plan!$I89=0),I86&amp;Language!$E$65&amp;H86,"")</f>
        <v>1 : 3</v>
      </c>
      <c r="M466" s="2" t="str">
        <f>IF(Plan!$I89=1,G86&amp;F86,"")</f>
        <v/>
      </c>
      <c r="N466" s="93" t="str">
        <f>IF(AND(K466&gt;0,Plan!$I89=1),I86&amp;Language!$E$65&amp;H86,"")</f>
        <v/>
      </c>
    </row>
    <row r="467" spans="9:14" x14ac:dyDescent="0.2">
      <c r="I467" s="40" t="s">
        <v>167</v>
      </c>
      <c r="J467" s="17" t="str">
        <f>IF(Plan!$I90=0,G87&amp;F87,"")</f>
        <v>Borussia DortmundHamburger SV</v>
      </c>
      <c r="K467" s="134">
        <f t="shared" si="11"/>
        <v>1</v>
      </c>
      <c r="L467" s="134" t="str">
        <f>IF(AND(K467&gt;0,Plan!$I90=0),I87&amp;Language!$E$65&amp;H87,"")</f>
        <v>1 : 1</v>
      </c>
      <c r="M467" s="2" t="str">
        <f>IF(Plan!$I90=1,G87&amp;F87,"")</f>
        <v/>
      </c>
      <c r="N467" s="93" t="str">
        <f>IF(AND(K467&gt;0,Plan!$I90=1),I87&amp;Language!$E$65&amp;H87,"")</f>
        <v/>
      </c>
    </row>
    <row r="468" spans="9:14" x14ac:dyDescent="0.2">
      <c r="I468" s="40" t="s">
        <v>168</v>
      </c>
      <c r="J468" s="17" t="str">
        <f>IF(Plan!$I91=0,G88&amp;F88,"")</f>
        <v>1. FC Heidenheim 1846Bayer 04 Leverkusen</v>
      </c>
      <c r="K468" s="134">
        <f t="shared" si="11"/>
        <v>1</v>
      </c>
      <c r="L468" s="134" t="str">
        <f>IF(AND(K468&gt;0,Plan!$I91=0),I88&amp;Language!$E$65&amp;H88,"")</f>
        <v>0 : 6</v>
      </c>
      <c r="M468" s="2" t="str">
        <f>IF(Plan!$I91=1,G88&amp;F88,"")</f>
        <v/>
      </c>
      <c r="N468" s="93" t="str">
        <f>IF(AND(K468&gt;0,Plan!$I91=1),I88&amp;Language!$E$65&amp;H88,"")</f>
        <v/>
      </c>
    </row>
    <row r="469" spans="9:14" x14ac:dyDescent="0.2">
      <c r="I469" s="40" t="s">
        <v>169</v>
      </c>
      <c r="J469" s="17" t="str">
        <f>IF(Plan!$I92=0,G89&amp;F89,"")</f>
        <v>FC Bayern München1. FC Union Berlin</v>
      </c>
      <c r="K469" s="134">
        <f t="shared" si="11"/>
        <v>1</v>
      </c>
      <c r="L469" s="134" t="str">
        <f>IF(AND(K469&gt;0,Plan!$I92=0),I89&amp;Language!$E$65&amp;H89,"")</f>
        <v>2 : 2</v>
      </c>
      <c r="M469" s="2" t="str">
        <f>IF(Plan!$I92=1,G89&amp;F89,"")</f>
        <v/>
      </c>
      <c r="N469" s="93" t="str">
        <f>IF(AND(K469&gt;0,Plan!$I92=1),I89&amp;Language!$E$65&amp;H89,"")</f>
        <v/>
      </c>
    </row>
    <row r="470" spans="9:14" x14ac:dyDescent="0.2">
      <c r="I470" s="40" t="s">
        <v>170</v>
      </c>
      <c r="J470" s="17" t="str">
        <f>IF(Plan!$I93=0,G90&amp;F90,"")</f>
        <v>1. FC KölnBorussia Mönchengladbach</v>
      </c>
      <c r="K470" s="134">
        <f t="shared" si="11"/>
        <v>1</v>
      </c>
      <c r="L470" s="134" t="str">
        <f>IF(AND(K470&gt;0,Plan!$I93=0),I90&amp;Language!$E$65&amp;H90,"")</f>
        <v>1 : 3</v>
      </c>
      <c r="M470" s="2" t="str">
        <f>IF(Plan!$I93=1,G90&amp;F90,"")</f>
        <v/>
      </c>
      <c r="N470" s="93" t="str">
        <f>IF(AND(K470&gt;0,Plan!$I93=1),I90&amp;Language!$E$65&amp;H90,"")</f>
        <v/>
      </c>
    </row>
    <row r="471" spans="9:14" x14ac:dyDescent="0.2">
      <c r="I471" s="40" t="s">
        <v>171</v>
      </c>
      <c r="J471" s="17" t="str">
        <f>IF(Plan!$I94=0,G91&amp;F91,"")</f>
        <v>FC St. PauliSC Freiburg</v>
      </c>
      <c r="K471" s="134">
        <f t="shared" si="11"/>
        <v>1</v>
      </c>
      <c r="L471" s="134" t="str">
        <f>IF(AND(K471&gt;0,Plan!$I94=0),I91&amp;Language!$E$65&amp;H91,"")</f>
        <v>1 : 2</v>
      </c>
      <c r="M471" s="2" t="str">
        <f>IF(Plan!$I94=1,G91&amp;F91,"")</f>
        <v/>
      </c>
      <c r="N471" s="93" t="str">
        <f>IF(AND(K471&gt;0,Plan!$I94=1),I91&amp;Language!$E$65&amp;H91,"")</f>
        <v/>
      </c>
    </row>
    <row r="472" spans="9:14" x14ac:dyDescent="0.2">
      <c r="I472" s="40" t="s">
        <v>172</v>
      </c>
      <c r="J472" s="17" t="str">
        <f>IF(Plan!$I95=0,G92&amp;F92,"")</f>
        <v>FC AugsburgVfB Stuttgart</v>
      </c>
      <c r="K472" s="134">
        <f t="shared" si="11"/>
        <v>1</v>
      </c>
      <c r="L472" s="134" t="str">
        <f>IF(AND(K472&gt;0,Plan!$I95=0),I92&amp;Language!$E$65&amp;H92,"")</f>
        <v>2 : 3</v>
      </c>
      <c r="M472" s="2" t="str">
        <f>IF(Plan!$I95=1,G92&amp;F92,"")</f>
        <v/>
      </c>
      <c r="N472" s="93" t="str">
        <f>IF(AND(K472&gt;0,Plan!$I95=1),I92&amp;Language!$E$65&amp;H92,"")</f>
        <v/>
      </c>
    </row>
    <row r="473" spans="9:14" x14ac:dyDescent="0.2">
      <c r="I473" s="40" t="s">
        <v>173</v>
      </c>
      <c r="J473" s="17" t="str">
        <f>IF(Plan!$I96=0,G93&amp;F93,"")</f>
        <v>1. FSV Mainz 05Eintracht Frankfurt</v>
      </c>
      <c r="K473" s="134">
        <f t="shared" si="11"/>
        <v>1</v>
      </c>
      <c r="L473" s="134" t="str">
        <f>IF(AND(K473&gt;0,Plan!$I96=0),I93&amp;Language!$E$65&amp;H93,"")</f>
        <v>0 : 1</v>
      </c>
      <c r="M473" s="2" t="str">
        <f>IF(Plan!$I96=1,G93&amp;F93,"")</f>
        <v/>
      </c>
      <c r="N473" s="93" t="str">
        <f>IF(AND(K473&gt;0,Plan!$I96=1),I93&amp;Language!$E$65&amp;H93,"")</f>
        <v/>
      </c>
    </row>
    <row r="474" spans="9:14" x14ac:dyDescent="0.2">
      <c r="I474" s="40" t="s">
        <v>174</v>
      </c>
      <c r="J474" s="17" t="str">
        <f>IF(Plan!$I97=0,G94&amp;F94,"")</f>
        <v>TSG Hoffenheim1. FSV Mainz 05</v>
      </c>
      <c r="K474" s="134">
        <f t="shared" si="11"/>
        <v>1</v>
      </c>
      <c r="L474" s="134" t="str">
        <f>IF(AND(K474&gt;0,Plan!$I97=0),I94&amp;Language!$E$65&amp;H94,"")</f>
        <v>1 : 1</v>
      </c>
      <c r="M474" s="2" t="str">
        <f>IF(Plan!$I97=1,G94&amp;F94,"")</f>
        <v/>
      </c>
      <c r="N474" s="93" t="str">
        <f>IF(AND(K474&gt;0,Plan!$I97=1),I94&amp;Language!$E$65&amp;H94,"")</f>
        <v/>
      </c>
    </row>
    <row r="475" spans="9:14" x14ac:dyDescent="0.2">
      <c r="I475" s="40" t="s">
        <v>175</v>
      </c>
      <c r="J475" s="17" t="str">
        <f>IF(Plan!$I98=0,G95&amp;F95,"")</f>
        <v>Hamburger SVFC Augsburg</v>
      </c>
      <c r="K475" s="134">
        <f t="shared" si="11"/>
        <v>1</v>
      </c>
      <c r="L475" s="134" t="str">
        <f>IF(AND(K475&gt;0,Plan!$I98=0),I95&amp;Language!$E$65&amp;H95,"")</f>
        <v>0 : 1</v>
      </c>
      <c r="M475" s="2" t="str">
        <f>IF(Plan!$I98=1,G95&amp;F95,"")</f>
        <v/>
      </c>
      <c r="N475" s="93" t="str">
        <f>IF(AND(K475&gt;0,Plan!$I98=1),I95&amp;Language!$E$65&amp;H95,"")</f>
        <v/>
      </c>
    </row>
    <row r="476" spans="9:14" x14ac:dyDescent="0.2">
      <c r="I476" s="40" t="s">
        <v>176</v>
      </c>
      <c r="J476" s="17" t="str">
        <f>IF(Plan!$I99=0,G96&amp;F96,"")</f>
        <v>Borussia Mönchengladbach1. FC Heidenheim 1846</v>
      </c>
      <c r="K476" s="134">
        <f t="shared" si="11"/>
        <v>1</v>
      </c>
      <c r="L476" s="134" t="str">
        <f>IF(AND(K476&gt;0,Plan!$I99=0),I96&amp;Language!$E$65&amp;H96,"")</f>
        <v>3 : 0</v>
      </c>
      <c r="M476" s="2" t="str">
        <f>IF(Plan!$I99=1,G96&amp;F96,"")</f>
        <v/>
      </c>
      <c r="N476" s="93" t="str">
        <f>IF(AND(K476&gt;0,Plan!$I99=1),I96&amp;Language!$E$65&amp;H96,"")</f>
        <v/>
      </c>
    </row>
    <row r="477" spans="9:14" x14ac:dyDescent="0.2">
      <c r="I477" s="40" t="s">
        <v>177</v>
      </c>
      <c r="J477" s="17" t="str">
        <f>IF(Plan!$I100=0,G97&amp;F97,"")</f>
        <v>Bayer 04 LeverkusenVfL Wolfsburg</v>
      </c>
      <c r="K477" s="134">
        <f t="shared" si="11"/>
        <v>1</v>
      </c>
      <c r="L477" s="134" t="str">
        <f>IF(AND(K477&gt;0,Plan!$I100=0),I97&amp;Language!$E$65&amp;H97,"")</f>
        <v>3 : 1</v>
      </c>
      <c r="M477" s="2" t="str">
        <f>IF(Plan!$I100=1,G97&amp;F97,"")</f>
        <v/>
      </c>
      <c r="N477" s="93" t="str">
        <f>IF(AND(K477&gt;0,Plan!$I100=1),I97&amp;Language!$E$65&amp;H97,"")</f>
        <v/>
      </c>
    </row>
    <row r="478" spans="9:14" x14ac:dyDescent="0.2">
      <c r="I478" s="40" t="s">
        <v>178</v>
      </c>
      <c r="J478" s="17" t="str">
        <f>IF(Plan!$I101=0,G98&amp;F98,"")</f>
        <v>SC FreiburgFC Bayern München</v>
      </c>
      <c r="K478" s="134">
        <f t="shared" si="11"/>
        <v>1</v>
      </c>
      <c r="L478" s="134" t="str">
        <f>IF(AND(K478&gt;0,Plan!$I101=0),I98&amp;Language!$E$65&amp;H98,"")</f>
        <v>2 : 6</v>
      </c>
      <c r="M478" s="2" t="str">
        <f>IF(Plan!$I101=1,G98&amp;F98,"")</f>
        <v/>
      </c>
      <c r="N478" s="93" t="str">
        <f>IF(AND(K478&gt;0,Plan!$I101=1),I98&amp;Language!$E$65&amp;H98,"")</f>
        <v/>
      </c>
    </row>
    <row r="479" spans="9:14" x14ac:dyDescent="0.2">
      <c r="I479" s="40" t="s">
        <v>179</v>
      </c>
      <c r="J479" s="17" t="str">
        <f>IF(Plan!$I102=0,G99&amp;F99,"")</f>
        <v>VfB StuttgartBorussia Dortmund</v>
      </c>
      <c r="K479" s="134">
        <f t="shared" si="11"/>
        <v>1</v>
      </c>
      <c r="L479" s="134" t="str">
        <f>IF(AND(K479&gt;0,Plan!$I102=0),I99&amp;Language!$E$65&amp;H99,"")</f>
        <v>3 : 3</v>
      </c>
      <c r="M479" s="2" t="str">
        <f>IF(Plan!$I102=1,G99&amp;F99,"")</f>
        <v/>
      </c>
      <c r="N479" s="93" t="str">
        <f>IF(AND(K479&gt;0,Plan!$I102=1),I99&amp;Language!$E$65&amp;H99,"")</f>
        <v/>
      </c>
    </row>
    <row r="480" spans="9:14" x14ac:dyDescent="0.2">
      <c r="I480" s="40" t="s">
        <v>180</v>
      </c>
      <c r="J480" s="17" t="str">
        <f>IF(Plan!$I103=0,G100&amp;F100,"")</f>
        <v>Eintracht Frankfurt1. FC Köln</v>
      </c>
      <c r="K480" s="134">
        <f t="shared" si="11"/>
        <v>1</v>
      </c>
      <c r="L480" s="134" t="str">
        <f>IF(AND(K480&gt;0,Plan!$I103=0),I100&amp;Language!$E$65&amp;H100,"")</f>
        <v>4 : 3</v>
      </c>
      <c r="M480" s="2" t="str">
        <f>IF(Plan!$I103=1,G100&amp;F100,"")</f>
        <v/>
      </c>
      <c r="N480" s="93" t="str">
        <f>IF(AND(K480&gt;0,Plan!$I103=1),I100&amp;Language!$E$65&amp;H100,"")</f>
        <v/>
      </c>
    </row>
    <row r="481" spans="9:14" x14ac:dyDescent="0.2">
      <c r="I481" s="40" t="s">
        <v>181</v>
      </c>
      <c r="J481" s="17" t="str">
        <f>IF(Plan!$I104=0,G101&amp;F101,"")</f>
        <v>SV Werder BremenRB Leipzig</v>
      </c>
      <c r="K481" s="134">
        <f t="shared" si="11"/>
        <v>1</v>
      </c>
      <c r="L481" s="134" t="str">
        <f>IF(AND(K481&gt;0,Plan!$I104=0),I101&amp;Language!$E$65&amp;H101,"")</f>
        <v>0 : 2</v>
      </c>
      <c r="M481" s="2" t="str">
        <f>IF(Plan!$I104=1,G101&amp;F101,"")</f>
        <v/>
      </c>
      <c r="N481" s="93" t="str">
        <f>IF(AND(K481&gt;0,Plan!$I104=1),I101&amp;Language!$E$65&amp;H101,"")</f>
        <v/>
      </c>
    </row>
    <row r="482" spans="9:14" x14ac:dyDescent="0.2">
      <c r="I482" s="40" t="s">
        <v>182</v>
      </c>
      <c r="J482" s="17" t="str">
        <f>IF(Plan!$I105=0,G102&amp;F102,"")</f>
        <v>1. FC Union BerlinFC St. Pauli</v>
      </c>
      <c r="K482" s="134">
        <f t="shared" si="11"/>
        <v>1</v>
      </c>
      <c r="L482" s="134" t="str">
        <f>IF(AND(K482&gt;0,Plan!$I105=0),I102&amp;Language!$E$65&amp;H102,"")</f>
        <v>1 : 0</v>
      </c>
      <c r="M482" s="2" t="str">
        <f>IF(Plan!$I105=1,G102&amp;F102,"")</f>
        <v/>
      </c>
      <c r="N482" s="93" t="str">
        <f>IF(AND(K482&gt;0,Plan!$I105=1),I102&amp;Language!$E$65&amp;H102,"")</f>
        <v/>
      </c>
    </row>
    <row r="483" spans="9:14" x14ac:dyDescent="0.2">
      <c r="I483" s="40" t="s">
        <v>183</v>
      </c>
      <c r="J483" s="17" t="str">
        <f>IF(Plan!$I106=0,G103&amp;F103,"")</f>
        <v>RB LeipzigBorussia Mönchengladbach</v>
      </c>
      <c r="K483" s="134">
        <f t="shared" si="11"/>
        <v>1</v>
      </c>
      <c r="L483" s="134" t="str">
        <f>IF(AND(K483&gt;0,Plan!$I106=0),I103&amp;Language!$E$65&amp;H103,"")</f>
        <v>0 : 0</v>
      </c>
      <c r="M483" s="2" t="str">
        <f>IF(Plan!$I106=1,G103&amp;F103,"")</f>
        <v/>
      </c>
      <c r="N483" s="93" t="str">
        <f>IF(AND(K483&gt;0,Plan!$I106=1),I103&amp;Language!$E$65&amp;H103,"")</f>
        <v/>
      </c>
    </row>
    <row r="484" spans="9:14" x14ac:dyDescent="0.2">
      <c r="I484" s="40" t="s">
        <v>184</v>
      </c>
      <c r="J484" s="17" t="str">
        <f>IF(Plan!$I107=0,G104&amp;F104,"")</f>
        <v>1. FC Heidenheim 18461. FC Union Berlin</v>
      </c>
      <c r="K484" s="134">
        <f t="shared" si="11"/>
        <v>1</v>
      </c>
      <c r="L484" s="134" t="str">
        <f>IF(AND(K484&gt;0,Plan!$I107=0),I104&amp;Language!$E$65&amp;H104,"")</f>
        <v>2 : 1</v>
      </c>
      <c r="M484" s="2" t="str">
        <f>IF(Plan!$I107=1,G104&amp;F104,"")</f>
        <v/>
      </c>
      <c r="N484" s="93" t="str">
        <f>IF(AND(K484&gt;0,Plan!$I107=1),I104&amp;Language!$E$65&amp;H104,"")</f>
        <v/>
      </c>
    </row>
    <row r="485" spans="9:14" x14ac:dyDescent="0.2">
      <c r="I485" s="40" t="s">
        <v>185</v>
      </c>
      <c r="J485" s="17" t="str">
        <f>IF(Plan!$I108=0,G105&amp;F105,"")</f>
        <v>FC AugsburgTSG Hoffenheim</v>
      </c>
      <c r="K485" s="134">
        <f t="shared" si="11"/>
        <v>1</v>
      </c>
      <c r="L485" s="134" t="str">
        <f>IF(AND(K485&gt;0,Plan!$I108=0),I105&amp;Language!$E$65&amp;H105,"")</f>
        <v>0 : 3</v>
      </c>
      <c r="M485" s="2" t="str">
        <f>IF(Plan!$I108=1,G105&amp;F105,"")</f>
        <v/>
      </c>
      <c r="N485" s="93" t="str">
        <f>IF(AND(K485&gt;0,Plan!$I108=1),I105&amp;Language!$E$65&amp;H105,"")</f>
        <v/>
      </c>
    </row>
    <row r="486" spans="9:14" x14ac:dyDescent="0.2">
      <c r="I486" s="40" t="s">
        <v>186</v>
      </c>
      <c r="J486" s="17" t="str">
        <f>IF(Plan!$I109=0,G106&amp;F106,"")</f>
        <v>FC St. PauliFC Bayern München</v>
      </c>
      <c r="K486" s="134">
        <f t="shared" si="11"/>
        <v>1</v>
      </c>
      <c r="L486" s="134" t="str">
        <f>IF(AND(K486&gt;0,Plan!$I109=0),I106&amp;Language!$E$65&amp;H106,"")</f>
        <v>1 : 3</v>
      </c>
      <c r="M486" s="2" t="str">
        <f>IF(Plan!$I109=1,G106&amp;F106,"")</f>
        <v/>
      </c>
      <c r="N486" s="93" t="str">
        <f>IF(AND(K486&gt;0,Plan!$I109=1),I106&amp;Language!$E$65&amp;H106,"")</f>
        <v/>
      </c>
    </row>
    <row r="487" spans="9:14" x14ac:dyDescent="0.2">
      <c r="I487" s="40" t="s">
        <v>187</v>
      </c>
      <c r="J487" s="17" t="str">
        <f>IF(Plan!$I110=0,G107&amp;F107,"")</f>
        <v>1. FC KölnSV Werder Bremen</v>
      </c>
      <c r="K487" s="134">
        <f t="shared" si="11"/>
        <v>1</v>
      </c>
      <c r="L487" s="134" t="str">
        <f>IF(AND(K487&gt;0,Plan!$I110=0),I107&amp;Language!$E$65&amp;H107,"")</f>
        <v>1 : 1</v>
      </c>
      <c r="M487" s="2" t="str">
        <f>IF(Plan!$I110=1,G107&amp;F107,"")</f>
        <v/>
      </c>
      <c r="N487" s="93" t="str">
        <f>IF(AND(K487&gt;0,Plan!$I110=1),I107&amp;Language!$E$65&amp;H107,"")</f>
        <v/>
      </c>
    </row>
    <row r="488" spans="9:14" x14ac:dyDescent="0.2">
      <c r="I488" s="40" t="s">
        <v>188</v>
      </c>
      <c r="J488" s="17" t="str">
        <f>IF(Plan!$I111=0,G108&amp;F108,"")</f>
        <v>Borussia DortmundBayer 04 Leverkusen</v>
      </c>
      <c r="K488" s="134">
        <f t="shared" si="11"/>
        <v>1</v>
      </c>
      <c r="L488" s="134" t="str">
        <f>IF(AND(K488&gt;0,Plan!$I111=0),I108&amp;Language!$E$65&amp;H108,"")</f>
        <v>2 : 1</v>
      </c>
      <c r="M488" s="2" t="str">
        <f>IF(Plan!$I111=1,G108&amp;F108,"")</f>
        <v/>
      </c>
      <c r="N488" s="93" t="str">
        <f>IF(AND(K488&gt;0,Plan!$I111=1),I108&amp;Language!$E$65&amp;H108,"")</f>
        <v/>
      </c>
    </row>
    <row r="489" spans="9:14" x14ac:dyDescent="0.2">
      <c r="I489" s="40" t="s">
        <v>189</v>
      </c>
      <c r="J489" s="17" t="str">
        <f>IF(Plan!$I112=0,G109&amp;F109,"")</f>
        <v>VfB StuttgartHamburger SV</v>
      </c>
      <c r="K489" s="134">
        <f t="shared" si="11"/>
        <v>1</v>
      </c>
      <c r="L489" s="134" t="str">
        <f>IF(AND(K489&gt;0,Plan!$I112=0),I109&amp;Language!$E$65&amp;H109,"")</f>
        <v>1 : 2</v>
      </c>
      <c r="M489" s="2" t="str">
        <f>IF(Plan!$I112=1,G109&amp;F109,"")</f>
        <v/>
      </c>
      <c r="N489" s="93" t="str">
        <f>IF(AND(K489&gt;0,Plan!$I112=1),I109&amp;Language!$E$65&amp;H109,"")</f>
        <v/>
      </c>
    </row>
    <row r="490" spans="9:14" x14ac:dyDescent="0.2">
      <c r="I490" s="40" t="s">
        <v>190</v>
      </c>
      <c r="J490" s="17" t="str">
        <f>IF(Plan!$I113=0,G110&amp;F110,"")</f>
        <v>VfL WolfsburgEintracht Frankfurt</v>
      </c>
      <c r="K490" s="134">
        <f t="shared" si="11"/>
        <v>1</v>
      </c>
      <c r="L490" s="134" t="str">
        <f>IF(AND(K490&gt;0,Plan!$I113=0),I110&amp;Language!$E$65&amp;H110,"")</f>
        <v>1 : 1</v>
      </c>
      <c r="M490" s="2" t="str">
        <f>IF(Plan!$I113=1,G110&amp;F110,"")</f>
        <v/>
      </c>
      <c r="N490" s="93" t="str">
        <f>IF(AND(K490&gt;0,Plan!$I113=1),I110&amp;Language!$E$65&amp;H110,"")</f>
        <v/>
      </c>
    </row>
    <row r="491" spans="9:14" x14ac:dyDescent="0.2">
      <c r="I491" s="40" t="s">
        <v>191</v>
      </c>
      <c r="J491" s="17" t="str">
        <f>IF(Plan!$I114=0,G111&amp;F111,"")</f>
        <v>1. FSV Mainz 05SC Freiburg</v>
      </c>
      <c r="K491" s="134">
        <f t="shared" si="11"/>
        <v>1</v>
      </c>
      <c r="L491" s="134" t="str">
        <f>IF(AND(K491&gt;0,Plan!$I114=0),I111&amp;Language!$E$65&amp;H111,"")</f>
        <v>0 : 4</v>
      </c>
      <c r="M491" s="2" t="str">
        <f>IF(Plan!$I114=1,G111&amp;F111,"")</f>
        <v/>
      </c>
      <c r="N491" s="93" t="str">
        <f>IF(AND(K491&gt;0,Plan!$I114=1),I111&amp;Language!$E$65&amp;H111,"")</f>
        <v/>
      </c>
    </row>
    <row r="492" spans="9:14" x14ac:dyDescent="0.2">
      <c r="I492" s="40" t="s">
        <v>192</v>
      </c>
      <c r="J492" s="17" t="str">
        <f>IF(Plan!$I115=0,G112&amp;F112,"")</f>
        <v>Borussia Mönchengladbach1. FSV Mainz 05</v>
      </c>
      <c r="K492" s="134">
        <f t="shared" si="11"/>
        <v>1</v>
      </c>
      <c r="L492" s="134" t="str">
        <f>IF(AND(K492&gt;0,Plan!$I115=0),I112&amp;Language!$E$65&amp;H112,"")</f>
        <v>1 : 0</v>
      </c>
      <c r="M492" s="2" t="str">
        <f>IF(Plan!$I115=1,G112&amp;F112,"")</f>
        <v/>
      </c>
      <c r="N492" s="93" t="str">
        <f>IF(AND(K492&gt;0,Plan!$I115=1),I112&amp;Language!$E$65&amp;H112,"")</f>
        <v/>
      </c>
    </row>
    <row r="493" spans="9:14" x14ac:dyDescent="0.2">
      <c r="I493" s="40" t="s">
        <v>193</v>
      </c>
      <c r="J493" s="17" t="str">
        <f>IF(Plan!$I116=0,G113&amp;F113,"")</f>
        <v>SC Freiburg1. FC Heidenheim 1846</v>
      </c>
      <c r="K493" s="134">
        <f t="shared" si="11"/>
        <v>1</v>
      </c>
      <c r="L493" s="134" t="str">
        <f>IF(AND(K493&gt;0,Plan!$I116=0),I113&amp;Language!$E$65&amp;H113,"")</f>
        <v>1 : 2</v>
      </c>
      <c r="M493" s="2" t="str">
        <f>IF(Plan!$I116=1,G113&amp;F113,"")</f>
        <v/>
      </c>
      <c r="N493" s="93" t="str">
        <f>IF(AND(K493&gt;0,Plan!$I116=1),I113&amp;Language!$E$65&amp;H113,"")</f>
        <v/>
      </c>
    </row>
    <row r="494" spans="9:14" x14ac:dyDescent="0.2">
      <c r="I494" s="40" t="s">
        <v>194</v>
      </c>
      <c r="J494" s="17" t="str">
        <f>IF(Plan!$I117=0,G114&amp;F114,"")</f>
        <v>FC St. Pauli1. FC Köln</v>
      </c>
      <c r="K494" s="134">
        <f t="shared" si="11"/>
        <v>1</v>
      </c>
      <c r="L494" s="134" t="str">
        <f>IF(AND(K494&gt;0,Plan!$I117=0),I114&amp;Language!$E$65&amp;H114,"")</f>
        <v>1 : 1</v>
      </c>
      <c r="M494" s="2" t="str">
        <f>IF(Plan!$I117=1,G114&amp;F114,"")</f>
        <v/>
      </c>
      <c r="N494" s="93" t="str">
        <f>IF(AND(K494&gt;0,Plan!$I117=1),I114&amp;Language!$E$65&amp;H114,"")</f>
        <v/>
      </c>
    </row>
    <row r="495" spans="9:14" x14ac:dyDescent="0.2">
      <c r="I495" s="40" t="s">
        <v>195</v>
      </c>
      <c r="J495" s="17" t="str">
        <f>IF(Plan!$I118=0,G115&amp;F115,"")</f>
        <v>Bayer 04 LeverkusenFC Augsburg</v>
      </c>
      <c r="K495" s="134">
        <f t="shared" si="11"/>
        <v>1</v>
      </c>
      <c r="L495" s="134" t="str">
        <f>IF(AND(K495&gt;0,Plan!$I118=0),I115&amp;Language!$E$65&amp;H115,"")</f>
        <v>0 : 2</v>
      </c>
      <c r="M495" s="2" t="str">
        <f>IF(Plan!$I118=1,G115&amp;F115,"")</f>
        <v/>
      </c>
      <c r="N495" s="93" t="str">
        <f>IF(AND(K495&gt;0,Plan!$I118=1),I115&amp;Language!$E$65&amp;H115,"")</f>
        <v/>
      </c>
    </row>
    <row r="496" spans="9:14" x14ac:dyDescent="0.2">
      <c r="I496" s="40" t="s">
        <v>196</v>
      </c>
      <c r="J496" s="17" t="str">
        <f>IF(Plan!$I119=0,G116&amp;F116,"")</f>
        <v>FC Bayern MünchenVfB Stuttgart</v>
      </c>
      <c r="K496" s="134">
        <f t="shared" si="11"/>
        <v>1</v>
      </c>
      <c r="L496" s="134" t="str">
        <f>IF(AND(K496&gt;0,Plan!$I119=0),I116&amp;Language!$E$65&amp;H116,"")</f>
        <v>5 : 0</v>
      </c>
      <c r="M496" s="2" t="str">
        <f>IF(Plan!$I119=1,G116&amp;F116,"")</f>
        <v/>
      </c>
      <c r="N496" s="93" t="str">
        <f>IF(AND(K496&gt;0,Plan!$I119=1),I116&amp;Language!$E$65&amp;H116,"")</f>
        <v/>
      </c>
    </row>
    <row r="497" spans="9:14" x14ac:dyDescent="0.2">
      <c r="I497" s="40" t="s">
        <v>197</v>
      </c>
      <c r="J497" s="17" t="str">
        <f>IF(Plan!$I120=0,G117&amp;F117,"")</f>
        <v>1. FC Union BerlinVfL Wolfsburg</v>
      </c>
      <c r="K497" s="134">
        <f t="shared" si="11"/>
        <v>1</v>
      </c>
      <c r="L497" s="134" t="str">
        <f>IF(AND(K497&gt;0,Plan!$I120=0),I117&amp;Language!$E$65&amp;H117,"")</f>
        <v>1 : 3</v>
      </c>
      <c r="M497" s="2" t="str">
        <f>IF(Plan!$I120=1,G117&amp;F117,"")</f>
        <v/>
      </c>
      <c r="N497" s="93" t="str">
        <f>IF(AND(K497&gt;0,Plan!$I120=1),I117&amp;Language!$E$65&amp;H117,"")</f>
        <v/>
      </c>
    </row>
    <row r="498" spans="9:14" x14ac:dyDescent="0.2">
      <c r="I498" s="40" t="s">
        <v>198</v>
      </c>
      <c r="J498" s="17" t="str">
        <f>IF(Plan!$I121=0,G118&amp;F118,"")</f>
        <v>Eintracht FrankfurtRB Leipzig</v>
      </c>
      <c r="K498" s="134">
        <f t="shared" si="11"/>
        <v>1</v>
      </c>
      <c r="L498" s="134" t="str">
        <f>IF(AND(K498&gt;0,Plan!$I121=0),I118&amp;Language!$E$65&amp;H118,"")</f>
        <v>0 : 6</v>
      </c>
      <c r="M498" s="2" t="str">
        <f>IF(Plan!$I121=1,G118&amp;F118,"")</f>
        <v/>
      </c>
      <c r="N498" s="93" t="str">
        <f>IF(AND(K498&gt;0,Plan!$I121=1),I118&amp;Language!$E$65&amp;H118,"")</f>
        <v/>
      </c>
    </row>
    <row r="499" spans="9:14" x14ac:dyDescent="0.2">
      <c r="I499" s="40" t="s">
        <v>199</v>
      </c>
      <c r="J499" s="17" t="str">
        <f>IF(Plan!$I122=0,G119&amp;F119,"")</f>
        <v>SV Werder BremenHamburger SV</v>
      </c>
      <c r="K499" s="134">
        <f t="shared" si="11"/>
        <v>1</v>
      </c>
      <c r="L499" s="134" t="str">
        <f>IF(AND(K499&gt;0,Plan!$I122=0),I119&amp;Language!$E$65&amp;H119,"")</f>
        <v>2 : 3</v>
      </c>
      <c r="M499" s="2" t="str">
        <f>IF(Plan!$I122=1,G119&amp;F119,"")</f>
        <v/>
      </c>
      <c r="N499" s="93" t="str">
        <f>IF(AND(K499&gt;0,Plan!$I122=1),I119&amp;Language!$E$65&amp;H119,"")</f>
        <v/>
      </c>
    </row>
    <row r="500" spans="9:14" x14ac:dyDescent="0.2">
      <c r="I500" s="40" t="s">
        <v>200</v>
      </c>
      <c r="J500" s="17" t="str">
        <f>IF(Plan!$I123=0,G120&amp;F120,"")</f>
        <v>TSG HoffenheimBorussia Dortmund</v>
      </c>
      <c r="K500" s="134">
        <f t="shared" si="11"/>
        <v>1</v>
      </c>
      <c r="L500" s="134" t="str">
        <f>IF(AND(K500&gt;0,Plan!$I123=0),I120&amp;Language!$E$65&amp;H120,"")</f>
        <v>0 : 2</v>
      </c>
      <c r="M500" s="2" t="str">
        <f>IF(Plan!$I123=1,G120&amp;F120,"")</f>
        <v/>
      </c>
      <c r="N500" s="93" t="str">
        <f>IF(AND(K500&gt;0,Plan!$I123=1),I120&amp;Language!$E$65&amp;H120,"")</f>
        <v/>
      </c>
    </row>
    <row r="501" spans="9:14" x14ac:dyDescent="0.2">
      <c r="I501" s="40" t="s">
        <v>201</v>
      </c>
      <c r="J501" s="17" t="str">
        <f>IF(Plan!$I124=0,G121&amp;F121,"")</f>
        <v>RB Leipzig1. FC Union Berlin</v>
      </c>
      <c r="K501" s="134">
        <f t="shared" si="11"/>
        <v>1</v>
      </c>
      <c r="L501" s="134" t="str">
        <f>IF(AND(K501&gt;0,Plan!$I124=0),I121&amp;Language!$E$65&amp;H121,"")</f>
        <v>1 : 3</v>
      </c>
      <c r="M501" s="2" t="str">
        <f>IF(Plan!$I124=1,G121&amp;F121,"")</f>
        <v/>
      </c>
      <c r="N501" s="93" t="str">
        <f>IF(AND(K501&gt;0,Plan!$I124=1),I121&amp;Language!$E$65&amp;H121,"")</f>
        <v/>
      </c>
    </row>
    <row r="502" spans="9:14" x14ac:dyDescent="0.2">
      <c r="I502" s="40" t="s">
        <v>202</v>
      </c>
      <c r="J502" s="17" t="str">
        <f>IF(Plan!$I125=0,G122&amp;F122,"")</f>
        <v>1. FC Heidenheim 1846FC St. Pauli</v>
      </c>
      <c r="K502" s="134">
        <f t="shared" si="11"/>
        <v>1</v>
      </c>
      <c r="L502" s="134" t="str">
        <f>IF(AND(K502&gt;0,Plan!$I125=0),I122&amp;Language!$E$65&amp;H122,"")</f>
        <v>1 : 2</v>
      </c>
      <c r="M502" s="2" t="str">
        <f>IF(Plan!$I125=1,G122&amp;F122,"")</f>
        <v/>
      </c>
      <c r="N502" s="93" t="str">
        <f>IF(AND(K502&gt;0,Plan!$I125=1),I122&amp;Language!$E$65&amp;H122,"")</f>
        <v/>
      </c>
    </row>
    <row r="503" spans="9:14" x14ac:dyDescent="0.2">
      <c r="I503" s="40" t="s">
        <v>203</v>
      </c>
      <c r="J503" s="17" t="str">
        <f>IF(Plan!$I126=0,G123&amp;F123,"")</f>
        <v>Hamburger SVTSG Hoffenheim</v>
      </c>
      <c r="K503" s="134">
        <f t="shared" si="11"/>
        <v>1</v>
      </c>
      <c r="L503" s="134" t="str">
        <f>IF(AND(K503&gt;0,Plan!$I126=0),I123&amp;Language!$E$65&amp;H123,"")</f>
        <v>1 : 4</v>
      </c>
      <c r="M503" s="2" t="str">
        <f>IF(Plan!$I126=1,G123&amp;F123,"")</f>
        <v/>
      </c>
      <c r="N503" s="93" t="str">
        <f>IF(AND(K503&gt;0,Plan!$I126=1),I123&amp;Language!$E$65&amp;H123,"")</f>
        <v/>
      </c>
    </row>
    <row r="504" spans="9:14" x14ac:dyDescent="0.2">
      <c r="I504" s="40" t="s">
        <v>204</v>
      </c>
      <c r="J504" s="17" t="str">
        <f>IF(Plan!$I127=0,G124&amp;F124,"")</f>
        <v>FC AugsburgEintracht Frankfurt</v>
      </c>
      <c r="K504" s="134">
        <f t="shared" si="11"/>
        <v>1</v>
      </c>
      <c r="L504" s="134" t="str">
        <f>IF(AND(K504&gt;0,Plan!$I127=0),I124&amp;Language!$E$65&amp;H124,"")</f>
        <v>0 : 1</v>
      </c>
      <c r="M504" s="2" t="str">
        <f>IF(Plan!$I127=1,G124&amp;F124,"")</f>
        <v/>
      </c>
      <c r="N504" s="93" t="str">
        <f>IF(AND(K504&gt;0,Plan!$I127=1),I124&amp;Language!$E$65&amp;H124,"")</f>
        <v/>
      </c>
    </row>
    <row r="505" spans="9:14" x14ac:dyDescent="0.2">
      <c r="I505" s="40" t="s">
        <v>205</v>
      </c>
      <c r="J505" s="17" t="str">
        <f>IF(Plan!$I128=0,G125&amp;F125,"")</f>
        <v>VfL WolfsburgBorussia Mönchengladbach</v>
      </c>
      <c r="K505" s="134">
        <f t="shared" si="11"/>
        <v>1</v>
      </c>
      <c r="L505" s="134" t="str">
        <f>IF(AND(K505&gt;0,Plan!$I128=0),I125&amp;Language!$E$65&amp;H125,"")</f>
        <v>3 : 1</v>
      </c>
      <c r="M505" s="2" t="str">
        <f>IF(Plan!$I128=1,G125&amp;F125,"")</f>
        <v/>
      </c>
      <c r="N505" s="93" t="str">
        <f>IF(AND(K505&gt;0,Plan!$I128=1),I125&amp;Language!$E$65&amp;H125,"")</f>
        <v/>
      </c>
    </row>
    <row r="506" spans="9:14" x14ac:dyDescent="0.2">
      <c r="I506" s="40" t="s">
        <v>206</v>
      </c>
      <c r="J506" s="17" t="str">
        <f>IF(Plan!$I129=0,G126&amp;F126,"")</f>
        <v>1. FC KölnBayer 04 Leverkusen</v>
      </c>
      <c r="K506" s="134">
        <f t="shared" si="11"/>
        <v>1</v>
      </c>
      <c r="L506" s="134" t="str">
        <f>IF(AND(K506&gt;0,Plan!$I129=0),I126&amp;Language!$E$65&amp;H126,"")</f>
        <v>0 : 2</v>
      </c>
      <c r="M506" s="2" t="str">
        <f>IF(Plan!$I129=1,G126&amp;F126,"")</f>
        <v/>
      </c>
      <c r="N506" s="93" t="str">
        <f>IF(AND(K506&gt;0,Plan!$I129=1),I126&amp;Language!$E$65&amp;H126,"")</f>
        <v/>
      </c>
    </row>
    <row r="507" spans="9:14" x14ac:dyDescent="0.2">
      <c r="I507" s="40" t="s">
        <v>207</v>
      </c>
      <c r="J507" s="17" t="str">
        <f>IF(Plan!$I130=0,G127&amp;F127,"")</f>
        <v>Borussia DortmundSC Freiburg</v>
      </c>
      <c r="K507" s="134">
        <f t="shared" si="11"/>
        <v>1</v>
      </c>
      <c r="L507" s="134" t="str">
        <f>IF(AND(K507&gt;0,Plan!$I130=0),I127&amp;Language!$E$65&amp;H127,"")</f>
        <v>1 : 1</v>
      </c>
      <c r="M507" s="2" t="str">
        <f>IF(Plan!$I130=1,G127&amp;F127,"")</f>
        <v/>
      </c>
      <c r="N507" s="93" t="str">
        <f>IF(AND(K507&gt;0,Plan!$I130=1),I127&amp;Language!$E$65&amp;H127,"")</f>
        <v/>
      </c>
    </row>
    <row r="508" spans="9:14" x14ac:dyDescent="0.2">
      <c r="I508" s="40" t="s">
        <v>208</v>
      </c>
      <c r="J508" s="17" t="str">
        <f>IF(Plan!$I131=0,G128&amp;F128,"")</f>
        <v>1. FSV Mainz 05FC Bayern München</v>
      </c>
      <c r="K508" s="134">
        <f t="shared" si="11"/>
        <v>1</v>
      </c>
      <c r="L508" s="134" t="str">
        <f>IF(AND(K508&gt;0,Plan!$I131=0),I128&amp;Language!$E$65&amp;H128,"")</f>
        <v>2 : 2</v>
      </c>
      <c r="M508" s="2" t="str">
        <f>IF(Plan!$I131=1,G128&amp;F128,"")</f>
        <v/>
      </c>
      <c r="N508" s="93" t="str">
        <f>IF(AND(K508&gt;0,Plan!$I131=1),I128&amp;Language!$E$65&amp;H128,"")</f>
        <v/>
      </c>
    </row>
    <row r="509" spans="9:14" x14ac:dyDescent="0.2">
      <c r="I509" s="40" t="s">
        <v>209</v>
      </c>
      <c r="J509" s="17" t="str">
        <f>IF(Plan!$I132=0,G129&amp;F129,"")</f>
        <v>VfB StuttgartSV Werder Bremen</v>
      </c>
      <c r="K509" s="134">
        <f t="shared" si="11"/>
        <v>1</v>
      </c>
      <c r="L509" s="134" t="str">
        <f>IF(AND(K509&gt;0,Plan!$I132=0),I129&amp;Language!$E$65&amp;H129,"")</f>
        <v>4 : 0</v>
      </c>
      <c r="M509" s="2" t="str">
        <f>IF(Plan!$I132=1,G129&amp;F129,"")</f>
        <v/>
      </c>
      <c r="N509" s="93" t="str">
        <f>IF(AND(K509&gt;0,Plan!$I132=1),I129&amp;Language!$E$65&amp;H129,"")</f>
        <v/>
      </c>
    </row>
    <row r="510" spans="9:14" x14ac:dyDescent="0.2">
      <c r="I510" s="40" t="s">
        <v>210</v>
      </c>
      <c r="J510" s="17" t="str">
        <f>IF(Plan!$I133=0,G130&amp;F130,"")</f>
        <v>Borussia MönchengladbachBorussia Dortmund</v>
      </c>
      <c r="K510" s="134">
        <f t="shared" si="11"/>
        <v>1</v>
      </c>
      <c r="L510" s="134" t="str">
        <f>IF(AND(K510&gt;0,Plan!$I133=0),I130&amp;Language!$E$65&amp;H130,"")</f>
        <v>0 : 2</v>
      </c>
      <c r="M510" s="2" t="str">
        <f>IF(Plan!$I133=1,G130&amp;F130,"")</f>
        <v/>
      </c>
      <c r="N510" s="93" t="str">
        <f>IF(AND(K510&gt;0,Plan!$I133=1),I130&amp;Language!$E$65&amp;H130,"")</f>
        <v/>
      </c>
    </row>
    <row r="511" spans="9:14" x14ac:dyDescent="0.2">
      <c r="I511" s="40" t="s">
        <v>211</v>
      </c>
      <c r="J511" s="17" t="str">
        <f>IF(Plan!$I134=0,G131&amp;F131,"")</f>
        <v>1. FC Union Berlin1. FC Köln</v>
      </c>
      <c r="K511" s="134">
        <f t="shared" si="11"/>
        <v>1</v>
      </c>
      <c r="L511" s="134" t="str">
        <f>IF(AND(K511&gt;0,Plan!$I134=0),I131&amp;Language!$E$65&amp;H131,"")</f>
        <v>1 : 0</v>
      </c>
      <c r="M511" s="2" t="str">
        <f>IF(Plan!$I134=1,G131&amp;F131,"")</f>
        <v/>
      </c>
      <c r="N511" s="93" t="str">
        <f>IF(AND(K511&gt;0,Plan!$I134=1),I131&amp;Language!$E$65&amp;H131,"")</f>
        <v/>
      </c>
    </row>
    <row r="512" spans="9:14" x14ac:dyDescent="0.2">
      <c r="I512" s="40" t="s">
        <v>212</v>
      </c>
      <c r="J512" s="17" t="str">
        <f>IF(Plan!$I135=0,G132&amp;F132,"")</f>
        <v>Eintracht FrankfurtHamburger SV</v>
      </c>
      <c r="K512" s="134">
        <f t="shared" si="11"/>
        <v>1</v>
      </c>
      <c r="L512" s="134" t="str">
        <f>IF(AND(K512&gt;0,Plan!$I135=0),I132&amp;Language!$E$65&amp;H132,"")</f>
        <v>1 : 1</v>
      </c>
      <c r="M512" s="2" t="str">
        <f>IF(Plan!$I135=1,G132&amp;F132,"")</f>
        <v/>
      </c>
      <c r="N512" s="93" t="str">
        <f>IF(AND(K512&gt;0,Plan!$I135=1),I132&amp;Language!$E$65&amp;H132,"")</f>
        <v/>
      </c>
    </row>
    <row r="513" spans="9:14" x14ac:dyDescent="0.2">
      <c r="I513" s="40" t="s">
        <v>213</v>
      </c>
      <c r="J513" s="17" t="str">
        <f>IF(Plan!$I136=0,G133&amp;F133,"")</f>
        <v>SV Werder BremenFC Augsburg</v>
      </c>
      <c r="K513" s="134">
        <f t="shared" si="11"/>
        <v>1</v>
      </c>
      <c r="L513" s="134" t="str">
        <f>IF(AND(K513&gt;0,Plan!$I136=0),I133&amp;Language!$E$65&amp;H133,"")</f>
        <v>0 : 0</v>
      </c>
      <c r="M513" s="2" t="str">
        <f>IF(Plan!$I136=1,G133&amp;F133,"")</f>
        <v/>
      </c>
      <c r="N513" s="93" t="str">
        <f>IF(AND(K513&gt;0,Plan!$I136=1),I133&amp;Language!$E$65&amp;H133,"")</f>
        <v/>
      </c>
    </row>
    <row r="514" spans="9:14" x14ac:dyDescent="0.2">
      <c r="I514" s="40" t="s">
        <v>214</v>
      </c>
      <c r="J514" s="17" t="str">
        <f>IF(Plan!$I137=0,G134&amp;F134,"")</f>
        <v>TSG HoffenheimVfB Stuttgart</v>
      </c>
      <c r="K514" s="134">
        <f t="shared" si="11"/>
        <v>1</v>
      </c>
      <c r="L514" s="134" t="str">
        <f>IF(AND(K514&gt;0,Plan!$I137=0),I134&amp;Language!$E$65&amp;H134,"")</f>
        <v>0 : 0</v>
      </c>
      <c r="M514" s="2" t="str">
        <f>IF(Plan!$I137=1,G134&amp;F134,"")</f>
        <v/>
      </c>
      <c r="N514" s="93" t="str">
        <f>IF(AND(K514&gt;0,Plan!$I137=1),I134&amp;Language!$E$65&amp;H134,"")</f>
        <v/>
      </c>
    </row>
    <row r="515" spans="9:14" x14ac:dyDescent="0.2">
      <c r="I515" s="40" t="s">
        <v>215</v>
      </c>
      <c r="J515" s="17" t="str">
        <f>IF(Plan!$I138=0,G135&amp;F135,"")</f>
        <v>SC FreiburgVfL Wolfsburg</v>
      </c>
      <c r="K515" s="134">
        <f t="shared" si="11"/>
        <v>1</v>
      </c>
      <c r="L515" s="134" t="str">
        <f>IF(AND(K515&gt;0,Plan!$I138=0),I135&amp;Language!$E$65&amp;H135,"")</f>
        <v>4 : 3</v>
      </c>
      <c r="M515" s="2" t="str">
        <f>IF(Plan!$I138=1,G135&amp;F135,"")</f>
        <v/>
      </c>
      <c r="N515" s="93" t="str">
        <f>IF(AND(K515&gt;0,Plan!$I138=1),I135&amp;Language!$E$65&amp;H135,"")</f>
        <v/>
      </c>
    </row>
    <row r="516" spans="9:14" x14ac:dyDescent="0.2">
      <c r="I516" s="40" t="s">
        <v>216</v>
      </c>
      <c r="J516" s="17" t="str">
        <f>IF(Plan!$I139=0,G136&amp;F136,"")</f>
        <v>Bayer 04 LeverkusenRB Leipzig</v>
      </c>
      <c r="K516" s="134">
        <f t="shared" si="11"/>
        <v>1</v>
      </c>
      <c r="L516" s="134" t="str">
        <f>IF(AND(K516&gt;0,Plan!$I139=0),I136&amp;Language!$E$65&amp;H136,"")</f>
        <v>3 : 1</v>
      </c>
      <c r="M516" s="2" t="str">
        <f>IF(Plan!$I139=1,G136&amp;F136,"")</f>
        <v/>
      </c>
      <c r="N516" s="93" t="str">
        <f>IF(AND(K516&gt;0,Plan!$I139=1),I136&amp;Language!$E$65&amp;H136,"")</f>
        <v/>
      </c>
    </row>
    <row r="517" spans="9:14" x14ac:dyDescent="0.2">
      <c r="I517" s="40" t="s">
        <v>217</v>
      </c>
      <c r="J517" s="17" t="str">
        <f>IF(Plan!$I140=0,G137&amp;F137,"")</f>
        <v>FC St. Pauli1. FSV Mainz 05</v>
      </c>
      <c r="K517" s="134">
        <f t="shared" si="11"/>
        <v>1</v>
      </c>
      <c r="L517" s="134" t="str">
        <f>IF(AND(K517&gt;0,Plan!$I140=0),I137&amp;Language!$E$65&amp;H137,"")</f>
        <v>0 : 0</v>
      </c>
      <c r="M517" s="2" t="str">
        <f>IF(Plan!$I140=1,G137&amp;F137,"")</f>
        <v/>
      </c>
      <c r="N517" s="93" t="str">
        <f>IF(AND(K517&gt;0,Plan!$I140=1),I137&amp;Language!$E$65&amp;H137,"")</f>
        <v/>
      </c>
    </row>
    <row r="518" spans="9:14" x14ac:dyDescent="0.2">
      <c r="I518" s="40" t="s">
        <v>218</v>
      </c>
      <c r="J518" s="17" t="str">
        <f>IF(Plan!$I141=0,G138&amp;F138,"")</f>
        <v>FC Bayern München1. FC Heidenheim 1846</v>
      </c>
      <c r="K518" s="134">
        <f t="shared" si="11"/>
        <v>1</v>
      </c>
      <c r="L518" s="134" t="str">
        <f>IF(AND(K518&gt;0,Plan!$I141=0),I138&amp;Language!$E$65&amp;H138,"")</f>
        <v>4 : 0</v>
      </c>
      <c r="M518" s="2" t="str">
        <f>IF(Plan!$I141=1,G138&amp;F138,"")</f>
        <v/>
      </c>
      <c r="N518" s="93" t="str">
        <f>IF(AND(K518&gt;0,Plan!$I141=1),I138&amp;Language!$E$65&amp;H138,"")</f>
        <v/>
      </c>
    </row>
    <row r="519" spans="9:14" x14ac:dyDescent="0.2">
      <c r="I519" s="40" t="s">
        <v>219</v>
      </c>
      <c r="J519" s="17" t="str">
        <f>IF(Plan!$I142=0,G139&amp;F139,"")</f>
        <v>Borussia DortmundEintracht Frankfurt</v>
      </c>
      <c r="K519" s="134">
        <f t="shared" ref="K519:K582" si="12">K139</f>
        <v>1</v>
      </c>
      <c r="L519" s="134" t="str">
        <f>IF(AND(K519&gt;0,Plan!$I142=0),I139&amp;Language!$E$65&amp;H139,"")</f>
        <v>3 : 3</v>
      </c>
      <c r="M519" s="2" t="str">
        <f>IF(Plan!$I142=1,G139&amp;F139,"")</f>
        <v/>
      </c>
      <c r="N519" s="93" t="str">
        <f>IF(AND(K519&gt;0,Plan!$I142=1),I139&amp;Language!$E$65&amp;H139,"")</f>
        <v/>
      </c>
    </row>
    <row r="520" spans="9:14" x14ac:dyDescent="0.2">
      <c r="I520" s="40" t="s">
        <v>220</v>
      </c>
      <c r="J520" s="17" t="str">
        <f>IF(Plan!$I143=0,G140&amp;F140,"")</f>
        <v>1. FC Köln1. FC Heidenheim 1846</v>
      </c>
      <c r="K520" s="134">
        <f t="shared" si="12"/>
        <v>1</v>
      </c>
      <c r="L520" s="134" t="str">
        <f>IF(AND(K520&gt;0,Plan!$I143=0),I140&amp;Language!$E$65&amp;H140,"")</f>
        <v>2 : 2</v>
      </c>
      <c r="M520" s="2" t="str">
        <f>IF(Plan!$I143=1,G140&amp;F140,"")</f>
        <v/>
      </c>
      <c r="N520" s="93" t="str">
        <f>IF(AND(K520&gt;0,Plan!$I143=1),I140&amp;Language!$E$65&amp;H140,"")</f>
        <v/>
      </c>
    </row>
    <row r="521" spans="9:14" x14ac:dyDescent="0.2">
      <c r="I521" s="40" t="s">
        <v>221</v>
      </c>
      <c r="J521" s="17" t="str">
        <f>IF(Plan!$I144=0,G141&amp;F141,"")</f>
        <v>1. FSV Mainz 051. FC Union Berlin</v>
      </c>
      <c r="K521" s="134">
        <f t="shared" si="12"/>
        <v>1</v>
      </c>
      <c r="L521" s="134" t="str">
        <f>IF(AND(K521&gt;0,Plan!$I144=0),I141&amp;Language!$E$65&amp;H141,"")</f>
        <v>2 : 2</v>
      </c>
      <c r="M521" s="2" t="str">
        <f>IF(Plan!$I144=1,G141&amp;F141,"")</f>
        <v/>
      </c>
      <c r="N521" s="93" t="str">
        <f>IF(AND(K521&gt;0,Plan!$I144=1),I141&amp;Language!$E$65&amp;H141,"")</f>
        <v/>
      </c>
    </row>
    <row r="522" spans="9:14" x14ac:dyDescent="0.2">
      <c r="I522" s="40" t="s">
        <v>222</v>
      </c>
      <c r="J522" s="17" t="str">
        <f>IF(Plan!$I145=0,G142&amp;F142,"")</f>
        <v>Hamburger SVSC Freiburg</v>
      </c>
      <c r="K522" s="134">
        <f t="shared" si="12"/>
        <v>1</v>
      </c>
      <c r="L522" s="134" t="str">
        <f>IF(AND(K522&gt;0,Plan!$I145=0),I142&amp;Language!$E$65&amp;H142,"")</f>
        <v>1 : 2</v>
      </c>
      <c r="M522" s="2" t="str">
        <f>IF(Plan!$I145=1,G142&amp;F142,"")</f>
        <v/>
      </c>
      <c r="N522" s="93" t="str">
        <f>IF(AND(K522&gt;0,Plan!$I145=1),I142&amp;Language!$E$65&amp;H142,"")</f>
        <v/>
      </c>
    </row>
    <row r="523" spans="9:14" x14ac:dyDescent="0.2">
      <c r="I523" s="40" t="s">
        <v>223</v>
      </c>
      <c r="J523" s="17" t="str">
        <f>IF(Plan!$I146=0,G143&amp;F143,"")</f>
        <v>VfB StuttgartBayer 04 Leverkusen</v>
      </c>
      <c r="K523" s="134">
        <f t="shared" si="12"/>
        <v>1</v>
      </c>
      <c r="L523" s="134" t="str">
        <f>IF(AND(K523&gt;0,Plan!$I146=0),I143&amp;Language!$E$65&amp;H143,"")</f>
        <v>4 : 1</v>
      </c>
      <c r="M523" s="2" t="str">
        <f>IF(Plan!$I146=1,G143&amp;F143,"")</f>
        <v/>
      </c>
      <c r="N523" s="93" t="str">
        <f>IF(AND(K523&gt;0,Plan!$I146=1),I143&amp;Language!$E$65&amp;H143,"")</f>
        <v/>
      </c>
    </row>
    <row r="524" spans="9:14" x14ac:dyDescent="0.2">
      <c r="I524" s="40" t="s">
        <v>224</v>
      </c>
      <c r="J524" s="17" t="str">
        <f>IF(Plan!$I147=0,G144&amp;F144,"")</f>
        <v>FC AugsburgBorussia Mönchengladbach</v>
      </c>
      <c r="K524" s="134">
        <f t="shared" si="12"/>
        <v>1</v>
      </c>
      <c r="L524" s="134" t="str">
        <f>IF(AND(K524&gt;0,Plan!$I147=0),I144&amp;Language!$E$65&amp;H144,"")</f>
        <v>0 : 4</v>
      </c>
      <c r="M524" s="2" t="str">
        <f>IF(Plan!$I147=1,G144&amp;F144,"")</f>
        <v/>
      </c>
      <c r="N524" s="93" t="str">
        <f>IF(AND(K524&gt;0,Plan!$I147=1),I144&amp;Language!$E$65&amp;H144,"")</f>
        <v/>
      </c>
    </row>
    <row r="525" spans="9:14" x14ac:dyDescent="0.2">
      <c r="I525" s="40" t="s">
        <v>225</v>
      </c>
      <c r="J525" s="17" t="str">
        <f>IF(Plan!$I148=0,G145&amp;F145,"")</f>
        <v>VfL WolfsburgFC Bayern München</v>
      </c>
      <c r="K525" s="134">
        <f t="shared" si="12"/>
        <v>1</v>
      </c>
      <c r="L525" s="134" t="str">
        <f>IF(AND(K525&gt;0,Plan!$I148=0),I145&amp;Language!$E$65&amp;H145,"")</f>
        <v>1 : 8</v>
      </c>
      <c r="M525" s="2" t="str">
        <f>IF(Plan!$I148=1,G145&amp;F145,"")</f>
        <v/>
      </c>
      <c r="N525" s="93" t="str">
        <f>IF(AND(K525&gt;0,Plan!$I148=1),I145&amp;Language!$E$65&amp;H145,"")</f>
        <v/>
      </c>
    </row>
    <row r="526" spans="9:14" x14ac:dyDescent="0.2">
      <c r="I526" s="40" t="s">
        <v>226</v>
      </c>
      <c r="J526" s="17" t="str">
        <f>IF(Plan!$I149=0,G146&amp;F146,"")</f>
        <v>TSG HoffenheimSV Werder Bremen</v>
      </c>
      <c r="K526" s="134">
        <f t="shared" si="12"/>
        <v>1</v>
      </c>
      <c r="L526" s="134" t="str">
        <f>IF(AND(K526&gt;0,Plan!$I149=0),I146&amp;Language!$E$65&amp;H146,"")</f>
        <v>2 : 0</v>
      </c>
      <c r="M526" s="2" t="str">
        <f>IF(Plan!$I149=1,G146&amp;F146,"")</f>
        <v/>
      </c>
      <c r="N526" s="93" t="str">
        <f>IF(AND(K526&gt;0,Plan!$I149=1),I146&amp;Language!$E$65&amp;H146,"")</f>
        <v/>
      </c>
    </row>
    <row r="527" spans="9:14" x14ac:dyDescent="0.2">
      <c r="I527" s="40" t="s">
        <v>227</v>
      </c>
      <c r="J527" s="17" t="str">
        <f>IF(Plan!$I150=0,G147&amp;F147,"")</f>
        <v>RB LeipzigFC St. Pauli</v>
      </c>
      <c r="K527" s="134">
        <f t="shared" si="12"/>
        <v>1</v>
      </c>
      <c r="L527" s="134" t="str">
        <f>IF(AND(K527&gt;0,Plan!$I150=0),I147&amp;Language!$E$65&amp;H147,"")</f>
        <v>1 : 1</v>
      </c>
      <c r="M527" s="2" t="str">
        <f>IF(Plan!$I150=1,G147&amp;F147,"")</f>
        <v/>
      </c>
      <c r="N527" s="93" t="str">
        <f>IF(AND(K527&gt;0,Plan!$I150=1),I147&amp;Language!$E$65&amp;H147,"")</f>
        <v/>
      </c>
    </row>
    <row r="528" spans="9:14" x14ac:dyDescent="0.2">
      <c r="I528" s="40" t="s">
        <v>228</v>
      </c>
      <c r="J528" s="17" t="str">
        <f>IF(Plan!$I151=0,G148&amp;F148,"")</f>
        <v>Eintracht FrankfurtVfB Stuttgart</v>
      </c>
      <c r="K528" s="134">
        <f t="shared" si="12"/>
        <v>1</v>
      </c>
      <c r="L528" s="134" t="str">
        <f>IF(AND(K528&gt;0,Plan!$I151=0),I148&amp;Language!$E$65&amp;H148,"")</f>
        <v>2 : 3</v>
      </c>
      <c r="M528" s="2" t="str">
        <f>IF(Plan!$I151=1,G148&amp;F148,"")</f>
        <v/>
      </c>
      <c r="N528" s="93" t="str">
        <f>IF(AND(K528&gt;0,Plan!$I151=1),I148&amp;Language!$E$65&amp;H148,"")</f>
        <v/>
      </c>
    </row>
    <row r="529" spans="9:14" x14ac:dyDescent="0.2">
      <c r="I529" s="40" t="s">
        <v>229</v>
      </c>
      <c r="J529" s="17" t="str">
        <f>IF(Plan!$I152=0,G149&amp;F149,"")</f>
        <v>SV Werder BremenBorussia Dortmund</v>
      </c>
      <c r="K529" s="134">
        <f t="shared" si="12"/>
        <v>1</v>
      </c>
      <c r="L529" s="134" t="str">
        <f>IF(AND(K529&gt;0,Plan!$I152=0),I149&amp;Language!$E$65&amp;H149,"")</f>
        <v>0 : 3</v>
      </c>
      <c r="M529" s="2" t="str">
        <f>IF(Plan!$I152=1,G149&amp;F149,"")</f>
        <v/>
      </c>
      <c r="N529" s="93" t="str">
        <f>IF(AND(K529&gt;0,Plan!$I152=1),I149&amp;Language!$E$65&amp;H149,"")</f>
        <v/>
      </c>
    </row>
    <row r="530" spans="9:14" x14ac:dyDescent="0.2">
      <c r="I530" s="40" t="s">
        <v>230</v>
      </c>
      <c r="J530" s="17" t="str">
        <f>IF(Plan!$I153=0,G150&amp;F150,"")</f>
        <v>1. FC Heidenheim 18461. FSV Mainz 05</v>
      </c>
      <c r="K530" s="134">
        <f t="shared" si="12"/>
        <v>1</v>
      </c>
      <c r="L530" s="134" t="str">
        <f>IF(AND(K530&gt;0,Plan!$I153=0),I150&amp;Language!$E$65&amp;H150,"")</f>
        <v>1 : 2</v>
      </c>
      <c r="M530" s="2" t="str">
        <f>IF(Plan!$I153=1,G150&amp;F150,"")</f>
        <v/>
      </c>
      <c r="N530" s="93" t="str">
        <f>IF(AND(K530&gt;0,Plan!$I153=1),I150&amp;Language!$E$65&amp;H150,"")</f>
        <v/>
      </c>
    </row>
    <row r="531" spans="9:14" x14ac:dyDescent="0.2">
      <c r="I531" s="40" t="s">
        <v>231</v>
      </c>
      <c r="J531" s="17" t="str">
        <f>IF(Plan!$I154=0,G151&amp;F151,"")</f>
        <v>FC St. PauliVfL Wolfsburg</v>
      </c>
      <c r="K531" s="134">
        <f t="shared" si="12"/>
        <v>1</v>
      </c>
      <c r="L531" s="134" t="str">
        <f>IF(AND(K531&gt;0,Plan!$I154=0),I151&amp;Language!$E$65&amp;H151,"")</f>
        <v>1 : 2</v>
      </c>
      <c r="M531" s="2" t="str">
        <f>IF(Plan!$I154=1,G151&amp;F151,"")</f>
        <v/>
      </c>
      <c r="N531" s="93" t="str">
        <f>IF(AND(K531&gt;0,Plan!$I154=1),I151&amp;Language!$E$65&amp;H151,"")</f>
        <v/>
      </c>
    </row>
    <row r="532" spans="9:14" x14ac:dyDescent="0.2">
      <c r="I532" s="40" t="s">
        <v>232</v>
      </c>
      <c r="J532" s="17" t="str">
        <f>IF(Plan!$I155=0,G152&amp;F152,"")</f>
        <v>SC FreiburgRB Leipzig</v>
      </c>
      <c r="K532" s="134">
        <f t="shared" si="12"/>
        <v>1</v>
      </c>
      <c r="L532" s="134" t="str">
        <f>IF(AND(K532&gt;0,Plan!$I155=0),I152&amp;Language!$E$65&amp;H152,"")</f>
        <v>0 : 2</v>
      </c>
      <c r="M532" s="2" t="str">
        <f>IF(Plan!$I155=1,G152&amp;F152,"")</f>
        <v/>
      </c>
      <c r="N532" s="93" t="str">
        <f>IF(AND(K532&gt;0,Plan!$I155=1),I152&amp;Language!$E$65&amp;H152,"")</f>
        <v/>
      </c>
    </row>
    <row r="533" spans="9:14" x14ac:dyDescent="0.2">
      <c r="I533" s="40" t="s">
        <v>233</v>
      </c>
      <c r="J533" s="17" t="str">
        <f>IF(Plan!$I156=0,G153&amp;F153,"")</f>
        <v>Borussia MönchengladbachTSG Hoffenheim</v>
      </c>
      <c r="K533" s="134">
        <f t="shared" si="12"/>
        <v>1</v>
      </c>
      <c r="L533" s="134" t="str">
        <f>IF(AND(K533&gt;0,Plan!$I156=0),I153&amp;Language!$E$65&amp;H153,"")</f>
        <v>1 : 5</v>
      </c>
      <c r="M533" s="2" t="str">
        <f>IF(Plan!$I156=1,G153&amp;F153,"")</f>
        <v/>
      </c>
      <c r="N533" s="93" t="str">
        <f>IF(AND(K533&gt;0,Plan!$I156=1),I153&amp;Language!$E$65&amp;H153,"")</f>
        <v/>
      </c>
    </row>
    <row r="534" spans="9:14" x14ac:dyDescent="0.2">
      <c r="I534" s="40" t="s">
        <v>234</v>
      </c>
      <c r="J534" s="17" t="str">
        <f>IF(Plan!$I157=0,G154&amp;F154,"")</f>
        <v>FC Bayern München1. FC Köln</v>
      </c>
      <c r="K534" s="134">
        <f t="shared" si="12"/>
        <v>1</v>
      </c>
      <c r="L534" s="134" t="str">
        <f>IF(AND(K534&gt;0,Plan!$I157=0),I154&amp;Language!$E$65&amp;H154,"")</f>
        <v>3 : 1</v>
      </c>
      <c r="M534" s="2" t="str">
        <f>IF(Plan!$I157=1,G154&amp;F154,"")</f>
        <v/>
      </c>
      <c r="N534" s="93" t="str">
        <f>IF(AND(K534&gt;0,Plan!$I157=1),I154&amp;Language!$E$65&amp;H154,"")</f>
        <v/>
      </c>
    </row>
    <row r="535" spans="9:14" x14ac:dyDescent="0.2">
      <c r="I535" s="40" t="s">
        <v>235</v>
      </c>
      <c r="J535" s="17" t="str">
        <f>IF(Plan!$I158=0,G155&amp;F155,"")</f>
        <v>1. FC Union BerlinFC Augsburg</v>
      </c>
      <c r="K535" s="134">
        <f t="shared" si="12"/>
        <v>1</v>
      </c>
      <c r="L535" s="134" t="str">
        <f>IF(AND(K535&gt;0,Plan!$I158=0),I155&amp;Language!$E$65&amp;H155,"")</f>
        <v>1 : 1</v>
      </c>
      <c r="M535" s="2" t="str">
        <f>IF(Plan!$I158=1,G155&amp;F155,"")</f>
        <v/>
      </c>
      <c r="N535" s="93" t="str">
        <f>IF(AND(K535&gt;0,Plan!$I158=1),I155&amp;Language!$E$65&amp;H155,"")</f>
        <v/>
      </c>
    </row>
    <row r="536" spans="9:14" x14ac:dyDescent="0.2">
      <c r="I536" s="40" t="s">
        <v>236</v>
      </c>
      <c r="J536" s="17" t="str">
        <f>IF(Plan!$I159=0,G156&amp;F156,"")</f>
        <v>Bayer 04 LeverkusenHamburger SV</v>
      </c>
      <c r="K536" s="134">
        <f t="shared" si="12"/>
        <v>1</v>
      </c>
      <c r="L536" s="134" t="str">
        <f>IF(AND(K536&gt;0,Plan!$I159=0),I156&amp;Language!$E$65&amp;H156,"")</f>
        <v>1 : 0</v>
      </c>
      <c r="M536" s="2" t="str">
        <f>IF(Plan!$I159=1,G156&amp;F156,"")</f>
        <v/>
      </c>
      <c r="N536" s="93" t="str">
        <f>IF(AND(K536&gt;0,Plan!$I159=1),I156&amp;Language!$E$65&amp;H156,"")</f>
        <v/>
      </c>
    </row>
    <row r="537" spans="9:14" x14ac:dyDescent="0.2">
      <c r="I537" s="40" t="s">
        <v>237</v>
      </c>
      <c r="J537" s="17" t="str">
        <f>IF(Plan!$I160=0,G157&amp;F157,"")</f>
        <v/>
      </c>
      <c r="K537" s="134">
        <f t="shared" si="12"/>
        <v>1</v>
      </c>
      <c r="L537" s="134" t="str">
        <f>IF(AND(K537&gt;0,Plan!$I160=0),I157&amp;Language!$E$65&amp;H157,"")</f>
        <v/>
      </c>
      <c r="M537" s="2" t="str">
        <f>IF(Plan!$I160=1,G157&amp;F157,"")</f>
        <v>Eintracht FrankfurtSV Werder Bremen</v>
      </c>
      <c r="N537" s="93" t="str">
        <f>IF(AND(K537&gt;0,Plan!$I160=1),I157&amp;Language!$E$65&amp;H157,"")</f>
        <v>3 : 3</v>
      </c>
    </row>
    <row r="538" spans="9:14" x14ac:dyDescent="0.2">
      <c r="I538" s="40" t="s">
        <v>238</v>
      </c>
      <c r="J538" s="17" t="str">
        <f>IF(Plan!$I161=0,G158&amp;F158,"")</f>
        <v/>
      </c>
      <c r="K538" s="134">
        <f t="shared" si="12"/>
        <v>1</v>
      </c>
      <c r="L538" s="134" t="str">
        <f>IF(AND(K538&gt;0,Plan!$I161=0),I158&amp;Language!$E$65&amp;H158,"")</f>
        <v/>
      </c>
      <c r="M538" s="2" t="str">
        <f>IF(Plan!$I161=1,G158&amp;F158,"")</f>
        <v>Borussia MönchengladbachHamburger SV</v>
      </c>
      <c r="N538" s="93" t="str">
        <f>IF(AND(K538&gt;0,Plan!$I161=1),I158&amp;Language!$E$65&amp;H158,"")</f>
        <v>0 : 0</v>
      </c>
    </row>
    <row r="539" spans="9:14" x14ac:dyDescent="0.2">
      <c r="I539" s="40" t="s">
        <v>239</v>
      </c>
      <c r="J539" s="17" t="str">
        <f>IF(Plan!$I162=0,G159&amp;F159,"")</f>
        <v/>
      </c>
      <c r="K539" s="134">
        <f t="shared" si="12"/>
        <v>1</v>
      </c>
      <c r="L539" s="134" t="str">
        <f>IF(AND(K539&gt;0,Plan!$I162=0),I159&amp;Language!$E$65&amp;H159,"")</f>
        <v/>
      </c>
      <c r="M539" s="2" t="str">
        <f>IF(Plan!$I162=1,G159&amp;F159,"")</f>
        <v>1. FC Heidenheim 1846VfL Wolfsburg</v>
      </c>
      <c r="N539" s="93" t="str">
        <f>IF(AND(K539&gt;0,Plan!$I162=1),I159&amp;Language!$E$65&amp;H159,"")</f>
        <v>1 : 1</v>
      </c>
    </row>
    <row r="540" spans="9:14" x14ac:dyDescent="0.2">
      <c r="I540" s="40" t="s">
        <v>240</v>
      </c>
      <c r="J540" s="17" t="str">
        <f>IF(Plan!$I163=0,G160&amp;F160,"")</f>
        <v/>
      </c>
      <c r="K540" s="134">
        <f t="shared" si="12"/>
        <v>1</v>
      </c>
      <c r="L540" s="134" t="str">
        <f>IF(AND(K540&gt;0,Plan!$I163=0),I160&amp;Language!$E$65&amp;H160,"")</f>
        <v/>
      </c>
      <c r="M540" s="2" t="str">
        <f>IF(Plan!$I163=1,G160&amp;F160,"")</f>
        <v>Bayer 04 LeverkusenTSG Hoffenheim</v>
      </c>
      <c r="N540" s="93" t="str">
        <f>IF(AND(K540&gt;0,Plan!$I163=1),I160&amp;Language!$E$65&amp;H160,"")</f>
        <v>0 : 1</v>
      </c>
    </row>
    <row r="541" spans="9:14" x14ac:dyDescent="0.2">
      <c r="I541" s="40" t="s">
        <v>241</v>
      </c>
      <c r="J541" s="17" t="str">
        <f>IF(Plan!$I164=0,G161&amp;F161,"")</f>
        <v/>
      </c>
      <c r="K541" s="134">
        <f t="shared" si="12"/>
        <v>1</v>
      </c>
      <c r="L541" s="134" t="str">
        <f>IF(AND(K541&gt;0,Plan!$I164=0),I161&amp;Language!$E$65&amp;H161,"")</f>
        <v/>
      </c>
      <c r="M541" s="2" t="str">
        <f>IF(Plan!$I164=1,G161&amp;F161,"")</f>
        <v>FC St. PauliBorussia Dortmund</v>
      </c>
      <c r="N541" s="93" t="str">
        <f>IF(AND(K541&gt;0,Plan!$I164=1),I161&amp;Language!$E$65&amp;H161,"")</f>
        <v>2 : 3</v>
      </c>
    </row>
    <row r="542" spans="9:14" x14ac:dyDescent="0.2">
      <c r="I542" s="40" t="s">
        <v>242</v>
      </c>
      <c r="J542" s="17" t="str">
        <f>IF(Plan!$I165=0,G162&amp;F162,"")</f>
        <v/>
      </c>
      <c r="K542" s="134">
        <f t="shared" si="12"/>
        <v>1</v>
      </c>
      <c r="L542" s="134" t="str">
        <f>IF(AND(K542&gt;0,Plan!$I165=0),I162&amp;Language!$E$65&amp;H162,"")</f>
        <v/>
      </c>
      <c r="M542" s="2" t="str">
        <f>IF(Plan!$I165=1,G162&amp;F162,"")</f>
        <v>1. FSV Mainz 051. FC Köln</v>
      </c>
      <c r="N542" s="93" t="str">
        <f>IF(AND(K542&gt;0,Plan!$I165=1),I162&amp;Language!$E$65&amp;H162,"")</f>
        <v>1 : 2</v>
      </c>
    </row>
    <row r="543" spans="9:14" x14ac:dyDescent="0.2">
      <c r="I543" s="40" t="s">
        <v>243</v>
      </c>
      <c r="J543" s="17" t="str">
        <f>IF(Plan!$I166=0,G163&amp;F163,"")</f>
        <v/>
      </c>
      <c r="K543" s="134">
        <f t="shared" si="12"/>
        <v>1</v>
      </c>
      <c r="L543" s="134" t="str">
        <f>IF(AND(K543&gt;0,Plan!$I166=0),I163&amp;Language!$E$65&amp;H163,"")</f>
        <v/>
      </c>
      <c r="M543" s="2" t="str">
        <f>IF(Plan!$I166=1,G163&amp;F163,"")</f>
        <v>FC Bayern MünchenRB Leipzig</v>
      </c>
      <c r="N543" s="93" t="str">
        <f>IF(AND(K543&gt;0,Plan!$I166=1),I163&amp;Language!$E$65&amp;H163,"")</f>
        <v>5 : 1</v>
      </c>
    </row>
    <row r="544" spans="9:14" x14ac:dyDescent="0.2">
      <c r="I544" s="40" t="s">
        <v>244</v>
      </c>
      <c r="J544" s="17" t="str">
        <f>IF(Plan!$I167=0,G164&amp;F164,"")</f>
        <v/>
      </c>
      <c r="K544" s="134">
        <f t="shared" si="12"/>
        <v>1</v>
      </c>
      <c r="L544" s="134" t="str">
        <f>IF(AND(K544&gt;0,Plan!$I167=0),I164&amp;Language!$E$65&amp;H164,"")</f>
        <v/>
      </c>
      <c r="M544" s="2" t="str">
        <f>IF(Plan!$I167=1,G164&amp;F164,"")</f>
        <v>1. FC Union BerlinVfB Stuttgart</v>
      </c>
      <c r="N544" s="93" t="str">
        <f>IF(AND(K544&gt;0,Plan!$I167=1),I164&amp;Language!$E$65&amp;H164,"")</f>
        <v>1 : 1</v>
      </c>
    </row>
    <row r="545" spans="9:14" x14ac:dyDescent="0.2">
      <c r="I545" s="40" t="s">
        <v>245</v>
      </c>
      <c r="J545" s="17" t="str">
        <f>IF(Plan!$I168=0,G165&amp;F165,"")</f>
        <v/>
      </c>
      <c r="K545" s="134">
        <f t="shared" si="12"/>
        <v>1</v>
      </c>
      <c r="L545" s="134" t="str">
        <f>IF(AND(K545&gt;0,Plan!$I168=0),I165&amp;Language!$E$65&amp;H165,"")</f>
        <v/>
      </c>
      <c r="M545" s="2" t="str">
        <f>IF(Plan!$I168=1,G165&amp;F165,"")</f>
        <v>SC FreiburgFC Augsburg</v>
      </c>
      <c r="N545" s="93" t="str">
        <f>IF(AND(K545&gt;0,Plan!$I168=1),I165&amp;Language!$E$65&amp;H165,"")</f>
        <v>2 : 2</v>
      </c>
    </row>
    <row r="546" spans="9:14" x14ac:dyDescent="0.2">
      <c r="I546" s="40" t="s">
        <v>246</v>
      </c>
      <c r="J546" s="17" t="str">
        <f>IF(Plan!$I169=0,G166&amp;F166,"")</f>
        <v/>
      </c>
      <c r="K546" s="134">
        <f t="shared" si="12"/>
        <v>1</v>
      </c>
      <c r="L546" s="134" t="str">
        <f>IF(AND(K546&gt;0,Plan!$I169=0),I166&amp;Language!$E$65&amp;H166,"")</f>
        <v/>
      </c>
      <c r="M546" s="2" t="str">
        <f>IF(Plan!$I169=1,G166&amp;F166,"")</f>
        <v>Hamburger SVFC St. Pauli</v>
      </c>
      <c r="N546" s="93" t="str">
        <f>IF(AND(K546&gt;0,Plan!$I169=1),I166&amp;Language!$E$65&amp;H166,"")</f>
        <v>0 : 0</v>
      </c>
    </row>
    <row r="547" spans="9:14" x14ac:dyDescent="0.2">
      <c r="I547" s="40" t="s">
        <v>247</v>
      </c>
      <c r="J547" s="17" t="str">
        <f>IF(Plan!$I170=0,G167&amp;F167,"")</f>
        <v/>
      </c>
      <c r="K547" s="134">
        <f t="shared" si="12"/>
        <v>1</v>
      </c>
      <c r="L547" s="134" t="str">
        <f>IF(AND(K547&gt;0,Plan!$I170=0),I167&amp;Language!$E$65&amp;H167,"")</f>
        <v/>
      </c>
      <c r="M547" s="2" t="str">
        <f>IF(Plan!$I170=1,G167&amp;F167,"")</f>
        <v>RB Leipzig1. FC Heidenheim 1846</v>
      </c>
      <c r="N547" s="93" t="str">
        <f>IF(AND(K547&gt;0,Plan!$I170=1),I167&amp;Language!$E$65&amp;H167,"")</f>
        <v>3 : 0</v>
      </c>
    </row>
    <row r="548" spans="9:14" x14ac:dyDescent="0.2">
      <c r="I548" s="40" t="s">
        <v>248</v>
      </c>
      <c r="J548" s="17" t="str">
        <f>IF(Plan!$I171=0,G168&amp;F168,"")</f>
        <v/>
      </c>
      <c r="K548" s="134">
        <f t="shared" si="12"/>
        <v>1</v>
      </c>
      <c r="L548" s="134" t="str">
        <f>IF(AND(K548&gt;0,Plan!$I171=0),I168&amp;Language!$E$65&amp;H168,"")</f>
        <v/>
      </c>
      <c r="M548" s="2" t="str">
        <f>IF(Plan!$I171=1,G168&amp;F168,"")</f>
        <v>TSG HoffenheimEintracht Frankfurt</v>
      </c>
      <c r="N548" s="93" t="str">
        <f>IF(AND(K548&gt;0,Plan!$I171=1),I168&amp;Language!$E$65&amp;H168,"")</f>
        <v>3 : 1</v>
      </c>
    </row>
    <row r="549" spans="9:14" x14ac:dyDescent="0.2">
      <c r="I549" s="40" t="s">
        <v>249</v>
      </c>
      <c r="J549" s="17" t="str">
        <f>IF(Plan!$I172=0,G169&amp;F169,"")</f>
        <v/>
      </c>
      <c r="K549" s="134">
        <f t="shared" si="12"/>
        <v>1</v>
      </c>
      <c r="L549" s="134" t="str">
        <f>IF(AND(K549&gt;0,Plan!$I172=0),I169&amp;Language!$E$65&amp;H169,"")</f>
        <v/>
      </c>
      <c r="M549" s="2" t="str">
        <f>IF(Plan!$I172=1,G169&amp;F169,"")</f>
        <v>SV Werder BremenBayer 04 Leverkusen</v>
      </c>
      <c r="N549" s="93" t="str">
        <f>IF(AND(K549&gt;0,Plan!$I172=1),I169&amp;Language!$E$65&amp;H169,"")</f>
        <v>0 : 1</v>
      </c>
    </row>
    <row r="550" spans="9:14" x14ac:dyDescent="0.2">
      <c r="I550" s="40" t="s">
        <v>250</v>
      </c>
      <c r="J550" s="17" t="str">
        <f>IF(Plan!$I173=0,G170&amp;F170,"")</f>
        <v/>
      </c>
      <c r="K550" s="134">
        <f t="shared" si="12"/>
        <v>1</v>
      </c>
      <c r="L550" s="134" t="str">
        <f>IF(AND(K550&gt;0,Plan!$I173=0),I170&amp;Language!$E$65&amp;H170,"")</f>
        <v/>
      </c>
      <c r="M550" s="2" t="str">
        <f>IF(Plan!$I173=1,G170&amp;F170,"")</f>
        <v>FC AugsburgFC Bayern München</v>
      </c>
      <c r="N550" s="93" t="str">
        <f>IF(AND(K550&gt;0,Plan!$I173=1),I170&amp;Language!$E$65&amp;H170,"")</f>
        <v>2 : 1</v>
      </c>
    </row>
    <row r="551" spans="9:14" x14ac:dyDescent="0.2">
      <c r="I551" s="40" t="s">
        <v>251</v>
      </c>
      <c r="J551" s="17" t="str">
        <f>IF(Plan!$I174=0,G171&amp;F171,"")</f>
        <v/>
      </c>
      <c r="K551" s="134">
        <f t="shared" si="12"/>
        <v>1</v>
      </c>
      <c r="L551" s="134" t="str">
        <f>IF(AND(K551&gt;0,Plan!$I174=0),I171&amp;Language!$E$65&amp;H171,"")</f>
        <v/>
      </c>
      <c r="M551" s="2" t="str">
        <f>IF(Plan!$I174=1,G171&amp;F171,"")</f>
        <v>VfL Wolfsburg1. FSV Mainz 05</v>
      </c>
      <c r="N551" s="93" t="str">
        <f>IF(AND(K551&gt;0,Plan!$I174=1),I171&amp;Language!$E$65&amp;H171,"")</f>
        <v>1 : 3</v>
      </c>
    </row>
    <row r="552" spans="9:14" x14ac:dyDescent="0.2">
      <c r="I552" s="40" t="s">
        <v>252</v>
      </c>
      <c r="J552" s="17" t="str">
        <f>IF(Plan!$I175=0,G172&amp;F172,"")</f>
        <v/>
      </c>
      <c r="K552" s="134">
        <f t="shared" si="12"/>
        <v>1</v>
      </c>
      <c r="L552" s="134" t="str">
        <f>IF(AND(K552&gt;0,Plan!$I175=0),I172&amp;Language!$E$65&amp;H172,"")</f>
        <v/>
      </c>
      <c r="M552" s="2" t="str">
        <f>IF(Plan!$I175=1,G172&amp;F172,"")</f>
        <v>Borussia Dortmund1. FC Union Berlin</v>
      </c>
      <c r="N552" s="93" t="str">
        <f>IF(AND(K552&gt;0,Plan!$I175=1),I172&amp;Language!$E$65&amp;H172,"")</f>
        <v>3 : 0</v>
      </c>
    </row>
    <row r="553" spans="9:14" x14ac:dyDescent="0.2">
      <c r="I553" s="40" t="s">
        <v>253</v>
      </c>
      <c r="J553" s="17" t="str">
        <f>IF(Plan!$I176=0,G173&amp;F173,"")</f>
        <v/>
      </c>
      <c r="K553" s="134">
        <f t="shared" si="12"/>
        <v>1</v>
      </c>
      <c r="L553" s="134" t="str">
        <f>IF(AND(K553&gt;0,Plan!$I176=0),I173&amp;Language!$E$65&amp;H173,"")</f>
        <v/>
      </c>
      <c r="M553" s="2" t="str">
        <f>IF(Plan!$I176=1,G173&amp;F173,"")</f>
        <v>VfB StuttgartBorussia Mönchengladbach</v>
      </c>
      <c r="N553" s="93" t="str">
        <f>IF(AND(K553&gt;0,Plan!$I176=1),I173&amp;Language!$E$65&amp;H173,"")</f>
        <v>3 : 0</v>
      </c>
    </row>
    <row r="554" spans="9:14" x14ac:dyDescent="0.2">
      <c r="I554" s="40" t="s">
        <v>254</v>
      </c>
      <c r="J554" s="17" t="str">
        <f>IF(Plan!$I177=0,G174&amp;F174,"")</f>
        <v/>
      </c>
      <c r="K554" s="134">
        <f t="shared" si="12"/>
        <v>1</v>
      </c>
      <c r="L554" s="134" t="str">
        <f>IF(AND(K554&gt;0,Plan!$I177=0),I174&amp;Language!$E$65&amp;H174,"")</f>
        <v/>
      </c>
      <c r="M554" s="2" t="str">
        <f>IF(Plan!$I177=1,G174&amp;F174,"")</f>
        <v>1. FC KölnSC Freiburg</v>
      </c>
      <c r="N554" s="93" t="str">
        <f>IF(AND(K554&gt;0,Plan!$I177=1),I174&amp;Language!$E$65&amp;H174,"")</f>
        <v>1 : 2</v>
      </c>
    </row>
    <row r="555" spans="9:14" x14ac:dyDescent="0.2">
      <c r="I555" s="40" t="s">
        <v>255</v>
      </c>
      <c r="J555" s="17" t="str">
        <f>IF(Plan!$I178=0,G175&amp;F175,"")</f>
        <v/>
      </c>
      <c r="K555" s="134">
        <f t="shared" si="12"/>
        <v>1</v>
      </c>
      <c r="L555" s="134" t="str">
        <f>IF(AND(K555&gt;0,Plan!$I178=0),I175&amp;Language!$E$65&amp;H175,"")</f>
        <v/>
      </c>
      <c r="M555" s="2" t="str">
        <f>IF(Plan!$I178=1,G175&amp;F175,"")</f>
        <v>VfL Wolfsburg1. FC Köln</v>
      </c>
      <c r="N555" s="93" t="str">
        <f>IF(AND(K555&gt;0,Plan!$I178=1),I175&amp;Language!$E$65&amp;H175,"")</f>
        <v>0 : 1</v>
      </c>
    </row>
    <row r="556" spans="9:14" x14ac:dyDescent="0.2">
      <c r="I556" s="40" t="s">
        <v>256</v>
      </c>
      <c r="J556" s="17" t="str">
        <f>IF(Plan!$I179=0,G176&amp;F176,"")</f>
        <v/>
      </c>
      <c r="K556" s="134">
        <f t="shared" si="12"/>
        <v>1</v>
      </c>
      <c r="L556" s="134" t="str">
        <f>IF(AND(K556&gt;0,Plan!$I179=0),I176&amp;Language!$E$65&amp;H176,"")</f>
        <v/>
      </c>
      <c r="M556" s="2" t="str">
        <f>IF(Plan!$I179=1,G176&amp;F176,"")</f>
        <v>FC St. PauliFC Augsburg</v>
      </c>
      <c r="N556" s="93" t="str">
        <f>IF(AND(K556&gt;0,Plan!$I179=1),I176&amp;Language!$E$65&amp;H176,"")</f>
        <v>1 : 2</v>
      </c>
    </row>
    <row r="557" spans="9:14" x14ac:dyDescent="0.2">
      <c r="I557" s="40" t="s">
        <v>257</v>
      </c>
      <c r="J557" s="17" t="str">
        <f>IF(Plan!$I180=0,G177&amp;F177,"")</f>
        <v/>
      </c>
      <c r="K557" s="134">
        <f t="shared" si="12"/>
        <v>1</v>
      </c>
      <c r="L557" s="134" t="str">
        <f>IF(AND(K557&gt;0,Plan!$I180=0),I177&amp;Language!$E$65&amp;H177,"")</f>
        <v/>
      </c>
      <c r="M557" s="2" t="str">
        <f>IF(Plan!$I180=1,G177&amp;F177,"")</f>
        <v>1. FC Union BerlinTSG Hoffenheim</v>
      </c>
      <c r="N557" s="93" t="str">
        <f>IF(AND(K557&gt;0,Plan!$I180=1),I177&amp;Language!$E$65&amp;H177,"")</f>
        <v>1 : 3</v>
      </c>
    </row>
    <row r="558" spans="9:14" x14ac:dyDescent="0.2">
      <c r="I558" s="40" t="s">
        <v>258</v>
      </c>
      <c r="J558" s="17" t="str">
        <f>IF(Plan!$I181=0,G178&amp;F178,"")</f>
        <v/>
      </c>
      <c r="K558" s="134">
        <f t="shared" si="12"/>
        <v>1</v>
      </c>
      <c r="L558" s="134" t="str">
        <f>IF(AND(K558&gt;0,Plan!$I181=0),I178&amp;Language!$E$65&amp;H178,"")</f>
        <v/>
      </c>
      <c r="M558" s="2" t="str">
        <f>IF(Plan!$I181=1,G178&amp;F178,"")</f>
        <v>Bayer 04 LeverkusenEintracht Frankfurt</v>
      </c>
      <c r="N558" s="93" t="str">
        <f>IF(AND(K558&gt;0,Plan!$I181=1),I178&amp;Language!$E$65&amp;H178,"")</f>
        <v>3 : 1</v>
      </c>
    </row>
    <row r="559" spans="9:14" x14ac:dyDescent="0.2">
      <c r="I559" s="40" t="s">
        <v>259</v>
      </c>
      <c r="J559" s="17" t="str">
        <f>IF(Plan!$I182=0,G179&amp;F179,"")</f>
        <v/>
      </c>
      <c r="K559" s="134">
        <f t="shared" si="12"/>
        <v>1</v>
      </c>
      <c r="L559" s="134" t="str">
        <f>IF(AND(K559&gt;0,Plan!$I182=0),I179&amp;Language!$E$65&amp;H179,"")</f>
        <v/>
      </c>
      <c r="M559" s="2" t="str">
        <f>IF(Plan!$I182=1,G179&amp;F179,"")</f>
        <v>1. FSV Mainz 05RB Leipzig</v>
      </c>
      <c r="N559" s="93" t="str">
        <f>IF(AND(K559&gt;0,Plan!$I182=1),I179&amp;Language!$E$65&amp;H179,"")</f>
        <v>2 : 1</v>
      </c>
    </row>
    <row r="560" spans="9:14" x14ac:dyDescent="0.2">
      <c r="I560" s="40" t="s">
        <v>260</v>
      </c>
      <c r="J560" s="17" t="str">
        <f>IF(Plan!$I183=0,G180&amp;F180,"")</f>
        <v/>
      </c>
      <c r="K560" s="134">
        <f t="shared" si="12"/>
        <v>1</v>
      </c>
      <c r="L560" s="134" t="str">
        <f>IF(AND(K560&gt;0,Plan!$I183=0),I180&amp;Language!$E$65&amp;H180,"")</f>
        <v/>
      </c>
      <c r="M560" s="2" t="str">
        <f>IF(Plan!$I183=1,G180&amp;F180,"")</f>
        <v>Borussia MönchengladbachSV Werder Bremen</v>
      </c>
      <c r="N560" s="93" t="str">
        <f>IF(AND(K560&gt;0,Plan!$I183=1),I180&amp;Language!$E$65&amp;H180,"")</f>
        <v>1 : 1</v>
      </c>
    </row>
    <row r="561" spans="9:14" x14ac:dyDescent="0.2">
      <c r="I561" s="40" t="s">
        <v>261</v>
      </c>
      <c r="J561" s="17" t="str">
        <f>IF(Plan!$I184=0,G181&amp;F181,"")</f>
        <v/>
      </c>
      <c r="K561" s="134">
        <f t="shared" si="12"/>
        <v>1</v>
      </c>
      <c r="L561" s="134" t="str">
        <f>IF(AND(K561&gt;0,Plan!$I184=0),I181&amp;Language!$E$65&amp;H181,"")</f>
        <v/>
      </c>
      <c r="M561" s="2" t="str">
        <f>IF(Plan!$I184=1,G181&amp;F181,"")</f>
        <v>FC Bayern MünchenHamburger SV</v>
      </c>
      <c r="N561" s="93" t="str">
        <f>IF(AND(K561&gt;0,Plan!$I184=1),I181&amp;Language!$E$65&amp;H181,"")</f>
        <v>2 : 2</v>
      </c>
    </row>
    <row r="562" spans="9:14" x14ac:dyDescent="0.2">
      <c r="I562" s="40" t="s">
        <v>262</v>
      </c>
      <c r="J562" s="17" t="str">
        <f>IF(Plan!$I185=0,G182&amp;F182,"")</f>
        <v/>
      </c>
      <c r="K562" s="134">
        <f t="shared" si="12"/>
        <v>1</v>
      </c>
      <c r="L562" s="134" t="str">
        <f>IF(AND(K562&gt;0,Plan!$I185=0),I182&amp;Language!$E$65&amp;H182,"")</f>
        <v/>
      </c>
      <c r="M562" s="2" t="str">
        <f>IF(Plan!$I185=1,G182&amp;F182,"")</f>
        <v>SC FreiburgVfB Stuttgart</v>
      </c>
      <c r="N562" s="93" t="str">
        <f>IF(AND(K562&gt;0,Plan!$I185=1),I182&amp;Language!$E$65&amp;H182,"")</f>
        <v>0 : 1</v>
      </c>
    </row>
    <row r="563" spans="9:14" x14ac:dyDescent="0.2">
      <c r="I563" s="40" t="s">
        <v>263</v>
      </c>
      <c r="J563" s="17" t="str">
        <f>IF(Plan!$I186=0,G183&amp;F183,"")</f>
        <v/>
      </c>
      <c r="K563" s="134">
        <f t="shared" si="12"/>
        <v>1</v>
      </c>
      <c r="L563" s="134" t="str">
        <f>IF(AND(K563&gt;0,Plan!$I186=0),I183&amp;Language!$E$65&amp;H183,"")</f>
        <v/>
      </c>
      <c r="M563" s="2" t="str">
        <f>IF(Plan!$I186=1,G183&amp;F183,"")</f>
        <v>1. FC Heidenheim 1846Borussia Dortmund</v>
      </c>
      <c r="N563" s="93" t="str">
        <f>IF(AND(K563&gt;0,Plan!$I186=1),I183&amp;Language!$E$65&amp;H183,"")</f>
        <v>2 : 3</v>
      </c>
    </row>
    <row r="564" spans="9:14" x14ac:dyDescent="0.2">
      <c r="I564" s="40" t="s">
        <v>264</v>
      </c>
      <c r="J564" s="17" t="str">
        <f>IF(Plan!$I187=0,G184&amp;F184,"")</f>
        <v/>
      </c>
      <c r="K564" s="134">
        <f t="shared" si="12"/>
        <v>1</v>
      </c>
      <c r="L564" s="134" t="str">
        <f>IF(AND(K564&gt;0,Plan!$I187=0),I184&amp;Language!$E$65&amp;H184,"")</f>
        <v/>
      </c>
      <c r="M564" s="2" t="str">
        <f>IF(Plan!$I187=1,G184&amp;F184,"")</f>
        <v>Eintracht Frankfurt1. FC Union Berlin</v>
      </c>
      <c r="N564" s="93" t="str">
        <f>IF(AND(K564&gt;0,Plan!$I187=1),I184&amp;Language!$E$65&amp;H184,"")</f>
        <v>1 : 1</v>
      </c>
    </row>
    <row r="565" spans="9:14" x14ac:dyDescent="0.2">
      <c r="I565" s="40" t="s">
        <v>265</v>
      </c>
      <c r="J565" s="17" t="str">
        <f>IF(Plan!$I188=0,G185&amp;F185,"")</f>
        <v/>
      </c>
      <c r="K565" s="134">
        <f t="shared" si="12"/>
        <v>1</v>
      </c>
      <c r="L565" s="134" t="str">
        <f>IF(AND(K565&gt;0,Plan!$I188=0),I185&amp;Language!$E$65&amp;H185,"")</f>
        <v/>
      </c>
      <c r="M565" s="2" t="str">
        <f>IF(Plan!$I188=1,G185&amp;F185,"")</f>
        <v>VfB StuttgartFC St. Pauli</v>
      </c>
      <c r="N565" s="93" t="str">
        <f>IF(AND(K565&gt;0,Plan!$I188=1),I185&amp;Language!$E$65&amp;H185,"")</f>
        <v>1 : 2</v>
      </c>
    </row>
    <row r="566" spans="9:14" x14ac:dyDescent="0.2">
      <c r="I566" s="40" t="s">
        <v>266</v>
      </c>
      <c r="J566" s="17" t="str">
        <f>IF(Plan!$I189=0,G186&amp;F186,"")</f>
        <v/>
      </c>
      <c r="K566" s="134">
        <f t="shared" si="12"/>
        <v>1</v>
      </c>
      <c r="L566" s="134" t="str">
        <f>IF(AND(K566&gt;0,Plan!$I189=0),I186&amp;Language!$E$65&amp;H186,"")</f>
        <v/>
      </c>
      <c r="M566" s="2" t="str">
        <f>IF(Plan!$I189=1,G186&amp;F186,"")</f>
        <v>Hamburger SV1. FC Heidenheim 1846</v>
      </c>
      <c r="N566" s="93" t="str">
        <f>IF(AND(K566&gt;0,Plan!$I189=1),I186&amp;Language!$E$65&amp;H186,"")</f>
        <v>2 : 0</v>
      </c>
    </row>
    <row r="567" spans="9:14" x14ac:dyDescent="0.2">
      <c r="I567" s="40" t="s">
        <v>267</v>
      </c>
      <c r="J567" s="17" t="str">
        <f>IF(Plan!$I190=0,G187&amp;F187,"")</f>
        <v/>
      </c>
      <c r="K567" s="134">
        <f t="shared" si="12"/>
        <v>1</v>
      </c>
      <c r="L567" s="134" t="str">
        <f>IF(AND(K567&gt;0,Plan!$I190=0),I187&amp;Language!$E$65&amp;H187,"")</f>
        <v/>
      </c>
      <c r="M567" s="2" t="str">
        <f>IF(Plan!$I190=1,G187&amp;F187,"")</f>
        <v>SV Werder BremenSC Freiburg</v>
      </c>
      <c r="N567" s="93" t="str">
        <f>IF(AND(K567&gt;0,Plan!$I190=1),I187&amp;Language!$E$65&amp;H187,"")</f>
        <v>0 : 1</v>
      </c>
    </row>
    <row r="568" spans="9:14" x14ac:dyDescent="0.2">
      <c r="I568" s="40" t="s">
        <v>268</v>
      </c>
      <c r="J568" s="17" t="str">
        <f>IF(Plan!$I191=0,G188&amp;F188,"")</f>
        <v/>
      </c>
      <c r="K568" s="134">
        <f t="shared" si="12"/>
        <v>1</v>
      </c>
      <c r="L568" s="134" t="str">
        <f>IF(AND(K568&gt;0,Plan!$I191=0),I188&amp;Language!$E$65&amp;H188,"")</f>
        <v/>
      </c>
      <c r="M568" s="2" t="str">
        <f>IF(Plan!$I191=1,G188&amp;F188,"")</f>
        <v>FC Augsburg1. FSV Mainz 05</v>
      </c>
      <c r="N568" s="93" t="str">
        <f>IF(AND(K568&gt;0,Plan!$I191=1),I188&amp;Language!$E$65&amp;H188,"")</f>
        <v>0 : 2</v>
      </c>
    </row>
    <row r="569" spans="9:14" x14ac:dyDescent="0.2">
      <c r="I569" s="40" t="s">
        <v>269</v>
      </c>
      <c r="J569" s="17" t="str">
        <f>IF(Plan!$I192=0,G189&amp;F189,"")</f>
        <v/>
      </c>
      <c r="K569" s="134">
        <f t="shared" si="12"/>
        <v>1</v>
      </c>
      <c r="L569" s="134" t="str">
        <f>IF(AND(K569&gt;0,Plan!$I192=0),I189&amp;Language!$E$65&amp;H189,"")</f>
        <v/>
      </c>
      <c r="M569" s="2" t="str">
        <f>IF(Plan!$I192=1,G189&amp;F189,"")</f>
        <v>Borussia DortmundVfL Wolfsburg</v>
      </c>
      <c r="N569" s="93" t="str">
        <f>IF(AND(K569&gt;0,Plan!$I192=1),I189&amp;Language!$E$65&amp;H189,"")</f>
        <v>2 : 1</v>
      </c>
    </row>
    <row r="570" spans="9:14" x14ac:dyDescent="0.2">
      <c r="I570" s="40" t="s">
        <v>270</v>
      </c>
      <c r="J570" s="17" t="str">
        <f>IF(Plan!$I193=0,G190&amp;F190,"")</f>
        <v/>
      </c>
      <c r="K570" s="134">
        <f t="shared" si="12"/>
        <v>1</v>
      </c>
      <c r="L570" s="134" t="str">
        <f>IF(AND(K570&gt;0,Plan!$I193=0),I190&amp;Language!$E$65&amp;H190,"")</f>
        <v/>
      </c>
      <c r="M570" s="2" t="str">
        <f>IF(Plan!$I193=1,G190&amp;F190,"")</f>
        <v>Bayer 04 LeverkusenBorussia Mönchengladbach</v>
      </c>
      <c r="N570" s="93" t="str">
        <f>IF(AND(K570&gt;0,Plan!$I193=1),I190&amp;Language!$E$65&amp;H190,"")</f>
        <v>1 : 1</v>
      </c>
    </row>
    <row r="571" spans="9:14" x14ac:dyDescent="0.2">
      <c r="I571" s="40" t="s">
        <v>271</v>
      </c>
      <c r="J571" s="17" t="str">
        <f>IF(Plan!$I194=0,G191&amp;F191,"")</f>
        <v/>
      </c>
      <c r="K571" s="134">
        <f t="shared" si="12"/>
        <v>1</v>
      </c>
      <c r="L571" s="134" t="str">
        <f>IF(AND(K571&gt;0,Plan!$I194=0),I191&amp;Language!$E$65&amp;H191,"")</f>
        <v/>
      </c>
      <c r="M571" s="2" t="str">
        <f>IF(Plan!$I194=1,G191&amp;F191,"")</f>
        <v>RB Leipzig1. FC Köln</v>
      </c>
      <c r="N571" s="93" t="str">
        <f>IF(AND(K571&gt;0,Plan!$I194=1),I191&amp;Language!$E$65&amp;H191,"")</f>
        <v>2 : 1</v>
      </c>
    </row>
    <row r="572" spans="9:14" x14ac:dyDescent="0.2">
      <c r="I572" s="40" t="s">
        <v>272</v>
      </c>
      <c r="J572" s="17" t="str">
        <f>IF(Plan!$I195=0,G192&amp;F192,"")</f>
        <v/>
      </c>
      <c r="K572" s="134">
        <f t="shared" si="12"/>
        <v>1</v>
      </c>
      <c r="L572" s="134" t="str">
        <f>IF(AND(K572&gt;0,Plan!$I195=0),I192&amp;Language!$E$65&amp;H192,"")</f>
        <v/>
      </c>
      <c r="M572" s="2" t="str">
        <f>IF(Plan!$I195=1,G192&amp;F192,"")</f>
        <v>TSG HoffenheimFC Bayern München</v>
      </c>
      <c r="N572" s="93" t="str">
        <f>IF(AND(K572&gt;0,Plan!$I195=1),I192&amp;Language!$E$65&amp;H192,"")</f>
        <v>1 : 5</v>
      </c>
    </row>
    <row r="573" spans="9:14" x14ac:dyDescent="0.2">
      <c r="I573" s="40" t="s">
        <v>273</v>
      </c>
      <c r="J573" s="17" t="str">
        <f>IF(Plan!$I196=0,G193&amp;F193,"")</f>
        <v/>
      </c>
      <c r="K573" s="134">
        <f t="shared" si="12"/>
        <v>1</v>
      </c>
      <c r="L573" s="134" t="str">
        <f>IF(AND(K573&gt;0,Plan!$I196=0),I193&amp;Language!$E$65&amp;H193,"")</f>
        <v/>
      </c>
      <c r="M573" s="2" t="str">
        <f>IF(Plan!$I196=1,G193&amp;F193,"")</f>
        <v>1. FSV Mainz 05Borussia Dortmund</v>
      </c>
      <c r="N573" s="93" t="str">
        <f>IF(AND(K573&gt;0,Plan!$I196=1),I193&amp;Language!$E$65&amp;H193,"")</f>
        <v>0 : 4</v>
      </c>
    </row>
    <row r="574" spans="9:14" x14ac:dyDescent="0.2">
      <c r="I574" s="40" t="s">
        <v>274</v>
      </c>
      <c r="J574" s="17" t="str">
        <f>IF(Plan!$I197=0,G194&amp;F194,"")</f>
        <v/>
      </c>
      <c r="K574" s="134">
        <f t="shared" si="12"/>
        <v>1</v>
      </c>
      <c r="L574" s="134" t="str">
        <f>IF(AND(K574&gt;0,Plan!$I197=0),I194&amp;Language!$E$65&amp;H194,"")</f>
        <v/>
      </c>
      <c r="M574" s="2" t="str">
        <f>IF(Plan!$I197=1,G194&amp;F194,"")</f>
        <v>SC FreiburgTSG Hoffenheim</v>
      </c>
      <c r="N574" s="93" t="str">
        <f>IF(AND(K574&gt;0,Plan!$I197=1),I194&amp;Language!$E$65&amp;H194,"")</f>
        <v>0 : 3</v>
      </c>
    </row>
    <row r="575" spans="9:14" x14ac:dyDescent="0.2">
      <c r="I575" s="40" t="s">
        <v>275</v>
      </c>
      <c r="J575" s="17" t="str">
        <f>IF(Plan!$I198=0,G195&amp;F195,"")</f>
        <v/>
      </c>
      <c r="K575" s="134">
        <f t="shared" si="12"/>
        <v>1</v>
      </c>
      <c r="L575" s="134" t="str">
        <f>IF(AND(K575&gt;0,Plan!$I198=0),I195&amp;Language!$E$65&amp;H195,"")</f>
        <v/>
      </c>
      <c r="M575" s="2" t="str">
        <f>IF(Plan!$I198=1,G195&amp;F195,"")</f>
        <v>1. FC Union BerlinHamburger SV</v>
      </c>
      <c r="N575" s="93" t="str">
        <f>IF(AND(K575&gt;0,Plan!$I198=1),I195&amp;Language!$E$65&amp;H195,"")</f>
        <v>2 : 3</v>
      </c>
    </row>
    <row r="576" spans="9:14" x14ac:dyDescent="0.2">
      <c r="I576" s="40" t="s">
        <v>276</v>
      </c>
      <c r="J576" s="17" t="str">
        <f>IF(Plan!$I199=0,G196&amp;F196,"")</f>
        <v/>
      </c>
      <c r="K576" s="134">
        <f t="shared" si="12"/>
        <v>1</v>
      </c>
      <c r="L576" s="134" t="str">
        <f>IF(AND(K576&gt;0,Plan!$I199=0),I196&amp;Language!$E$65&amp;H196,"")</f>
        <v/>
      </c>
      <c r="M576" s="2" t="str">
        <f>IF(Plan!$I199=1,G196&amp;F196,"")</f>
        <v>FC St. PauliBayer 04 Leverkusen</v>
      </c>
      <c r="N576" s="93" t="str">
        <f>IF(AND(K576&gt;0,Plan!$I199=1),I196&amp;Language!$E$65&amp;H196,"")</f>
        <v>0 : 4</v>
      </c>
    </row>
    <row r="577" spans="9:14" x14ac:dyDescent="0.2">
      <c r="I577" s="40" t="s">
        <v>277</v>
      </c>
      <c r="J577" s="17" t="str">
        <f>IF(Plan!$I200=0,G197&amp;F197,"")</f>
        <v/>
      </c>
      <c r="K577" s="134">
        <f t="shared" si="12"/>
        <v>1</v>
      </c>
      <c r="L577" s="134" t="str">
        <f>IF(AND(K577&gt;0,Plan!$I200=0),I197&amp;Language!$E$65&amp;H197,"")</f>
        <v/>
      </c>
      <c r="M577" s="2" t="str">
        <f>IF(Plan!$I200=1,G197&amp;F197,"")</f>
        <v>Borussia MönchengladbachEintracht Frankfurt</v>
      </c>
      <c r="N577" s="93" t="str">
        <f>IF(AND(K577&gt;0,Plan!$I200=1),I197&amp;Language!$E$65&amp;H197,"")</f>
        <v>0 : 3</v>
      </c>
    </row>
    <row r="578" spans="9:14" x14ac:dyDescent="0.2">
      <c r="I578" s="40" t="s">
        <v>278</v>
      </c>
      <c r="J578" s="17" t="str">
        <f>IF(Plan!$I201=0,G198&amp;F198,"")</f>
        <v/>
      </c>
      <c r="K578" s="134">
        <f t="shared" si="12"/>
        <v>1</v>
      </c>
      <c r="L578" s="134" t="str">
        <f>IF(AND(K578&gt;0,Plan!$I201=0),I198&amp;Language!$E$65&amp;H198,"")</f>
        <v/>
      </c>
      <c r="M578" s="2" t="str">
        <f>IF(Plan!$I201=1,G198&amp;F198,"")</f>
        <v>FC Bayern MünchenSV Werder Bremen</v>
      </c>
      <c r="N578" s="93" t="str">
        <f>IF(AND(K578&gt;0,Plan!$I201=1),I198&amp;Language!$E$65&amp;H198,"")</f>
        <v>3 : 0</v>
      </c>
    </row>
    <row r="579" spans="9:14" x14ac:dyDescent="0.2">
      <c r="I579" s="40" t="s">
        <v>279</v>
      </c>
      <c r="J579" s="17" t="str">
        <f>IF(Plan!$I202=0,G199&amp;F199,"")</f>
        <v/>
      </c>
      <c r="K579" s="134">
        <f t="shared" si="12"/>
        <v>1</v>
      </c>
      <c r="L579" s="134" t="str">
        <f>IF(AND(K579&gt;0,Plan!$I202=0),I199&amp;Language!$E$65&amp;H199,"")</f>
        <v/>
      </c>
      <c r="M579" s="2" t="str">
        <f>IF(Plan!$I202=1,G199&amp;F199,"")</f>
        <v>1. FC KölnVfB Stuttgart</v>
      </c>
      <c r="N579" s="93" t="str">
        <f>IF(AND(K579&gt;0,Plan!$I202=1),I199&amp;Language!$E$65&amp;H199,"")</f>
        <v>1 : 3</v>
      </c>
    </row>
    <row r="580" spans="9:14" x14ac:dyDescent="0.2">
      <c r="I580" s="40" t="s">
        <v>280</v>
      </c>
      <c r="J580" s="17" t="str">
        <f>IF(Plan!$I203=0,G200&amp;F200,"")</f>
        <v/>
      </c>
      <c r="K580" s="134">
        <f t="shared" si="12"/>
        <v>1</v>
      </c>
      <c r="L580" s="134" t="str">
        <f>IF(AND(K580&gt;0,Plan!$I203=0),I200&amp;Language!$E$65&amp;H200,"")</f>
        <v/>
      </c>
      <c r="M580" s="2" t="str">
        <f>IF(Plan!$I203=1,G200&amp;F200,"")</f>
        <v>1. FC Heidenheim 1846FC Augsburg</v>
      </c>
      <c r="N580" s="93" t="str">
        <f>IF(AND(K580&gt;0,Plan!$I203=1),I200&amp;Language!$E$65&amp;H200,"")</f>
        <v>0 : 1</v>
      </c>
    </row>
    <row r="581" spans="9:14" x14ac:dyDescent="0.2">
      <c r="I581" s="40" t="s">
        <v>281</v>
      </c>
      <c r="J581" s="17" t="str">
        <f>IF(Plan!$I204=0,G201&amp;F201,"")</f>
        <v/>
      </c>
      <c r="K581" s="134">
        <f t="shared" si="12"/>
        <v>1</v>
      </c>
      <c r="L581" s="134" t="str">
        <f>IF(AND(K581&gt;0,Plan!$I204=0),I201&amp;Language!$E$65&amp;H201,"")</f>
        <v/>
      </c>
      <c r="M581" s="2" t="str">
        <f>IF(Plan!$I204=1,G201&amp;F201,"")</f>
        <v>VfL WolfsburgRB Leipzig</v>
      </c>
      <c r="N581" s="93" t="str">
        <f>IF(AND(K581&gt;0,Plan!$I204=1),I201&amp;Language!$E$65&amp;H201,"")</f>
        <v>2 : 2</v>
      </c>
    </row>
    <row r="582" spans="9:14" x14ac:dyDescent="0.2">
      <c r="I582" s="40" t="s">
        <v>282</v>
      </c>
      <c r="J582" s="17" t="str">
        <f>IF(Plan!$I205=0,G202&amp;F202,"")</f>
        <v/>
      </c>
      <c r="K582" s="134">
        <f t="shared" si="12"/>
        <v>1</v>
      </c>
      <c r="L582" s="134" t="str">
        <f>IF(AND(K582&gt;0,Plan!$I205=0),I202&amp;Language!$E$65&amp;H202,"")</f>
        <v/>
      </c>
      <c r="M582" s="2" t="str">
        <f>IF(Plan!$I205=1,G202&amp;F202,"")</f>
        <v>Hamburger SV1. FSV Mainz 05</v>
      </c>
      <c r="N582" s="93" t="str">
        <f>IF(AND(K582&gt;0,Plan!$I205=1),I202&amp;Language!$E$65&amp;H202,"")</f>
        <v>1 : 1</v>
      </c>
    </row>
    <row r="583" spans="9:14" x14ac:dyDescent="0.2">
      <c r="I583" s="40" t="s">
        <v>283</v>
      </c>
      <c r="J583" s="17" t="str">
        <f>IF(Plan!$I206=0,G203&amp;F203,"")</f>
        <v/>
      </c>
      <c r="K583" s="134">
        <f t="shared" ref="K583:K646" si="13">K203</f>
        <v>1</v>
      </c>
      <c r="L583" s="134" t="str">
        <f>IF(AND(K583&gt;0,Plan!$I206=0),I203&amp;Language!$E$65&amp;H203,"")</f>
        <v/>
      </c>
      <c r="M583" s="2" t="str">
        <f>IF(Plan!$I206=1,G203&amp;F203,"")</f>
        <v>TSG Hoffenheim1. FC Köln</v>
      </c>
      <c r="N583" s="93" t="str">
        <f>IF(AND(K583&gt;0,Plan!$I206=1),I203&amp;Language!$E$65&amp;H203,"")</f>
        <v>2 : 2</v>
      </c>
    </row>
    <row r="584" spans="9:14" x14ac:dyDescent="0.2">
      <c r="I584" s="40" t="s">
        <v>284</v>
      </c>
      <c r="J584" s="17" t="str">
        <f>IF(Plan!$I207=0,G204&amp;F204,"")</f>
        <v/>
      </c>
      <c r="K584" s="134">
        <f t="shared" si="13"/>
        <v>1</v>
      </c>
      <c r="L584" s="134" t="str">
        <f>IF(AND(K584&gt;0,Plan!$I207=0),I204&amp;Language!$E$65&amp;H204,"")</f>
        <v/>
      </c>
      <c r="M584" s="2" t="str">
        <f>IF(Plan!$I207=1,G204&amp;F204,"")</f>
        <v>Bayer 04 Leverkusen1. FC Union Berlin</v>
      </c>
      <c r="N584" s="93" t="str">
        <f>IF(AND(K584&gt;0,Plan!$I207=1),I204&amp;Language!$E$65&amp;H204,"")</f>
        <v>0 : 1</v>
      </c>
    </row>
    <row r="585" spans="9:14" x14ac:dyDescent="0.2">
      <c r="I585" s="40" t="s">
        <v>285</v>
      </c>
      <c r="J585" s="17" t="str">
        <f>IF(Plan!$I208=0,G205&amp;F205,"")</f>
        <v/>
      </c>
      <c r="K585" s="134">
        <f t="shared" si="13"/>
        <v>1</v>
      </c>
      <c r="L585" s="134" t="str">
        <f>IF(AND(K585&gt;0,Plan!$I208=0),I205&amp;Language!$E$65&amp;H205,"")</f>
        <v/>
      </c>
      <c r="M585" s="2" t="str">
        <f>IF(Plan!$I208=1,G205&amp;F205,"")</f>
        <v>Eintracht FrankfurtFC Bayern München</v>
      </c>
      <c r="N585" s="93" t="str">
        <f>IF(AND(K585&gt;0,Plan!$I208=1),I205&amp;Language!$E$65&amp;H205,"")</f>
        <v>2 : 3</v>
      </c>
    </row>
    <row r="586" spans="9:14" x14ac:dyDescent="0.2">
      <c r="I586" s="40" t="s">
        <v>286</v>
      </c>
      <c r="J586" s="17" t="str">
        <f>IF(Plan!$I209=0,G206&amp;F206,"")</f>
        <v/>
      </c>
      <c r="K586" s="134">
        <f t="shared" si="13"/>
        <v>1</v>
      </c>
      <c r="L586" s="134" t="str">
        <f>IF(AND(K586&gt;0,Plan!$I209=0),I206&amp;Language!$E$65&amp;H206,"")</f>
        <v/>
      </c>
      <c r="M586" s="2" t="str">
        <f>IF(Plan!$I209=1,G206&amp;F206,"")</f>
        <v>FC AugsburgVfL Wolfsburg</v>
      </c>
      <c r="N586" s="93" t="str">
        <f>IF(AND(K586&gt;0,Plan!$I209=1),I206&amp;Language!$E$65&amp;H206,"")</f>
        <v>3 : 2</v>
      </c>
    </row>
    <row r="587" spans="9:14" x14ac:dyDescent="0.2">
      <c r="I587" s="40" t="s">
        <v>287</v>
      </c>
      <c r="J587" s="17" t="str">
        <f>IF(Plan!$I210=0,G207&amp;F207,"")</f>
        <v/>
      </c>
      <c r="K587" s="134">
        <f t="shared" si="13"/>
        <v>1</v>
      </c>
      <c r="L587" s="134" t="str">
        <f>IF(AND(K587&gt;0,Plan!$I210=0),I207&amp;Language!$E$65&amp;H207,"")</f>
        <v/>
      </c>
      <c r="M587" s="2" t="str">
        <f>IF(Plan!$I210=1,G207&amp;F207,"")</f>
        <v>Borussia DortmundRB Leipzig</v>
      </c>
      <c r="N587" s="93" t="str">
        <f>IF(AND(K587&gt;0,Plan!$I210=1),I207&amp;Language!$E$65&amp;H207,"")</f>
        <v>2 : 2</v>
      </c>
    </row>
    <row r="588" spans="9:14" x14ac:dyDescent="0.2">
      <c r="I588" s="40" t="s">
        <v>288</v>
      </c>
      <c r="J588" s="17" t="str">
        <f>IF(Plan!$I211=0,G208&amp;F208,"")</f>
        <v/>
      </c>
      <c r="K588" s="134">
        <f t="shared" si="13"/>
        <v>1</v>
      </c>
      <c r="L588" s="134" t="str">
        <f>IF(AND(K588&gt;0,Plan!$I211=0),I208&amp;Language!$E$65&amp;H208,"")</f>
        <v/>
      </c>
      <c r="M588" s="2" t="str">
        <f>IF(Plan!$I211=1,G208&amp;F208,"")</f>
        <v>Borussia MönchengladbachSC Freiburg</v>
      </c>
      <c r="N588" s="93" t="str">
        <f>IF(AND(K588&gt;0,Plan!$I211=1),I208&amp;Language!$E$65&amp;H208,"")</f>
        <v>1 : 2</v>
      </c>
    </row>
    <row r="589" spans="9:14" x14ac:dyDescent="0.2">
      <c r="I589" s="40" t="s">
        <v>289</v>
      </c>
      <c r="J589" s="17" t="str">
        <f>IF(Plan!$I212=0,G209&amp;F209,"")</f>
        <v/>
      </c>
      <c r="K589" s="134">
        <f t="shared" si="13"/>
        <v>1</v>
      </c>
      <c r="L589" s="134" t="str">
        <f>IF(AND(K589&gt;0,Plan!$I212=0),I209&amp;Language!$E$65&amp;H209,"")</f>
        <v/>
      </c>
      <c r="M589" s="2" t="str">
        <f>IF(Plan!$I212=1,G209&amp;F209,"")</f>
        <v>SV Werder BremenFC St. Pauli</v>
      </c>
      <c r="N589" s="93" t="str">
        <f>IF(AND(K589&gt;0,Plan!$I212=1),I209&amp;Language!$E$65&amp;H209,"")</f>
        <v>1 : 2</v>
      </c>
    </row>
    <row r="590" spans="9:14" x14ac:dyDescent="0.2">
      <c r="I590" s="40" t="s">
        <v>290</v>
      </c>
      <c r="J590" s="17" t="str">
        <f>IF(Plan!$I213=0,G210&amp;F210,"")</f>
        <v/>
      </c>
      <c r="K590" s="134">
        <f t="shared" si="13"/>
        <v>1</v>
      </c>
      <c r="L590" s="134" t="str">
        <f>IF(AND(K590&gt;0,Plan!$I213=0),I210&amp;Language!$E$65&amp;H210,"")</f>
        <v/>
      </c>
      <c r="M590" s="2" t="str">
        <f>IF(Plan!$I213=1,G210&amp;F210,"")</f>
        <v>VfB Stuttgart1. FC Heidenheim 1846</v>
      </c>
      <c r="N590" s="93" t="str">
        <f>IF(AND(K590&gt;0,Plan!$I213=1),I210&amp;Language!$E$65&amp;H210,"")</f>
        <v>3 : 3</v>
      </c>
    </row>
    <row r="591" spans="9:14" x14ac:dyDescent="0.2">
      <c r="I591" s="40" t="s">
        <v>291</v>
      </c>
      <c r="J591" s="17" t="str">
        <f>IF(Plan!$I214=0,G211&amp;F211,"")</f>
        <v/>
      </c>
      <c r="K591" s="134">
        <f t="shared" si="13"/>
        <v>1</v>
      </c>
      <c r="L591" s="134" t="str">
        <f>IF(AND(K591&gt;0,Plan!$I214=0),I211&amp;Language!$E$65&amp;H211,"")</f>
        <v/>
      </c>
      <c r="M591" s="2" t="str">
        <f>IF(Plan!$I214=1,G211&amp;F211,"")</f>
        <v>1. FC KölnFC Augsburg</v>
      </c>
      <c r="N591" s="93" t="str">
        <f>IF(AND(K591&gt;0,Plan!$I214=1),I211&amp;Language!$E$65&amp;H211,"")</f>
        <v>0 : 2</v>
      </c>
    </row>
    <row r="592" spans="9:14" x14ac:dyDescent="0.2">
      <c r="I592" s="40" t="s">
        <v>292</v>
      </c>
      <c r="J592" s="17" t="str">
        <f>IF(Plan!$I215=0,G212&amp;F212,"")</f>
        <v/>
      </c>
      <c r="K592" s="134">
        <f t="shared" si="13"/>
        <v>1</v>
      </c>
      <c r="L592" s="134" t="str">
        <f>IF(AND(K592&gt;0,Plan!$I215=0),I212&amp;Language!$E$65&amp;H212,"")</f>
        <v/>
      </c>
      <c r="M592" s="2" t="str">
        <f>IF(Plan!$I215=1,G212&amp;F212,"")</f>
        <v>FC St. PauliTSG Hoffenheim</v>
      </c>
      <c r="N592" s="93" t="str">
        <f>IF(AND(K592&gt;0,Plan!$I215=1),I212&amp;Language!$E$65&amp;H212,"")</f>
        <v>1 : 0</v>
      </c>
    </row>
    <row r="593" spans="9:14" x14ac:dyDescent="0.2">
      <c r="I593" s="40" t="s">
        <v>293</v>
      </c>
      <c r="J593" s="17" t="str">
        <f>IF(Plan!$I216=0,G213&amp;F213,"")</f>
        <v/>
      </c>
      <c r="K593" s="134">
        <f t="shared" si="13"/>
        <v>1</v>
      </c>
      <c r="L593" s="134" t="str">
        <f>IF(AND(K593&gt;0,Plan!$I216=0),I213&amp;Language!$E$65&amp;H213,"")</f>
        <v/>
      </c>
      <c r="M593" s="2" t="str">
        <f>IF(Plan!$I216=1,G213&amp;F213,"")</f>
        <v>1. FC Union BerlinBorussia Mönchengladbach</v>
      </c>
      <c r="N593" s="93" t="str">
        <f>IF(AND(K593&gt;0,Plan!$I216=1),I213&amp;Language!$E$65&amp;H213,"")</f>
        <v>0 : 1</v>
      </c>
    </row>
    <row r="594" spans="9:14" x14ac:dyDescent="0.2">
      <c r="I594" s="40" t="s">
        <v>294</v>
      </c>
      <c r="J594" s="17" t="str">
        <f>IF(Plan!$I217=0,G214&amp;F214,"")</f>
        <v/>
      </c>
      <c r="K594" s="134">
        <f t="shared" si="13"/>
        <v>1</v>
      </c>
      <c r="L594" s="134" t="str">
        <f>IF(AND(K594&gt;0,Plan!$I217=0),I214&amp;Language!$E$65&amp;H214,"")</f>
        <v/>
      </c>
      <c r="M594" s="2" t="str">
        <f>IF(Plan!$I217=1,G214&amp;F214,"")</f>
        <v>1. FSV Mainz 05Bayer 04 Leverkusen</v>
      </c>
      <c r="N594" s="93" t="str">
        <f>IF(AND(K594&gt;0,Plan!$I217=1),I214&amp;Language!$E$65&amp;H214,"")</f>
        <v>1 : 1</v>
      </c>
    </row>
    <row r="595" spans="9:14" x14ac:dyDescent="0.2">
      <c r="I595" s="40" t="s">
        <v>295</v>
      </c>
      <c r="J595" s="17" t="str">
        <f>IF(Plan!$I218=0,G215&amp;F215,"")</f>
        <v/>
      </c>
      <c r="K595" s="134">
        <f t="shared" si="13"/>
        <v>1</v>
      </c>
      <c r="L595" s="134" t="str">
        <f>IF(AND(K595&gt;0,Plan!$I218=0),I215&amp;Language!$E$65&amp;H215,"")</f>
        <v/>
      </c>
      <c r="M595" s="2" t="str">
        <f>IF(Plan!$I218=1,G215&amp;F215,"")</f>
        <v>1. FC Heidenheim 1846SV Werder Bremen</v>
      </c>
      <c r="N595" s="93" t="str">
        <f>IF(AND(K595&gt;0,Plan!$I218=1),I215&amp;Language!$E$65&amp;H215,"")</f>
        <v>0 : 2</v>
      </c>
    </row>
    <row r="596" spans="9:14" x14ac:dyDescent="0.2">
      <c r="I596" s="40" t="s">
        <v>296</v>
      </c>
      <c r="J596" s="17" t="str">
        <f>IF(Plan!$I219=0,G216&amp;F216,"")</f>
        <v/>
      </c>
      <c r="K596" s="134">
        <f t="shared" si="13"/>
        <v>1</v>
      </c>
      <c r="L596" s="134" t="str">
        <f>IF(AND(K596&gt;0,Plan!$I219=0),I216&amp;Language!$E$65&amp;H216,"")</f>
        <v/>
      </c>
      <c r="M596" s="2" t="str">
        <f>IF(Plan!$I219=1,G216&amp;F216,"")</f>
        <v>FC Bayern MünchenBorussia Dortmund</v>
      </c>
      <c r="N596" s="93" t="str">
        <f>IF(AND(K596&gt;0,Plan!$I219=1),I216&amp;Language!$E$65&amp;H216,"")</f>
        <v>3 : 2</v>
      </c>
    </row>
    <row r="597" spans="9:14" x14ac:dyDescent="0.2">
      <c r="I597" s="40" t="s">
        <v>297</v>
      </c>
      <c r="J597" s="17" t="str">
        <f>IF(Plan!$I220=0,G217&amp;F217,"")</f>
        <v/>
      </c>
      <c r="K597" s="134">
        <f t="shared" si="13"/>
        <v>1</v>
      </c>
      <c r="L597" s="134" t="str">
        <f>IF(AND(K597&gt;0,Plan!$I220=0),I217&amp;Language!$E$65&amp;H217,"")</f>
        <v/>
      </c>
      <c r="M597" s="2" t="str">
        <f>IF(Plan!$I220=1,G217&amp;F217,"")</f>
        <v>VfL WolfsburgVfB Stuttgart</v>
      </c>
      <c r="N597" s="93" t="str">
        <f>IF(AND(K597&gt;0,Plan!$I220=1),I217&amp;Language!$E$65&amp;H217,"")</f>
        <v>0 : 4</v>
      </c>
    </row>
    <row r="598" spans="9:14" x14ac:dyDescent="0.2">
      <c r="I598" s="40" t="s">
        <v>298</v>
      </c>
      <c r="J598" s="17" t="str">
        <f>IF(Plan!$I221=0,G218&amp;F218,"")</f>
        <v/>
      </c>
      <c r="K598" s="134">
        <f t="shared" si="13"/>
        <v>1</v>
      </c>
      <c r="L598" s="134" t="str">
        <f>IF(AND(K598&gt;0,Plan!$I221=0),I218&amp;Language!$E$65&amp;H218,"")</f>
        <v/>
      </c>
      <c r="M598" s="2" t="str">
        <f>IF(Plan!$I221=1,G218&amp;F218,"")</f>
        <v>SC FreiburgEintracht Frankfurt</v>
      </c>
      <c r="N598" s="93" t="str">
        <f>IF(AND(K598&gt;0,Plan!$I221=1),I218&amp;Language!$E$65&amp;H218,"")</f>
        <v>0 : 2</v>
      </c>
    </row>
    <row r="599" spans="9:14" x14ac:dyDescent="0.2">
      <c r="I599" s="40" t="s">
        <v>299</v>
      </c>
      <c r="J599" s="17" t="str">
        <f>IF(Plan!$I222=0,G219&amp;F219,"")</f>
        <v/>
      </c>
      <c r="K599" s="134">
        <f t="shared" si="13"/>
        <v>1</v>
      </c>
      <c r="L599" s="134" t="str">
        <f>IF(AND(K599&gt;0,Plan!$I222=0),I219&amp;Language!$E$65&amp;H219,"")</f>
        <v/>
      </c>
      <c r="M599" s="2" t="str">
        <f>IF(Plan!$I222=1,G219&amp;F219,"")</f>
        <v>RB LeipzigHamburger SV</v>
      </c>
      <c r="N599" s="93" t="str">
        <f>IF(AND(K599&gt;0,Plan!$I222=1),I219&amp;Language!$E$65&amp;H219,"")</f>
        <v>2 : 1</v>
      </c>
    </row>
    <row r="600" spans="9:14" x14ac:dyDescent="0.2">
      <c r="I600" s="40" t="s">
        <v>300</v>
      </c>
      <c r="J600" s="17" t="str">
        <f>IF(Plan!$I223=0,G220&amp;F220,"")</f>
        <v/>
      </c>
      <c r="K600" s="134">
        <f t="shared" si="13"/>
        <v>1</v>
      </c>
      <c r="L600" s="134" t="str">
        <f>IF(AND(K600&gt;0,Plan!$I223=0),I220&amp;Language!$E$65&amp;H220,"")</f>
        <v/>
      </c>
      <c r="M600" s="2" t="str">
        <f>IF(Plan!$I223=1,G220&amp;F220,"")</f>
        <v>Borussia MönchengladbachFC Bayern München</v>
      </c>
      <c r="N600" s="93" t="str">
        <f>IF(AND(K600&gt;0,Plan!$I223=1),I220&amp;Language!$E$65&amp;H220,"")</f>
        <v>1 : 4</v>
      </c>
    </row>
    <row r="601" spans="9:14" x14ac:dyDescent="0.2">
      <c r="I601" s="40" t="s">
        <v>301</v>
      </c>
      <c r="J601" s="17" t="str">
        <f>IF(Plan!$I224=0,G221&amp;F221,"")</f>
        <v/>
      </c>
      <c r="K601" s="134">
        <f t="shared" si="13"/>
        <v>1</v>
      </c>
      <c r="L601" s="134" t="str">
        <f>IF(AND(K601&gt;0,Plan!$I224=0),I221&amp;Language!$E$65&amp;H221,"")</f>
        <v/>
      </c>
      <c r="M601" s="2" t="str">
        <f>IF(Plan!$I224=1,G221&amp;F221,"")</f>
        <v>Hamburger SVVfL Wolfsburg</v>
      </c>
      <c r="N601" s="93" t="str">
        <f>IF(AND(K601&gt;0,Plan!$I224=1),I221&amp;Language!$E$65&amp;H221,"")</f>
        <v>2 : 1</v>
      </c>
    </row>
    <row r="602" spans="9:14" x14ac:dyDescent="0.2">
      <c r="I602" s="40" t="s">
        <v>302</v>
      </c>
      <c r="J602" s="17" t="str">
        <f>IF(Plan!$I225=0,G222&amp;F222,"")</f>
        <v/>
      </c>
      <c r="K602" s="134">
        <f t="shared" si="13"/>
        <v>1</v>
      </c>
      <c r="L602" s="134" t="str">
        <f>IF(AND(K602&gt;0,Plan!$I225=0),I222&amp;Language!$E$65&amp;H222,"")</f>
        <v/>
      </c>
      <c r="M602" s="2" t="str">
        <f>IF(Plan!$I225=1,G222&amp;F222,"")</f>
        <v>TSG Hoffenheim1. FC Heidenheim 1846</v>
      </c>
      <c r="N602" s="93" t="str">
        <f>IF(AND(K602&gt;0,Plan!$I225=1),I222&amp;Language!$E$65&amp;H222,"")</f>
        <v>4 : 2</v>
      </c>
    </row>
    <row r="603" spans="9:14" x14ac:dyDescent="0.2">
      <c r="I603" s="40" t="s">
        <v>303</v>
      </c>
      <c r="J603" s="17" t="str">
        <f>IF(Plan!$I226=0,G223&amp;F223,"")</f>
        <v/>
      </c>
      <c r="K603" s="134">
        <f t="shared" si="13"/>
        <v>1</v>
      </c>
      <c r="L603" s="134" t="str">
        <f>IF(AND(K603&gt;0,Plan!$I226=0),I223&amp;Language!$E$65&amp;H223,"")</f>
        <v/>
      </c>
      <c r="M603" s="2" t="str">
        <f>IF(Plan!$I226=1,G223&amp;F223,"")</f>
        <v>FC AugsburgRB Leipzig</v>
      </c>
      <c r="N603" s="93" t="str">
        <f>IF(AND(K603&gt;0,Plan!$I226=1),I223&amp;Language!$E$65&amp;H223,"")</f>
        <v>1 : 2</v>
      </c>
    </row>
    <row r="604" spans="9:14" x14ac:dyDescent="0.2">
      <c r="I604" s="40" t="s">
        <v>304</v>
      </c>
      <c r="J604" s="17" t="str">
        <f>IF(Plan!$I227=0,G224&amp;F224,"")</f>
        <v/>
      </c>
      <c r="K604" s="134">
        <f t="shared" si="13"/>
        <v>1</v>
      </c>
      <c r="L604" s="134" t="str">
        <f>IF(AND(K604&gt;0,Plan!$I227=0),I224&amp;Language!$E$65&amp;H224,"")</f>
        <v/>
      </c>
      <c r="M604" s="2" t="str">
        <f>IF(Plan!$I227=1,G224&amp;F224,"")</f>
        <v>Bayer 04 LeverkusenSC Freiburg</v>
      </c>
      <c r="N604" s="93" t="str">
        <f>IF(AND(K604&gt;0,Plan!$I227=1),I224&amp;Language!$E$65&amp;H224,"")</f>
        <v>3 : 3</v>
      </c>
    </row>
    <row r="605" spans="9:14" x14ac:dyDescent="0.2">
      <c r="I605" s="40" t="s">
        <v>305</v>
      </c>
      <c r="J605" s="17" t="str">
        <f>IF(Plan!$I228=0,G225&amp;F225,"")</f>
        <v/>
      </c>
      <c r="K605" s="134">
        <f t="shared" si="13"/>
        <v>1</v>
      </c>
      <c r="L605" s="134" t="str">
        <f>IF(AND(K605&gt;0,Plan!$I228=0),I225&amp;Language!$E$65&amp;H225,"")</f>
        <v/>
      </c>
      <c r="M605" s="2" t="str">
        <f>IF(Plan!$I228=1,G225&amp;F225,"")</f>
        <v>VfB Stuttgart1. FSV Mainz 05</v>
      </c>
      <c r="N605" s="93" t="str">
        <f>IF(AND(K605&gt;0,Plan!$I228=1),I225&amp;Language!$E$65&amp;H225,"")</f>
        <v>2 : 2</v>
      </c>
    </row>
    <row r="606" spans="9:14" x14ac:dyDescent="0.2">
      <c r="I606" s="40" t="s">
        <v>306</v>
      </c>
      <c r="J606" s="17" t="str">
        <f>IF(Plan!$I229=0,G226&amp;F226,"")</f>
        <v/>
      </c>
      <c r="K606" s="134">
        <f t="shared" si="13"/>
        <v>1</v>
      </c>
      <c r="L606" s="134" t="str">
        <f>IF(AND(K606&gt;0,Plan!$I229=0),I226&amp;Language!$E$65&amp;H226,"")</f>
        <v/>
      </c>
      <c r="M606" s="2" t="str">
        <f>IF(Plan!$I229=1,G226&amp;F226,"")</f>
        <v>Borussia Dortmund1. FC Köln</v>
      </c>
      <c r="N606" s="93" t="str">
        <f>IF(AND(K606&gt;0,Plan!$I229=1),I226&amp;Language!$E$65&amp;H226,"")</f>
        <v>2 : 1</v>
      </c>
    </row>
    <row r="607" spans="9:14" x14ac:dyDescent="0.2">
      <c r="I607" s="40" t="s">
        <v>307</v>
      </c>
      <c r="J607" s="17" t="str">
        <f>IF(Plan!$I230=0,G227&amp;F227,"")</f>
        <v/>
      </c>
      <c r="K607" s="134">
        <f t="shared" si="13"/>
        <v>1</v>
      </c>
      <c r="L607" s="134" t="str">
        <f>IF(AND(K607&gt;0,Plan!$I230=0),I227&amp;Language!$E$65&amp;H227,"")</f>
        <v/>
      </c>
      <c r="M607" s="2" t="str">
        <f>IF(Plan!$I230=1,G227&amp;F227,"")</f>
        <v>Eintracht FrankfurtFC St. Pauli</v>
      </c>
      <c r="N607" s="93" t="str">
        <f>IF(AND(K607&gt;0,Plan!$I230=1),I227&amp;Language!$E$65&amp;H227,"")</f>
        <v>0 : 0</v>
      </c>
    </row>
    <row r="608" spans="9:14" x14ac:dyDescent="0.2">
      <c r="I608" s="40" t="s">
        <v>308</v>
      </c>
      <c r="J608" s="17" t="str">
        <f>IF(Plan!$I231=0,G228&amp;F228,"")</f>
        <v/>
      </c>
      <c r="K608" s="134">
        <f t="shared" si="13"/>
        <v>1</v>
      </c>
      <c r="L608" s="134" t="str">
        <f>IF(AND(K608&gt;0,Plan!$I231=0),I228&amp;Language!$E$65&amp;H228,"")</f>
        <v/>
      </c>
      <c r="M608" s="2" t="str">
        <f>IF(Plan!$I231=1,G228&amp;F228,"")</f>
        <v>SV Werder Bremen1. FC Union Berlin</v>
      </c>
      <c r="N608" s="93" t="str">
        <f>IF(AND(K608&gt;0,Plan!$I231=1),I228&amp;Language!$E$65&amp;H228,"")</f>
        <v>4 : 1</v>
      </c>
    </row>
    <row r="609" spans="9:14" x14ac:dyDescent="0.2">
      <c r="I609" s="40" t="s">
        <v>309</v>
      </c>
      <c r="J609" s="17" t="str">
        <f>IF(Plan!$I232=0,G229&amp;F229,"")</f>
        <v/>
      </c>
      <c r="K609" s="134">
        <f t="shared" si="13"/>
        <v>1</v>
      </c>
      <c r="L609" s="134" t="str">
        <f>IF(AND(K609&gt;0,Plan!$I232=0),I229&amp;Language!$E$65&amp;H229,"")</f>
        <v/>
      </c>
      <c r="M609" s="2" t="str">
        <f>IF(Plan!$I232=1,G229&amp;F229,"")</f>
        <v>FC St. PauliBorussia Mönchengladbach</v>
      </c>
      <c r="N609" s="93" t="str">
        <f>IF(AND(K609&gt;0,Plan!$I232=1),I229&amp;Language!$E$65&amp;H229,"")</f>
        <v>0 : 2</v>
      </c>
    </row>
    <row r="610" spans="9:14" x14ac:dyDescent="0.2">
      <c r="I610" s="40" t="s">
        <v>310</v>
      </c>
      <c r="J610" s="17" t="str">
        <f>IF(Plan!$I233=0,G230&amp;F230,"")</f>
        <v/>
      </c>
      <c r="K610" s="134">
        <f t="shared" si="13"/>
        <v>1</v>
      </c>
      <c r="L610" s="134" t="str">
        <f>IF(AND(K610&gt;0,Plan!$I233=0),I230&amp;Language!$E$65&amp;H230,"")</f>
        <v/>
      </c>
      <c r="M610" s="2" t="str">
        <f>IF(Plan!$I233=1,G230&amp;F230,"")</f>
        <v>FC AugsburgBorussia Dortmund</v>
      </c>
      <c r="N610" s="93" t="str">
        <f>IF(AND(K610&gt;0,Plan!$I233=1),I230&amp;Language!$E$65&amp;H230,"")</f>
        <v>0 : 2</v>
      </c>
    </row>
    <row r="611" spans="9:14" x14ac:dyDescent="0.2">
      <c r="I611" s="40" t="s">
        <v>311</v>
      </c>
      <c r="J611" s="17" t="str">
        <f>IF(Plan!$I234=0,G231&amp;F231,"")</f>
        <v/>
      </c>
      <c r="K611" s="134">
        <f t="shared" si="13"/>
        <v>1</v>
      </c>
      <c r="L611" s="134" t="str">
        <f>IF(AND(K611&gt;0,Plan!$I234=0),I231&amp;Language!$E$65&amp;H231,"")</f>
        <v/>
      </c>
      <c r="M611" s="2" t="str">
        <f>IF(Plan!$I234=1,G231&amp;F231,"")</f>
        <v>VfL WolfsburgTSG Hoffenheim</v>
      </c>
      <c r="N611" s="93" t="str">
        <f>IF(AND(K611&gt;0,Plan!$I234=1),I231&amp;Language!$E$65&amp;H231,"")</f>
        <v>1 : 1</v>
      </c>
    </row>
    <row r="612" spans="9:14" x14ac:dyDescent="0.2">
      <c r="I612" s="40" t="s">
        <v>312</v>
      </c>
      <c r="J612" s="17" t="str">
        <f>IF(Plan!$I235=0,G232&amp;F232,"")</f>
        <v/>
      </c>
      <c r="K612" s="134">
        <f t="shared" si="13"/>
        <v>1</v>
      </c>
      <c r="L612" s="134" t="str">
        <f>IF(AND(K612&gt;0,Plan!$I235=0),I232&amp;Language!$E$65&amp;H232,"")</f>
        <v/>
      </c>
      <c r="M612" s="2" t="str">
        <f>IF(Plan!$I235=1,G232&amp;F232,"")</f>
        <v>FC Bayern MünchenBayer 04 Leverkusen</v>
      </c>
      <c r="N612" s="93" t="str">
        <f>IF(AND(K612&gt;0,Plan!$I235=1),I232&amp;Language!$E$65&amp;H232,"")</f>
        <v>1 : 1</v>
      </c>
    </row>
    <row r="613" spans="9:14" x14ac:dyDescent="0.2">
      <c r="I613" s="40" t="s">
        <v>313</v>
      </c>
      <c r="J613" s="17" t="str">
        <f>IF(Plan!$I236=0,G233&amp;F233,"")</f>
        <v/>
      </c>
      <c r="K613" s="134">
        <f t="shared" si="13"/>
        <v>1</v>
      </c>
      <c r="L613" s="134" t="str">
        <f>IF(AND(K613&gt;0,Plan!$I236=0),I233&amp;Language!$E$65&amp;H233,"")</f>
        <v/>
      </c>
      <c r="M613" s="2" t="str">
        <f>IF(Plan!$I236=1,G233&amp;F233,"")</f>
        <v>1. FC Heidenheim 1846Eintracht Frankfurt</v>
      </c>
      <c r="N613" s="93" t="str">
        <f>IF(AND(K613&gt;0,Plan!$I236=1),I233&amp;Language!$E$65&amp;H233,"")</f>
        <v>0 : 1</v>
      </c>
    </row>
    <row r="614" spans="9:14" x14ac:dyDescent="0.2">
      <c r="I614" s="40" t="s">
        <v>314</v>
      </c>
      <c r="J614" s="17" t="str">
        <f>IF(Plan!$I237=0,G234&amp;F234,"")</f>
        <v/>
      </c>
      <c r="K614" s="134">
        <f t="shared" si="13"/>
        <v>1</v>
      </c>
      <c r="L614" s="134" t="str">
        <f>IF(AND(K614&gt;0,Plan!$I237=0),I234&amp;Language!$E$65&amp;H234,"")</f>
        <v/>
      </c>
      <c r="M614" s="2" t="str">
        <f>IF(Plan!$I237=1,G234&amp;F234,"")</f>
        <v>1. FC KölnHamburger SV</v>
      </c>
      <c r="N614" s="93" t="str">
        <f>IF(AND(K614&gt;0,Plan!$I237=1),I234&amp;Language!$E$65&amp;H234,"")</f>
        <v>1 : 1</v>
      </c>
    </row>
    <row r="615" spans="9:14" x14ac:dyDescent="0.2">
      <c r="I615" s="40" t="s">
        <v>315</v>
      </c>
      <c r="J615" s="17" t="str">
        <f>IF(Plan!$I238=0,G235&amp;F235,"")</f>
        <v/>
      </c>
      <c r="K615" s="134">
        <f t="shared" si="13"/>
        <v>1</v>
      </c>
      <c r="L615" s="134" t="str">
        <f>IF(AND(K615&gt;0,Plan!$I238=0),I235&amp;Language!$E$65&amp;H235,"")</f>
        <v/>
      </c>
      <c r="M615" s="2" t="str">
        <f>IF(Plan!$I238=1,G235&amp;F235,"")</f>
        <v>1. FSV Mainz 05SV Werder Bremen</v>
      </c>
      <c r="N615" s="93" t="str">
        <f>IF(AND(K615&gt;0,Plan!$I238=1),I235&amp;Language!$E$65&amp;H235,"")</f>
        <v>2 : 0</v>
      </c>
    </row>
    <row r="616" spans="9:14" x14ac:dyDescent="0.2">
      <c r="I616" s="40" t="s">
        <v>316</v>
      </c>
      <c r="J616" s="17" t="str">
        <f>IF(Plan!$I239=0,G236&amp;F236,"")</f>
        <v/>
      </c>
      <c r="K616" s="134">
        <f t="shared" si="13"/>
        <v>1</v>
      </c>
      <c r="L616" s="134" t="str">
        <f>IF(AND(K616&gt;0,Plan!$I239=0),I236&amp;Language!$E$65&amp;H236,"")</f>
        <v/>
      </c>
      <c r="M616" s="2" t="str">
        <f>IF(Plan!$I239=1,G236&amp;F236,"")</f>
        <v>1. FC Union BerlinSC Freiburg</v>
      </c>
      <c r="N616" s="93" t="str">
        <f>IF(AND(K616&gt;0,Plan!$I239=1),I236&amp;Language!$E$65&amp;H236,"")</f>
        <v>1 : 0</v>
      </c>
    </row>
    <row r="617" spans="9:14" x14ac:dyDescent="0.2">
      <c r="I617" s="40" t="s">
        <v>317</v>
      </c>
      <c r="J617" s="17" t="str">
        <f>IF(Plan!$I240=0,G237&amp;F237,"")</f>
        <v/>
      </c>
      <c r="K617" s="134">
        <f t="shared" si="13"/>
        <v>1</v>
      </c>
      <c r="L617" s="134" t="str">
        <f>IF(AND(K617&gt;0,Plan!$I240=0),I237&amp;Language!$E$65&amp;H237,"")</f>
        <v/>
      </c>
      <c r="M617" s="2" t="str">
        <f>IF(Plan!$I240=1,G237&amp;F237,"")</f>
        <v>RB LeipzigVfB Stuttgart</v>
      </c>
      <c r="N617" s="93" t="str">
        <f>IF(AND(K617&gt;0,Plan!$I240=1),I237&amp;Language!$E$65&amp;H237,"")</f>
        <v>0 : 1</v>
      </c>
    </row>
    <row r="618" spans="9:14" x14ac:dyDescent="0.2">
      <c r="I618" s="40" t="s">
        <v>318</v>
      </c>
      <c r="J618" s="17" t="str">
        <f>IF(Plan!$I241=0,G238&amp;F238,"")</f>
        <v/>
      </c>
      <c r="K618" s="134">
        <f t="shared" si="13"/>
        <v>1</v>
      </c>
      <c r="L618" s="134" t="str">
        <f>IF(AND(K618&gt;0,Plan!$I241=0),I238&amp;Language!$E$65&amp;H238,"")</f>
        <v/>
      </c>
      <c r="M618" s="2" t="str">
        <f>IF(Plan!$I241=1,G238&amp;F238,"")</f>
        <v>TSG HoffenheimRB Leipzig</v>
      </c>
      <c r="N618" s="93" t="str">
        <f>IF(AND(K618&gt;0,Plan!$I241=1),I238&amp;Language!$E$65&amp;H238,"")</f>
        <v>0 : 5</v>
      </c>
    </row>
    <row r="619" spans="9:14" x14ac:dyDescent="0.2">
      <c r="I619" s="40" t="s">
        <v>319</v>
      </c>
      <c r="J619" s="17" t="str">
        <f>IF(Plan!$I242=0,G239&amp;F239,"")</f>
        <v/>
      </c>
      <c r="K619" s="134">
        <f t="shared" si="13"/>
        <v>1</v>
      </c>
      <c r="L619" s="134" t="str">
        <f>IF(AND(K619&gt;0,Plan!$I242=0),I239&amp;Language!$E$65&amp;H239,"")</f>
        <v/>
      </c>
      <c r="M619" s="2" t="str">
        <f>IF(Plan!$I242=1,G239&amp;F239,"")</f>
        <v>Bayer 04 Leverkusen1. FC Heidenheim 1846</v>
      </c>
      <c r="N619" s="93" t="str">
        <f>IF(AND(K619&gt;0,Plan!$I242=1),I239&amp;Language!$E$65&amp;H239,"")</f>
        <v>3 : 3</v>
      </c>
    </row>
    <row r="620" spans="9:14" x14ac:dyDescent="0.2">
      <c r="I620" s="40" t="s">
        <v>320</v>
      </c>
      <c r="J620" s="17" t="str">
        <f>IF(Plan!$I243=0,G240&amp;F240,"")</f>
        <v/>
      </c>
      <c r="K620" s="134">
        <f t="shared" si="13"/>
        <v>1</v>
      </c>
      <c r="L620" s="134" t="str">
        <f>IF(AND(K620&gt;0,Plan!$I243=0),I240&amp;Language!$E$65&amp;H240,"")</f>
        <v/>
      </c>
      <c r="M620" s="2" t="str">
        <f>IF(Plan!$I243=1,G240&amp;F240,"")</f>
        <v>Borussia Mönchengladbach1. FC Köln</v>
      </c>
      <c r="N620" s="93" t="str">
        <f>IF(AND(K620&gt;0,Plan!$I243=1),I240&amp;Language!$E$65&amp;H240,"")</f>
        <v>3 : 3</v>
      </c>
    </row>
    <row r="621" spans="9:14" x14ac:dyDescent="0.2">
      <c r="I621" s="40" t="s">
        <v>321</v>
      </c>
      <c r="J621" s="17" t="str">
        <f>IF(Plan!$I244=0,G241&amp;F241,"")</f>
        <v/>
      </c>
      <c r="K621" s="134">
        <f t="shared" si="13"/>
        <v>1</v>
      </c>
      <c r="L621" s="134" t="str">
        <f>IF(AND(K621&gt;0,Plan!$I244=0),I241&amp;Language!$E$65&amp;H241,"")</f>
        <v/>
      </c>
      <c r="M621" s="2" t="str">
        <f>IF(Plan!$I244=1,G241&amp;F241,"")</f>
        <v>1. FC Union BerlinFC Bayern München</v>
      </c>
      <c r="N621" s="93" t="str">
        <f>IF(AND(K621&gt;0,Plan!$I244=1),I241&amp;Language!$E$65&amp;H241,"")</f>
        <v>0 : 4</v>
      </c>
    </row>
    <row r="622" spans="9:14" x14ac:dyDescent="0.2">
      <c r="I622" s="40" t="s">
        <v>322</v>
      </c>
      <c r="J622" s="17" t="str">
        <f>IF(Plan!$I245=0,G242&amp;F242,"")</f>
        <v/>
      </c>
      <c r="K622" s="134">
        <f t="shared" si="13"/>
        <v>1</v>
      </c>
      <c r="L622" s="134" t="str">
        <f>IF(AND(K622&gt;0,Plan!$I245=0),I242&amp;Language!$E$65&amp;H242,"")</f>
        <v/>
      </c>
      <c r="M622" s="2" t="str">
        <f>IF(Plan!$I245=1,G242&amp;F242,"")</f>
        <v>SV Werder BremenVfL Wolfsburg</v>
      </c>
      <c r="N622" s="93" t="str">
        <f>IF(AND(K622&gt;0,Plan!$I245=1),I242&amp;Language!$E$65&amp;H242,"")</f>
        <v>1 : 0</v>
      </c>
    </row>
    <row r="623" spans="9:14" x14ac:dyDescent="0.2">
      <c r="I623" s="40" t="s">
        <v>323</v>
      </c>
      <c r="J623" s="17" t="str">
        <f>IF(Plan!$I246=0,G243&amp;F243,"")</f>
        <v/>
      </c>
      <c r="K623" s="134">
        <f t="shared" si="13"/>
        <v>1</v>
      </c>
      <c r="L623" s="134" t="str">
        <f>IF(AND(K623&gt;0,Plan!$I246=0),I243&amp;Language!$E$65&amp;H243,"")</f>
        <v/>
      </c>
      <c r="M623" s="2" t="str">
        <f>IF(Plan!$I246=1,G243&amp;F243,"")</f>
        <v>Hamburger SVBorussia Dortmund</v>
      </c>
      <c r="N623" s="93" t="str">
        <f>IF(AND(K623&gt;0,Plan!$I246=1),I243&amp;Language!$E$65&amp;H243,"")</f>
        <v>2 : 3</v>
      </c>
    </row>
    <row r="624" spans="9:14" x14ac:dyDescent="0.2">
      <c r="I624" s="40" t="s">
        <v>324</v>
      </c>
      <c r="J624" s="17" t="str">
        <f>IF(Plan!$I247=0,G244&amp;F244,"")</f>
        <v/>
      </c>
      <c r="K624" s="134">
        <f t="shared" si="13"/>
        <v>1</v>
      </c>
      <c r="L624" s="134" t="str">
        <f>IF(AND(K624&gt;0,Plan!$I247=0),I244&amp;Language!$E$65&amp;H244,"")</f>
        <v/>
      </c>
      <c r="M624" s="2" t="str">
        <f>IF(Plan!$I247=1,G244&amp;F244,"")</f>
        <v>Eintracht Frankfurt1. FSV Mainz 05</v>
      </c>
      <c r="N624" s="93" t="str">
        <f>IF(AND(K624&gt;0,Plan!$I247=1),I244&amp;Language!$E$65&amp;H244,"")</f>
        <v>1 : 2</v>
      </c>
    </row>
    <row r="625" spans="9:14" x14ac:dyDescent="0.2">
      <c r="I625" s="40" t="s">
        <v>325</v>
      </c>
      <c r="J625" s="17" t="str">
        <f>IF(Plan!$I248=0,G245&amp;F245,"")</f>
        <v/>
      </c>
      <c r="K625" s="134">
        <f t="shared" si="13"/>
        <v>1</v>
      </c>
      <c r="L625" s="134" t="str">
        <f>IF(AND(K625&gt;0,Plan!$I248=0),I245&amp;Language!$E$65&amp;H245,"")</f>
        <v/>
      </c>
      <c r="M625" s="2" t="str">
        <f>IF(Plan!$I248=1,G245&amp;F245,"")</f>
        <v>SC FreiburgFC St. Pauli</v>
      </c>
      <c r="N625" s="93" t="str">
        <f>IF(AND(K625&gt;0,Plan!$I248=1),I245&amp;Language!$E$65&amp;H245,"")</f>
        <v>2 : 1</v>
      </c>
    </row>
    <row r="626" spans="9:14" x14ac:dyDescent="0.2">
      <c r="I626" s="40" t="s">
        <v>326</v>
      </c>
      <c r="J626" s="17" t="str">
        <f>IF(Plan!$I249=0,G246&amp;F246,"")</f>
        <v/>
      </c>
      <c r="K626" s="134">
        <f t="shared" si="13"/>
        <v>1</v>
      </c>
      <c r="L626" s="134" t="str">
        <f>IF(AND(K626&gt;0,Plan!$I249=0),I246&amp;Language!$E$65&amp;H246,"")</f>
        <v/>
      </c>
      <c r="M626" s="2" t="str">
        <f>IF(Plan!$I249=1,G246&amp;F246,"")</f>
        <v>VfB StuttgartFC Augsburg</v>
      </c>
      <c r="N626" s="93" t="str">
        <f>IF(AND(K626&gt;0,Plan!$I249=1),I246&amp;Language!$E$65&amp;H246,"")</f>
        <v>5 : 2</v>
      </c>
    </row>
    <row r="627" spans="9:14" x14ac:dyDescent="0.2">
      <c r="I627" s="40" t="s">
        <v>327</v>
      </c>
      <c r="J627" s="17" t="str">
        <f>IF(Plan!$I250=0,G247&amp;F247,"")</f>
        <v/>
      </c>
      <c r="K627" s="134">
        <f t="shared" si="13"/>
        <v>1</v>
      </c>
      <c r="L627" s="134" t="str">
        <f>IF(AND(K627&gt;0,Plan!$I250=0),I247&amp;Language!$E$65&amp;H247,"")</f>
        <v/>
      </c>
      <c r="M627" s="2" t="str">
        <f>IF(Plan!$I250=1,G247&amp;F247,"")</f>
        <v>1. FC Heidenheim 1846Borussia Mönchengladbach</v>
      </c>
      <c r="N627" s="93" t="str">
        <f>IF(AND(K627&gt;0,Plan!$I250=1),I247&amp;Language!$E$65&amp;H247,"")</f>
        <v>2 : 2</v>
      </c>
    </row>
    <row r="628" spans="9:14" x14ac:dyDescent="0.2">
      <c r="I628" s="40" t="s">
        <v>328</v>
      </c>
      <c r="J628" s="17" t="str">
        <f>IF(Plan!$I251=0,G248&amp;F248,"")</f>
        <v/>
      </c>
      <c r="K628" s="134">
        <f t="shared" si="13"/>
        <v>1</v>
      </c>
      <c r="L628" s="134" t="str">
        <f>IF(AND(K628&gt;0,Plan!$I251=0),I248&amp;Language!$E$65&amp;H248,"")</f>
        <v/>
      </c>
      <c r="M628" s="2" t="str">
        <f>IF(Plan!$I251=1,G248&amp;F248,"")</f>
        <v>1. FSV Mainz 05TSG Hoffenheim</v>
      </c>
      <c r="N628" s="93" t="str">
        <f>IF(AND(K628&gt;0,Plan!$I251=1),I248&amp;Language!$E$65&amp;H248,"")</f>
        <v>2 : 1</v>
      </c>
    </row>
    <row r="629" spans="9:14" x14ac:dyDescent="0.2">
      <c r="I629" s="40" t="s">
        <v>329</v>
      </c>
      <c r="J629" s="17" t="str">
        <f>IF(Plan!$I252=0,G249&amp;F249,"")</f>
        <v/>
      </c>
      <c r="K629" s="134">
        <f t="shared" si="13"/>
        <v>1</v>
      </c>
      <c r="L629" s="134" t="str">
        <f>IF(AND(K629&gt;0,Plan!$I252=0),I249&amp;Language!$E$65&amp;H249,"")</f>
        <v/>
      </c>
      <c r="M629" s="2" t="str">
        <f>IF(Plan!$I252=1,G249&amp;F249,"")</f>
        <v>FC AugsburgHamburger SV</v>
      </c>
      <c r="N629" s="93" t="str">
        <f>IF(AND(K629&gt;0,Plan!$I252=1),I249&amp;Language!$E$65&amp;H249,"")</f>
        <v>1 : 1</v>
      </c>
    </row>
    <row r="630" spans="9:14" x14ac:dyDescent="0.2">
      <c r="I630" s="40" t="s">
        <v>330</v>
      </c>
      <c r="J630" s="17" t="str">
        <f>IF(Plan!$I253=0,G250&amp;F250,"")</f>
        <v/>
      </c>
      <c r="K630" s="134">
        <f t="shared" si="13"/>
        <v>1</v>
      </c>
      <c r="L630" s="134" t="str">
        <f>IF(AND(K630&gt;0,Plan!$I253=0),I250&amp;Language!$E$65&amp;H250,"")</f>
        <v/>
      </c>
      <c r="M630" s="2" t="str">
        <f>IF(Plan!$I253=1,G250&amp;F250,"")</f>
        <v>VfL WolfsburgBayer 04 Leverkusen</v>
      </c>
      <c r="N630" s="93" t="str">
        <f>IF(AND(K630&gt;0,Plan!$I253=1),I250&amp;Language!$E$65&amp;H250,"")</f>
        <v>3 : 6</v>
      </c>
    </row>
    <row r="631" spans="9:14" x14ac:dyDescent="0.2">
      <c r="I631" s="40" t="s">
        <v>331</v>
      </c>
      <c r="J631" s="17" t="str">
        <f>IF(Plan!$I254=0,G251&amp;F251,"")</f>
        <v/>
      </c>
      <c r="K631" s="134">
        <f t="shared" si="13"/>
        <v>1</v>
      </c>
      <c r="L631" s="134" t="str">
        <f>IF(AND(K631&gt;0,Plan!$I254=0),I251&amp;Language!$E$65&amp;H251,"")</f>
        <v/>
      </c>
      <c r="M631" s="2" t="str">
        <f>IF(Plan!$I254=1,G251&amp;F251,"")</f>
        <v>FC Bayern MünchenSC Freiburg</v>
      </c>
      <c r="N631" s="93" t="str">
        <f>IF(AND(K631&gt;0,Plan!$I254=1),I251&amp;Language!$E$65&amp;H251,"")</f>
        <v>3 : 2</v>
      </c>
    </row>
    <row r="632" spans="9:14" x14ac:dyDescent="0.2">
      <c r="I632" s="40" t="s">
        <v>332</v>
      </c>
      <c r="J632" s="17" t="str">
        <f>IF(Plan!$I255=0,G252&amp;F252,"")</f>
        <v/>
      </c>
      <c r="K632" s="134">
        <f t="shared" si="13"/>
        <v>1</v>
      </c>
      <c r="L632" s="134" t="str">
        <f>IF(AND(K632&gt;0,Plan!$I255=0),I252&amp;Language!$E$65&amp;H252,"")</f>
        <v/>
      </c>
      <c r="M632" s="2" t="str">
        <f>IF(Plan!$I255=1,G252&amp;F252,"")</f>
        <v>RB LeipzigSV Werder Bremen</v>
      </c>
      <c r="N632" s="93" t="str">
        <f>IF(AND(K632&gt;0,Plan!$I255=1),I252&amp;Language!$E$65&amp;H252,"")</f>
        <v>2 : 1</v>
      </c>
    </row>
    <row r="633" spans="9:14" x14ac:dyDescent="0.2">
      <c r="I633" s="40" t="s">
        <v>333</v>
      </c>
      <c r="J633" s="17" t="str">
        <f>IF(Plan!$I256=0,G253&amp;F253,"")</f>
        <v/>
      </c>
      <c r="K633" s="134">
        <f t="shared" si="13"/>
        <v>1</v>
      </c>
      <c r="L633" s="134" t="str">
        <f>IF(AND(K633&gt;0,Plan!$I256=0),I253&amp;Language!$E$65&amp;H253,"")</f>
        <v/>
      </c>
      <c r="M633" s="2" t="str">
        <f>IF(Plan!$I256=1,G253&amp;F253,"")</f>
        <v>Borussia DortmundVfB Stuttgart</v>
      </c>
      <c r="N633" s="93" t="str">
        <f>IF(AND(K633&gt;0,Plan!$I256=1),I253&amp;Language!$E$65&amp;H253,"")</f>
        <v>2 : 0</v>
      </c>
    </row>
    <row r="634" spans="9:14" x14ac:dyDescent="0.2">
      <c r="I634" s="40" t="s">
        <v>334</v>
      </c>
      <c r="J634" s="17" t="str">
        <f>IF(Plan!$I257=0,G254&amp;F254,"")</f>
        <v/>
      </c>
      <c r="K634" s="134">
        <f t="shared" si="13"/>
        <v>1</v>
      </c>
      <c r="L634" s="134" t="str">
        <f>IF(AND(K634&gt;0,Plan!$I257=0),I254&amp;Language!$E$65&amp;H254,"")</f>
        <v/>
      </c>
      <c r="M634" s="2" t="str">
        <f>IF(Plan!$I257=1,G254&amp;F254,"")</f>
        <v>FC St. Pauli1. FC Union Berlin</v>
      </c>
      <c r="N634" s="93" t="str">
        <f>IF(AND(K634&gt;0,Plan!$I257=1),I254&amp;Language!$E$65&amp;H254,"")</f>
        <v>1 : 1</v>
      </c>
    </row>
    <row r="635" spans="9:14" x14ac:dyDescent="0.2">
      <c r="I635" s="40" t="s">
        <v>335</v>
      </c>
      <c r="J635" s="17" t="str">
        <f>IF(Plan!$I258=0,G255&amp;F255,"")</f>
        <v/>
      </c>
      <c r="K635" s="134">
        <f t="shared" si="13"/>
        <v>1</v>
      </c>
      <c r="L635" s="134" t="str">
        <f>IF(AND(K635&gt;0,Plan!$I258=0),I255&amp;Language!$E$65&amp;H255,"")</f>
        <v/>
      </c>
      <c r="M635" s="2" t="str">
        <f>IF(Plan!$I258=1,G255&amp;F255,"")</f>
        <v>1. FC KölnEintracht Frankfurt</v>
      </c>
      <c r="N635" s="93" t="str">
        <f>IF(AND(K635&gt;0,Plan!$I258=1),I255&amp;Language!$E$65&amp;H255,"")</f>
        <v>2 : 2</v>
      </c>
    </row>
    <row r="636" spans="9:14" x14ac:dyDescent="0.2">
      <c r="I636" s="40" t="s">
        <v>336</v>
      </c>
      <c r="J636" s="17" t="str">
        <f>IF(Plan!$I259=0,G256&amp;F256,"")</f>
        <v/>
      </c>
      <c r="K636" s="134">
        <f t="shared" si="13"/>
        <v>1</v>
      </c>
      <c r="L636" s="134" t="str">
        <f>IF(AND(K636&gt;0,Plan!$I259=0),I256&amp;Language!$E$65&amp;H256,"")</f>
        <v/>
      </c>
      <c r="M636" s="2" t="str">
        <f>IF(Plan!$I259=1,G256&amp;F256,"")</f>
        <v>TSG HoffenheimFC Augsburg</v>
      </c>
      <c r="N636" s="93" t="str">
        <f>IF(AND(K636&gt;0,Plan!$I259=1),I256&amp;Language!$E$65&amp;H256,"")</f>
        <v>2 : 2</v>
      </c>
    </row>
    <row r="637" spans="9:14" x14ac:dyDescent="0.2">
      <c r="I637" s="40" t="s">
        <v>337</v>
      </c>
      <c r="J637" s="17" t="str">
        <f>IF(Plan!$I260=0,G257&amp;F257,"")</f>
        <v/>
      </c>
      <c r="K637" s="134">
        <f t="shared" si="13"/>
        <v>1</v>
      </c>
      <c r="L637" s="134" t="str">
        <f>IF(AND(K637&gt;0,Plan!$I260=0),I257&amp;Language!$E$65&amp;H257,"")</f>
        <v/>
      </c>
      <c r="M637" s="2" t="str">
        <f>IF(Plan!$I260=1,G257&amp;F257,"")</f>
        <v>Eintracht FrankfurtVfL Wolfsburg</v>
      </c>
      <c r="N637" s="93" t="str">
        <f>IF(AND(K637&gt;0,Plan!$I260=1),I257&amp;Language!$E$65&amp;H257,"")</f>
        <v>2 : 1</v>
      </c>
    </row>
    <row r="638" spans="9:14" x14ac:dyDescent="0.2">
      <c r="I638" s="40" t="s">
        <v>338</v>
      </c>
      <c r="J638" s="17" t="str">
        <f>IF(Plan!$I261=0,G258&amp;F258,"")</f>
        <v/>
      </c>
      <c r="K638" s="134">
        <f t="shared" si="13"/>
        <v>1</v>
      </c>
      <c r="L638" s="134" t="str">
        <f>IF(AND(K638&gt;0,Plan!$I261=0),I258&amp;Language!$E$65&amp;H258,"")</f>
        <v/>
      </c>
      <c r="M638" s="2" t="str">
        <f>IF(Plan!$I261=1,G258&amp;F258,"")</f>
        <v>1. FC Union Berlin1. FC Heidenheim 1846</v>
      </c>
      <c r="N638" s="93" t="str">
        <f>IF(AND(K638&gt;0,Plan!$I261=1),I258&amp;Language!$E$65&amp;H258,"")</f>
        <v>1 : 3</v>
      </c>
    </row>
    <row r="639" spans="9:14" x14ac:dyDescent="0.2">
      <c r="I639" s="40" t="s">
        <v>339</v>
      </c>
      <c r="J639" s="17" t="str">
        <f>IF(Plan!$I262=0,G259&amp;F259,"")</f>
        <v/>
      </c>
      <c r="K639" s="134">
        <f t="shared" si="13"/>
        <v>1</v>
      </c>
      <c r="L639" s="134" t="str">
        <f>IF(AND(K639&gt;0,Plan!$I262=0),I259&amp;Language!$E$65&amp;H259,"")</f>
        <v/>
      </c>
      <c r="M639" s="2" t="str">
        <f>IF(Plan!$I262=1,G259&amp;F259,"")</f>
        <v>Bayer 04 LeverkusenBorussia Dortmund</v>
      </c>
      <c r="N639" s="93" t="str">
        <f>IF(AND(K639&gt;0,Plan!$I262=1),I259&amp;Language!$E$65&amp;H259,"")</f>
        <v>1 : 0</v>
      </c>
    </row>
    <row r="640" spans="9:14" x14ac:dyDescent="0.2">
      <c r="I640" s="40" t="s">
        <v>340</v>
      </c>
      <c r="J640" s="17" t="str">
        <f>IF(Plan!$I263=0,G260&amp;F260,"")</f>
        <v/>
      </c>
      <c r="K640" s="134">
        <f t="shared" si="13"/>
        <v>1</v>
      </c>
      <c r="L640" s="134" t="str">
        <f>IF(AND(K640&gt;0,Plan!$I263=0),I260&amp;Language!$E$65&amp;H260,"")</f>
        <v/>
      </c>
      <c r="M640" s="2" t="str">
        <f>IF(Plan!$I263=1,G260&amp;F260,"")</f>
        <v>Borussia MönchengladbachRB Leipzig</v>
      </c>
      <c r="N640" s="93" t="str">
        <f>IF(AND(K640&gt;0,Plan!$I263=1),I260&amp;Language!$E$65&amp;H260,"")</f>
        <v>0 : 1</v>
      </c>
    </row>
    <row r="641" spans="9:14" x14ac:dyDescent="0.2">
      <c r="I641" s="40" t="s">
        <v>341</v>
      </c>
      <c r="J641" s="17" t="str">
        <f>IF(Plan!$I264=0,G261&amp;F261,"")</f>
        <v/>
      </c>
      <c r="K641" s="134">
        <f t="shared" si="13"/>
        <v>1</v>
      </c>
      <c r="L641" s="134" t="str">
        <f>IF(AND(K641&gt;0,Plan!$I264=0),I261&amp;Language!$E$65&amp;H261,"")</f>
        <v/>
      </c>
      <c r="M641" s="2" t="str">
        <f>IF(Plan!$I264=1,G261&amp;F261,"")</f>
        <v>FC Bayern MünchenFC St. Pauli</v>
      </c>
      <c r="N641" s="93" t="str">
        <f>IF(AND(K641&gt;0,Plan!$I264=1),I261&amp;Language!$E$65&amp;H261,"")</f>
        <v>5 : 0</v>
      </c>
    </row>
    <row r="642" spans="9:14" x14ac:dyDescent="0.2">
      <c r="I642" s="40" t="s">
        <v>342</v>
      </c>
      <c r="J642" s="17" t="str">
        <f>IF(Plan!$I265=0,G262&amp;F262,"")</f>
        <v/>
      </c>
      <c r="K642" s="134">
        <f t="shared" si="13"/>
        <v>1</v>
      </c>
      <c r="L642" s="134" t="str">
        <f>IF(AND(K642&gt;0,Plan!$I265=0),I262&amp;Language!$E$65&amp;H262,"")</f>
        <v/>
      </c>
      <c r="M642" s="2" t="str">
        <f>IF(Plan!$I265=1,G262&amp;F262,"")</f>
        <v>SV Werder Bremen1. FC Köln</v>
      </c>
      <c r="N642" s="93" t="str">
        <f>IF(AND(K642&gt;0,Plan!$I265=1),I262&amp;Language!$E$65&amp;H262,"")</f>
        <v>1 : 3</v>
      </c>
    </row>
    <row r="643" spans="9:14" x14ac:dyDescent="0.2">
      <c r="I643" s="40" t="s">
        <v>343</v>
      </c>
      <c r="J643" s="17" t="str">
        <f>IF(Plan!$I266=0,G263&amp;F263,"")</f>
        <v/>
      </c>
      <c r="K643" s="134">
        <f t="shared" si="13"/>
        <v>1</v>
      </c>
      <c r="L643" s="134" t="str">
        <f>IF(AND(K643&gt;0,Plan!$I266=0),I263&amp;Language!$E$65&amp;H263,"")</f>
        <v/>
      </c>
      <c r="M643" s="2" t="str">
        <f>IF(Plan!$I266=1,G263&amp;F263,"")</f>
        <v>Hamburger SVVfB Stuttgart</v>
      </c>
      <c r="N643" s="93" t="str">
        <f>IF(AND(K643&gt;0,Plan!$I266=1),I263&amp;Language!$E$65&amp;H263,"")</f>
        <v>0 : 4</v>
      </c>
    </row>
    <row r="644" spans="9:14" x14ac:dyDescent="0.2">
      <c r="I644" s="40" t="s">
        <v>344</v>
      </c>
      <c r="J644" s="17" t="str">
        <f>IF(Plan!$I267=0,G264&amp;F264,"")</f>
        <v/>
      </c>
      <c r="K644" s="134">
        <f t="shared" si="13"/>
        <v>1</v>
      </c>
      <c r="L644" s="134" t="str">
        <f>IF(AND(K644&gt;0,Plan!$I267=0),I264&amp;Language!$E$65&amp;H264,"")</f>
        <v/>
      </c>
      <c r="M644" s="2" t="str">
        <f>IF(Plan!$I267=1,G264&amp;F264,"")</f>
        <v>SC Freiburg1. FSV Mainz 05</v>
      </c>
      <c r="N644" s="93" t="str">
        <f>IF(AND(K644&gt;0,Plan!$I267=1),I264&amp;Language!$E$65&amp;H264,"")</f>
        <v>1 : 0</v>
      </c>
    </row>
    <row r="645" spans="9:14" x14ac:dyDescent="0.2">
      <c r="I645" s="40" t="s">
        <v>345</v>
      </c>
      <c r="J645" s="17" t="str">
        <f>IF(Plan!$I268=0,G265&amp;F265,"")</f>
        <v/>
      </c>
      <c r="K645" s="134">
        <f t="shared" si="13"/>
        <v>1</v>
      </c>
      <c r="L645" s="134" t="str">
        <f>IF(AND(K645&gt;0,Plan!$I268=0),I265&amp;Language!$E$65&amp;H265,"")</f>
        <v/>
      </c>
      <c r="M645" s="2" t="str">
        <f>IF(Plan!$I268=1,G265&amp;F265,"")</f>
        <v>1. FC KölnFC St. Pauli</v>
      </c>
      <c r="N645" s="93" t="str">
        <f>IF(AND(K645&gt;0,Plan!$I268=1),I265&amp;Language!$E$65&amp;H265,"")</f>
        <v>1 : 1</v>
      </c>
    </row>
    <row r="646" spans="9:14" x14ac:dyDescent="0.2">
      <c r="I646" s="40" t="s">
        <v>346</v>
      </c>
      <c r="J646" s="17" t="str">
        <f>IF(Plan!$I269=0,G266&amp;F266,"")</f>
        <v/>
      </c>
      <c r="K646" s="134">
        <f t="shared" si="13"/>
        <v>1</v>
      </c>
      <c r="L646" s="134" t="str">
        <f>IF(AND(K646&gt;0,Plan!$I269=0),I266&amp;Language!$E$65&amp;H266,"")</f>
        <v/>
      </c>
      <c r="M646" s="2" t="str">
        <f>IF(Plan!$I269=1,G266&amp;F266,"")</f>
        <v>VfL Wolfsburg1. FC Union Berlin</v>
      </c>
      <c r="N646" s="93" t="str">
        <f>IF(AND(K646&gt;0,Plan!$I269=1),I266&amp;Language!$E$65&amp;H266,"")</f>
        <v>2 : 1</v>
      </c>
    </row>
    <row r="647" spans="9:14" x14ac:dyDescent="0.2">
      <c r="I647" s="40" t="s">
        <v>347</v>
      </c>
      <c r="J647" s="17" t="str">
        <f>IF(Plan!$I270=0,G267&amp;F267,"")</f>
        <v/>
      </c>
      <c r="K647" s="134">
        <f t="shared" ref="K647:K710" si="14">K267</f>
        <v>1</v>
      </c>
      <c r="L647" s="134" t="str">
        <f>IF(AND(K647&gt;0,Plan!$I270=0),I267&amp;Language!$E$65&amp;H267,"")</f>
        <v/>
      </c>
      <c r="M647" s="2" t="str">
        <f>IF(Plan!$I270=1,G267&amp;F267,"")</f>
        <v>Borussia DortmundTSG Hoffenheim</v>
      </c>
      <c r="N647" s="93" t="str">
        <f>IF(AND(K647&gt;0,Plan!$I270=1),I267&amp;Language!$E$65&amp;H267,"")</f>
        <v>1 : 2</v>
      </c>
    </row>
    <row r="648" spans="9:14" x14ac:dyDescent="0.2">
      <c r="I648" s="40" t="s">
        <v>348</v>
      </c>
      <c r="J648" s="17" t="str">
        <f>IF(Plan!$I271=0,G268&amp;F268,"")</f>
        <v/>
      </c>
      <c r="K648" s="134">
        <f t="shared" si="14"/>
        <v>1</v>
      </c>
      <c r="L648" s="134" t="str">
        <f>IF(AND(K648&gt;0,Plan!$I271=0),I268&amp;Language!$E$65&amp;H268,"")</f>
        <v/>
      </c>
      <c r="M648" s="2" t="str">
        <f>IF(Plan!$I271=1,G268&amp;F268,"")</f>
        <v>FC AugsburgBayer 04 Leverkusen</v>
      </c>
      <c r="N648" s="93" t="str">
        <f>IF(AND(K648&gt;0,Plan!$I271=1),I268&amp;Language!$E$65&amp;H268,"")</f>
        <v>2 : 1</v>
      </c>
    </row>
    <row r="649" spans="9:14" x14ac:dyDescent="0.2">
      <c r="I649" s="40" t="s">
        <v>349</v>
      </c>
      <c r="J649" s="17" t="str">
        <f>IF(Plan!$I272=0,G269&amp;F269,"")</f>
        <v/>
      </c>
      <c r="K649" s="134">
        <f t="shared" si="14"/>
        <v>1</v>
      </c>
      <c r="L649" s="134" t="str">
        <f>IF(AND(K649&gt;0,Plan!$I272=0),I269&amp;Language!$E$65&amp;H269,"")</f>
        <v/>
      </c>
      <c r="M649" s="2" t="str">
        <f>IF(Plan!$I272=1,G269&amp;F269,"")</f>
        <v>Hamburger SVSV Werder Bremen</v>
      </c>
      <c r="N649" s="93" t="str">
        <f>IF(AND(K649&gt;0,Plan!$I272=1),I269&amp;Language!$E$65&amp;H269,"")</f>
        <v>1 : 3</v>
      </c>
    </row>
    <row r="650" spans="9:14" x14ac:dyDescent="0.2">
      <c r="I650" s="40" t="s">
        <v>350</v>
      </c>
      <c r="J650" s="17" t="str">
        <f>IF(Plan!$I273=0,G270&amp;F270,"")</f>
        <v/>
      </c>
      <c r="K650" s="134">
        <f t="shared" si="14"/>
        <v>1</v>
      </c>
      <c r="L650" s="134" t="str">
        <f>IF(AND(K650&gt;0,Plan!$I273=0),I270&amp;Language!$E$65&amp;H270,"")</f>
        <v/>
      </c>
      <c r="M650" s="2" t="str">
        <f>IF(Plan!$I273=1,G270&amp;F270,"")</f>
        <v>RB LeipzigEintracht Frankfurt</v>
      </c>
      <c r="N650" s="93" t="str">
        <f>IF(AND(K650&gt;0,Plan!$I273=1),I270&amp;Language!$E$65&amp;H270,"")</f>
        <v>3 : 1</v>
      </c>
    </row>
    <row r="651" spans="9:14" x14ac:dyDescent="0.2">
      <c r="I651" s="40" t="s">
        <v>351</v>
      </c>
      <c r="J651" s="17" t="str">
        <f>IF(Plan!$I274=0,G271&amp;F271,"")</f>
        <v/>
      </c>
      <c r="K651" s="134">
        <f t="shared" si="14"/>
        <v>1</v>
      </c>
      <c r="L651" s="134" t="str">
        <f>IF(AND(K651&gt;0,Plan!$I274=0),I271&amp;Language!$E$65&amp;H271,"")</f>
        <v/>
      </c>
      <c r="M651" s="2" t="str">
        <f>IF(Plan!$I274=1,G271&amp;F271,"")</f>
        <v>1. FC Heidenheim 1846SC Freiburg</v>
      </c>
      <c r="N651" s="93" t="str">
        <f>IF(AND(K651&gt;0,Plan!$I274=1),I271&amp;Language!$E$65&amp;H271,"")</f>
        <v>1 : 2</v>
      </c>
    </row>
    <row r="652" spans="9:14" x14ac:dyDescent="0.2">
      <c r="I652" s="40" t="s">
        <v>352</v>
      </c>
      <c r="J652" s="17" t="str">
        <f>IF(Plan!$I275=0,G272&amp;F272,"")</f>
        <v/>
      </c>
      <c r="K652" s="134">
        <f t="shared" si="14"/>
        <v>1</v>
      </c>
      <c r="L652" s="134" t="str">
        <f>IF(AND(K652&gt;0,Plan!$I275=0),I272&amp;Language!$E$65&amp;H272,"")</f>
        <v/>
      </c>
      <c r="M652" s="2" t="str">
        <f>IF(Plan!$I275=1,G272&amp;F272,"")</f>
        <v>VfB StuttgartFC Bayern München</v>
      </c>
      <c r="N652" s="93" t="str">
        <f>IF(AND(K652&gt;0,Plan!$I275=1),I272&amp;Language!$E$65&amp;H272,"")</f>
        <v>2 : 4</v>
      </c>
    </row>
    <row r="653" spans="9:14" x14ac:dyDescent="0.2">
      <c r="I653" s="40" t="s">
        <v>353</v>
      </c>
      <c r="J653" s="17" t="str">
        <f>IF(Plan!$I276=0,G273&amp;F273,"")</f>
        <v/>
      </c>
      <c r="K653" s="134">
        <f t="shared" si="14"/>
        <v>1</v>
      </c>
      <c r="L653" s="134" t="str">
        <f>IF(AND(K653&gt;0,Plan!$I276=0),I273&amp;Language!$E$65&amp;H273,"")</f>
        <v/>
      </c>
      <c r="M653" s="2" t="str">
        <f>IF(Plan!$I276=1,G273&amp;F273,"")</f>
        <v>1. FSV Mainz 05Borussia Mönchengladbach</v>
      </c>
      <c r="N653" s="93" t="str">
        <f>IF(AND(K653&gt;0,Plan!$I276=1),I273&amp;Language!$E$65&amp;H273,"")</f>
        <v>1 : 1</v>
      </c>
    </row>
    <row r="654" spans="9:14" x14ac:dyDescent="0.2">
      <c r="I654" s="40" t="s">
        <v>354</v>
      </c>
      <c r="J654" s="17" t="str">
        <f>IF(Plan!$I277=0,G274&amp;F274,"")</f>
        <v/>
      </c>
      <c r="K654" s="134">
        <f t="shared" si="14"/>
        <v>1</v>
      </c>
      <c r="L654" s="134" t="str">
        <f>IF(AND(K654&gt;0,Plan!$I277=0),I274&amp;Language!$E$65&amp;H274,"")</f>
        <v/>
      </c>
      <c r="M654" s="2" t="str">
        <f>IF(Plan!$I277=1,G274&amp;F274,"")</f>
        <v>1. FC Union BerlinRB Leipzig</v>
      </c>
      <c r="N654" s="93" t="str">
        <f>IF(AND(K654&gt;0,Plan!$I277=1),I274&amp;Language!$E$65&amp;H274,"")</f>
        <v>1 : 3</v>
      </c>
    </row>
    <row r="655" spans="9:14" x14ac:dyDescent="0.2">
      <c r="I655" s="40" t="s">
        <v>355</v>
      </c>
      <c r="J655" s="17" t="str">
        <f>IF(Plan!$I278=0,G275&amp;F275,"")</f>
        <v/>
      </c>
      <c r="K655" s="134">
        <f t="shared" si="14"/>
        <v>1</v>
      </c>
      <c r="L655" s="134" t="str">
        <f>IF(AND(K655&gt;0,Plan!$I278=0),I275&amp;Language!$E$65&amp;H275,"")</f>
        <v/>
      </c>
      <c r="M655" s="2" t="str">
        <f>IF(Plan!$I278=1,G275&amp;F275,"")</f>
        <v>FC St. Pauli1. FC Heidenheim 1846</v>
      </c>
      <c r="N655" s="93" t="str">
        <f>IF(AND(K655&gt;0,Plan!$I278=1),I275&amp;Language!$E$65&amp;H275,"")</f>
        <v>0 : 2</v>
      </c>
    </row>
    <row r="656" spans="9:14" x14ac:dyDescent="0.2">
      <c r="I656" s="40" t="s">
        <v>356</v>
      </c>
      <c r="J656" s="17" t="str">
        <f>IF(Plan!$I279=0,G276&amp;F276,"")</f>
        <v/>
      </c>
      <c r="K656" s="134">
        <f t="shared" si="14"/>
        <v>1</v>
      </c>
      <c r="L656" s="134" t="str">
        <f>IF(AND(K656&gt;0,Plan!$I279=0),I276&amp;Language!$E$65&amp;H276,"")</f>
        <v/>
      </c>
      <c r="M656" s="2" t="str">
        <f>IF(Plan!$I279=1,G276&amp;F276,"")</f>
        <v>Bayer 04 Leverkusen1. FC Köln</v>
      </c>
      <c r="N656" s="93" t="str">
        <f>IF(AND(K656&gt;0,Plan!$I279=1),I276&amp;Language!$E$65&amp;H276,"")</f>
        <v>2 : 1</v>
      </c>
    </row>
    <row r="657" spans="9:14" x14ac:dyDescent="0.2">
      <c r="I657" s="40" t="s">
        <v>357</v>
      </c>
      <c r="J657" s="17" t="str">
        <f>IF(Plan!$I280=0,G277&amp;F277,"")</f>
        <v/>
      </c>
      <c r="K657" s="134">
        <f t="shared" si="14"/>
        <v>1</v>
      </c>
      <c r="L657" s="134" t="str">
        <f>IF(AND(K657&gt;0,Plan!$I280=0),I277&amp;Language!$E$65&amp;H277,"")</f>
        <v/>
      </c>
      <c r="M657" s="2" t="str">
        <f>IF(Plan!$I280=1,G277&amp;F277,"")</f>
        <v>Eintracht FrankfurtFC Augsburg</v>
      </c>
      <c r="N657" s="93" t="str">
        <f>IF(AND(K657&gt;0,Plan!$I280=1),I277&amp;Language!$E$65&amp;H277,"")</f>
        <v>1 : 1</v>
      </c>
    </row>
    <row r="658" spans="9:14" x14ac:dyDescent="0.2">
      <c r="I658" s="40" t="s">
        <v>358</v>
      </c>
      <c r="J658" s="17" t="str">
        <f>IF(Plan!$I281=0,G278&amp;F278,"")</f>
        <v/>
      </c>
      <c r="K658" s="134">
        <f t="shared" si="14"/>
        <v>1</v>
      </c>
      <c r="L658" s="134" t="str">
        <f>IF(AND(K658&gt;0,Plan!$I281=0),I278&amp;Language!$E$65&amp;H278,"")</f>
        <v/>
      </c>
      <c r="M658" s="2" t="str">
        <f>IF(Plan!$I281=1,G278&amp;F278,"")</f>
        <v>FC Bayern München1. FSV Mainz 05</v>
      </c>
      <c r="N658" s="93" t="str">
        <f>IF(AND(K658&gt;0,Plan!$I281=1),I278&amp;Language!$E$65&amp;H278,"")</f>
        <v>4 : 3</v>
      </c>
    </row>
    <row r="659" spans="9:14" x14ac:dyDescent="0.2">
      <c r="I659" s="40" t="s">
        <v>359</v>
      </c>
      <c r="J659" s="17" t="str">
        <f>IF(Plan!$I282=0,G279&amp;F279,"")</f>
        <v/>
      </c>
      <c r="K659" s="134">
        <f t="shared" si="14"/>
        <v>1</v>
      </c>
      <c r="L659" s="134" t="str">
        <f>IF(AND(K659&gt;0,Plan!$I282=0),I279&amp;Language!$E$65&amp;H279,"")</f>
        <v/>
      </c>
      <c r="M659" s="2" t="str">
        <f>IF(Plan!$I282=1,G279&amp;F279,"")</f>
        <v>Borussia MönchengladbachVfL Wolfsburg</v>
      </c>
      <c r="N659" s="93" t="str">
        <f>IF(AND(K659&gt;0,Plan!$I282=1),I279&amp;Language!$E$65&amp;H279,"")</f>
        <v>0 : 0</v>
      </c>
    </row>
    <row r="660" spans="9:14" x14ac:dyDescent="0.2">
      <c r="I660" s="40" t="s">
        <v>360</v>
      </c>
      <c r="J660" s="17" t="str">
        <f>IF(Plan!$I283=0,G280&amp;F280,"")</f>
        <v/>
      </c>
      <c r="K660" s="134">
        <f t="shared" si="14"/>
        <v>1</v>
      </c>
      <c r="L660" s="134" t="str">
        <f>IF(AND(K660&gt;0,Plan!$I283=0),I280&amp;Language!$E$65&amp;H280,"")</f>
        <v/>
      </c>
      <c r="M660" s="2" t="str">
        <f>IF(Plan!$I283=1,G280&amp;F280,"")</f>
        <v>TSG HoffenheimHamburger SV</v>
      </c>
      <c r="N660" s="93" t="str">
        <f>IF(AND(K660&gt;0,Plan!$I283=1),I280&amp;Language!$E$65&amp;H280,"")</f>
        <v>2 : 1</v>
      </c>
    </row>
    <row r="661" spans="9:14" x14ac:dyDescent="0.2">
      <c r="I661" s="40" t="s">
        <v>361</v>
      </c>
      <c r="J661" s="17" t="str">
        <f>IF(Plan!$I284=0,G281&amp;F281,"")</f>
        <v/>
      </c>
      <c r="K661" s="134">
        <f t="shared" si="14"/>
        <v>1</v>
      </c>
      <c r="L661" s="134" t="str">
        <f>IF(AND(K661&gt;0,Plan!$I284=0),I281&amp;Language!$E$65&amp;H281,"")</f>
        <v/>
      </c>
      <c r="M661" s="2" t="str">
        <f>IF(Plan!$I284=1,G281&amp;F281,"")</f>
        <v>SV Werder BremenVfB Stuttgart</v>
      </c>
      <c r="N661" s="93" t="str">
        <f>IF(AND(K661&gt;0,Plan!$I284=1),I281&amp;Language!$E$65&amp;H281,"")</f>
        <v>1 : 1</v>
      </c>
    </row>
    <row r="662" spans="9:14" x14ac:dyDescent="0.2">
      <c r="I662" s="40" t="s">
        <v>362</v>
      </c>
      <c r="J662" s="17" t="str">
        <f>IF(Plan!$I285=0,G282&amp;F282,"")</f>
        <v/>
      </c>
      <c r="K662" s="134">
        <f t="shared" si="14"/>
        <v>1</v>
      </c>
      <c r="L662" s="134" t="str">
        <f>IF(AND(K662&gt;0,Plan!$I285=0),I282&amp;Language!$E$65&amp;H282,"")</f>
        <v/>
      </c>
      <c r="M662" s="2" t="str">
        <f>IF(Plan!$I285=1,G282&amp;F282,"")</f>
        <v>SC FreiburgBorussia Dortmund</v>
      </c>
      <c r="N662" s="93" t="str">
        <f>IF(AND(K662&gt;0,Plan!$I285=1),I282&amp;Language!$E$65&amp;H282,"")</f>
        <v>0 : 4</v>
      </c>
    </row>
    <row r="663" spans="9:14" x14ac:dyDescent="0.2">
      <c r="I663" s="40" t="s">
        <v>363</v>
      </c>
      <c r="J663" s="17" t="str">
        <f>IF(Plan!$I286=0,G283&amp;F283,"")</f>
        <v/>
      </c>
      <c r="K663" s="134">
        <f t="shared" si="14"/>
        <v>1</v>
      </c>
      <c r="L663" s="134" t="str">
        <f>IF(AND(K663&gt;0,Plan!$I286=0),I283&amp;Language!$E$65&amp;H283,"")</f>
        <v/>
      </c>
      <c r="M663" s="2" t="str">
        <f>IF(Plan!$I286=1,G283&amp;F283,"")</f>
        <v>1. FC Köln1. FC Union Berlin</v>
      </c>
      <c r="N663" s="93" t="str">
        <f>IF(AND(K663&gt;0,Plan!$I286=1),I283&amp;Language!$E$65&amp;H283,"")</f>
        <v>2 : 2</v>
      </c>
    </row>
    <row r="664" spans="9:14" x14ac:dyDescent="0.2">
      <c r="I664" s="40" t="s">
        <v>364</v>
      </c>
      <c r="J664" s="17" t="str">
        <f>IF(Plan!$I287=0,G284&amp;F284,"")</f>
        <v/>
      </c>
      <c r="K664" s="134">
        <f t="shared" si="14"/>
        <v>1</v>
      </c>
      <c r="L664" s="134" t="str">
        <f>IF(AND(K664&gt;0,Plan!$I287=0),I284&amp;Language!$E$65&amp;H284,"")</f>
        <v/>
      </c>
      <c r="M664" s="2" t="str">
        <f>IF(Plan!$I287=1,G284&amp;F284,"")</f>
        <v>VfB StuttgartTSG Hoffenheim</v>
      </c>
      <c r="N664" s="93" t="str">
        <f>IF(AND(K664&gt;0,Plan!$I287=1),I284&amp;Language!$E$65&amp;H284,"")</f>
        <v>3 : 3</v>
      </c>
    </row>
    <row r="665" spans="9:14" x14ac:dyDescent="0.2">
      <c r="I665" s="40" t="s">
        <v>365</v>
      </c>
      <c r="J665" s="17" t="str">
        <f>IF(Plan!$I288=0,G285&amp;F285,"")</f>
        <v/>
      </c>
      <c r="K665" s="134">
        <f t="shared" si="14"/>
        <v>1</v>
      </c>
      <c r="L665" s="134" t="str">
        <f>IF(AND(K665&gt;0,Plan!$I288=0),I285&amp;Language!$E$65&amp;H285,"")</f>
        <v/>
      </c>
      <c r="M665" s="2" t="str">
        <f>IF(Plan!$I288=1,G285&amp;F285,"")</f>
        <v>FC AugsburgSV Werder Bremen</v>
      </c>
      <c r="N665" s="93" t="str">
        <f>IF(AND(K665&gt;0,Plan!$I288=1),I285&amp;Language!$E$65&amp;H285,"")</f>
        <v>3 : 1</v>
      </c>
    </row>
    <row r="666" spans="9:14" x14ac:dyDescent="0.2">
      <c r="I666" s="40" t="s">
        <v>366</v>
      </c>
      <c r="J666" s="17" t="str">
        <f>IF(Plan!$I289=0,G286&amp;F286,"")</f>
        <v/>
      </c>
      <c r="K666" s="134">
        <f t="shared" si="14"/>
        <v>1</v>
      </c>
      <c r="L666" s="134" t="str">
        <f>IF(AND(K666&gt;0,Plan!$I289=0),I286&amp;Language!$E$65&amp;H286,"")</f>
        <v/>
      </c>
      <c r="M666" s="2" t="str">
        <f>IF(Plan!$I289=1,G286&amp;F286,"")</f>
        <v>1. FC Heidenheim 1846FC Bayern München</v>
      </c>
      <c r="N666" s="93" t="str">
        <f>IF(AND(K666&gt;0,Plan!$I289=1),I286&amp;Language!$E$65&amp;H286,"")</f>
        <v>3 : 3</v>
      </c>
    </row>
    <row r="667" spans="9:14" x14ac:dyDescent="0.2">
      <c r="I667" s="40" t="s">
        <v>367</v>
      </c>
      <c r="J667" s="17" t="str">
        <f>IF(Plan!$I290=0,G287&amp;F287,"")</f>
        <v/>
      </c>
      <c r="K667" s="134">
        <f t="shared" si="14"/>
        <v>1</v>
      </c>
      <c r="L667" s="134" t="str">
        <f>IF(AND(K667&gt;0,Plan!$I290=0),I287&amp;Language!$E$65&amp;H287,"")</f>
        <v/>
      </c>
      <c r="M667" s="2" t="str">
        <f>IF(Plan!$I290=1,G287&amp;F287,"")</f>
        <v>Hamburger SVEintracht Frankfurt</v>
      </c>
      <c r="N667" s="93" t="str">
        <f>IF(AND(K667&gt;0,Plan!$I290=1),I287&amp;Language!$E$65&amp;H287,"")</f>
        <v>2 : 1</v>
      </c>
    </row>
    <row r="668" spans="9:14" x14ac:dyDescent="0.2">
      <c r="I668" s="40" t="s">
        <v>368</v>
      </c>
      <c r="J668" s="17" t="str">
        <f>IF(Plan!$I291=0,G288&amp;F288,"")</f>
        <v/>
      </c>
      <c r="K668" s="134">
        <f t="shared" si="14"/>
        <v>1</v>
      </c>
      <c r="L668" s="134" t="str">
        <f>IF(AND(K668&gt;0,Plan!$I291=0),I288&amp;Language!$E$65&amp;H288,"")</f>
        <v/>
      </c>
      <c r="M668" s="2" t="str">
        <f>IF(Plan!$I291=1,G288&amp;F288,"")</f>
        <v>RB LeipzigBayer 04 Leverkusen</v>
      </c>
      <c r="N668" s="93" t="str">
        <f>IF(AND(K668&gt;0,Plan!$I291=1),I288&amp;Language!$E$65&amp;H288,"")</f>
        <v>1 : 4</v>
      </c>
    </row>
    <row r="669" spans="9:14" x14ac:dyDescent="0.2">
      <c r="I669" s="40" t="s">
        <v>369</v>
      </c>
      <c r="J669" s="17" t="str">
        <f>IF(Plan!$I292=0,G289&amp;F289,"")</f>
        <v/>
      </c>
      <c r="K669" s="134">
        <f t="shared" si="14"/>
        <v>1</v>
      </c>
      <c r="L669" s="134" t="str">
        <f>IF(AND(K669&gt;0,Plan!$I292=0),I289&amp;Language!$E$65&amp;H289,"")</f>
        <v/>
      </c>
      <c r="M669" s="2" t="str">
        <f>IF(Plan!$I292=1,G289&amp;F289,"")</f>
        <v>1. FSV Mainz 05FC St. Pauli</v>
      </c>
      <c r="N669" s="93" t="str">
        <f>IF(AND(K669&gt;0,Plan!$I292=1),I289&amp;Language!$E$65&amp;H289,"")</f>
        <v>2 : 1</v>
      </c>
    </row>
    <row r="670" spans="9:14" x14ac:dyDescent="0.2">
      <c r="I670" s="40" t="s">
        <v>370</v>
      </c>
      <c r="J670" s="17" t="str">
        <f>IF(Plan!$I293=0,G290&amp;F290,"")</f>
        <v/>
      </c>
      <c r="K670" s="134">
        <f t="shared" si="14"/>
        <v>1</v>
      </c>
      <c r="L670" s="134" t="str">
        <f>IF(AND(K670&gt;0,Plan!$I293=0),I290&amp;Language!$E$65&amp;H290,"")</f>
        <v/>
      </c>
      <c r="M670" s="2" t="str">
        <f>IF(Plan!$I293=1,G290&amp;F290,"")</f>
        <v>Borussia DortmundBorussia Mönchengladbach</v>
      </c>
      <c r="N670" s="93" t="str">
        <f>IF(AND(K670&gt;0,Plan!$I293=1),I290&amp;Language!$E$65&amp;H290,"")</f>
        <v>0 : 1</v>
      </c>
    </row>
    <row r="671" spans="9:14" x14ac:dyDescent="0.2">
      <c r="I671" s="40" t="s">
        <v>371</v>
      </c>
      <c r="J671" s="17" t="str">
        <f>IF(Plan!$I294=0,G291&amp;F291,"")</f>
        <v/>
      </c>
      <c r="K671" s="134">
        <f t="shared" si="14"/>
        <v>1</v>
      </c>
      <c r="L671" s="134" t="str">
        <f>IF(AND(K671&gt;0,Plan!$I294=0),I291&amp;Language!$E$65&amp;H291,"")</f>
        <v/>
      </c>
      <c r="M671" s="2" t="str">
        <f>IF(Plan!$I294=1,G291&amp;F291,"")</f>
        <v>VfL WolfsburgSC Freiburg</v>
      </c>
      <c r="N671" s="93" t="str">
        <f>IF(AND(K671&gt;0,Plan!$I294=1),I291&amp;Language!$E$65&amp;H291,"")</f>
        <v>1 : 1</v>
      </c>
    </row>
    <row r="672" spans="9:14" x14ac:dyDescent="0.2">
      <c r="I672" s="40" t="s">
        <v>372</v>
      </c>
      <c r="J672" s="17" t="str">
        <f>IF(Plan!$I295=0,G292&amp;F292,"")</f>
        <v/>
      </c>
      <c r="K672" s="134">
        <f t="shared" si="14"/>
        <v>1</v>
      </c>
      <c r="L672" s="134" t="str">
        <f>IF(AND(K672&gt;0,Plan!$I295=0),I292&amp;Language!$E$65&amp;H292,"")</f>
        <v/>
      </c>
      <c r="M672" s="2" t="str">
        <f>IF(Plan!$I295=1,G292&amp;F292,"")</f>
        <v>Eintracht FrankfurtBorussia Dortmund</v>
      </c>
      <c r="N672" s="93" t="str">
        <f>IF(AND(K672&gt;0,Plan!$I295=1),I292&amp;Language!$E$65&amp;H292,"")</f>
        <v>2 : 3</v>
      </c>
    </row>
    <row r="673" spans="9:14" x14ac:dyDescent="0.2">
      <c r="I673" s="40" t="s">
        <v>373</v>
      </c>
      <c r="J673" s="17" t="str">
        <f>IF(Plan!$I296=0,G293&amp;F293,"")</f>
        <v/>
      </c>
      <c r="K673" s="134">
        <f t="shared" si="14"/>
        <v>1</v>
      </c>
      <c r="L673" s="134" t="str">
        <f>IF(AND(K673&gt;0,Plan!$I296=0),I293&amp;Language!$E$65&amp;H293,"")</f>
        <v/>
      </c>
      <c r="M673" s="2" t="str">
        <f>IF(Plan!$I296=1,G293&amp;F293,"")</f>
        <v>Borussia MönchengladbachFC Augsburg</v>
      </c>
      <c r="N673" s="93" t="str">
        <f>IF(AND(K673&gt;0,Plan!$I296=1),I293&amp;Language!$E$65&amp;H293,"")</f>
        <v>1 : 3</v>
      </c>
    </row>
    <row r="674" spans="9:14" x14ac:dyDescent="0.2">
      <c r="I674" s="40" t="s">
        <v>374</v>
      </c>
      <c r="J674" s="17" t="str">
        <f>IF(Plan!$I297=0,G294&amp;F294,"")</f>
        <v/>
      </c>
      <c r="K674" s="134">
        <f t="shared" si="14"/>
        <v>1</v>
      </c>
      <c r="L674" s="134" t="str">
        <f>IF(AND(K674&gt;0,Plan!$I297=0),I294&amp;Language!$E$65&amp;H294,"")</f>
        <v/>
      </c>
      <c r="M674" s="2" t="str">
        <f>IF(Plan!$I297=1,G294&amp;F294,"")</f>
        <v>SV Werder BremenTSG Hoffenheim</v>
      </c>
      <c r="N674" s="93" t="str">
        <f>IF(AND(K674&gt;0,Plan!$I297=1),I294&amp;Language!$E$65&amp;H294,"")</f>
        <v>0 : 1</v>
      </c>
    </row>
    <row r="675" spans="9:14" x14ac:dyDescent="0.2">
      <c r="I675" s="40" t="s">
        <v>375</v>
      </c>
      <c r="J675" s="17" t="str">
        <f>IF(Plan!$I298=0,G295&amp;F295,"")</f>
        <v/>
      </c>
      <c r="K675" s="134">
        <f t="shared" si="14"/>
        <v>1</v>
      </c>
      <c r="L675" s="134" t="str">
        <f>IF(AND(K675&gt;0,Plan!$I298=0),I295&amp;Language!$E$65&amp;H295,"")</f>
        <v/>
      </c>
      <c r="M675" s="2" t="str">
        <f>IF(Plan!$I298=1,G295&amp;F295,"")</f>
        <v>FC St. PauliRB Leipzig</v>
      </c>
      <c r="N675" s="93" t="str">
        <f>IF(AND(K675&gt;0,Plan!$I298=1),I295&amp;Language!$E$65&amp;H295,"")</f>
        <v>1 : 2</v>
      </c>
    </row>
    <row r="676" spans="9:14" x14ac:dyDescent="0.2">
      <c r="I676" s="40" t="s">
        <v>376</v>
      </c>
      <c r="J676" s="17" t="str">
        <f>IF(Plan!$I299=0,G296&amp;F296,"")</f>
        <v/>
      </c>
      <c r="K676" s="134">
        <f t="shared" si="14"/>
        <v>1</v>
      </c>
      <c r="L676" s="134" t="str">
        <f>IF(AND(K676&gt;0,Plan!$I299=0),I296&amp;Language!$E$65&amp;H296,"")</f>
        <v/>
      </c>
      <c r="M676" s="2" t="str">
        <f>IF(Plan!$I299=1,G296&amp;F296,"")</f>
        <v>Bayer 04 LeverkusenVfB Stuttgart</v>
      </c>
      <c r="N676" s="93" t="str">
        <f>IF(AND(K676&gt;0,Plan!$I299=1),I296&amp;Language!$E$65&amp;H296,"")</f>
        <v>1 : 3</v>
      </c>
    </row>
    <row r="677" spans="9:14" x14ac:dyDescent="0.2">
      <c r="I677" s="40" t="s">
        <v>377</v>
      </c>
      <c r="J677" s="17" t="str">
        <f>IF(Plan!$I300=0,G297&amp;F297,"")</f>
        <v/>
      </c>
      <c r="K677" s="134">
        <f t="shared" si="14"/>
        <v>1</v>
      </c>
      <c r="L677" s="134" t="str">
        <f>IF(AND(K677&gt;0,Plan!$I300=0),I297&amp;Language!$E$65&amp;H297,"")</f>
        <v/>
      </c>
      <c r="M677" s="2" t="str">
        <f>IF(Plan!$I300=1,G297&amp;F297,"")</f>
        <v>FC Bayern MünchenVfL Wolfsburg</v>
      </c>
      <c r="N677" s="93" t="str">
        <f>IF(AND(K677&gt;0,Plan!$I300=1),I297&amp;Language!$E$65&amp;H297,"")</f>
        <v>1 : 0</v>
      </c>
    </row>
    <row r="678" spans="9:14" x14ac:dyDescent="0.2">
      <c r="I678" s="40" t="s">
        <v>378</v>
      </c>
      <c r="J678" s="17" t="str">
        <f>IF(Plan!$I301=0,G298&amp;F298,"")</f>
        <v/>
      </c>
      <c r="K678" s="134">
        <f t="shared" si="14"/>
        <v>1</v>
      </c>
      <c r="L678" s="134" t="str">
        <f>IF(AND(K678&gt;0,Plan!$I301=0),I298&amp;Language!$E$65&amp;H298,"")</f>
        <v/>
      </c>
      <c r="M678" s="2" t="str">
        <f>IF(Plan!$I301=1,G298&amp;F298,"")</f>
        <v>SC FreiburgHamburger SV</v>
      </c>
      <c r="N678" s="93" t="str">
        <f>IF(AND(K678&gt;0,Plan!$I301=1),I298&amp;Language!$E$65&amp;H298,"")</f>
        <v>2 : 3</v>
      </c>
    </row>
    <row r="679" spans="9:14" x14ac:dyDescent="0.2">
      <c r="I679" s="40" t="s">
        <v>379</v>
      </c>
      <c r="J679" s="17" t="str">
        <f>IF(Plan!$I302=0,G299&amp;F299,"")</f>
        <v/>
      </c>
      <c r="K679" s="134">
        <f t="shared" si="14"/>
        <v>1</v>
      </c>
      <c r="L679" s="134" t="str">
        <f>IF(AND(K679&gt;0,Plan!$I302=0),I299&amp;Language!$E$65&amp;H299,"")</f>
        <v/>
      </c>
      <c r="M679" s="2" t="str">
        <f>IF(Plan!$I302=1,G299&amp;F299,"")</f>
        <v>1. FC Heidenheim 18461. FC Köln</v>
      </c>
      <c r="N679" s="93" t="str">
        <f>IF(AND(K679&gt;0,Plan!$I302=1),I299&amp;Language!$E$65&amp;H299,"")</f>
        <v>3 : 1</v>
      </c>
    </row>
    <row r="680" spans="9:14" x14ac:dyDescent="0.2">
      <c r="I680" s="40" t="s">
        <v>380</v>
      </c>
      <c r="J680" s="17" t="str">
        <f>IF(Plan!$I303=0,G300&amp;F300,"")</f>
        <v/>
      </c>
      <c r="K680" s="134">
        <f t="shared" si="14"/>
        <v>1</v>
      </c>
      <c r="L680" s="134" t="str">
        <f>IF(AND(K680&gt;0,Plan!$I303=0),I300&amp;Language!$E$65&amp;H300,"")</f>
        <v/>
      </c>
      <c r="M680" s="2" t="str">
        <f>IF(Plan!$I303=1,G300&amp;F300,"")</f>
        <v>1. FC Union Berlin1. FSV Mainz 05</v>
      </c>
      <c r="N680" s="93" t="str">
        <f>IF(AND(K680&gt;0,Plan!$I303=1),I300&amp;Language!$E$65&amp;H300,"")</f>
        <v>1 : 0</v>
      </c>
    </row>
    <row r="681" spans="9:14" x14ac:dyDescent="0.2">
      <c r="I681" s="40" t="s">
        <v>381</v>
      </c>
      <c r="J681" s="17" t="str">
        <f>IF(Plan!$I304=0,G301&amp;F301,"")</f>
        <v/>
      </c>
      <c r="K681" s="134">
        <f t="shared" si="14"/>
        <v>1</v>
      </c>
      <c r="L681" s="134" t="str">
        <f>IF(AND(K681&gt;0,Plan!$I304=0),I301&amp;Language!$E$65&amp;H301,"")</f>
        <v/>
      </c>
      <c r="M681" s="2" t="str">
        <f>IF(Plan!$I304=1,G301&amp;F301,"")</f>
        <v>FC Augsburg1. FC Union Berlin</v>
      </c>
      <c r="N681" s="93" t="str">
        <f>IF(AND(K681&gt;0,Plan!$I304=1),I301&amp;Language!$E$65&amp;H301,"")</f>
        <v>0 : 4</v>
      </c>
    </row>
    <row r="682" spans="9:14" x14ac:dyDescent="0.2">
      <c r="I682" s="40" t="s">
        <v>382</v>
      </c>
      <c r="J682" s="17" t="str">
        <f>IF(Plan!$I305=0,G302&amp;F302,"")</f>
        <v/>
      </c>
      <c r="K682" s="134">
        <f t="shared" si="14"/>
        <v>1</v>
      </c>
      <c r="L682" s="134" t="str">
        <f>IF(AND(K682&gt;0,Plan!$I305=0),I302&amp;Language!$E$65&amp;H302,"")</f>
        <v/>
      </c>
      <c r="M682" s="2" t="str">
        <f>IF(Plan!$I305=1,G302&amp;F302,"")</f>
        <v>TSG HoffenheimBorussia Mönchengladbach</v>
      </c>
      <c r="N682" s="93" t="str">
        <f>IF(AND(K682&gt;0,Plan!$I305=1),I302&amp;Language!$E$65&amp;H302,"")</f>
        <v>0 : 4</v>
      </c>
    </row>
    <row r="683" spans="9:14" x14ac:dyDescent="0.2">
      <c r="I683" s="40" t="s">
        <v>383</v>
      </c>
      <c r="J683" s="17" t="str">
        <f>IF(Plan!$I306=0,G303&amp;F303,"")</f>
        <v/>
      </c>
      <c r="K683" s="134">
        <f t="shared" si="14"/>
        <v>1</v>
      </c>
      <c r="L683" s="134" t="str">
        <f>IF(AND(K683&gt;0,Plan!$I306=0),I303&amp;Language!$E$65&amp;H303,"")</f>
        <v/>
      </c>
      <c r="M683" s="2" t="str">
        <f>IF(Plan!$I306=1,G303&amp;F303,"")</f>
        <v>1. FSV Mainz 051. FC Heidenheim 1846</v>
      </c>
      <c r="N683" s="93" t="str">
        <f>IF(AND(K683&gt;0,Plan!$I306=1),I303&amp;Language!$E$65&amp;H303,"")</f>
        <v>2 : 0</v>
      </c>
    </row>
    <row r="684" spans="9:14" x14ac:dyDescent="0.2">
      <c r="I684" s="40" t="s">
        <v>384</v>
      </c>
      <c r="J684" s="17" t="str">
        <f>IF(Plan!$I307=0,G304&amp;F304,"")</f>
        <v/>
      </c>
      <c r="K684" s="134">
        <f t="shared" si="14"/>
        <v>1</v>
      </c>
      <c r="L684" s="134" t="str">
        <f>IF(AND(K684&gt;0,Plan!$I307=0),I304&amp;Language!$E$65&amp;H304,"")</f>
        <v/>
      </c>
      <c r="M684" s="2" t="str">
        <f>IF(Plan!$I307=1,G304&amp;F304,"")</f>
        <v>VfL WolfsburgFC St. Pauli</v>
      </c>
      <c r="N684" s="93" t="str">
        <f>IF(AND(K684&gt;0,Plan!$I307=1),I304&amp;Language!$E$65&amp;H304,"")</f>
        <v>3 : 1</v>
      </c>
    </row>
    <row r="685" spans="9:14" x14ac:dyDescent="0.2">
      <c r="I685" s="40" t="s">
        <v>385</v>
      </c>
      <c r="J685" s="17" t="str">
        <f>IF(Plan!$I308=0,G305&amp;F305,"")</f>
        <v/>
      </c>
      <c r="K685" s="134">
        <f t="shared" si="14"/>
        <v>1</v>
      </c>
      <c r="L685" s="134" t="str">
        <f>IF(AND(K685&gt;0,Plan!$I308=0),I305&amp;Language!$E$65&amp;H305,"")</f>
        <v/>
      </c>
      <c r="M685" s="2" t="str">
        <f>IF(Plan!$I308=1,G305&amp;F305,"")</f>
        <v>Borussia DortmundSV Werder Bremen</v>
      </c>
      <c r="N685" s="93" t="str">
        <f>IF(AND(K685&gt;0,Plan!$I308=1),I305&amp;Language!$E$65&amp;H305,"")</f>
        <v>2 : 0</v>
      </c>
    </row>
    <row r="686" spans="9:14" x14ac:dyDescent="0.2">
      <c r="I686" s="40" t="s">
        <v>386</v>
      </c>
      <c r="J686" s="17" t="str">
        <f>IF(Plan!$I309=0,G306&amp;F306,"")</f>
        <v/>
      </c>
      <c r="K686" s="134">
        <f t="shared" si="14"/>
        <v>1</v>
      </c>
      <c r="L686" s="134" t="str">
        <f>IF(AND(K686&gt;0,Plan!$I309=0),I306&amp;Language!$E$65&amp;H306,"")</f>
        <v/>
      </c>
      <c r="M686" s="2" t="str">
        <f>IF(Plan!$I309=1,G306&amp;F306,"")</f>
        <v>Hamburger SVBayer 04 Leverkusen</v>
      </c>
      <c r="N686" s="93" t="str">
        <f>IF(AND(K686&gt;0,Plan!$I309=1),I306&amp;Language!$E$65&amp;H306,"")</f>
        <v>1 : 1</v>
      </c>
    </row>
    <row r="687" spans="9:14" x14ac:dyDescent="0.2">
      <c r="I687" s="40" t="s">
        <v>387</v>
      </c>
      <c r="J687" s="17" t="str">
        <f>IF(Plan!$I310=0,G307&amp;F307,"")</f>
        <v/>
      </c>
      <c r="K687" s="134">
        <f t="shared" si="14"/>
        <v>1</v>
      </c>
      <c r="L687" s="134" t="str">
        <f>IF(AND(K687&gt;0,Plan!$I310=0),I307&amp;Language!$E$65&amp;H307,"")</f>
        <v/>
      </c>
      <c r="M687" s="2" t="str">
        <f>IF(Plan!$I310=1,G307&amp;F307,"")</f>
        <v>1. FC KölnFC Bayern München</v>
      </c>
      <c r="N687" s="93" t="str">
        <f>IF(AND(K687&gt;0,Plan!$I310=1),I307&amp;Language!$E$65&amp;H307,"")</f>
        <v>1 : 5</v>
      </c>
    </row>
    <row r="688" spans="9:14" x14ac:dyDescent="0.2">
      <c r="I688" s="40" t="s">
        <v>388</v>
      </c>
      <c r="J688" s="17" t="str">
        <f>IF(Plan!$I311=0,G308&amp;F308,"")</f>
        <v/>
      </c>
      <c r="K688" s="134">
        <f t="shared" si="14"/>
        <v>1</v>
      </c>
      <c r="L688" s="134" t="str">
        <f>IF(AND(K688&gt;0,Plan!$I311=0),I308&amp;Language!$E$65&amp;H308,"")</f>
        <v/>
      </c>
      <c r="M688" s="2" t="str">
        <f>IF(Plan!$I311=1,G308&amp;F308,"")</f>
        <v>RB LeipzigSC Freiburg</v>
      </c>
      <c r="N688" s="93" t="str">
        <f>IF(AND(K688&gt;0,Plan!$I311=1),I308&amp;Language!$E$65&amp;H308,"")</f>
        <v>1 : 4</v>
      </c>
    </row>
    <row r="689" spans="9:14" x14ac:dyDescent="0.2">
      <c r="I689" s="40" t="s">
        <v>389</v>
      </c>
      <c r="J689" s="17" t="str">
        <f>IF(Plan!$I312=0,G309&amp;F309,"")</f>
        <v/>
      </c>
      <c r="K689" s="134">
        <f t="shared" si="14"/>
        <v>1</v>
      </c>
      <c r="L689" s="134" t="str">
        <f>IF(AND(K689&gt;0,Plan!$I312=0),I309&amp;Language!$E$65&amp;H309,"")</f>
        <v/>
      </c>
      <c r="M689" s="2" t="str">
        <f>IF(Plan!$I312=1,G309&amp;F309,"")</f>
        <v>VfB StuttgartEintracht Frankfurt</v>
      </c>
      <c r="N689" s="93" t="str">
        <f>IF(AND(K689&gt;0,Plan!$I312=1),I309&amp;Language!$E$65&amp;H309,"")</f>
        <v>2 : 2</v>
      </c>
    </row>
    <row r="690" spans="9:14" x14ac:dyDescent="0.2">
      <c r="I690" s="40" t="s">
        <v>390</v>
      </c>
      <c r="J690" s="17" t="str">
        <f>IF(Plan!$I313=0,G310&amp;F310,"")</f>
        <v/>
      </c>
      <c r="K690" s="134">
        <f t="shared" si="14"/>
        <v>0</v>
      </c>
      <c r="L690" s="134" t="str">
        <f>IF(AND(K690&gt;0,Plan!$I313=0),I310&amp;Language!$E$65&amp;H310,"")</f>
        <v/>
      </c>
      <c r="M690" s="2" t="str">
        <f>IF(Plan!$I313=1,G310&amp;F310,"")</f>
        <v/>
      </c>
      <c r="N690" s="93" t="str">
        <f>IF(AND(K690&gt;0,Plan!$I313=1),I310&amp;Language!$E$65&amp;H310,"")</f>
        <v/>
      </c>
    </row>
    <row r="691" spans="9:14" x14ac:dyDescent="0.2">
      <c r="I691" s="40" t="s">
        <v>391</v>
      </c>
      <c r="J691" s="17" t="str">
        <f>IF(Plan!$I314=0,G311&amp;F311,"")</f>
        <v/>
      </c>
      <c r="K691" s="134">
        <f t="shared" si="14"/>
        <v>0</v>
      </c>
      <c r="L691" s="134" t="str">
        <f>IF(AND(K691&gt;0,Plan!$I314=0),I311&amp;Language!$E$65&amp;H311,"")</f>
        <v/>
      </c>
      <c r="M691" s="2" t="str">
        <f>IF(Plan!$I314=1,G311&amp;F311,"")</f>
        <v/>
      </c>
      <c r="N691" s="93" t="str">
        <f>IF(AND(K691&gt;0,Plan!$I314=1),I311&amp;Language!$E$65&amp;H311,"")</f>
        <v/>
      </c>
    </row>
    <row r="692" spans="9:14" x14ac:dyDescent="0.2">
      <c r="I692" s="40" t="s">
        <v>392</v>
      </c>
      <c r="J692" s="17" t="str">
        <f>IF(Plan!$I315=0,G312&amp;F312,"")</f>
        <v/>
      </c>
      <c r="K692" s="134">
        <f t="shared" si="14"/>
        <v>0</v>
      </c>
      <c r="L692" s="134" t="str">
        <f>IF(AND(K692&gt;0,Plan!$I315=0),I312&amp;Language!$E$65&amp;H312,"")</f>
        <v/>
      </c>
      <c r="M692" s="2" t="str">
        <f>IF(Plan!$I315=1,G312&amp;F312,"")</f>
        <v/>
      </c>
      <c r="N692" s="93" t="str">
        <f>IF(AND(K692&gt;0,Plan!$I315=1),I312&amp;Language!$E$65&amp;H312,"")</f>
        <v/>
      </c>
    </row>
    <row r="693" spans="9:14" x14ac:dyDescent="0.2">
      <c r="I693" s="40" t="s">
        <v>393</v>
      </c>
      <c r="J693" s="17" t="str">
        <f>IF(Plan!$I316=0,G313&amp;F313,"")</f>
        <v/>
      </c>
      <c r="K693" s="134">
        <f t="shared" si="14"/>
        <v>0</v>
      </c>
      <c r="L693" s="134" t="str">
        <f>IF(AND(K693&gt;0,Plan!$I316=0),I313&amp;Language!$E$65&amp;H313,"")</f>
        <v/>
      </c>
      <c r="M693" s="2" t="str">
        <f>IF(Plan!$I316=1,G313&amp;F313,"")</f>
        <v/>
      </c>
      <c r="N693" s="93" t="str">
        <f>IF(AND(K693&gt;0,Plan!$I316=1),I313&amp;Language!$E$65&amp;H313,"")</f>
        <v/>
      </c>
    </row>
    <row r="694" spans="9:14" x14ac:dyDescent="0.2">
      <c r="I694" s="40" t="s">
        <v>394</v>
      </c>
      <c r="J694" s="17" t="str">
        <f>IF(Plan!$I317=0,G314&amp;F314,"")</f>
        <v/>
      </c>
      <c r="K694" s="134">
        <f t="shared" si="14"/>
        <v>0</v>
      </c>
      <c r="L694" s="134" t="str">
        <f>IF(AND(K694&gt;0,Plan!$I317=0),I314&amp;Language!$E$65&amp;H314,"")</f>
        <v/>
      </c>
      <c r="M694" s="2" t="str">
        <f>IF(Plan!$I317=1,G314&amp;F314,"")</f>
        <v/>
      </c>
      <c r="N694" s="93" t="str">
        <f>IF(AND(K694&gt;0,Plan!$I317=1),I314&amp;Language!$E$65&amp;H314,"")</f>
        <v/>
      </c>
    </row>
    <row r="695" spans="9:14" x14ac:dyDescent="0.2">
      <c r="I695" s="40" t="s">
        <v>395</v>
      </c>
      <c r="J695" s="17" t="str">
        <f>IF(Plan!$I318=0,G315&amp;F315,"")</f>
        <v/>
      </c>
      <c r="K695" s="134">
        <f t="shared" si="14"/>
        <v>0</v>
      </c>
      <c r="L695" s="134" t="str">
        <f>IF(AND(K695&gt;0,Plan!$I318=0),I315&amp;Language!$E$65&amp;H315,"")</f>
        <v/>
      </c>
      <c r="M695" s="2" t="str">
        <f>IF(Plan!$I318=1,G315&amp;F315,"")</f>
        <v/>
      </c>
      <c r="N695" s="93" t="str">
        <f>IF(AND(K695&gt;0,Plan!$I318=1),I315&amp;Language!$E$65&amp;H315,"")</f>
        <v/>
      </c>
    </row>
    <row r="696" spans="9:14" x14ac:dyDescent="0.2">
      <c r="I696" s="40" t="s">
        <v>396</v>
      </c>
      <c r="J696" s="17" t="str">
        <f>IF(Plan!$I319=0,G316&amp;F316,"")</f>
        <v/>
      </c>
      <c r="K696" s="134">
        <f t="shared" si="14"/>
        <v>0</v>
      </c>
      <c r="L696" s="134" t="str">
        <f>IF(AND(K696&gt;0,Plan!$I319=0),I316&amp;Language!$E$65&amp;H316,"")</f>
        <v/>
      </c>
      <c r="M696" s="2" t="str">
        <f>IF(Plan!$I319=1,G316&amp;F316,"")</f>
        <v/>
      </c>
      <c r="N696" s="93" t="str">
        <f>IF(AND(K696&gt;0,Plan!$I319=1),I316&amp;Language!$E$65&amp;H316,"")</f>
        <v/>
      </c>
    </row>
    <row r="697" spans="9:14" x14ac:dyDescent="0.2">
      <c r="I697" s="40" t="s">
        <v>397</v>
      </c>
      <c r="J697" s="17" t="str">
        <f>IF(Plan!$I320=0,G317&amp;F317,"")</f>
        <v/>
      </c>
      <c r="K697" s="134">
        <f t="shared" si="14"/>
        <v>0</v>
      </c>
      <c r="L697" s="134" t="str">
        <f>IF(AND(K697&gt;0,Plan!$I320=0),I317&amp;Language!$E$65&amp;H317,"")</f>
        <v/>
      </c>
      <c r="M697" s="2" t="str">
        <f>IF(Plan!$I320=1,G317&amp;F317,"")</f>
        <v/>
      </c>
      <c r="N697" s="93" t="str">
        <f>IF(AND(K697&gt;0,Plan!$I320=1),I317&amp;Language!$E$65&amp;H317,"")</f>
        <v/>
      </c>
    </row>
    <row r="698" spans="9:14" x14ac:dyDescent="0.2">
      <c r="I698" s="40" t="s">
        <v>398</v>
      </c>
      <c r="J698" s="17" t="str">
        <f>IF(Plan!$I321=0,G318&amp;F318,"")</f>
        <v/>
      </c>
      <c r="K698" s="134">
        <f t="shared" si="14"/>
        <v>0</v>
      </c>
      <c r="L698" s="134" t="str">
        <f>IF(AND(K698&gt;0,Plan!$I321=0),I318&amp;Language!$E$65&amp;H318,"")</f>
        <v/>
      </c>
      <c r="M698" s="2" t="str">
        <f>IF(Plan!$I321=1,G318&amp;F318,"")</f>
        <v/>
      </c>
      <c r="N698" s="93" t="str">
        <f>IF(AND(K698&gt;0,Plan!$I321=1),I318&amp;Language!$E$65&amp;H318,"")</f>
        <v/>
      </c>
    </row>
    <row r="699" spans="9:14" x14ac:dyDescent="0.2">
      <c r="I699" s="40" t="s">
        <v>399</v>
      </c>
      <c r="J699" s="17" t="str">
        <f>IF(Plan!$I322=0,G319&amp;F319,"")</f>
        <v/>
      </c>
      <c r="K699" s="134">
        <f t="shared" si="14"/>
        <v>0</v>
      </c>
      <c r="L699" s="134" t="str">
        <f>IF(AND(K699&gt;0,Plan!$I322=0),I319&amp;Language!$E$65&amp;H319,"")</f>
        <v/>
      </c>
      <c r="M699" s="2" t="str">
        <f>IF(Plan!$I322=1,G319&amp;F319,"")</f>
        <v/>
      </c>
      <c r="N699" s="93" t="str">
        <f>IF(AND(K699&gt;0,Plan!$I322=1),I319&amp;Language!$E$65&amp;H319,"")</f>
        <v/>
      </c>
    </row>
    <row r="700" spans="9:14" x14ac:dyDescent="0.2">
      <c r="I700" s="40" t="s">
        <v>400</v>
      </c>
      <c r="J700" s="17" t="str">
        <f>IF(Plan!$I323=0,G320&amp;F320,"")</f>
        <v/>
      </c>
      <c r="K700" s="134">
        <f t="shared" si="14"/>
        <v>0</v>
      </c>
      <c r="L700" s="134" t="str">
        <f>IF(AND(K700&gt;0,Plan!$I323=0),I320&amp;Language!$E$65&amp;H320,"")</f>
        <v/>
      </c>
      <c r="M700" s="2" t="str">
        <f>IF(Plan!$I323=1,G320&amp;F320,"")</f>
        <v/>
      </c>
      <c r="N700" s="93" t="str">
        <f>IF(AND(K700&gt;0,Plan!$I323=1),I320&amp;Language!$E$65&amp;H320,"")</f>
        <v/>
      </c>
    </row>
    <row r="701" spans="9:14" x14ac:dyDescent="0.2">
      <c r="I701" s="40" t="s">
        <v>401</v>
      </c>
      <c r="J701" s="17" t="str">
        <f>IF(Plan!$I324=0,G321&amp;F321,"")</f>
        <v/>
      </c>
      <c r="K701" s="134">
        <f t="shared" si="14"/>
        <v>0</v>
      </c>
      <c r="L701" s="134" t="str">
        <f>IF(AND(K701&gt;0,Plan!$I324=0),I321&amp;Language!$E$65&amp;H321,"")</f>
        <v/>
      </c>
      <c r="M701" s="2" t="str">
        <f>IF(Plan!$I324=1,G321&amp;F321,"")</f>
        <v/>
      </c>
      <c r="N701" s="93" t="str">
        <f>IF(AND(K701&gt;0,Plan!$I324=1),I321&amp;Language!$E$65&amp;H321,"")</f>
        <v/>
      </c>
    </row>
    <row r="702" spans="9:14" x14ac:dyDescent="0.2">
      <c r="I702" s="40" t="s">
        <v>402</v>
      </c>
      <c r="J702" s="17" t="str">
        <f>IF(Plan!$I325=0,G322&amp;F322,"")</f>
        <v/>
      </c>
      <c r="K702" s="134">
        <f t="shared" si="14"/>
        <v>0</v>
      </c>
      <c r="L702" s="134" t="str">
        <f>IF(AND(K702&gt;0,Plan!$I325=0),I322&amp;Language!$E$65&amp;H322,"")</f>
        <v/>
      </c>
      <c r="M702" s="2" t="str">
        <f>IF(Plan!$I325=1,G322&amp;F322,"")</f>
        <v/>
      </c>
      <c r="N702" s="93" t="str">
        <f>IF(AND(K702&gt;0,Plan!$I325=1),I322&amp;Language!$E$65&amp;H322,"")</f>
        <v/>
      </c>
    </row>
    <row r="703" spans="9:14" x14ac:dyDescent="0.2">
      <c r="I703" s="40" t="s">
        <v>403</v>
      </c>
      <c r="J703" s="17" t="str">
        <f>IF(Plan!$I326=0,G323&amp;F323,"")</f>
        <v/>
      </c>
      <c r="K703" s="134">
        <f t="shared" si="14"/>
        <v>0</v>
      </c>
      <c r="L703" s="134" t="str">
        <f>IF(AND(K703&gt;0,Plan!$I326=0),I323&amp;Language!$E$65&amp;H323,"")</f>
        <v/>
      </c>
      <c r="M703" s="2" t="str">
        <f>IF(Plan!$I326=1,G323&amp;F323,"")</f>
        <v/>
      </c>
      <c r="N703" s="93" t="str">
        <f>IF(AND(K703&gt;0,Plan!$I326=1),I323&amp;Language!$E$65&amp;H323,"")</f>
        <v/>
      </c>
    </row>
    <row r="704" spans="9:14" x14ac:dyDescent="0.2">
      <c r="I704" s="40" t="s">
        <v>404</v>
      </c>
      <c r="J704" s="17" t="str">
        <f>IF(Plan!$I327=0,G324&amp;F324,"")</f>
        <v/>
      </c>
      <c r="K704" s="134">
        <f t="shared" si="14"/>
        <v>0</v>
      </c>
      <c r="L704" s="134" t="str">
        <f>IF(AND(K704&gt;0,Plan!$I327=0),I324&amp;Language!$E$65&amp;H324,"")</f>
        <v/>
      </c>
      <c r="M704" s="2" t="str">
        <f>IF(Plan!$I327=1,G324&amp;F324,"")</f>
        <v/>
      </c>
      <c r="N704" s="93" t="str">
        <f>IF(AND(K704&gt;0,Plan!$I327=1),I324&amp;Language!$E$65&amp;H324,"")</f>
        <v/>
      </c>
    </row>
    <row r="705" spans="9:14" x14ac:dyDescent="0.2">
      <c r="I705" s="40" t="s">
        <v>405</v>
      </c>
      <c r="J705" s="17" t="str">
        <f>IF(Plan!$I328=0,G325&amp;F325,"")</f>
        <v/>
      </c>
      <c r="K705" s="134">
        <f t="shared" si="14"/>
        <v>0</v>
      </c>
      <c r="L705" s="134" t="str">
        <f>IF(AND(K705&gt;0,Plan!$I328=0),I325&amp;Language!$E$65&amp;H325,"")</f>
        <v/>
      </c>
      <c r="M705" s="2" t="str">
        <f>IF(Plan!$I328=1,G325&amp;F325,"")</f>
        <v/>
      </c>
      <c r="N705" s="93" t="str">
        <f>IF(AND(K705&gt;0,Plan!$I328=1),I325&amp;Language!$E$65&amp;H325,"")</f>
        <v/>
      </c>
    </row>
    <row r="706" spans="9:14" x14ac:dyDescent="0.2">
      <c r="I706" s="40" t="s">
        <v>406</v>
      </c>
      <c r="J706" s="17" t="str">
        <f>IF(Plan!$I329=0,G326&amp;F326,"")</f>
        <v/>
      </c>
      <c r="K706" s="134">
        <f t="shared" si="14"/>
        <v>0</v>
      </c>
      <c r="L706" s="134" t="str">
        <f>IF(AND(K706&gt;0,Plan!$I329=0),I326&amp;Language!$E$65&amp;H326,"")</f>
        <v/>
      </c>
      <c r="M706" s="2" t="str">
        <f>IF(Plan!$I329=1,G326&amp;F326,"")</f>
        <v/>
      </c>
      <c r="N706" s="93" t="str">
        <f>IF(AND(K706&gt;0,Plan!$I329=1),I326&amp;Language!$E$65&amp;H326,"")</f>
        <v/>
      </c>
    </row>
    <row r="707" spans="9:14" x14ac:dyDescent="0.2">
      <c r="I707" s="40" t="s">
        <v>407</v>
      </c>
      <c r="J707" s="17" t="str">
        <f>IF(Plan!$I330=0,G327&amp;F327,"")</f>
        <v/>
      </c>
      <c r="K707" s="134">
        <f t="shared" si="14"/>
        <v>0</v>
      </c>
      <c r="L707" s="134" t="str">
        <f>IF(AND(K707&gt;0,Plan!$I330=0),I327&amp;Language!$E$65&amp;H327,"")</f>
        <v/>
      </c>
      <c r="M707" s="2" t="str">
        <f>IF(Plan!$I330=1,G327&amp;F327,"")</f>
        <v/>
      </c>
      <c r="N707" s="93" t="str">
        <f>IF(AND(K707&gt;0,Plan!$I330=1),I327&amp;Language!$E$65&amp;H327,"")</f>
        <v/>
      </c>
    </row>
    <row r="708" spans="9:14" x14ac:dyDescent="0.2">
      <c r="I708" s="40" t="s">
        <v>408</v>
      </c>
      <c r="J708" s="17" t="str">
        <f>IF(Plan!$I331=0,G328&amp;F328,"")</f>
        <v/>
      </c>
      <c r="K708" s="134">
        <f t="shared" si="14"/>
        <v>0</v>
      </c>
      <c r="L708" s="134" t="str">
        <f>IF(AND(K708&gt;0,Plan!$I331=0),I328&amp;Language!$E$65&amp;H328,"")</f>
        <v/>
      </c>
      <c r="M708" s="2" t="str">
        <f>IF(Plan!$I331=1,G328&amp;F328,"")</f>
        <v/>
      </c>
      <c r="N708" s="93" t="str">
        <f>IF(AND(K708&gt;0,Plan!$I331=1),I328&amp;Language!$E$65&amp;H328,"")</f>
        <v/>
      </c>
    </row>
    <row r="709" spans="9:14" x14ac:dyDescent="0.2">
      <c r="I709" s="40" t="s">
        <v>409</v>
      </c>
      <c r="J709" s="17" t="str">
        <f>IF(Plan!$I332=0,G329&amp;F329,"")</f>
        <v/>
      </c>
      <c r="K709" s="134">
        <f t="shared" si="14"/>
        <v>0</v>
      </c>
      <c r="L709" s="134" t="str">
        <f>IF(AND(K709&gt;0,Plan!$I332=0),I329&amp;Language!$E$65&amp;H329,"")</f>
        <v/>
      </c>
      <c r="M709" s="2" t="str">
        <f>IF(Plan!$I332=1,G329&amp;F329,"")</f>
        <v/>
      </c>
      <c r="N709" s="93" t="str">
        <f>IF(AND(K709&gt;0,Plan!$I332=1),I329&amp;Language!$E$65&amp;H329,"")</f>
        <v/>
      </c>
    </row>
    <row r="710" spans="9:14" x14ac:dyDescent="0.2">
      <c r="I710" s="40" t="s">
        <v>410</v>
      </c>
      <c r="J710" s="17" t="str">
        <f>IF(Plan!$I333=0,G330&amp;F330,"")</f>
        <v/>
      </c>
      <c r="K710" s="134">
        <f t="shared" si="14"/>
        <v>0</v>
      </c>
      <c r="L710" s="134" t="str">
        <f>IF(AND(K710&gt;0,Plan!$I333=0),I330&amp;Language!$E$65&amp;H330,"")</f>
        <v/>
      </c>
      <c r="M710" s="2" t="str">
        <f>IF(Plan!$I333=1,G330&amp;F330,"")</f>
        <v/>
      </c>
      <c r="N710" s="93" t="str">
        <f>IF(AND(K710&gt;0,Plan!$I333=1),I330&amp;Language!$E$65&amp;H330,"")</f>
        <v/>
      </c>
    </row>
    <row r="711" spans="9:14" x14ac:dyDescent="0.2">
      <c r="I711" s="40" t="s">
        <v>411</v>
      </c>
      <c r="J711" s="17" t="str">
        <f>IF(Plan!$I334=0,G331&amp;F331,"")</f>
        <v/>
      </c>
      <c r="K711" s="134">
        <f t="shared" ref="K711:K763" si="15">K331</f>
        <v>0</v>
      </c>
      <c r="L711" s="134" t="str">
        <f>IF(AND(K711&gt;0,Plan!$I334=0),I331&amp;Language!$E$65&amp;H331,"")</f>
        <v/>
      </c>
      <c r="M711" s="2" t="str">
        <f>IF(Plan!$I334=1,G331&amp;F331,"")</f>
        <v/>
      </c>
      <c r="N711" s="93" t="str">
        <f>IF(AND(K711&gt;0,Plan!$I334=1),I331&amp;Language!$E$65&amp;H331,"")</f>
        <v/>
      </c>
    </row>
    <row r="712" spans="9:14" x14ac:dyDescent="0.2">
      <c r="I712" s="40" t="s">
        <v>412</v>
      </c>
      <c r="J712" s="17" t="str">
        <f>IF(Plan!$I335=0,G332&amp;F332,"")</f>
        <v/>
      </c>
      <c r="K712" s="134">
        <f t="shared" si="15"/>
        <v>0</v>
      </c>
      <c r="L712" s="134" t="str">
        <f>IF(AND(K712&gt;0,Plan!$I335=0),I332&amp;Language!$E$65&amp;H332,"")</f>
        <v/>
      </c>
      <c r="M712" s="2" t="str">
        <f>IF(Plan!$I335=1,G332&amp;F332,"")</f>
        <v/>
      </c>
      <c r="N712" s="93" t="str">
        <f>IF(AND(K712&gt;0,Plan!$I335=1),I332&amp;Language!$E$65&amp;H332,"")</f>
        <v/>
      </c>
    </row>
    <row r="713" spans="9:14" x14ac:dyDescent="0.2">
      <c r="I713" s="40" t="s">
        <v>413</v>
      </c>
      <c r="J713" s="17" t="str">
        <f>IF(Plan!$I336=0,G333&amp;F333,"")</f>
        <v/>
      </c>
      <c r="K713" s="134">
        <f t="shared" si="15"/>
        <v>0</v>
      </c>
      <c r="L713" s="134" t="str">
        <f>IF(AND(K713&gt;0,Plan!$I336=0),I333&amp;Language!$E$65&amp;H333,"")</f>
        <v/>
      </c>
      <c r="M713" s="2" t="str">
        <f>IF(Plan!$I336=1,G333&amp;F333,"")</f>
        <v/>
      </c>
      <c r="N713" s="93" t="str">
        <f>IF(AND(K713&gt;0,Plan!$I336=1),I333&amp;Language!$E$65&amp;H333,"")</f>
        <v/>
      </c>
    </row>
    <row r="714" spans="9:14" x14ac:dyDescent="0.2">
      <c r="I714" s="40" t="s">
        <v>414</v>
      </c>
      <c r="J714" s="17" t="str">
        <f>IF(Plan!$I337=0,G334&amp;F334,"")</f>
        <v/>
      </c>
      <c r="K714" s="134">
        <f t="shared" si="15"/>
        <v>0</v>
      </c>
      <c r="L714" s="134" t="str">
        <f>IF(AND(K714&gt;0,Plan!$I337=0),I334&amp;Language!$E$65&amp;H334,"")</f>
        <v/>
      </c>
      <c r="M714" s="2" t="str">
        <f>IF(Plan!$I337=1,G334&amp;F334,"")</f>
        <v/>
      </c>
      <c r="N714" s="93" t="str">
        <f>IF(AND(K714&gt;0,Plan!$I337=1),I334&amp;Language!$E$65&amp;H334,"")</f>
        <v/>
      </c>
    </row>
    <row r="715" spans="9:14" x14ac:dyDescent="0.2">
      <c r="I715" s="40" t="s">
        <v>415</v>
      </c>
      <c r="J715" s="17" t="str">
        <f>IF(Plan!$I338=0,G335&amp;F335,"")</f>
        <v/>
      </c>
      <c r="K715" s="134">
        <f t="shared" si="15"/>
        <v>0</v>
      </c>
      <c r="L715" s="134" t="str">
        <f>IF(AND(K715&gt;0,Plan!$I338=0),I335&amp;Language!$E$65&amp;H335,"")</f>
        <v/>
      </c>
      <c r="M715" s="2" t="str">
        <f>IF(Plan!$I338=1,G335&amp;F335,"")</f>
        <v/>
      </c>
      <c r="N715" s="93" t="str">
        <f>IF(AND(K715&gt;0,Plan!$I338=1),I335&amp;Language!$E$65&amp;H335,"")</f>
        <v/>
      </c>
    </row>
    <row r="716" spans="9:14" x14ac:dyDescent="0.2">
      <c r="I716" s="40" t="s">
        <v>416</v>
      </c>
      <c r="J716" s="17" t="str">
        <f>IF(Plan!$I339=0,G336&amp;F336,"")</f>
        <v/>
      </c>
      <c r="K716" s="134">
        <f t="shared" si="15"/>
        <v>0</v>
      </c>
      <c r="L716" s="134" t="str">
        <f>IF(AND(K716&gt;0,Plan!$I339=0),I336&amp;Language!$E$65&amp;H336,"")</f>
        <v/>
      </c>
      <c r="M716" s="2" t="str">
        <f>IF(Plan!$I339=1,G336&amp;F336,"")</f>
        <v/>
      </c>
      <c r="N716" s="93" t="str">
        <f>IF(AND(K716&gt;0,Plan!$I339=1),I336&amp;Language!$E$65&amp;H336,"")</f>
        <v/>
      </c>
    </row>
    <row r="717" spans="9:14" x14ac:dyDescent="0.2">
      <c r="I717" s="40" t="s">
        <v>417</v>
      </c>
      <c r="J717" s="17" t="str">
        <f>IF(Plan!$I340=0,G337&amp;F337,"")</f>
        <v/>
      </c>
      <c r="K717" s="134">
        <f t="shared" si="15"/>
        <v>0</v>
      </c>
      <c r="L717" s="134" t="str">
        <f>IF(AND(K717&gt;0,Plan!$I340=0),I337&amp;Language!$E$65&amp;H337,"")</f>
        <v/>
      </c>
      <c r="M717" s="2" t="str">
        <f>IF(Plan!$I340=1,G337&amp;F337,"")</f>
        <v/>
      </c>
      <c r="N717" s="93" t="str">
        <f>IF(AND(K717&gt;0,Plan!$I340=1),I337&amp;Language!$E$65&amp;H337,"")</f>
        <v/>
      </c>
    </row>
    <row r="718" spans="9:14" x14ac:dyDescent="0.2">
      <c r="I718" s="40" t="s">
        <v>418</v>
      </c>
      <c r="J718" s="17" t="str">
        <f>IF(Plan!$I341=0,G338&amp;F338,"")</f>
        <v/>
      </c>
      <c r="K718" s="134">
        <f t="shared" si="15"/>
        <v>0</v>
      </c>
      <c r="L718" s="134" t="str">
        <f>IF(AND(K718&gt;0,Plan!$I341=0),I338&amp;Language!$E$65&amp;H338,"")</f>
        <v/>
      </c>
      <c r="M718" s="2" t="str">
        <f>IF(Plan!$I341=1,G338&amp;F338,"")</f>
        <v/>
      </c>
      <c r="N718" s="93" t="str">
        <f>IF(AND(K718&gt;0,Plan!$I341=1),I338&amp;Language!$E$65&amp;H338,"")</f>
        <v/>
      </c>
    </row>
    <row r="719" spans="9:14" x14ac:dyDescent="0.2">
      <c r="I719" s="40" t="s">
        <v>419</v>
      </c>
      <c r="J719" s="17" t="str">
        <f>IF(Plan!$I342=0,G339&amp;F339,"")</f>
        <v/>
      </c>
      <c r="K719" s="134">
        <f t="shared" si="15"/>
        <v>0</v>
      </c>
      <c r="L719" s="134" t="str">
        <f>IF(AND(K719&gt;0,Plan!$I342=0),I339&amp;Language!$E$65&amp;H339,"")</f>
        <v/>
      </c>
      <c r="M719" s="2" t="str">
        <f>IF(Plan!$I342=1,G339&amp;F339,"")</f>
        <v/>
      </c>
      <c r="N719" s="93" t="str">
        <f>IF(AND(K719&gt;0,Plan!$I342=1),I339&amp;Language!$E$65&amp;H339,"")</f>
        <v/>
      </c>
    </row>
    <row r="720" spans="9:14" x14ac:dyDescent="0.2">
      <c r="I720" s="40" t="s">
        <v>420</v>
      </c>
      <c r="J720" s="17" t="str">
        <f>IF(Plan!$I343=0,G340&amp;F340,"")</f>
        <v/>
      </c>
      <c r="K720" s="134">
        <f t="shared" si="15"/>
        <v>0</v>
      </c>
      <c r="L720" s="134" t="str">
        <f>IF(AND(K720&gt;0,Plan!$I343=0),I340&amp;Language!$E$65&amp;H340,"")</f>
        <v/>
      </c>
      <c r="M720" s="2" t="str">
        <f>IF(Plan!$I343=1,G340&amp;F340,"")</f>
        <v/>
      </c>
      <c r="N720" s="93" t="str">
        <f>IF(AND(K720&gt;0,Plan!$I343=1),I340&amp;Language!$E$65&amp;H340,"")</f>
        <v/>
      </c>
    </row>
    <row r="721" spans="9:14" x14ac:dyDescent="0.2">
      <c r="I721" s="40" t="s">
        <v>421</v>
      </c>
      <c r="J721" s="17" t="str">
        <f>IF(Plan!$I344=0,G341&amp;F341,"")</f>
        <v/>
      </c>
      <c r="K721" s="134">
        <f t="shared" si="15"/>
        <v>0</v>
      </c>
      <c r="L721" s="134" t="str">
        <f>IF(AND(K721&gt;0,Plan!$I344=0),I341&amp;Language!$E$65&amp;H341,"")</f>
        <v/>
      </c>
      <c r="M721" s="2" t="str">
        <f>IF(Plan!$I344=1,G341&amp;F341,"")</f>
        <v/>
      </c>
      <c r="N721" s="93" t="str">
        <f>IF(AND(K721&gt;0,Plan!$I344=1),I341&amp;Language!$E$65&amp;H341,"")</f>
        <v/>
      </c>
    </row>
    <row r="722" spans="9:14" x14ac:dyDescent="0.2">
      <c r="I722" s="40" t="s">
        <v>422</v>
      </c>
      <c r="J722" s="17" t="str">
        <f>IF(Plan!$I345=0,G342&amp;F342,"")</f>
        <v/>
      </c>
      <c r="K722" s="134">
        <f t="shared" si="15"/>
        <v>0</v>
      </c>
      <c r="L722" s="134" t="str">
        <f>IF(AND(K722&gt;0,Plan!$I345=0),I342&amp;Language!$E$65&amp;H342,"")</f>
        <v/>
      </c>
      <c r="M722" s="2" t="str">
        <f>IF(Plan!$I345=1,G342&amp;F342,"")</f>
        <v/>
      </c>
      <c r="N722" s="93" t="str">
        <f>IF(AND(K722&gt;0,Plan!$I345=1),I342&amp;Language!$E$65&amp;H342,"")</f>
        <v/>
      </c>
    </row>
    <row r="723" spans="9:14" x14ac:dyDescent="0.2">
      <c r="I723" s="40" t="s">
        <v>423</v>
      </c>
      <c r="J723" s="17" t="str">
        <f>IF(Plan!$I346=0,G343&amp;F343,"")</f>
        <v/>
      </c>
      <c r="K723" s="134">
        <f t="shared" si="15"/>
        <v>0</v>
      </c>
      <c r="L723" s="134" t="str">
        <f>IF(AND(K723&gt;0,Plan!$I346=0),I343&amp;Language!$E$65&amp;H343,"")</f>
        <v/>
      </c>
      <c r="M723" s="2" t="str">
        <f>IF(Plan!$I346=1,G343&amp;F343,"")</f>
        <v/>
      </c>
      <c r="N723" s="93" t="str">
        <f>IF(AND(K723&gt;0,Plan!$I346=1),I343&amp;Language!$E$65&amp;H343,"")</f>
        <v/>
      </c>
    </row>
    <row r="724" spans="9:14" x14ac:dyDescent="0.2">
      <c r="I724" s="40" t="s">
        <v>424</v>
      </c>
      <c r="J724" s="17" t="str">
        <f>IF(Plan!$I347=0,G344&amp;F344,"")</f>
        <v/>
      </c>
      <c r="K724" s="134">
        <f t="shared" si="15"/>
        <v>0</v>
      </c>
      <c r="L724" s="134" t="str">
        <f>IF(AND(K724&gt;0,Plan!$I347=0),I344&amp;Language!$E$65&amp;H344,"")</f>
        <v/>
      </c>
      <c r="M724" s="2" t="str">
        <f>IF(Plan!$I347=1,G344&amp;F344,"")</f>
        <v/>
      </c>
      <c r="N724" s="93" t="str">
        <f>IF(AND(K724&gt;0,Plan!$I347=1),I344&amp;Language!$E$65&amp;H344,"")</f>
        <v/>
      </c>
    </row>
    <row r="725" spans="9:14" x14ac:dyDescent="0.2">
      <c r="I725" s="40" t="s">
        <v>425</v>
      </c>
      <c r="J725" s="17" t="str">
        <f>IF(Plan!$I348=0,G345&amp;F345,"")</f>
        <v/>
      </c>
      <c r="K725" s="134">
        <f t="shared" si="15"/>
        <v>0</v>
      </c>
      <c r="L725" s="134" t="str">
        <f>IF(AND(K725&gt;0,Plan!$I348=0),I345&amp;Language!$E$65&amp;H345,"")</f>
        <v/>
      </c>
      <c r="M725" s="2" t="str">
        <f>IF(Plan!$I348=1,G345&amp;F345,"")</f>
        <v/>
      </c>
      <c r="N725" s="93" t="str">
        <f>IF(AND(K725&gt;0,Plan!$I348=1),I345&amp;Language!$E$65&amp;H345,"")</f>
        <v/>
      </c>
    </row>
    <row r="726" spans="9:14" x14ac:dyDescent="0.2">
      <c r="I726" s="40" t="s">
        <v>426</v>
      </c>
      <c r="J726" s="17" t="str">
        <f>IF(Plan!$I349=0,G346&amp;F346,"")</f>
        <v/>
      </c>
      <c r="K726" s="134">
        <f t="shared" si="15"/>
        <v>0</v>
      </c>
      <c r="L726" s="134" t="str">
        <f>IF(AND(K726&gt;0,Plan!$I349=0),I346&amp;Language!$E$65&amp;H346,"")</f>
        <v/>
      </c>
      <c r="M726" s="2" t="str">
        <f>IF(Plan!$I349=1,G346&amp;F346,"")</f>
        <v/>
      </c>
      <c r="N726" s="93" t="str">
        <f>IF(AND(K726&gt;0,Plan!$I349=1),I346&amp;Language!$E$65&amp;H346,"")</f>
        <v/>
      </c>
    </row>
    <row r="727" spans="9:14" x14ac:dyDescent="0.2">
      <c r="I727" s="40" t="s">
        <v>427</v>
      </c>
      <c r="J727" s="17" t="str">
        <f>IF(Plan!$I350=0,G347&amp;F347,"")</f>
        <v/>
      </c>
      <c r="K727" s="134">
        <f t="shared" si="15"/>
        <v>0</v>
      </c>
      <c r="L727" s="134" t="str">
        <f>IF(AND(K727&gt;0,Plan!$I350=0),I347&amp;Language!$E$65&amp;H347,"")</f>
        <v/>
      </c>
      <c r="M727" s="2" t="str">
        <f>IF(Plan!$I350=1,G347&amp;F347,"")</f>
        <v/>
      </c>
      <c r="N727" s="93" t="str">
        <f>IF(AND(K727&gt;0,Plan!$I350=1),I347&amp;Language!$E$65&amp;H347,"")</f>
        <v/>
      </c>
    </row>
    <row r="728" spans="9:14" x14ac:dyDescent="0.2">
      <c r="I728" s="40" t="s">
        <v>428</v>
      </c>
      <c r="J728" s="17" t="str">
        <f>IF(Plan!$I351=0,G348&amp;F348,"")</f>
        <v/>
      </c>
      <c r="K728" s="134">
        <f t="shared" si="15"/>
        <v>0</v>
      </c>
      <c r="L728" s="134" t="str">
        <f>IF(AND(K728&gt;0,Plan!$I351=0),I348&amp;Language!$E$65&amp;H348,"")</f>
        <v/>
      </c>
      <c r="M728" s="2" t="str">
        <f>IF(Plan!$I351=1,G348&amp;F348,"")</f>
        <v/>
      </c>
      <c r="N728" s="93" t="str">
        <f>IF(AND(K728&gt;0,Plan!$I351=1),I348&amp;Language!$E$65&amp;H348,"")</f>
        <v/>
      </c>
    </row>
    <row r="729" spans="9:14" x14ac:dyDescent="0.2">
      <c r="I729" s="40" t="s">
        <v>429</v>
      </c>
      <c r="J729" s="17" t="str">
        <f>IF(Plan!$I352=0,G349&amp;F349,"")</f>
        <v/>
      </c>
      <c r="K729" s="134">
        <f t="shared" si="15"/>
        <v>0</v>
      </c>
      <c r="L729" s="134" t="str">
        <f>IF(AND(K729&gt;0,Plan!$I352=0),I349&amp;Language!$E$65&amp;H349,"")</f>
        <v/>
      </c>
      <c r="M729" s="2" t="str">
        <f>IF(Plan!$I352=1,G349&amp;F349,"")</f>
        <v/>
      </c>
      <c r="N729" s="93" t="str">
        <f>IF(AND(K729&gt;0,Plan!$I352=1),I349&amp;Language!$E$65&amp;H349,"")</f>
        <v/>
      </c>
    </row>
    <row r="730" spans="9:14" x14ac:dyDescent="0.2">
      <c r="I730" s="40" t="s">
        <v>430</v>
      </c>
      <c r="J730" s="17" t="str">
        <f>IF(Plan!$I353=0,G350&amp;F350,"")</f>
        <v/>
      </c>
      <c r="K730" s="134">
        <f t="shared" si="15"/>
        <v>0</v>
      </c>
      <c r="L730" s="134" t="str">
        <f>IF(AND(K730&gt;0,Plan!$I353=0),I350&amp;Language!$E$65&amp;H350,"")</f>
        <v/>
      </c>
      <c r="M730" s="2" t="str">
        <f>IF(Plan!$I353=1,G350&amp;F350,"")</f>
        <v/>
      </c>
      <c r="N730" s="93" t="str">
        <f>IF(AND(K730&gt;0,Plan!$I353=1),I350&amp;Language!$E$65&amp;H350,"")</f>
        <v/>
      </c>
    </row>
    <row r="731" spans="9:14" x14ac:dyDescent="0.2">
      <c r="I731" s="40" t="s">
        <v>431</v>
      </c>
      <c r="J731" s="17" t="str">
        <f>IF(Plan!$I354=0,G351&amp;F351,"")</f>
        <v/>
      </c>
      <c r="K731" s="134">
        <f t="shared" si="15"/>
        <v>0</v>
      </c>
      <c r="L731" s="134" t="str">
        <f>IF(AND(K731&gt;0,Plan!$I354=0),I351&amp;Language!$E$65&amp;H351,"")</f>
        <v/>
      </c>
      <c r="M731" s="2" t="str">
        <f>IF(Plan!$I354=1,G351&amp;F351,"")</f>
        <v/>
      </c>
      <c r="N731" s="93" t="str">
        <f>IF(AND(K731&gt;0,Plan!$I354=1),I351&amp;Language!$E$65&amp;H351,"")</f>
        <v/>
      </c>
    </row>
    <row r="732" spans="9:14" x14ac:dyDescent="0.2">
      <c r="I732" s="40" t="s">
        <v>432</v>
      </c>
      <c r="J732" s="17" t="str">
        <f>IF(Plan!$I355=0,G352&amp;F352,"")</f>
        <v/>
      </c>
      <c r="K732" s="134">
        <f t="shared" si="15"/>
        <v>0</v>
      </c>
      <c r="L732" s="134" t="str">
        <f>IF(AND(K732&gt;0,Plan!$I355=0),I352&amp;Language!$E$65&amp;H352,"")</f>
        <v/>
      </c>
      <c r="M732" s="2" t="str">
        <f>IF(Plan!$I355=1,G352&amp;F352,"")</f>
        <v/>
      </c>
      <c r="N732" s="93" t="str">
        <f>IF(AND(K732&gt;0,Plan!$I355=1),I352&amp;Language!$E$65&amp;H352,"")</f>
        <v/>
      </c>
    </row>
    <row r="733" spans="9:14" x14ac:dyDescent="0.2">
      <c r="I733" s="40" t="s">
        <v>433</v>
      </c>
      <c r="J733" s="17" t="str">
        <f>IF(Plan!$I356=0,G353&amp;F353,"")</f>
        <v/>
      </c>
      <c r="K733" s="134">
        <f t="shared" si="15"/>
        <v>0</v>
      </c>
      <c r="L733" s="134" t="str">
        <f>IF(AND(K733&gt;0,Plan!$I356=0),I353&amp;Language!$E$65&amp;H353,"")</f>
        <v/>
      </c>
      <c r="M733" s="2" t="str">
        <f>IF(Plan!$I356=1,G353&amp;F353,"")</f>
        <v/>
      </c>
      <c r="N733" s="93" t="str">
        <f>IF(AND(K733&gt;0,Plan!$I356=1),I353&amp;Language!$E$65&amp;H353,"")</f>
        <v/>
      </c>
    </row>
    <row r="734" spans="9:14" x14ac:dyDescent="0.2">
      <c r="I734" s="40" t="s">
        <v>434</v>
      </c>
      <c r="J734" s="17" t="str">
        <f>IF(Plan!$I357=0,G354&amp;F354,"")</f>
        <v/>
      </c>
      <c r="K734" s="134">
        <f t="shared" si="15"/>
        <v>0</v>
      </c>
      <c r="L734" s="134" t="str">
        <f>IF(AND(K734&gt;0,Plan!$I357=0),I354&amp;Language!$E$65&amp;H354,"")</f>
        <v/>
      </c>
      <c r="M734" s="2" t="str">
        <f>IF(Plan!$I357=1,G354&amp;F354,"")</f>
        <v/>
      </c>
      <c r="N734" s="93" t="str">
        <f>IF(AND(K734&gt;0,Plan!$I357=1),I354&amp;Language!$E$65&amp;H354,"")</f>
        <v/>
      </c>
    </row>
    <row r="735" spans="9:14" x14ac:dyDescent="0.2">
      <c r="I735" s="40" t="s">
        <v>435</v>
      </c>
      <c r="J735" s="17" t="str">
        <f>IF(Plan!$I358=0,G355&amp;F355,"")</f>
        <v/>
      </c>
      <c r="K735" s="134">
        <f t="shared" si="15"/>
        <v>0</v>
      </c>
      <c r="L735" s="134" t="str">
        <f>IF(AND(K735&gt;0,Plan!$I358=0),I355&amp;Language!$E$65&amp;H355,"")</f>
        <v/>
      </c>
      <c r="M735" s="2" t="str">
        <f>IF(Plan!$I358=1,G355&amp;F355,"")</f>
        <v/>
      </c>
      <c r="N735" s="93" t="str">
        <f>IF(AND(K735&gt;0,Plan!$I358=1),I355&amp;Language!$E$65&amp;H355,"")</f>
        <v/>
      </c>
    </row>
    <row r="736" spans="9:14" x14ac:dyDescent="0.2">
      <c r="I736" s="40" t="s">
        <v>436</v>
      </c>
      <c r="J736" s="17" t="str">
        <f>IF(Plan!$I359=0,G356&amp;F356,"")</f>
        <v/>
      </c>
      <c r="K736" s="134">
        <f t="shared" si="15"/>
        <v>0</v>
      </c>
      <c r="L736" s="134" t="str">
        <f>IF(AND(K736&gt;0,Plan!$I359=0),I356&amp;Language!$E$65&amp;H356,"")</f>
        <v/>
      </c>
      <c r="M736" s="2" t="str">
        <f>IF(Plan!$I359=1,G356&amp;F356,"")</f>
        <v/>
      </c>
      <c r="N736" s="93" t="str">
        <f>IF(AND(K736&gt;0,Plan!$I359=1),I356&amp;Language!$E$65&amp;H356,"")</f>
        <v/>
      </c>
    </row>
    <row r="737" spans="9:14" x14ac:dyDescent="0.2">
      <c r="I737" s="40" t="s">
        <v>437</v>
      </c>
      <c r="J737" s="17" t="str">
        <f>IF(Plan!$I360=0,G357&amp;F357,"")</f>
        <v/>
      </c>
      <c r="K737" s="134">
        <f t="shared" si="15"/>
        <v>0</v>
      </c>
      <c r="L737" s="134" t="str">
        <f>IF(AND(K737&gt;0,Plan!$I360=0),I357&amp;Language!$E$65&amp;H357,"")</f>
        <v/>
      </c>
      <c r="M737" s="2" t="str">
        <f>IF(Plan!$I360=1,G357&amp;F357,"")</f>
        <v/>
      </c>
      <c r="N737" s="93" t="str">
        <f>IF(AND(K737&gt;0,Plan!$I360=1),I357&amp;Language!$E$65&amp;H357,"")</f>
        <v/>
      </c>
    </row>
    <row r="738" spans="9:14" x14ac:dyDescent="0.2">
      <c r="I738" s="40" t="s">
        <v>438</v>
      </c>
      <c r="J738" s="17" t="str">
        <f>IF(Plan!$I361=0,G358&amp;F358,"")</f>
        <v/>
      </c>
      <c r="K738" s="134">
        <f t="shared" si="15"/>
        <v>0</v>
      </c>
      <c r="L738" s="134" t="str">
        <f>IF(AND(K738&gt;0,Plan!$I361=0),I358&amp;Language!$E$65&amp;H358,"")</f>
        <v/>
      </c>
      <c r="M738" s="2" t="str">
        <f>IF(Plan!$I361=1,G358&amp;F358,"")</f>
        <v/>
      </c>
      <c r="N738" s="93" t="str">
        <f>IF(AND(K738&gt;0,Plan!$I361=1),I358&amp;Language!$E$65&amp;H358,"")</f>
        <v/>
      </c>
    </row>
    <row r="739" spans="9:14" x14ac:dyDescent="0.2">
      <c r="I739" s="40" t="s">
        <v>439</v>
      </c>
      <c r="J739" s="17" t="str">
        <f>IF(Plan!$I362=0,G359&amp;F359,"")</f>
        <v/>
      </c>
      <c r="K739" s="134">
        <f t="shared" si="15"/>
        <v>0</v>
      </c>
      <c r="L739" s="134" t="str">
        <f>IF(AND(K739&gt;0,Plan!$I362=0),I359&amp;Language!$E$65&amp;H359,"")</f>
        <v/>
      </c>
      <c r="M739" s="2" t="str">
        <f>IF(Plan!$I362=1,G359&amp;F359,"")</f>
        <v/>
      </c>
      <c r="N739" s="93" t="str">
        <f>IF(AND(K739&gt;0,Plan!$I362=1),I359&amp;Language!$E$65&amp;H359,"")</f>
        <v/>
      </c>
    </row>
    <row r="740" spans="9:14" x14ac:dyDescent="0.2">
      <c r="I740" s="40" t="s">
        <v>440</v>
      </c>
      <c r="J740" s="17" t="str">
        <f>IF(Plan!$I363=0,G360&amp;F360,"")</f>
        <v/>
      </c>
      <c r="K740" s="134">
        <f t="shared" si="15"/>
        <v>0</v>
      </c>
      <c r="L740" s="134" t="str">
        <f>IF(AND(K740&gt;0,Plan!$I363=0),I360&amp;Language!$E$65&amp;H360,"")</f>
        <v/>
      </c>
      <c r="M740" s="2" t="str">
        <f>IF(Plan!$I363=1,G360&amp;F360,"")</f>
        <v/>
      </c>
      <c r="N740" s="93" t="str">
        <f>IF(AND(K740&gt;0,Plan!$I363=1),I360&amp;Language!$E$65&amp;H360,"")</f>
        <v/>
      </c>
    </row>
    <row r="741" spans="9:14" x14ac:dyDescent="0.2">
      <c r="I741" s="40" t="s">
        <v>441</v>
      </c>
      <c r="J741" s="17" t="str">
        <f>IF(Plan!$I364=0,G361&amp;F361,"")</f>
        <v/>
      </c>
      <c r="K741" s="134">
        <f t="shared" si="15"/>
        <v>0</v>
      </c>
      <c r="L741" s="134" t="str">
        <f>IF(AND(K741&gt;0,Plan!$I364=0),I361&amp;Language!$E$65&amp;H361,"")</f>
        <v/>
      </c>
      <c r="M741" s="2" t="str">
        <f>IF(Plan!$I364=1,G361&amp;F361,"")</f>
        <v/>
      </c>
      <c r="N741" s="93" t="str">
        <f>IF(AND(K741&gt;0,Plan!$I364=1),I361&amp;Language!$E$65&amp;H361,"")</f>
        <v/>
      </c>
    </row>
    <row r="742" spans="9:14" x14ac:dyDescent="0.2">
      <c r="I742" s="40" t="s">
        <v>442</v>
      </c>
      <c r="J742" s="17" t="str">
        <f>IF(Plan!$I365=0,G362&amp;F362,"")</f>
        <v/>
      </c>
      <c r="K742" s="134">
        <f t="shared" si="15"/>
        <v>0</v>
      </c>
      <c r="L742" s="134" t="str">
        <f>IF(AND(K742&gt;0,Plan!$I365=0),I362&amp;Language!$E$65&amp;H362,"")</f>
        <v/>
      </c>
      <c r="M742" s="2" t="str">
        <f>IF(Plan!$I365=1,G362&amp;F362,"")</f>
        <v/>
      </c>
      <c r="N742" s="93" t="str">
        <f>IF(AND(K742&gt;0,Plan!$I365=1),I362&amp;Language!$E$65&amp;H362,"")</f>
        <v/>
      </c>
    </row>
    <row r="743" spans="9:14" x14ac:dyDescent="0.2">
      <c r="I743" s="40" t="s">
        <v>443</v>
      </c>
      <c r="J743" s="17" t="str">
        <f>IF(Plan!$I366=0,G363&amp;F363,"")</f>
        <v/>
      </c>
      <c r="K743" s="134">
        <f t="shared" si="15"/>
        <v>0</v>
      </c>
      <c r="L743" s="134" t="str">
        <f>IF(AND(K743&gt;0,Plan!$I366=0),I363&amp;Language!$E$65&amp;H363,"")</f>
        <v/>
      </c>
      <c r="M743" s="2" t="str">
        <f>IF(Plan!$I366=1,G363&amp;F363,"")</f>
        <v/>
      </c>
      <c r="N743" s="93" t="str">
        <f>IF(AND(K743&gt;0,Plan!$I366=1),I363&amp;Language!$E$65&amp;H363,"")</f>
        <v/>
      </c>
    </row>
    <row r="744" spans="9:14" x14ac:dyDescent="0.2">
      <c r="I744" s="40" t="s">
        <v>444</v>
      </c>
      <c r="J744" s="17" t="str">
        <f>IF(Plan!$I367=0,G364&amp;F364,"")</f>
        <v/>
      </c>
      <c r="K744" s="134">
        <f t="shared" si="15"/>
        <v>0</v>
      </c>
      <c r="L744" s="134" t="str">
        <f>IF(AND(K744&gt;0,Plan!$I367=0),I364&amp;Language!$E$65&amp;H364,"")</f>
        <v/>
      </c>
      <c r="M744" s="2" t="str">
        <f>IF(Plan!$I367=1,G364&amp;F364,"")</f>
        <v/>
      </c>
      <c r="N744" s="93" t="str">
        <f>IF(AND(K744&gt;0,Plan!$I367=1),I364&amp;Language!$E$65&amp;H364,"")</f>
        <v/>
      </c>
    </row>
    <row r="745" spans="9:14" x14ac:dyDescent="0.2">
      <c r="I745" s="40" t="s">
        <v>445</v>
      </c>
      <c r="J745" s="17" t="str">
        <f>IF(Plan!$I368=0,G365&amp;F365,"")</f>
        <v/>
      </c>
      <c r="K745" s="134">
        <f t="shared" si="15"/>
        <v>0</v>
      </c>
      <c r="L745" s="134" t="str">
        <f>IF(AND(K745&gt;0,Plan!$I368=0),I365&amp;Language!$E$65&amp;H365,"")</f>
        <v/>
      </c>
      <c r="M745" s="2" t="str">
        <f>IF(Plan!$I368=1,G365&amp;F365,"")</f>
        <v/>
      </c>
      <c r="N745" s="93" t="str">
        <f>IF(AND(K745&gt;0,Plan!$I368=1),I365&amp;Language!$E$65&amp;H365,"")</f>
        <v/>
      </c>
    </row>
    <row r="746" spans="9:14" x14ac:dyDescent="0.2">
      <c r="I746" s="40" t="s">
        <v>446</v>
      </c>
      <c r="J746" s="17" t="str">
        <f>IF(Plan!$I369=0,G366&amp;F366,"")</f>
        <v/>
      </c>
      <c r="K746" s="134">
        <f t="shared" si="15"/>
        <v>0</v>
      </c>
      <c r="L746" s="134" t="str">
        <f>IF(AND(K746&gt;0,Plan!$I369=0),I366&amp;Language!$E$65&amp;H366,"")</f>
        <v/>
      </c>
      <c r="M746" s="2" t="str">
        <f>IF(Plan!$I369=1,G366&amp;F366,"")</f>
        <v/>
      </c>
      <c r="N746" s="93" t="str">
        <f>IF(AND(K746&gt;0,Plan!$I369=1),I366&amp;Language!$E$65&amp;H366,"")</f>
        <v/>
      </c>
    </row>
    <row r="747" spans="9:14" x14ac:dyDescent="0.2">
      <c r="I747" s="40" t="s">
        <v>447</v>
      </c>
      <c r="J747" s="17" t="str">
        <f>IF(Plan!$I370=0,G367&amp;F367,"")</f>
        <v/>
      </c>
      <c r="K747" s="134">
        <f t="shared" si="15"/>
        <v>0</v>
      </c>
      <c r="L747" s="134" t="str">
        <f>IF(AND(K747&gt;0,Plan!$I370=0),I367&amp;Language!$E$65&amp;H367,"")</f>
        <v/>
      </c>
      <c r="M747" s="2" t="str">
        <f>IF(Plan!$I370=1,G367&amp;F367,"")</f>
        <v/>
      </c>
      <c r="N747" s="93" t="str">
        <f>IF(AND(K747&gt;0,Plan!$I370=1),I367&amp;Language!$E$65&amp;H367,"")</f>
        <v/>
      </c>
    </row>
    <row r="748" spans="9:14" x14ac:dyDescent="0.2">
      <c r="I748" s="40" t="s">
        <v>448</v>
      </c>
      <c r="J748" s="17" t="str">
        <f>IF(Plan!$I371=0,G368&amp;F368,"")</f>
        <v/>
      </c>
      <c r="K748" s="134">
        <f t="shared" si="15"/>
        <v>0</v>
      </c>
      <c r="L748" s="134" t="str">
        <f>IF(AND(K748&gt;0,Plan!$I371=0),I368&amp;Language!$E$65&amp;H368,"")</f>
        <v/>
      </c>
      <c r="M748" s="2" t="str">
        <f>IF(Plan!$I371=1,G368&amp;F368,"")</f>
        <v/>
      </c>
      <c r="N748" s="93" t="str">
        <f>IF(AND(K748&gt;0,Plan!$I371=1),I368&amp;Language!$E$65&amp;H368,"")</f>
        <v/>
      </c>
    </row>
    <row r="749" spans="9:14" x14ac:dyDescent="0.2">
      <c r="I749" s="40" t="s">
        <v>449</v>
      </c>
      <c r="J749" s="17" t="str">
        <f>IF(Plan!$I372=0,G369&amp;F369,"")</f>
        <v/>
      </c>
      <c r="K749" s="134">
        <f t="shared" si="15"/>
        <v>0</v>
      </c>
      <c r="L749" s="134" t="str">
        <f>IF(AND(K749&gt;0,Plan!$I372=0),I369&amp;Language!$E$65&amp;H369,"")</f>
        <v/>
      </c>
      <c r="M749" s="2" t="str">
        <f>IF(Plan!$I372=1,G369&amp;F369,"")</f>
        <v/>
      </c>
      <c r="N749" s="93" t="str">
        <f>IF(AND(K749&gt;0,Plan!$I372=1),I369&amp;Language!$E$65&amp;H369,"")</f>
        <v/>
      </c>
    </row>
    <row r="750" spans="9:14" x14ac:dyDescent="0.2">
      <c r="I750" s="40" t="s">
        <v>450</v>
      </c>
      <c r="J750" s="17" t="str">
        <f>IF(Plan!$I373=0,G370&amp;F370,"")</f>
        <v/>
      </c>
      <c r="K750" s="134">
        <f t="shared" si="15"/>
        <v>0</v>
      </c>
      <c r="L750" s="134" t="str">
        <f>IF(AND(K750&gt;0,Plan!$I373=0),I370&amp;Language!$E$65&amp;H370,"")</f>
        <v/>
      </c>
      <c r="M750" s="2" t="str">
        <f>IF(Plan!$I373=1,G370&amp;F370,"")</f>
        <v/>
      </c>
      <c r="N750" s="93" t="str">
        <f>IF(AND(K750&gt;0,Plan!$I373=1),I370&amp;Language!$E$65&amp;H370,"")</f>
        <v/>
      </c>
    </row>
    <row r="751" spans="9:14" x14ac:dyDescent="0.2">
      <c r="I751" s="40" t="s">
        <v>451</v>
      </c>
      <c r="J751" s="17" t="str">
        <f>IF(Plan!$I374=0,G371&amp;F371,"")</f>
        <v/>
      </c>
      <c r="K751" s="134">
        <f t="shared" si="15"/>
        <v>0</v>
      </c>
      <c r="L751" s="134" t="str">
        <f>IF(AND(K751&gt;0,Plan!$I374=0),I371&amp;Language!$E$65&amp;H371,"")</f>
        <v/>
      </c>
      <c r="M751" s="2" t="str">
        <f>IF(Plan!$I374=1,G371&amp;F371,"")</f>
        <v/>
      </c>
      <c r="N751" s="93" t="str">
        <f>IF(AND(K751&gt;0,Plan!$I374=1),I371&amp;Language!$E$65&amp;H371,"")</f>
        <v/>
      </c>
    </row>
    <row r="752" spans="9:14" x14ac:dyDescent="0.2">
      <c r="I752" s="40" t="s">
        <v>452</v>
      </c>
      <c r="J752" s="17" t="str">
        <f>IF(Plan!$I375=0,G372&amp;F372,"")</f>
        <v/>
      </c>
      <c r="K752" s="134">
        <f t="shared" si="15"/>
        <v>0</v>
      </c>
      <c r="L752" s="134" t="str">
        <f>IF(AND(K752&gt;0,Plan!$I375=0),I372&amp;Language!$E$65&amp;H372,"")</f>
        <v/>
      </c>
      <c r="M752" s="2" t="str">
        <f>IF(Plan!$I375=1,G372&amp;F372,"")</f>
        <v/>
      </c>
      <c r="N752" s="93" t="str">
        <f>IF(AND(K752&gt;0,Plan!$I375=1),I372&amp;Language!$E$65&amp;H372,"")</f>
        <v/>
      </c>
    </row>
    <row r="753" spans="9:14" x14ac:dyDescent="0.2">
      <c r="I753" s="40" t="s">
        <v>453</v>
      </c>
      <c r="J753" s="17" t="str">
        <f>IF(Plan!$I376=0,G373&amp;F373,"")</f>
        <v/>
      </c>
      <c r="K753" s="134">
        <f t="shared" si="15"/>
        <v>0</v>
      </c>
      <c r="L753" s="134" t="str">
        <f>IF(AND(K753&gt;0,Plan!$I376=0),I373&amp;Language!$E$65&amp;H373,"")</f>
        <v/>
      </c>
      <c r="M753" s="2" t="str">
        <f>IF(Plan!$I376=1,G373&amp;F373,"")</f>
        <v/>
      </c>
      <c r="N753" s="93" t="str">
        <f>IF(AND(K753&gt;0,Plan!$I376=1),I373&amp;Language!$E$65&amp;H373,"")</f>
        <v/>
      </c>
    </row>
    <row r="754" spans="9:14" x14ac:dyDescent="0.2">
      <c r="I754" s="40" t="s">
        <v>454</v>
      </c>
      <c r="J754" s="17" t="str">
        <f>IF(Plan!$I377=0,G374&amp;F374,"")</f>
        <v/>
      </c>
      <c r="K754" s="134">
        <f t="shared" si="15"/>
        <v>0</v>
      </c>
      <c r="L754" s="134" t="str">
        <f>IF(AND(K754&gt;0,Plan!$I377=0),I374&amp;Language!$E$65&amp;H374,"")</f>
        <v/>
      </c>
      <c r="M754" s="2" t="str">
        <f>IF(Plan!$I377=1,G374&amp;F374,"")</f>
        <v/>
      </c>
      <c r="N754" s="93" t="str">
        <f>IF(AND(K754&gt;0,Plan!$I377=1),I374&amp;Language!$E$65&amp;H374,"")</f>
        <v/>
      </c>
    </row>
    <row r="755" spans="9:14" x14ac:dyDescent="0.2">
      <c r="I755" s="40" t="s">
        <v>455</v>
      </c>
      <c r="J755" s="17" t="str">
        <f>IF(Plan!$I378=0,G375&amp;F375,"")</f>
        <v/>
      </c>
      <c r="K755" s="134">
        <f t="shared" si="15"/>
        <v>0</v>
      </c>
      <c r="L755" s="134" t="str">
        <f>IF(AND(K755&gt;0,Plan!$I378=0),I375&amp;Language!$E$65&amp;H375,"")</f>
        <v/>
      </c>
      <c r="M755" s="2" t="str">
        <f>IF(Plan!$I378=1,G375&amp;F375,"")</f>
        <v/>
      </c>
      <c r="N755" s="93" t="str">
        <f>IF(AND(K755&gt;0,Plan!$I378=1),I375&amp;Language!$E$65&amp;H375,"")</f>
        <v/>
      </c>
    </row>
    <row r="756" spans="9:14" x14ac:dyDescent="0.2">
      <c r="I756" s="40" t="s">
        <v>456</v>
      </c>
      <c r="J756" s="17" t="str">
        <f>IF(Plan!$I379=0,G376&amp;F376,"")</f>
        <v/>
      </c>
      <c r="K756" s="134">
        <f t="shared" si="15"/>
        <v>0</v>
      </c>
      <c r="L756" s="134" t="str">
        <f>IF(AND(K756&gt;0,Plan!$I379=0),I376&amp;Language!$E$65&amp;H376,"")</f>
        <v/>
      </c>
      <c r="M756" s="2" t="str">
        <f>IF(Plan!$I379=1,G376&amp;F376,"")</f>
        <v/>
      </c>
      <c r="N756" s="93" t="str">
        <f>IF(AND(K756&gt;0,Plan!$I379=1),I376&amp;Language!$E$65&amp;H376,"")</f>
        <v/>
      </c>
    </row>
    <row r="757" spans="9:14" x14ac:dyDescent="0.2">
      <c r="I757" s="40" t="s">
        <v>457</v>
      </c>
      <c r="J757" s="17" t="str">
        <f>IF(Plan!$I380=0,G377&amp;F377,"")</f>
        <v/>
      </c>
      <c r="K757" s="134">
        <f t="shared" si="15"/>
        <v>0</v>
      </c>
      <c r="L757" s="134" t="str">
        <f>IF(AND(K757&gt;0,Plan!$I380=0),I377&amp;Language!$E$65&amp;H377,"")</f>
        <v/>
      </c>
      <c r="M757" s="2" t="str">
        <f>IF(Plan!$I380=1,G377&amp;F377,"")</f>
        <v/>
      </c>
      <c r="N757" s="93" t="str">
        <f>IF(AND(K757&gt;0,Plan!$I380=1),I377&amp;Language!$E$65&amp;H377,"")</f>
        <v/>
      </c>
    </row>
    <row r="758" spans="9:14" x14ac:dyDescent="0.2">
      <c r="I758" s="40" t="s">
        <v>458</v>
      </c>
      <c r="J758" s="17" t="str">
        <f>IF(Plan!$I381=0,G378&amp;F378,"")</f>
        <v/>
      </c>
      <c r="K758" s="134">
        <f t="shared" si="15"/>
        <v>0</v>
      </c>
      <c r="L758" s="134" t="str">
        <f>IF(AND(K758&gt;0,Plan!$I381=0),I378&amp;Language!$E$65&amp;H378,"")</f>
        <v/>
      </c>
      <c r="M758" s="2" t="str">
        <f>IF(Plan!$I381=1,G378&amp;F378,"")</f>
        <v/>
      </c>
      <c r="N758" s="93" t="str">
        <f>IF(AND(K758&gt;0,Plan!$I381=1),I378&amp;Language!$E$65&amp;H378,"")</f>
        <v/>
      </c>
    </row>
    <row r="759" spans="9:14" x14ac:dyDescent="0.2">
      <c r="I759" s="40" t="s">
        <v>459</v>
      </c>
      <c r="J759" s="17" t="str">
        <f>IF(Plan!$I382=0,G379&amp;F379,"")</f>
        <v/>
      </c>
      <c r="K759" s="134">
        <f t="shared" si="15"/>
        <v>0</v>
      </c>
      <c r="L759" s="134" t="str">
        <f>IF(AND(K759&gt;0,Plan!$I382=0),I379&amp;Language!$E$65&amp;H379,"")</f>
        <v/>
      </c>
      <c r="M759" s="2" t="str">
        <f>IF(Plan!$I382=1,G379&amp;F379,"")</f>
        <v/>
      </c>
      <c r="N759" s="93" t="str">
        <f>IF(AND(K759&gt;0,Plan!$I382=1),I379&amp;Language!$E$65&amp;H379,"")</f>
        <v/>
      </c>
    </row>
    <row r="760" spans="9:14" x14ac:dyDescent="0.2">
      <c r="I760" s="40" t="s">
        <v>460</v>
      </c>
      <c r="J760" s="17" t="str">
        <f>IF(Plan!$I383=0,G380&amp;F380,"")</f>
        <v/>
      </c>
      <c r="K760" s="134">
        <f t="shared" si="15"/>
        <v>0</v>
      </c>
      <c r="L760" s="134" t="str">
        <f>IF(AND(K760&gt;0,Plan!$I383=0),I380&amp;Language!$E$65&amp;H380,"")</f>
        <v/>
      </c>
      <c r="M760" s="4" t="str">
        <f>IF(Plan!$I383=1,G380&amp;F380,"")</f>
        <v/>
      </c>
      <c r="N760" s="93" t="str">
        <f>IF(AND(K760&gt;0,Plan!$I383=1),I380&amp;Language!$E$65&amp;H380,"")</f>
        <v/>
      </c>
    </row>
    <row r="761" spans="9:14" x14ac:dyDescent="0.2">
      <c r="I761" s="40" t="s">
        <v>461</v>
      </c>
      <c r="J761" s="17" t="str">
        <f>IF(Plan!$I384=0,G381&amp;F381,"")</f>
        <v/>
      </c>
      <c r="K761" s="134">
        <f t="shared" si="15"/>
        <v>0</v>
      </c>
      <c r="L761" s="134" t="str">
        <f>IF(AND(K761&gt;0,Plan!$I384=0),I381&amp;Language!$E$65&amp;H381,"")</f>
        <v/>
      </c>
      <c r="M761" s="4" t="str">
        <f>IF(Plan!$I384=1,G381&amp;F381,"")</f>
        <v/>
      </c>
      <c r="N761" s="93" t="str">
        <f>IF(AND(K761&gt;0,Plan!$I384=1),I381&amp;Language!$E$65&amp;H381,"")</f>
        <v/>
      </c>
    </row>
    <row r="762" spans="9:14" x14ac:dyDescent="0.2">
      <c r="I762" s="40" t="s">
        <v>462</v>
      </c>
      <c r="J762" s="17" t="str">
        <f>IF(Plan!$I385=0,G382&amp;F382,"")</f>
        <v/>
      </c>
      <c r="K762" s="134">
        <f t="shared" si="15"/>
        <v>0</v>
      </c>
      <c r="L762" s="134" t="str">
        <f>IF(AND(K762&gt;0,Plan!$I385=0),I382&amp;Language!$E$65&amp;H382,"")</f>
        <v/>
      </c>
      <c r="M762" s="4" t="str">
        <f>IF(Plan!$I385=1,G382&amp;F382,"")</f>
        <v/>
      </c>
      <c r="N762" s="93" t="str">
        <f>IF(AND(K762&gt;0,Plan!$I385=1),I382&amp;Language!$E$65&amp;H382,"")</f>
        <v/>
      </c>
    </row>
    <row r="763" spans="9:14" ht="13.5" thickBot="1" x14ac:dyDescent="0.25">
      <c r="I763" s="41" t="s">
        <v>463</v>
      </c>
      <c r="J763" s="19" t="str">
        <f>IF(Plan!$I386=0,G383&amp;F383,"")</f>
        <v/>
      </c>
      <c r="K763" s="20">
        <f t="shared" si="15"/>
        <v>0</v>
      </c>
      <c r="L763" s="20" t="str">
        <f>IF(AND(K763&gt;0,Plan!$I386=0),I383&amp;Language!$E$65&amp;H383,"")</f>
        <v/>
      </c>
      <c r="M763" s="196" t="str">
        <f>IF(Plan!$I386=1,G383&amp;F383,"")</f>
        <v/>
      </c>
      <c r="N763" s="197" t="str">
        <f>IF(AND(K763&gt;0,Plan!$I386=1),I383&amp;Language!$E$65&amp;H383,"")</f>
        <v/>
      </c>
    </row>
    <row r="764" spans="9:14" ht="13.5" thickTop="1" x14ac:dyDescent="0.2"/>
  </sheetData>
  <mergeCells count="1">
    <mergeCell ref="O3:P3"/>
  </mergeCells>
  <phoneticPr fontId="3" type="noConversion"/>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BF7E9-72EE-4168-9BFE-B25E2015833D}">
  <sheetPr codeName="Tabelle6"/>
  <dimension ref="B3:E9"/>
  <sheetViews>
    <sheetView workbookViewId="0"/>
  </sheetViews>
  <sheetFormatPr baseColWidth="10" defaultRowHeight="12.75" x14ac:dyDescent="0.2"/>
  <sheetData>
    <row r="3" spans="2:5" ht="13.5" thickBot="1" x14ac:dyDescent="0.25">
      <c r="B3" s="120" t="s">
        <v>147</v>
      </c>
      <c r="C3" s="2"/>
      <c r="D3" s="2"/>
      <c r="E3" s="2"/>
    </row>
    <row r="4" spans="2:5" ht="13.5" thickBot="1" x14ac:dyDescent="0.25">
      <c r="B4" s="121">
        <v>1000000000</v>
      </c>
      <c r="C4" s="122" t="s">
        <v>98</v>
      </c>
      <c r="D4" s="2"/>
      <c r="E4" s="2"/>
    </row>
    <row r="5" spans="2:5" ht="13.5" thickBot="1" x14ac:dyDescent="0.25">
      <c r="B5" s="123">
        <v>1000</v>
      </c>
      <c r="C5" s="124" t="s">
        <v>97</v>
      </c>
      <c r="D5" s="128">
        <v>500000</v>
      </c>
      <c r="E5" s="127" t="s">
        <v>148</v>
      </c>
    </row>
    <row r="6" spans="2:5" ht="13.5" thickBot="1" x14ac:dyDescent="0.25">
      <c r="B6" s="125">
        <v>1</v>
      </c>
      <c r="C6" s="126" t="s">
        <v>95</v>
      </c>
      <c r="D6" s="2"/>
      <c r="E6" s="2"/>
    </row>
    <row r="8" spans="2:5" ht="13.5" thickBot="1" x14ac:dyDescent="0.25"/>
    <row r="9" spans="2:5" ht="13.5" thickBot="1" x14ac:dyDescent="0.25">
      <c r="B9" s="463" t="str">
        <f>Language!$E$43</f>
        <v>Länge der Abkürzungen:</v>
      </c>
      <c r="C9" s="463"/>
      <c r="D9" s="128">
        <v>7</v>
      </c>
      <c r="E9" s="240"/>
    </row>
  </sheetData>
  <mergeCells count="1">
    <mergeCell ref="B9:C9"/>
  </mergeCells>
  <dataValidations count="1">
    <dataValidation type="whole" allowBlank="1" showErrorMessage="1" errorTitle="Unzulässige Anzahl" error="Es können Zahlen von 1 bis 20 eingetragen werden!" sqref="D9" xr:uid="{6DAA1690-EA6C-4C27-806A-E5A14DF6BCF8}">
      <formula1>1</formula1>
      <formula2>20</formula2>
    </dataValidation>
  </dataValidation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490B-A11A-49B9-9DEA-59DCE63A6D92}">
  <sheetPr codeName="Tabelle11"/>
  <dimension ref="B1:Y1023"/>
  <sheetViews>
    <sheetView zoomScaleNormal="100" workbookViewId="0"/>
  </sheetViews>
  <sheetFormatPr baseColWidth="10" defaultColWidth="2.7109375" defaultRowHeight="12" x14ac:dyDescent="0.2"/>
  <cols>
    <col min="1" max="2" width="4.7109375" style="5" customWidth="1"/>
    <col min="3" max="3" width="8.140625" style="5" customWidth="1"/>
    <col min="4" max="4" width="9.140625" style="5" customWidth="1"/>
    <col min="5" max="5" width="7.140625" style="5" customWidth="1"/>
    <col min="6" max="6" width="18" style="194" customWidth="1"/>
    <col min="7" max="7" width="7.42578125" style="5" customWidth="1"/>
    <col min="8" max="9" width="6.42578125" style="5" customWidth="1"/>
    <col min="10" max="10" width="8.28515625" style="5" customWidth="1"/>
    <col min="11" max="11" width="7.42578125" style="5" customWidth="1"/>
    <col min="12" max="12" width="8.7109375" style="5" customWidth="1"/>
    <col min="13" max="13" width="7.5703125" style="5" customWidth="1"/>
    <col min="14" max="14" width="7.140625" style="5" customWidth="1"/>
    <col min="15" max="15" width="7.7109375" style="5" customWidth="1"/>
    <col min="16" max="16" width="4.7109375" style="5" customWidth="1"/>
    <col min="17" max="17" width="21" style="5" customWidth="1"/>
    <col min="18" max="18" width="15.140625" style="5" customWidth="1"/>
    <col min="19" max="19" width="11.42578125" style="5" customWidth="1"/>
    <col min="20" max="20" width="10.5703125" style="5" customWidth="1"/>
    <col min="21" max="21" width="9.5703125" style="5" customWidth="1"/>
    <col min="22" max="22" width="7" style="5" customWidth="1"/>
    <col min="23" max="23" width="23" style="5" customWidth="1"/>
    <col min="24" max="24" width="4.85546875" style="411" customWidth="1"/>
    <col min="25" max="25" width="3.7109375" style="411" customWidth="1"/>
    <col min="26" max="48" width="4.7109375" style="5" customWidth="1"/>
    <col min="49" max="59" width="6.7109375" style="5" customWidth="1"/>
    <col min="60" max="16384" width="2.7109375" style="5"/>
  </cols>
  <sheetData>
    <row r="1" spans="2:25" s="2" customFormat="1" ht="12.75" thickBot="1" x14ac:dyDescent="0.25">
      <c r="F1" s="187"/>
      <c r="Q1" s="191"/>
      <c r="X1" s="1"/>
      <c r="Y1" s="1"/>
    </row>
    <row r="2" spans="2:25" s="2" customFormat="1" ht="12" customHeight="1" thickBot="1" x14ac:dyDescent="0.25">
      <c r="B2" s="410">
        <v>1</v>
      </c>
      <c r="C2" s="134"/>
      <c r="D2" s="134"/>
      <c r="E2" s="134"/>
      <c r="F2" s="187"/>
      <c r="G2" s="1"/>
      <c r="H2" s="1"/>
      <c r="I2" s="1"/>
      <c r="J2" s="1"/>
      <c r="K2" s="1"/>
      <c r="L2" s="1"/>
      <c r="M2" s="1"/>
      <c r="N2" s="134"/>
      <c r="O2" s="1"/>
      <c r="P2" s="1"/>
      <c r="Q2" s="1"/>
      <c r="X2" s="1"/>
      <c r="Y2" s="1"/>
    </row>
    <row r="3" spans="2:25" s="2" customFormat="1" ht="13.5" customHeight="1" thickBot="1" x14ac:dyDescent="0.25">
      <c r="B3" s="1"/>
      <c r="C3" s="134"/>
      <c r="D3" s="134"/>
      <c r="E3" s="134"/>
      <c r="F3" s="11" t="s">
        <v>90</v>
      </c>
      <c r="G3" s="42" t="s">
        <v>95</v>
      </c>
      <c r="H3" s="42" t="s">
        <v>96</v>
      </c>
      <c r="I3" s="11" t="s">
        <v>97</v>
      </c>
      <c r="J3" s="11" t="s">
        <v>98</v>
      </c>
      <c r="K3" s="11" t="s">
        <v>91</v>
      </c>
      <c r="L3" s="12" t="s">
        <v>92</v>
      </c>
      <c r="M3" s="12" t="s">
        <v>93</v>
      </c>
      <c r="N3" s="12" t="s">
        <v>94</v>
      </c>
      <c r="O3" s="12" t="s">
        <v>534</v>
      </c>
      <c r="Q3" s="11"/>
      <c r="R3" s="133" t="s">
        <v>99</v>
      </c>
      <c r="S3" s="6" t="s">
        <v>483</v>
      </c>
      <c r="T3" s="120" t="s">
        <v>146</v>
      </c>
      <c r="U3" s="134"/>
      <c r="V3" s="134"/>
      <c r="W3" s="132"/>
      <c r="X3" s="1"/>
      <c r="Y3" s="1"/>
    </row>
    <row r="4" spans="2:25" s="2" customFormat="1" ht="12.75" thickTop="1" x14ac:dyDescent="0.2">
      <c r="B4" s="1">
        <v>1</v>
      </c>
      <c r="C4" s="8">
        <f ca="1">RANK(D4,D4:D23,1)</f>
        <v>15</v>
      </c>
      <c r="D4" s="134">
        <f ca="1">E4+ROW()/1000</f>
        <v>15.004</v>
      </c>
      <c r="E4" s="134">
        <f ca="1">RANK(T4,T4:T23,1)</f>
        <v>15</v>
      </c>
      <c r="F4" s="187" t="str">
        <f>Calc2!$C$4</f>
        <v>1. FC Heidenheim 1846</v>
      </c>
      <c r="G4" s="1">
        <f ca="1">SUMIFS(OFFSET(Calc2!$H$4,,,$F$26*B2,1),OFFSET(Calc2!$F$4,,,$F$26*B2,1),F4)+SUMIFS(OFFSET(Calc2!$I$4,,,$F$26*B2,1),OFFSET(Calc2!$G$4,,,$F$26*B2,1),F4)</f>
        <v>1</v>
      </c>
      <c r="H4" s="1">
        <f ca="1">SUMIFS(OFFSET(Calc2!$I$4,,,$F$26*B2,1),OFFSET(Calc2!$F$4,,,$F$26*B2,1),F4)+SUMIFS(OFFSET(Calc2!$H$4,,,$F$26*B2,1),OFFSET(Calc2!$G$4,,,$F$26*B2,1),F4)</f>
        <v>3</v>
      </c>
      <c r="I4" s="134">
        <f t="shared" ref="I4" ca="1" si="0">G4-H4</f>
        <v>-2</v>
      </c>
      <c r="J4" s="12">
        <f ca="1">L4*Settings!$C$3+M4+O4</f>
        <v>0</v>
      </c>
      <c r="K4" s="1">
        <f ca="1">L4+M4+N4</f>
        <v>1</v>
      </c>
      <c r="L4" s="1">
        <f t="array" aca="1" ref="L4" ca="1">SUMPRODUCT((OFFSET(Calc2!$F$4,,,$F$26*B2,1)=F4)*(OFFSET(Calc2!$H$4,,,$F$26*B2,1)&gt;OFFSET(Calc2!$I$4,,,$F$26*B2,1)))+SUMPRODUCT((OFFSET(Calc2!$G$4,,,$F$26*B2,1)=F4)*(OFFSET(Calc2!$H$4,,,$F$26*B2,1)&lt;OFFSET(Calc2!$I$4,,,$F$26*B2,1)))</f>
        <v>0</v>
      </c>
      <c r="M4" s="1">
        <f t="array" aca="1" ref="M4" ca="1">SUMPRODUCT((OFFSET(Calc2!$F$4,,,$F$26*B2,2)=F4)*(OFFSET(Calc2!$H$4,,,$F$26*B2,1)=OFFSET(Calc2!$I$4,,,$F$26*B2,1))*(OFFSET(Calc2!$H$4,,,$F$26*B2,1)&lt;&gt;"")*(OFFSET(Calc2!$I$4,,,$F$26*B2,1)&lt;&gt;""))</f>
        <v>0</v>
      </c>
      <c r="N4" s="1">
        <f t="array" aca="1" ref="N4" ca="1">SUMPRODUCT((OFFSET(Calc2!$F$4,,,$F$26*B2,1)=F4)*(OFFSET(Calc2!$H$4,,,$F$26*B2,1)&lt;OFFSET(Calc2!$I$4,,,$F$26*B2,1)))+SUMPRODUCT((OFFSET(Calc2!$G$4,,,$F$26*B2,1)=F4)*(OFFSET(Calc2!$H$4,,,$F$26*B2,1)&gt;OFFSET(Calc2!$I$4,,,$F$26*B2,1)))</f>
        <v>1</v>
      </c>
      <c r="O4" s="132">
        <f ca="1">SUMPRODUCT((F4=OFFSET(Calc2!$F$4,,,$F$26*B2,1))*OFFSET(Calc2!$O$4,,,$F$26*B2,1))+SUMPRODUCT((F4=OFFSET(Calc2!$G$4,,,$F$26*B2,1))*OFFSET(Calc2!$P$4,,,$F$26*B2,1))</f>
        <v>0</v>
      </c>
      <c r="R4" s="13">
        <f t="shared" ref="R4:R23" ca="1" si="1">J4*FactorPts+(I4+GDzero)*FactorGD+G4*FactorGF</f>
        <v>499998001</v>
      </c>
      <c r="S4" s="134">
        <f>Tie_Break!$D$7</f>
        <v>0</v>
      </c>
      <c r="T4" s="8">
        <f ca="1">RANK(R4,R4:R23)+(9-S4)/10000+(F4="")*1000</f>
        <v>17.000900000000001</v>
      </c>
      <c r="U4" s="134"/>
      <c r="V4" s="134">
        <f ca="1">IF($K$24=0,"",1)</f>
        <v>1</v>
      </c>
      <c r="W4" s="4" t="str">
        <f ca="1">IF($K$24=0,Calc2!$C$4,VLOOKUP(B4,C4:N23,4,0))</f>
        <v>FC Bayern München</v>
      </c>
      <c r="X4" s="1">
        <v>0</v>
      </c>
      <c r="Y4" s="1">
        <v>0</v>
      </c>
    </row>
    <row r="5" spans="2:25" s="2" customFormat="1" x14ac:dyDescent="0.2">
      <c r="B5" s="1">
        <v>2</v>
      </c>
      <c r="C5" s="9">
        <f ca="1">RANK(D5,D4:D23,1)</f>
        <v>7</v>
      </c>
      <c r="D5" s="134">
        <f t="shared" ref="D5:D23" ca="1" si="2">E5+ROW()/1000</f>
        <v>7.0049999999999999</v>
      </c>
      <c r="E5" s="134">
        <f ca="1">RANK(T5,T4:T23,1)</f>
        <v>7</v>
      </c>
      <c r="F5" s="187" t="str">
        <f>Calc2!$C$5</f>
        <v>1. FC Köln</v>
      </c>
      <c r="G5" s="1">
        <f ca="1">SUMIFS(OFFSET(Calc2!$H$4,,,$F$26*B2,1),OFFSET(Calc2!$F$4,,,$F$26*B2,1),F5)+SUMIFS(OFFSET(Calc2!$I$4,,,$F$26*B2,1),OFFSET(Calc2!$G$4,,,$F$26*B2,1),F5)</f>
        <v>1</v>
      </c>
      <c r="H5" s="1">
        <f ca="1">SUMIFS(OFFSET(Calc2!$I$4,,,$F$26*B2,1),OFFSET(Calc2!$F$4,,,$F$26*B2,1),F5)+SUMIFS(OFFSET(Calc2!$H$4,,,$F$26*B2,1),OFFSET(Calc2!$G$4,,,$F$26*B2,1),F5)</f>
        <v>0</v>
      </c>
      <c r="I5" s="134">
        <f t="shared" ref="I5:I23" ca="1" si="3">G5-H5</f>
        <v>1</v>
      </c>
      <c r="J5" s="12">
        <f ca="1">L5*Settings!$C$3+M5+O5</f>
        <v>3</v>
      </c>
      <c r="K5" s="1">
        <f t="shared" ref="K5:K23" ca="1" si="4">L5+M5+N5</f>
        <v>1</v>
      </c>
      <c r="L5" s="1">
        <f t="array" aca="1" ref="L5" ca="1">SUMPRODUCT((OFFSET(Calc2!$F$4,,,$F$26*B2,1)=F5)*(OFFSET(Calc2!$H$4,,,$F$26*B2,1)&gt;OFFSET(Calc2!$I$4,,,$F$26*B2,1)))+SUMPRODUCT((OFFSET(Calc2!$G$4,,,$F$26*B2,1)=F5)*(OFFSET(Calc2!$H$4,,,$F$26*B2,1)&lt;OFFSET(Calc2!$I$4,,,$F$26*B2,1)))</f>
        <v>1</v>
      </c>
      <c r="M5" s="1">
        <f t="array" aca="1" ref="M5" ca="1">SUMPRODUCT((OFFSET(Calc2!$F$4,,,$F$26*B2,2)=F5)*(OFFSET(Calc2!$H$4,,,$F$26*B2,1)=OFFSET(Calc2!$I$4,,,$F$26*B2,1))*(OFFSET(Calc2!$H$4,,,$F$26*B2,1)&lt;&gt;"")*(OFFSET(Calc2!$I$4,,,$F$26*B2,1)&lt;&gt;""))</f>
        <v>0</v>
      </c>
      <c r="N5" s="1">
        <f t="array" aca="1" ref="N5" ca="1">SUMPRODUCT((OFFSET(Calc2!$F$4,,,$F$26*B2,1)=F5)*(OFFSET(Calc2!$H$4,,,$F$26*B2,1)&lt;OFFSET(Calc2!$I$4,,,$F$26*B2,1)))+SUMPRODUCT((OFFSET(Calc2!$G$4,,,$F$26*B2,1)=F5)*(OFFSET(Calc2!$H$4,,,$F$26*B2,1)&gt;OFFSET(Calc2!$I$4,,,$F$26*B2,1)))</f>
        <v>0</v>
      </c>
      <c r="O5" s="132">
        <f ca="1">SUMPRODUCT((F5=OFFSET(Calc2!$F$4,,,$F$26*B2,1))*OFFSET(Calc2!$O$4,,,$F$26*B2,1))+SUMPRODUCT((F5=OFFSET(Calc2!$G$4,,,$F$26*B2,1))*OFFSET(Calc2!$P$4,,,$F$26*B2,1))</f>
        <v>0</v>
      </c>
      <c r="R5" s="13">
        <f t="shared" ca="1" si="1"/>
        <v>3500001001</v>
      </c>
      <c r="S5" s="134">
        <f>Tie_Break!$D$8</f>
        <v>0</v>
      </c>
      <c r="T5" s="9">
        <f ca="1">RANK(R5,R4:R23)+(9-S5)/10000+(F5="")*1000</f>
        <v>7.0008999999999997</v>
      </c>
      <c r="U5" s="134"/>
      <c r="V5" s="134">
        <f ca="1">IF($K$24=0,"",IF(VLOOKUP(B5,C4:E23,3,0)=MAX(V$4:V4),VLOOKUP(B5,C4:E23,3,0),B5))</f>
        <v>2</v>
      </c>
      <c r="W5" s="4" t="str">
        <f ca="1">IF($K$24=0,Calc2!$C$5,VLOOKUP(B5,C4:N23,4,0))</f>
        <v>Eintracht Frankfurt</v>
      </c>
      <c r="X5" s="1">
        <v>0</v>
      </c>
      <c r="Y5" s="1">
        <v>0</v>
      </c>
    </row>
    <row r="6" spans="2:25" s="2" customFormat="1" x14ac:dyDescent="0.2">
      <c r="B6" s="1">
        <v>3</v>
      </c>
      <c r="C6" s="9">
        <f ca="1">RANK(D6,D4:D23,1)</f>
        <v>5</v>
      </c>
      <c r="D6" s="134">
        <f t="shared" ca="1" si="2"/>
        <v>5.0060000000000002</v>
      </c>
      <c r="E6" s="134">
        <f ca="1">RANK(T6,T4:T23,1)</f>
        <v>5</v>
      </c>
      <c r="F6" s="187" t="str">
        <f>Calc2!$C$6</f>
        <v>1. FC Union Berlin</v>
      </c>
      <c r="G6" s="1">
        <f ca="1">SUMIFS(OFFSET(Calc2!$H$4,,,$F$26*B2,1),OFFSET(Calc2!$F$4,,,$F$26*B2,1),F6)+SUMIFS(OFFSET(Calc2!$I$4,,,$F$26*B2,1),OFFSET(Calc2!$G$4,,,$F$26*B2,1),F6)</f>
        <v>2</v>
      </c>
      <c r="H6" s="1">
        <f ca="1">SUMIFS(OFFSET(Calc2!$I$4,,,$F$26*B2,1),OFFSET(Calc2!$F$4,,,$F$26*B2,1),F6)+SUMIFS(OFFSET(Calc2!$H$4,,,$F$26*B2,1),OFFSET(Calc2!$G$4,,,$F$26*B2,1),F6)</f>
        <v>1</v>
      </c>
      <c r="I6" s="134">
        <f t="shared" ca="1" si="3"/>
        <v>1</v>
      </c>
      <c r="J6" s="12">
        <f ca="1">L6*Settings!$C$3+M6+O6</f>
        <v>3</v>
      </c>
      <c r="K6" s="1">
        <f t="shared" ca="1" si="4"/>
        <v>1</v>
      </c>
      <c r="L6" s="1">
        <f t="array" aca="1" ref="L6" ca="1">SUMPRODUCT((OFFSET(Calc2!$F$4,,,$F$26*B2,1)=F6)*(OFFSET(Calc2!$H$4,,,$F$26*B2,1)&gt;OFFSET(Calc2!$I$4,,,$F$26*B2,1)))+SUMPRODUCT((OFFSET(Calc2!$G$4,,,$F$26*B2,1)=F6)*(OFFSET(Calc2!$H$4,,,$F$26*B2,1)&lt;OFFSET(Calc2!$I$4,,,$F$26*B2,1)))</f>
        <v>1</v>
      </c>
      <c r="M6" s="1">
        <f t="array" aca="1" ref="M6" ca="1">SUMPRODUCT((OFFSET(Calc2!$F$4,,,$F$26*B2,2)=F6)*(OFFSET(Calc2!$H$4,,,$F$26*B2,1)=OFFSET(Calc2!$I$4,,,$F$26*B2,1))*(OFFSET(Calc2!$H$4,,,$F$26*B2,1)&lt;&gt;"")*(OFFSET(Calc2!$I$4,,,$F$26*B2,1)&lt;&gt;""))</f>
        <v>0</v>
      </c>
      <c r="N6" s="1">
        <f t="array" aca="1" ref="N6" ca="1">SUMPRODUCT((OFFSET(Calc2!$F$4,,,$F$26*B2,1)=F6)*(OFFSET(Calc2!$H$4,,,$F$26*B2,1)&lt;OFFSET(Calc2!$I$4,,,$F$26*B2,1)))+SUMPRODUCT((OFFSET(Calc2!$G$4,,,$F$26*B2,1)=F6)*(OFFSET(Calc2!$H$4,,,$F$26*B2,1)&gt;OFFSET(Calc2!$I$4,,,$F$26*B2,1)))</f>
        <v>0</v>
      </c>
      <c r="O6" s="132">
        <f ca="1">SUMPRODUCT((F6=OFFSET(Calc2!$F$4,,,$F$26*B2,1))*OFFSET(Calc2!$O$4,,,$F$26*B2,1))+SUMPRODUCT((F6=OFFSET(Calc2!$G$4,,,$F$26*B2,1))*OFFSET(Calc2!$P$4,,,$F$26*B2,1))</f>
        <v>0</v>
      </c>
      <c r="R6" s="13">
        <f t="shared" ca="1" si="1"/>
        <v>3500001002</v>
      </c>
      <c r="S6" s="134">
        <f>Tie_Break!$D$9</f>
        <v>0</v>
      </c>
      <c r="T6" s="9">
        <f ca="1">RANK(R6,R4:R23)+(9-S6)/10000+(F6="")*1000</f>
        <v>5.0008999999999997</v>
      </c>
      <c r="U6" s="134"/>
      <c r="V6" s="134">
        <f ca="1">IF($K$24=0,"",IF(VLOOKUP(B6,C4:E23,3,0)=MAX(V$4:V5),VLOOKUP(B6,C4:E23,3,0),B6))</f>
        <v>3</v>
      </c>
      <c r="W6" s="4" t="str">
        <f ca="1">IF($K$24=0,Calc2!$C$6,VLOOKUP(B6,C4:N23,4,0))</f>
        <v>FC Augsburg</v>
      </c>
      <c r="X6" s="1">
        <v>0</v>
      </c>
      <c r="Y6" s="1">
        <v>0</v>
      </c>
    </row>
    <row r="7" spans="2:25" s="2" customFormat="1" x14ac:dyDescent="0.2">
      <c r="B7" s="1">
        <v>4</v>
      </c>
      <c r="C7" s="9">
        <f ca="1">RANK(D7,D4:D23,1)</f>
        <v>14</v>
      </c>
      <c r="D7" s="134">
        <f t="shared" ca="1" si="2"/>
        <v>14.007</v>
      </c>
      <c r="E7" s="134">
        <f ca="1">RANK(T7,T4:T23,1)</f>
        <v>14</v>
      </c>
      <c r="F7" s="187" t="str">
        <f>Calc2!$C$7</f>
        <v>1. FSV Mainz 05</v>
      </c>
      <c r="G7" s="1">
        <f ca="1">SUMIFS(OFFSET(Calc2!$H$4,,,$F$26*B2,1),OFFSET(Calc2!$F$4,,,$F$26*B2,1),F7)+SUMIFS(OFFSET(Calc2!$I$4,,,$F$26*B2,1),OFFSET(Calc2!$G$4,,,$F$26*B2,1),F7)</f>
        <v>0</v>
      </c>
      <c r="H7" s="1">
        <f ca="1">SUMIFS(OFFSET(Calc2!$I$4,,,$F$26*B2,1),OFFSET(Calc2!$F$4,,,$F$26*B2,1),F7)+SUMIFS(OFFSET(Calc2!$H$4,,,$F$26*B2,1),OFFSET(Calc2!$G$4,,,$F$26*B2,1),F7)</f>
        <v>1</v>
      </c>
      <c r="I7" s="134">
        <f t="shared" ca="1" si="3"/>
        <v>-1</v>
      </c>
      <c r="J7" s="12">
        <f ca="1">L7*Settings!$C$3+M7+O7</f>
        <v>0</v>
      </c>
      <c r="K7" s="1">
        <f t="shared" ca="1" si="4"/>
        <v>1</v>
      </c>
      <c r="L7" s="1">
        <f t="array" aca="1" ref="L7" ca="1">SUMPRODUCT((OFFSET(Calc2!$F$4,,,$F$26*B2,1)=F7)*(OFFSET(Calc2!$H$4,,,$F$26*B2,1)&gt;OFFSET(Calc2!$I$4,,,$F$26*B2,1)))+SUMPRODUCT((OFFSET(Calc2!$G$4,,,$F$26*B2,1)=F7)*(OFFSET(Calc2!$H$4,,,$F$26*B2,1)&lt;OFFSET(Calc2!$I$4,,,$F$26*B2,1)))</f>
        <v>0</v>
      </c>
      <c r="M7" s="1">
        <f t="array" aca="1" ref="M7" ca="1">SUMPRODUCT((OFFSET(Calc2!$F$4,,,$F$26*B2,2)=F7)*(OFFSET(Calc2!$H$4,,,$F$26*B2,1)=OFFSET(Calc2!$I$4,,,$F$26*B2,1))*(OFFSET(Calc2!$H$4,,,$F$26*B2,1)&lt;&gt;"")*(OFFSET(Calc2!$I$4,,,$F$26*B2,1)&lt;&gt;""))</f>
        <v>0</v>
      </c>
      <c r="N7" s="1">
        <f t="array" aca="1" ref="N7" ca="1">SUMPRODUCT((OFFSET(Calc2!$F$4,,,$F$26*B2,1)=F7)*(OFFSET(Calc2!$H$4,,,$F$26*B2,1)&lt;OFFSET(Calc2!$I$4,,,$F$26*B2,1)))+SUMPRODUCT((OFFSET(Calc2!$G$4,,,$F$26*B2,1)=F7)*(OFFSET(Calc2!$H$4,,,$F$26*B2,1)&gt;OFFSET(Calc2!$I$4,,,$F$26*B2,1)))</f>
        <v>1</v>
      </c>
      <c r="O7" s="132">
        <f ca="1">SUMPRODUCT((F7=OFFSET(Calc2!$F$4,,,$F$26*B2,1))*OFFSET(Calc2!$O$4,,,$F$26*B2,1))+SUMPRODUCT((F7=OFFSET(Calc2!$G$4,,,$F$26*B2,1))*OFFSET(Calc2!$P$4,,,$F$26*B2,1))</f>
        <v>0</v>
      </c>
      <c r="R7" s="13">
        <f t="shared" ca="1" si="1"/>
        <v>499999000</v>
      </c>
      <c r="S7" s="134">
        <f>Tie_Break!$D$10</f>
        <v>0</v>
      </c>
      <c r="T7" s="9">
        <f ca="1">RANK(R7,R4:R23)+(9-S7)/10000+(F7="")*1000</f>
        <v>16.000900000000001</v>
      </c>
      <c r="U7" s="134"/>
      <c r="V7" s="134">
        <f ca="1">IF($K$24=0,"",IF(VLOOKUP(B7,C4:E23,3,0)=MAX(V$4:V6),VLOOKUP(B7,C4:E23,3,0),B7))</f>
        <v>3</v>
      </c>
      <c r="W7" s="4" t="str">
        <f ca="1">IF($K$24=0,Calc2!$C$7,VLOOKUP(B7,C4:N23,4,0))</f>
        <v>VfL Wolfsburg</v>
      </c>
      <c r="X7" s="1">
        <v>0</v>
      </c>
      <c r="Y7" s="1">
        <v>0</v>
      </c>
    </row>
    <row r="8" spans="2:25" s="2" customFormat="1" x14ac:dyDescent="0.2">
      <c r="B8" s="1">
        <v>5</v>
      </c>
      <c r="C8" s="9">
        <f ca="1">RANK(D8,D4:D23,1)</f>
        <v>12</v>
      </c>
      <c r="D8" s="134">
        <f t="shared" ca="1" si="2"/>
        <v>12.007999999999999</v>
      </c>
      <c r="E8" s="134">
        <f ca="1">RANK(T8,T4:T23,1)</f>
        <v>12</v>
      </c>
      <c r="F8" s="187" t="str">
        <f>Calc2!$C$8</f>
        <v>Bayer 04 Leverkusen</v>
      </c>
      <c r="G8" s="1">
        <f ca="1">SUMIFS(OFFSET(Calc2!$H$4,,,$F$26*B2,1),OFFSET(Calc2!$F$4,,,$F$26*B2,1),F8)+SUMIFS(OFFSET(Calc2!$I$4,,,$F$26*B2,1),OFFSET(Calc2!$G$4,,,$F$26*B2,1),F8)</f>
        <v>1</v>
      </c>
      <c r="H8" s="1">
        <f ca="1">SUMIFS(OFFSET(Calc2!$I$4,,,$F$26*B2,1),OFFSET(Calc2!$F$4,,,$F$26*B2,1),F8)+SUMIFS(OFFSET(Calc2!$H$4,,,$F$26*B2,1),OFFSET(Calc2!$G$4,,,$F$26*B2,1),F8)</f>
        <v>2</v>
      </c>
      <c r="I8" s="134">
        <f t="shared" ca="1" si="3"/>
        <v>-1</v>
      </c>
      <c r="J8" s="12">
        <f ca="1">L8*Settings!$C$3+M8+O8</f>
        <v>0</v>
      </c>
      <c r="K8" s="1">
        <f t="shared" ca="1" si="4"/>
        <v>1</v>
      </c>
      <c r="L8" s="1">
        <f t="array" aca="1" ref="L8" ca="1">SUMPRODUCT((OFFSET(Calc2!$F$4,,,$F$26*B2,1)=F8)*(OFFSET(Calc2!$H$4,,,$F$26*B2,1)&gt;OFFSET(Calc2!$I$4,,,$F$26*B2,1)))+SUMPRODUCT((OFFSET(Calc2!$G$4,,,$F$26*B2,1)=F8)*(OFFSET(Calc2!$H$4,,,$F$26*B2,1)&lt;OFFSET(Calc2!$I$4,,,$F$26*B2,1)))</f>
        <v>0</v>
      </c>
      <c r="M8" s="1">
        <f t="array" aca="1" ref="M8" ca="1">SUMPRODUCT((OFFSET(Calc2!$F$4,,,$F$26*B2,2)=F8)*(OFFSET(Calc2!$H$4,,,$F$26*B2,1)=OFFSET(Calc2!$I$4,,,$F$26*B2,1))*(OFFSET(Calc2!$H$4,,,$F$26*B2,1)&lt;&gt;"")*(OFFSET(Calc2!$I$4,,,$F$26*B2,1)&lt;&gt;""))</f>
        <v>0</v>
      </c>
      <c r="N8" s="1">
        <f t="array" aca="1" ref="N8" ca="1">SUMPRODUCT((OFFSET(Calc2!$F$4,,,$F$26*B2,1)=F8)*(OFFSET(Calc2!$H$4,,,$F$26*B2,1)&lt;OFFSET(Calc2!$I$4,,,$F$26*B2,1)))+SUMPRODUCT((OFFSET(Calc2!$G$4,,,$F$26*B2,1)=F8)*(OFFSET(Calc2!$H$4,,,$F$26*B2,1)&gt;OFFSET(Calc2!$I$4,,,$F$26*B2,1)))</f>
        <v>1</v>
      </c>
      <c r="O8" s="132">
        <f ca="1">SUMPRODUCT((F8=OFFSET(Calc2!$F$4,,,$F$26*B2,1))*OFFSET(Calc2!$O$4,,,$F$26*B2,1))+SUMPRODUCT((F8=OFFSET(Calc2!$G$4,,,$F$26*B2,1))*OFFSET(Calc2!$P$4,,,$F$26*B2,1))</f>
        <v>0</v>
      </c>
      <c r="R8" s="13">
        <f t="shared" ca="1" si="1"/>
        <v>499999001</v>
      </c>
      <c r="S8" s="134">
        <f>Tie_Break!$D$11</f>
        <v>0</v>
      </c>
      <c r="T8" s="9">
        <f ca="1">RANK(R8,R4:R23)+(9-S8)/10000+(F8="")*1000</f>
        <v>14.0009</v>
      </c>
      <c r="U8" s="134"/>
      <c r="V8" s="134">
        <f ca="1">IF($K$24=0,"",IF(VLOOKUP(B8,C4:E23,3,0)=MAX(V$4:V7),VLOOKUP(B8,C4:E23,3,0),B8))</f>
        <v>5</v>
      </c>
      <c r="W8" s="4" t="str">
        <f ca="1">IF($K$24=0,Calc2!$C$8,VLOOKUP(B8,C4:N23,4,0))</f>
        <v>1. FC Union Berlin</v>
      </c>
      <c r="X8" s="1">
        <v>0</v>
      </c>
      <c r="Y8" s="1">
        <v>0</v>
      </c>
    </row>
    <row r="9" spans="2:25" s="2" customFormat="1" x14ac:dyDescent="0.2">
      <c r="B9" s="1">
        <v>6</v>
      </c>
      <c r="C9" s="9">
        <f ca="1">RANK(D9,D4:D23,1)</f>
        <v>8</v>
      </c>
      <c r="D9" s="134">
        <f t="shared" ca="1" si="2"/>
        <v>8.0090000000000003</v>
      </c>
      <c r="E9" s="134">
        <f ca="1">RANK(T9,T4:T23,1)</f>
        <v>8</v>
      </c>
      <c r="F9" s="187" t="str">
        <f>Calc2!$C$9</f>
        <v>Borussia Dortmund</v>
      </c>
      <c r="G9" s="1">
        <f ca="1">SUMIFS(OFFSET(Calc2!$H$4,,,$F$26*B2,1),OFFSET(Calc2!$F$4,,,$F$26*B2,1),F9)+SUMIFS(OFFSET(Calc2!$I$4,,,$F$26*B2,1),OFFSET(Calc2!$G$4,,,$F$26*B2,1),F9)</f>
        <v>3</v>
      </c>
      <c r="H9" s="1">
        <f ca="1">SUMIFS(OFFSET(Calc2!$I$4,,,$F$26*B2,1),OFFSET(Calc2!$F$4,,,$F$26*B2,1),F9)+SUMIFS(OFFSET(Calc2!$H$4,,,$F$26*B2,1),OFFSET(Calc2!$G$4,,,$F$26*B2,1),F9)</f>
        <v>3</v>
      </c>
      <c r="I9" s="134">
        <f t="shared" ca="1" si="3"/>
        <v>0</v>
      </c>
      <c r="J9" s="12">
        <f ca="1">L9*Settings!$C$3+M9+O9</f>
        <v>1</v>
      </c>
      <c r="K9" s="1">
        <f t="shared" ca="1" si="4"/>
        <v>1</v>
      </c>
      <c r="L9" s="1">
        <f t="array" aca="1" ref="L9" ca="1">SUMPRODUCT((OFFSET(Calc2!$F$4,,,$F$26*B2,1)=F9)*(OFFSET(Calc2!$H$4,,,$F$26*B2,1)&gt;OFFSET(Calc2!$I$4,,,$F$26*B2,1)))+SUMPRODUCT((OFFSET(Calc2!$G$4,,,$F$26*B2,1)=F9)*(OFFSET(Calc2!$H$4,,,$F$26*B2,1)&lt;OFFSET(Calc2!$I$4,,,$F$26*B2,1)))</f>
        <v>0</v>
      </c>
      <c r="M9" s="1">
        <f t="array" aca="1" ref="M9" ca="1">SUMPRODUCT((OFFSET(Calc2!$F$4,,,$F$26*B2,2)=F9)*(OFFSET(Calc2!$H$4,,,$F$26*B2,1)=OFFSET(Calc2!$I$4,,,$F$26*B2,1))*(OFFSET(Calc2!$H$4,,,$F$26*B2,1)&lt;&gt;"")*(OFFSET(Calc2!$I$4,,,$F$26*B2,1)&lt;&gt;""))</f>
        <v>1</v>
      </c>
      <c r="N9" s="1">
        <f t="array" aca="1" ref="N9" ca="1">SUMPRODUCT((OFFSET(Calc2!$F$4,,,$F$26*B2,1)=F9)*(OFFSET(Calc2!$H$4,,,$F$26*B2,1)&lt;OFFSET(Calc2!$I$4,,,$F$26*B2,1)))+SUMPRODUCT((OFFSET(Calc2!$G$4,,,$F$26*B2,1)=F9)*(OFFSET(Calc2!$H$4,,,$F$26*B2,1)&gt;OFFSET(Calc2!$I$4,,,$F$26*B2,1)))</f>
        <v>0</v>
      </c>
      <c r="O9" s="132">
        <f ca="1">SUMPRODUCT((F9=OFFSET(Calc2!$F$4,,,$F$26*B2,1))*OFFSET(Calc2!$O$4,,,$F$26*B2,1))+SUMPRODUCT((F9=OFFSET(Calc2!$G$4,,,$F$26*B2,1))*OFFSET(Calc2!$P$4,,,$F$26*B2,1))</f>
        <v>0</v>
      </c>
      <c r="R9" s="13">
        <f t="shared" ca="1" si="1"/>
        <v>1500000003</v>
      </c>
      <c r="S9" s="134">
        <f>Tie_Break!$D$12</f>
        <v>0</v>
      </c>
      <c r="T9" s="9">
        <f ca="1">RANK(R9,R4:R23)+(9-S9)/10000+(F9="")*1000</f>
        <v>8.0008999999999997</v>
      </c>
      <c r="U9" s="134"/>
      <c r="V9" s="134">
        <f ca="1">IF($K$24=0,"",IF(VLOOKUP(B9,C4:E23,3,0)=MAX(V$4:V8),VLOOKUP(B9,C4:E23,3,0),B9))</f>
        <v>5</v>
      </c>
      <c r="W9" s="4" t="str">
        <f ca="1">IF($K$24=0,Calc2!$C$9,VLOOKUP(B9,C4:N23,4,0))</f>
        <v>TSG Hoffenheim</v>
      </c>
      <c r="X9" s="1">
        <v>0</v>
      </c>
      <c r="Y9" s="1">
        <v>0</v>
      </c>
    </row>
    <row r="10" spans="2:25" s="2" customFormat="1" x14ac:dyDescent="0.2">
      <c r="B10" s="1">
        <v>7</v>
      </c>
      <c r="C10" s="9">
        <f ca="1">RANK(D10,D4:D23,1)</f>
        <v>10</v>
      </c>
      <c r="D10" s="134">
        <f t="shared" ca="1" si="2"/>
        <v>10.01</v>
      </c>
      <c r="E10" s="134">
        <f ca="1">RANK(T10,T4:T23,1)</f>
        <v>10</v>
      </c>
      <c r="F10" s="187" t="str">
        <f>Calc2!$C$10</f>
        <v>Borussia Mönchengladbach</v>
      </c>
      <c r="G10" s="1">
        <f ca="1">SUMIFS(OFFSET(Calc2!$H$4,,,$F$26*B2,1),OFFSET(Calc2!$F$4,,,$F$26*B2,1),F10)+SUMIFS(OFFSET(Calc2!$I$4,,,$F$26*B2,1),OFFSET(Calc2!$G$4,,,$F$26*B2,1),F10)</f>
        <v>0</v>
      </c>
      <c r="H10" s="1">
        <f ca="1">SUMIFS(OFFSET(Calc2!$I$4,,,$F$26*B2,1),OFFSET(Calc2!$F$4,,,$F$26*B2,1),F10)+SUMIFS(OFFSET(Calc2!$H$4,,,$F$26*B2,1),OFFSET(Calc2!$G$4,,,$F$26*B2,1),F10)</f>
        <v>0</v>
      </c>
      <c r="I10" s="134">
        <f t="shared" ca="1" si="3"/>
        <v>0</v>
      </c>
      <c r="J10" s="12">
        <f ca="1">L10*Settings!$C$3+M10+O10</f>
        <v>1</v>
      </c>
      <c r="K10" s="1">
        <f t="shared" ca="1" si="4"/>
        <v>1</v>
      </c>
      <c r="L10" s="1">
        <f t="array" aca="1" ref="L10" ca="1">SUMPRODUCT((OFFSET(Calc2!$F$4,,,$F$26*B2,1)=F10)*(OFFSET(Calc2!$H$4,,,$F$26*B2,1)&gt;OFFSET(Calc2!$I$4,,,$F$26*B2,1)))+SUMPRODUCT((OFFSET(Calc2!$G$4,,,$F$26*B2,1)=F10)*(OFFSET(Calc2!$H$4,,,$F$26*B2,1)&lt;OFFSET(Calc2!$I$4,,,$F$26*B2,1)))</f>
        <v>0</v>
      </c>
      <c r="M10" s="1">
        <f t="array" aca="1" ref="M10" ca="1">SUMPRODUCT((OFFSET(Calc2!$F$4,,,$F$26*B2,2)=F10)*(OFFSET(Calc2!$H$4,,,$F$26*B2,1)=OFFSET(Calc2!$I$4,,,$F$26*B2,1))*(OFFSET(Calc2!$H$4,,,$F$26*B2,1)&lt;&gt;"")*(OFFSET(Calc2!$I$4,,,$F$26*B2,1)&lt;&gt;""))</f>
        <v>1</v>
      </c>
      <c r="N10" s="1">
        <f t="array" aca="1" ref="N10" ca="1">SUMPRODUCT((OFFSET(Calc2!$F$4,,,$F$26*B2,1)=F10)*(OFFSET(Calc2!$H$4,,,$F$26*B2,1)&lt;OFFSET(Calc2!$I$4,,,$F$26*B2,1)))+SUMPRODUCT((OFFSET(Calc2!$G$4,,,$F$26*B2,1)=F10)*(OFFSET(Calc2!$H$4,,,$F$26*B2,1)&gt;OFFSET(Calc2!$I$4,,,$F$26*B2,1)))</f>
        <v>0</v>
      </c>
      <c r="O10" s="132">
        <f ca="1">SUMPRODUCT((F10=OFFSET(Calc2!$F$4,,,$F$26*B2,1))*OFFSET(Calc2!$O$4,,,$F$26*B2,1))+SUMPRODUCT((F10=OFFSET(Calc2!$G$4,,,$F$26*B2,1))*OFFSET(Calc2!$P$4,,,$F$26*B2,1))</f>
        <v>0</v>
      </c>
      <c r="R10" s="13">
        <f t="shared" ca="1" si="1"/>
        <v>1500000000</v>
      </c>
      <c r="S10" s="134">
        <f>Tie_Break!$D$13</f>
        <v>0</v>
      </c>
      <c r="T10" s="9">
        <f ca="1">RANK(R10,R4:R23)+(9-S10)/10000+(F10="")*1000</f>
        <v>10.0009</v>
      </c>
      <c r="U10" s="134"/>
      <c r="V10" s="134">
        <f ca="1">IF($K$24=0,"",IF(VLOOKUP(B10,C4:E23,3,0)=MAX(V$4:V9),VLOOKUP(B10,C4:E23,3,0),B10))</f>
        <v>7</v>
      </c>
      <c r="W10" s="4" t="str">
        <f ca="1">IF($K$24=0,Calc2!$C$10,VLOOKUP(B10,C4:N23,4,0))</f>
        <v>1. FC Köln</v>
      </c>
      <c r="X10" s="1">
        <v>0</v>
      </c>
      <c r="Y10" s="1">
        <v>0</v>
      </c>
    </row>
    <row r="11" spans="2:25" s="2" customFormat="1" x14ac:dyDescent="0.2">
      <c r="B11" s="1">
        <v>8</v>
      </c>
      <c r="C11" s="9">
        <f ca="1">RANK(D11,D4:D23,1)</f>
        <v>2</v>
      </c>
      <c r="D11" s="134">
        <f t="shared" ca="1" si="2"/>
        <v>2.0110000000000001</v>
      </c>
      <c r="E11" s="134">
        <f ca="1">RANK(T11,T4:T23,1)</f>
        <v>2</v>
      </c>
      <c r="F11" s="187" t="str">
        <f>Calc2!$C$11</f>
        <v>Eintracht Frankfurt</v>
      </c>
      <c r="G11" s="1">
        <f ca="1">SUMIFS(OFFSET(Calc2!$H$4,,,$F$26*B2,1),OFFSET(Calc2!$F$4,,,$F$26*B2,1),F11)+SUMIFS(OFFSET(Calc2!$I$4,,,$F$26*B2,1),OFFSET(Calc2!$G$4,,,$F$26*B2,1),F11)</f>
        <v>4</v>
      </c>
      <c r="H11" s="1">
        <f ca="1">SUMIFS(OFFSET(Calc2!$I$4,,,$F$26*B2,1),OFFSET(Calc2!$F$4,,,$F$26*B2,1),F11)+SUMIFS(OFFSET(Calc2!$H$4,,,$F$26*B2,1),OFFSET(Calc2!$G$4,,,$F$26*B2,1),F11)</f>
        <v>1</v>
      </c>
      <c r="I11" s="134">
        <f t="shared" ca="1" si="3"/>
        <v>3</v>
      </c>
      <c r="J11" s="12">
        <f ca="1">L11*Settings!$C$3+M11+O11</f>
        <v>3</v>
      </c>
      <c r="K11" s="1">
        <f t="shared" ca="1" si="4"/>
        <v>1</v>
      </c>
      <c r="L11" s="1">
        <f t="array" aca="1" ref="L11" ca="1">SUMPRODUCT((OFFSET(Calc2!$F$4,,,$F$26*B2,1)=F11)*(OFFSET(Calc2!$H$4,,,$F$26*B2,1)&gt;OFFSET(Calc2!$I$4,,,$F$26*B2,1)))+SUMPRODUCT((OFFSET(Calc2!$G$4,,,$F$26*B2,1)=F11)*(OFFSET(Calc2!$H$4,,,$F$26*B2,1)&lt;OFFSET(Calc2!$I$4,,,$F$26*B2,1)))</f>
        <v>1</v>
      </c>
      <c r="M11" s="1">
        <f t="array" aca="1" ref="M11" ca="1">SUMPRODUCT((OFFSET(Calc2!$F$4,,,$F$26*B2,2)=F11)*(OFFSET(Calc2!$H$4,,,$F$26*B2,1)=OFFSET(Calc2!$I$4,,,$F$26*B2,1))*(OFFSET(Calc2!$H$4,,,$F$26*B2,1)&lt;&gt;"")*(OFFSET(Calc2!$I$4,,,$F$26*B2,1)&lt;&gt;""))</f>
        <v>0</v>
      </c>
      <c r="N11" s="1">
        <f t="array" aca="1" ref="N11" ca="1">SUMPRODUCT((OFFSET(Calc2!$F$4,,,$F$26*B2,1)=F11)*(OFFSET(Calc2!$H$4,,,$F$26*B2,1)&lt;OFFSET(Calc2!$I$4,,,$F$26*B2,1)))+SUMPRODUCT((OFFSET(Calc2!$G$4,,,$F$26*B2,1)=F11)*(OFFSET(Calc2!$H$4,,,$F$26*B2,1)&gt;OFFSET(Calc2!$I$4,,,$F$26*B2,1)))</f>
        <v>0</v>
      </c>
      <c r="O11" s="132">
        <f ca="1">SUMPRODUCT((F11=OFFSET(Calc2!$F$4,,,$F$26*B2,1))*OFFSET(Calc2!$O$4,,,$F$26*B2,1))+SUMPRODUCT((F11=OFFSET(Calc2!$G$4,,,$F$26*B2,1))*OFFSET(Calc2!$P$4,,,$F$26*B2,1))</f>
        <v>0</v>
      </c>
      <c r="R11" s="13">
        <f t="shared" ca="1" si="1"/>
        <v>3500003004</v>
      </c>
      <c r="S11" s="134">
        <f>Tie_Break!$D$14</f>
        <v>0</v>
      </c>
      <c r="T11" s="9">
        <f ca="1">RANK(R11,R4:R23)+(9-S11)/10000+(F11="")*1000</f>
        <v>2.0009000000000001</v>
      </c>
      <c r="U11" s="134"/>
      <c r="V11" s="134">
        <f ca="1">IF($K$24=0,"",IF(VLOOKUP(B11,C4:E23,3,0)=MAX(V$4:V10),VLOOKUP(B11,C4:E23,3,0),B11))</f>
        <v>8</v>
      </c>
      <c r="W11" s="4" t="str">
        <f ca="1">IF($K$24=0,Calc2!$C$11,VLOOKUP(B11,C4:N23,4,0))</f>
        <v>Borussia Dortmund</v>
      </c>
      <c r="X11" s="1">
        <v>0</v>
      </c>
      <c r="Y11" s="1">
        <v>0</v>
      </c>
    </row>
    <row r="12" spans="2:25" s="2" customFormat="1" x14ac:dyDescent="0.2">
      <c r="B12" s="1">
        <v>9</v>
      </c>
      <c r="C12" s="9">
        <f ca="1">RANK(D12,D4:D23,1)</f>
        <v>3</v>
      </c>
      <c r="D12" s="134">
        <f t="shared" ca="1" si="2"/>
        <v>3.012</v>
      </c>
      <c r="E12" s="134">
        <f ca="1">RANK(T12,T4:T23,1)</f>
        <v>3</v>
      </c>
      <c r="F12" s="187" t="str">
        <f>Calc2!$C$12</f>
        <v>FC Augsburg</v>
      </c>
      <c r="G12" s="1">
        <f ca="1">SUMIFS(OFFSET(Calc2!$H$4,,,$F$26*B2,1),OFFSET(Calc2!$F$4,,,$F$26*B2,1),F12)+SUMIFS(OFFSET(Calc2!$I$4,,,$F$26*B2,1),OFFSET(Calc2!$G$4,,,$F$26*B2,1),F12)</f>
        <v>3</v>
      </c>
      <c r="H12" s="1">
        <f ca="1">SUMIFS(OFFSET(Calc2!$I$4,,,$F$26*B2,1),OFFSET(Calc2!$F$4,,,$F$26*B2,1),F12)+SUMIFS(OFFSET(Calc2!$H$4,,,$F$26*B2,1),OFFSET(Calc2!$G$4,,,$F$26*B2,1),F12)</f>
        <v>1</v>
      </c>
      <c r="I12" s="134">
        <f t="shared" ca="1" si="3"/>
        <v>2</v>
      </c>
      <c r="J12" s="12">
        <f ca="1">L12*Settings!$C$3+M12+O12</f>
        <v>3</v>
      </c>
      <c r="K12" s="1">
        <f t="shared" ca="1" si="4"/>
        <v>1</v>
      </c>
      <c r="L12" s="1">
        <f t="array" aca="1" ref="L12" ca="1">SUMPRODUCT((OFFSET(Calc2!$F$4,,,$F$26*B2,1)=F12)*(OFFSET(Calc2!$H$4,,,$F$26*B2,1)&gt;OFFSET(Calc2!$I$4,,,$F$26*B2,1)))+SUMPRODUCT((OFFSET(Calc2!$G$4,,,$F$26*B2,1)=F12)*(OFFSET(Calc2!$H$4,,,$F$26*B2,1)&lt;OFFSET(Calc2!$I$4,,,$F$26*B2,1)))</f>
        <v>1</v>
      </c>
      <c r="M12" s="1">
        <f t="array" aca="1" ref="M12" ca="1">SUMPRODUCT((OFFSET(Calc2!$F$4,,,$F$26*B2,2)=F12)*(OFFSET(Calc2!$H$4,,,$F$26*B2,1)=OFFSET(Calc2!$I$4,,,$F$26*B2,1))*(OFFSET(Calc2!$H$4,,,$F$26*B2,1)&lt;&gt;"")*(OFFSET(Calc2!$I$4,,,$F$26*B2,1)&lt;&gt;""))</f>
        <v>0</v>
      </c>
      <c r="N12" s="1">
        <f t="array" aca="1" ref="N12" ca="1">SUMPRODUCT((OFFSET(Calc2!$F$4,,,$F$26*B2,1)=F12)*(OFFSET(Calc2!$H$4,,,$F$26*B2,1)&lt;OFFSET(Calc2!$I$4,,,$F$26*B2,1)))+SUMPRODUCT((OFFSET(Calc2!$G$4,,,$F$26*B2,1)=F12)*(OFFSET(Calc2!$H$4,,,$F$26*B2,1)&gt;OFFSET(Calc2!$I$4,,,$F$26*B2,1)))</f>
        <v>0</v>
      </c>
      <c r="O12" s="132">
        <f ca="1">SUMPRODUCT((F12=OFFSET(Calc2!$F$4,,,$F$26*B2,1))*OFFSET(Calc2!$O$4,,,$F$26*B2,1))+SUMPRODUCT((F12=OFFSET(Calc2!$G$4,,,$F$26*B2,1))*OFFSET(Calc2!$P$4,,,$F$26*B2,1))</f>
        <v>0</v>
      </c>
      <c r="R12" s="13">
        <f t="shared" ca="1" si="1"/>
        <v>3500002003</v>
      </c>
      <c r="S12" s="134">
        <f>Tie_Break!$D$15</f>
        <v>0</v>
      </c>
      <c r="T12" s="9">
        <f ca="1">RANK(R12,R4:R23)+(9-S12)/10000+(F12="")*1000</f>
        <v>3.0009000000000001</v>
      </c>
      <c r="U12" s="134"/>
      <c r="V12" s="134">
        <f ca="1">IF($K$24=0,"",IF(VLOOKUP(B12,C4:E23,3,0)=MAX(V$4:V11),VLOOKUP(B12,C4:E23,3,0),B12))</f>
        <v>8</v>
      </c>
      <c r="W12" s="4" t="str">
        <f ca="1">IF($K$24=0,Calc2!$C$12,VLOOKUP(B12,C4:N23,4,0))</f>
        <v>FC St. Pauli</v>
      </c>
      <c r="X12" s="1">
        <v>0</v>
      </c>
      <c r="Y12" s="1">
        <v>0</v>
      </c>
    </row>
    <row r="13" spans="2:25" s="2" customFormat="1" x14ac:dyDescent="0.2">
      <c r="B13" s="1">
        <v>10</v>
      </c>
      <c r="C13" s="9">
        <f ca="1">RANK(D13,D4:D23,1)</f>
        <v>1</v>
      </c>
      <c r="D13" s="134">
        <f t="shared" ca="1" si="2"/>
        <v>1.0129999999999999</v>
      </c>
      <c r="E13" s="134">
        <f ca="1">RANK(T13,T4:T23,1)</f>
        <v>1</v>
      </c>
      <c r="F13" s="187" t="str">
        <f>Calc2!$C$13</f>
        <v>FC Bayern München</v>
      </c>
      <c r="G13" s="1">
        <f ca="1">SUMIFS(OFFSET(Calc2!$H$4,,,$F$26*B2,1),OFFSET(Calc2!$F$4,,,$F$26*B2,1),F13)+SUMIFS(OFFSET(Calc2!$I$4,,,$F$26*B2,1),OFFSET(Calc2!$G$4,,,$F$26*B2,1),F13)</f>
        <v>6</v>
      </c>
      <c r="H13" s="1">
        <f ca="1">SUMIFS(OFFSET(Calc2!$I$4,,,$F$26*B2,1),OFFSET(Calc2!$F$4,,,$F$26*B2,1),F13)+SUMIFS(OFFSET(Calc2!$H$4,,,$F$26*B2,1),OFFSET(Calc2!$G$4,,,$F$26*B2,1),F13)</f>
        <v>0</v>
      </c>
      <c r="I13" s="134">
        <f t="shared" ca="1" si="3"/>
        <v>6</v>
      </c>
      <c r="J13" s="12">
        <f ca="1">L13*Settings!$C$3+M13+O13</f>
        <v>3</v>
      </c>
      <c r="K13" s="1">
        <f t="shared" ca="1" si="4"/>
        <v>1</v>
      </c>
      <c r="L13" s="1">
        <f t="array" aca="1" ref="L13" ca="1">SUMPRODUCT((OFFSET(Calc2!$F$4,,,$F$26*B2,1)=F13)*(OFFSET(Calc2!$H$4,,,$F$26*B2,1)&gt;OFFSET(Calc2!$I$4,,,$F$26*B2,1)))+SUMPRODUCT((OFFSET(Calc2!$G$4,,,$F$26*B2,1)=F13)*(OFFSET(Calc2!$H$4,,,$F$26*B2,1)&lt;OFFSET(Calc2!$I$4,,,$F$26*B2,1)))</f>
        <v>1</v>
      </c>
      <c r="M13" s="1">
        <f t="array" aca="1" ref="M13" ca="1">SUMPRODUCT((OFFSET(Calc2!$F$4,,,$F$26*B2,2)=F13)*(OFFSET(Calc2!$H$4,,,$F$26*B2,1)=OFFSET(Calc2!$I$4,,,$F$26*B2,1))*(OFFSET(Calc2!$H$4,,,$F$26*B2,1)&lt;&gt;"")*(OFFSET(Calc2!$I$4,,,$F$26*B2,1)&lt;&gt;""))</f>
        <v>0</v>
      </c>
      <c r="N13" s="1">
        <f t="array" aca="1" ref="N13" ca="1">SUMPRODUCT((OFFSET(Calc2!$F$4,,,$F$26*B2,1)=F13)*(OFFSET(Calc2!$H$4,,,$F$26*B2,1)&lt;OFFSET(Calc2!$I$4,,,$F$26*B2,1)))+SUMPRODUCT((OFFSET(Calc2!$G$4,,,$F$26*B2,1)=F13)*(OFFSET(Calc2!$H$4,,,$F$26*B2,1)&gt;OFFSET(Calc2!$I$4,,,$F$26*B2,1)))</f>
        <v>0</v>
      </c>
      <c r="O13" s="132">
        <f ca="1">SUMPRODUCT((F13=OFFSET(Calc2!$F$4,,,$F$26*B2,1))*OFFSET(Calc2!$O$4,,,$F$26*B2,1))+SUMPRODUCT((F13=OFFSET(Calc2!$G$4,,,$F$26*B2,1))*OFFSET(Calc2!$P$4,,,$F$26*B2,1))</f>
        <v>0</v>
      </c>
      <c r="R13" s="13">
        <f t="shared" ca="1" si="1"/>
        <v>3500006006</v>
      </c>
      <c r="S13" s="134">
        <f>Tie_Break!$D$16</f>
        <v>0</v>
      </c>
      <c r="T13" s="9">
        <f ca="1">RANK(R13,R4:R23)+(9-S13)/10000+(F13="")*1000</f>
        <v>1.0008999999999999</v>
      </c>
      <c r="V13" s="134">
        <f ca="1">IF($K$24=0,"",IF(VLOOKUP(B13,C4:E23,3,0)=MAX(V$4:V12),VLOOKUP(B13,C4:E23,3,0),B13))</f>
        <v>10</v>
      </c>
      <c r="W13" s="4" t="str">
        <f ca="1">IF($K$24=0,Calc2!$C$13,VLOOKUP(B13,C4:N23,4,0))</f>
        <v>Borussia Mönchengladbach</v>
      </c>
      <c r="X13" s="1">
        <v>0</v>
      </c>
      <c r="Y13" s="1">
        <v>0</v>
      </c>
    </row>
    <row r="14" spans="2:25" s="2" customFormat="1" x14ac:dyDescent="0.2">
      <c r="B14" s="1">
        <v>11</v>
      </c>
      <c r="C14" s="9">
        <f ca="1">RANK(D14,D4:D23,1)</f>
        <v>9</v>
      </c>
      <c r="D14" s="134">
        <f t="shared" ca="1" si="2"/>
        <v>8.0139999999999993</v>
      </c>
      <c r="E14" s="134">
        <f ca="1">RANK(T14,T4:T23,1)</f>
        <v>8</v>
      </c>
      <c r="F14" s="187" t="str">
        <f>Calc2!$C$14</f>
        <v>FC St. Pauli</v>
      </c>
      <c r="G14" s="1">
        <f ca="1">SUMIFS(OFFSET(Calc2!$H$4,,,$F$26*B2,1),OFFSET(Calc2!$F$4,,,$F$26*B2,1),F14)+SUMIFS(OFFSET(Calc2!$I$4,,,$F$26*B2,1),OFFSET(Calc2!$G$4,,,$F$26*B2,1),F14)</f>
        <v>3</v>
      </c>
      <c r="H14" s="1">
        <f ca="1">SUMIFS(OFFSET(Calc2!$I$4,,,$F$26*B2,1),OFFSET(Calc2!$F$4,,,$F$26*B2,1),F14)+SUMIFS(OFFSET(Calc2!$H$4,,,$F$26*B2,1),OFFSET(Calc2!$G$4,,,$F$26*B2,1),F14)</f>
        <v>3</v>
      </c>
      <c r="I14" s="134">
        <f t="shared" ca="1" si="3"/>
        <v>0</v>
      </c>
      <c r="J14" s="12">
        <f ca="1">L14*Settings!$C$3+M14+O14</f>
        <v>1</v>
      </c>
      <c r="K14" s="1">
        <f t="shared" ca="1" si="4"/>
        <v>1</v>
      </c>
      <c r="L14" s="1">
        <f t="array" aca="1" ref="L14" ca="1">SUMPRODUCT((OFFSET(Calc2!$F$4,,,$F$26*B2,1)=F14)*(OFFSET(Calc2!$H$4,,,$F$26*B2,1)&gt;OFFSET(Calc2!$I$4,,,$F$26*B2,1)))+SUMPRODUCT((OFFSET(Calc2!$G$4,,,$F$26*B2,1)=F14)*(OFFSET(Calc2!$H$4,,,$F$26*B2,1)&lt;OFFSET(Calc2!$I$4,,,$F$26*B2,1)))</f>
        <v>0</v>
      </c>
      <c r="M14" s="1">
        <f t="array" aca="1" ref="M14" ca="1">SUMPRODUCT((OFFSET(Calc2!$F$4,,,$F$26*B2,2)=F14)*(OFFSET(Calc2!$H$4,,,$F$26*B2,1)=OFFSET(Calc2!$I$4,,,$F$26*B2,1))*(OFFSET(Calc2!$H$4,,,$F$26*B2,1)&lt;&gt;"")*(OFFSET(Calc2!$I$4,,,$F$26*B2,1)&lt;&gt;""))</f>
        <v>1</v>
      </c>
      <c r="N14" s="1">
        <f t="array" aca="1" ref="N14" ca="1">SUMPRODUCT((OFFSET(Calc2!$F$4,,,$F$26*B2,1)=F14)*(OFFSET(Calc2!$H$4,,,$F$26*B2,1)&lt;OFFSET(Calc2!$I$4,,,$F$26*B2,1)))+SUMPRODUCT((OFFSET(Calc2!$G$4,,,$F$26*B2,1)=F14)*(OFFSET(Calc2!$H$4,,,$F$26*B2,1)&gt;OFFSET(Calc2!$I$4,,,$F$26*B2,1)))</f>
        <v>0</v>
      </c>
      <c r="O14" s="132">
        <f ca="1">SUMPRODUCT((F14=OFFSET(Calc2!$F$4,,,$F$26*B2,1))*OFFSET(Calc2!$O$4,,,$F$26*B2,1))+SUMPRODUCT((F14=OFFSET(Calc2!$G$4,,,$F$26*B2,1))*OFFSET(Calc2!$P$4,,,$F$26*B2,1))</f>
        <v>0</v>
      </c>
      <c r="R14" s="13">
        <f t="shared" ca="1" si="1"/>
        <v>1500000003</v>
      </c>
      <c r="S14" s="134">
        <f>Tie_Break!$D$17</f>
        <v>0</v>
      </c>
      <c r="T14" s="9">
        <f ca="1">RANK(R14,R4:R23)+(9-S14)/10000+(F14="")*1000</f>
        <v>8.0008999999999997</v>
      </c>
      <c r="V14" s="134">
        <f ca="1">IF($K$24=0,"",IF(VLOOKUP(B14,C4:E23,3,0)=MAX(V$4:V13),VLOOKUP(B14,C4:E23,3,0),B14))</f>
        <v>10</v>
      </c>
      <c r="W14" s="4" t="str">
        <f ca="1">IF($K$24=0,Calc2!$C$14,VLOOKUP(B14,C4:N23,4,0))</f>
        <v>Hamburger SV</v>
      </c>
      <c r="X14" s="1">
        <v>0</v>
      </c>
      <c r="Y14" s="1">
        <v>0</v>
      </c>
    </row>
    <row r="15" spans="2:25" s="2" customFormat="1" x14ac:dyDescent="0.2">
      <c r="B15" s="1">
        <v>12</v>
      </c>
      <c r="C15" s="9">
        <f ca="1">RANK(D15,D4:D23,1)</f>
        <v>11</v>
      </c>
      <c r="D15" s="134">
        <f t="shared" ca="1" si="2"/>
        <v>10.015000000000001</v>
      </c>
      <c r="E15" s="134">
        <f ca="1">RANK(T15,T4:T23,1)</f>
        <v>10</v>
      </c>
      <c r="F15" s="187" t="str">
        <f>Calc2!$C$15</f>
        <v>Hamburger SV</v>
      </c>
      <c r="G15" s="1">
        <f ca="1">SUMIFS(OFFSET(Calc2!$H$4,,,$F$26*B2,1),OFFSET(Calc2!$F$4,,,$F$26*B2,1),F15)+SUMIFS(OFFSET(Calc2!$I$4,,,$F$26*B2,1),OFFSET(Calc2!$G$4,,,$F$26*B2,1),F15)</f>
        <v>0</v>
      </c>
      <c r="H15" s="1">
        <f ca="1">SUMIFS(OFFSET(Calc2!$I$4,,,$F$26*B2,1),OFFSET(Calc2!$F$4,,,$F$26*B2,1),F15)+SUMIFS(OFFSET(Calc2!$H$4,,,$F$26*B2,1),OFFSET(Calc2!$G$4,,,$F$26*B2,1),F15)</f>
        <v>0</v>
      </c>
      <c r="I15" s="134">
        <f t="shared" ca="1" si="3"/>
        <v>0</v>
      </c>
      <c r="J15" s="12">
        <f ca="1">L15*Settings!$C$3+M15+O15</f>
        <v>1</v>
      </c>
      <c r="K15" s="1">
        <f t="shared" ca="1" si="4"/>
        <v>1</v>
      </c>
      <c r="L15" s="1">
        <f t="array" aca="1" ref="L15" ca="1">SUMPRODUCT((OFFSET(Calc2!$F$4,,,$F$26*B2,1)=F15)*(OFFSET(Calc2!$H$4,,,$F$26*B2,1)&gt;OFFSET(Calc2!$I$4,,,$F$26*B2,1)))+SUMPRODUCT((OFFSET(Calc2!$G$4,,,$F$26*B2,1)=F15)*(OFFSET(Calc2!$H$4,,,$F$26*B2,1)&lt;OFFSET(Calc2!$I$4,,,$F$26*B2,1)))</f>
        <v>0</v>
      </c>
      <c r="M15" s="1">
        <f t="array" aca="1" ref="M15" ca="1">SUMPRODUCT((OFFSET(Calc2!$F$4,,,$F$26*B2,2)=F15)*(OFFSET(Calc2!$H$4,,,$F$26*B2,1)=OFFSET(Calc2!$I$4,,,$F$26*B2,1))*(OFFSET(Calc2!$H$4,,,$F$26*B2,1)&lt;&gt;"")*(OFFSET(Calc2!$I$4,,,$F$26*B2,1)&lt;&gt;""))</f>
        <v>1</v>
      </c>
      <c r="N15" s="1">
        <f t="array" aca="1" ref="N15" ca="1">SUMPRODUCT((OFFSET(Calc2!$F$4,,,$F$26*B2,1)=F15)*(OFFSET(Calc2!$H$4,,,$F$26*B2,1)&lt;OFFSET(Calc2!$I$4,,,$F$26*B2,1)))+SUMPRODUCT((OFFSET(Calc2!$G$4,,,$F$26*B2,1)=F15)*(OFFSET(Calc2!$H$4,,,$F$26*B2,1)&gt;OFFSET(Calc2!$I$4,,,$F$26*B2,1)))</f>
        <v>0</v>
      </c>
      <c r="O15" s="132">
        <f ca="1">SUMPRODUCT((F15=OFFSET(Calc2!$F$4,,,$F$26*B2,1))*OFFSET(Calc2!$O$4,,,$F$26*B2,1))+SUMPRODUCT((F15=OFFSET(Calc2!$G$4,,,$F$26*B2,1))*OFFSET(Calc2!$P$4,,,$F$26*B2,1))</f>
        <v>0</v>
      </c>
      <c r="R15" s="13">
        <f t="shared" ca="1" si="1"/>
        <v>1500000000</v>
      </c>
      <c r="S15" s="134">
        <f>Tie_Break!$D$18</f>
        <v>0</v>
      </c>
      <c r="T15" s="9">
        <f ca="1">RANK(R15,R4:R23)+(9-S15)/10000+(F15="")*1000</f>
        <v>10.0009</v>
      </c>
      <c r="V15" s="134">
        <f ca="1">IF($K$24=0,"",IF(VLOOKUP(B15,C4:E23,3,0)=MAX(V$4:V14),VLOOKUP(B15,C4:E23,3,0),B15))</f>
        <v>12</v>
      </c>
      <c r="W15" s="4" t="str">
        <f ca="1">IF($K$24=0,Calc2!$C$15,VLOOKUP(B15,C4:N23,4,0))</f>
        <v>Bayer 04 Leverkusen</v>
      </c>
      <c r="X15" s="1">
        <v>0</v>
      </c>
      <c r="Y15" s="1">
        <v>0</v>
      </c>
    </row>
    <row r="16" spans="2:25" s="2" customFormat="1" x14ac:dyDescent="0.2">
      <c r="B16" s="1">
        <v>13</v>
      </c>
      <c r="C16" s="9">
        <f ca="1">RANK(D16,D4:D23,1)</f>
        <v>18</v>
      </c>
      <c r="D16" s="134">
        <f t="shared" ca="1" si="2"/>
        <v>18.015999999999998</v>
      </c>
      <c r="E16" s="134">
        <f ca="1">RANK(T16,T4:T23,1)</f>
        <v>18</v>
      </c>
      <c r="F16" s="187" t="str">
        <f>Calc2!$C$16</f>
        <v>RB Leipzig</v>
      </c>
      <c r="G16" s="1">
        <f ca="1">SUMIFS(OFFSET(Calc2!$H$4,,,$F$26*B2,1),OFFSET(Calc2!$F$4,,,$F$26*B2,1),F16)+SUMIFS(OFFSET(Calc2!$I$4,,,$F$26*B2,1),OFFSET(Calc2!$G$4,,,$F$26*B2,1),F16)</f>
        <v>0</v>
      </c>
      <c r="H16" s="1">
        <f ca="1">SUMIFS(OFFSET(Calc2!$I$4,,,$F$26*B2,1),OFFSET(Calc2!$F$4,,,$F$26*B2,1),F16)+SUMIFS(OFFSET(Calc2!$H$4,,,$F$26*B2,1),OFFSET(Calc2!$G$4,,,$F$26*B2,1),F16)</f>
        <v>6</v>
      </c>
      <c r="I16" s="134">
        <f t="shared" ca="1" si="3"/>
        <v>-6</v>
      </c>
      <c r="J16" s="12">
        <f ca="1">L16*Settings!$C$3+M16+O16</f>
        <v>0</v>
      </c>
      <c r="K16" s="1">
        <f t="shared" ca="1" si="4"/>
        <v>1</v>
      </c>
      <c r="L16" s="1">
        <f t="array" aca="1" ref="L16" ca="1">SUMPRODUCT((OFFSET(Calc2!$F$4,,,$F$26*B2,1)=F16)*(OFFSET(Calc2!$H$4,,,$F$26*B2,1)&gt;OFFSET(Calc2!$I$4,,,$F$26*B2,1)))+SUMPRODUCT((OFFSET(Calc2!$G$4,,,$F$26*B2,1)=F16)*(OFFSET(Calc2!$H$4,,,$F$26*B2,1)&lt;OFFSET(Calc2!$I$4,,,$F$26*B2,1)))</f>
        <v>0</v>
      </c>
      <c r="M16" s="1">
        <f t="array" aca="1" ref="M16" ca="1">SUMPRODUCT((OFFSET(Calc2!$F$4,,,$F$26*B2,2)=F16)*(OFFSET(Calc2!$H$4,,,$F$26*B2,1)=OFFSET(Calc2!$I$4,,,$F$26*B2,1))*(OFFSET(Calc2!$H$4,,,$F$26*B2,1)&lt;&gt;"")*(OFFSET(Calc2!$I$4,,,$F$26*B2,1)&lt;&gt;""))</f>
        <v>0</v>
      </c>
      <c r="N16" s="1">
        <f t="array" aca="1" ref="N16" ca="1">SUMPRODUCT((OFFSET(Calc2!$F$4,,,$F$26*B2,1)=F16)*(OFFSET(Calc2!$H$4,,,$F$26*B2,1)&lt;OFFSET(Calc2!$I$4,,,$F$26*B2,1)))+SUMPRODUCT((OFFSET(Calc2!$G$4,,,$F$26*B2,1)=F16)*(OFFSET(Calc2!$H$4,,,$F$26*B2,1)&gt;OFFSET(Calc2!$I$4,,,$F$26*B2,1)))</f>
        <v>1</v>
      </c>
      <c r="O16" s="132">
        <f ca="1">SUMPRODUCT((F16=OFFSET(Calc2!$F$4,,,$F$26*B2,1))*OFFSET(Calc2!$O$4,,,$F$26*B2,1))+SUMPRODUCT((F16=OFFSET(Calc2!$G$4,,,$F$26*B2,1))*OFFSET(Calc2!$P$4,,,$F$26*B2,1))</f>
        <v>0</v>
      </c>
      <c r="R16" s="13">
        <f t="shared" ca="1" si="1"/>
        <v>499994000</v>
      </c>
      <c r="S16" s="134">
        <f>Tie_Break!$D$19</f>
        <v>0</v>
      </c>
      <c r="T16" s="9">
        <f ca="1">RANK(R16,R4:R23)+(9-S16)/10000+(F16="")*1000</f>
        <v>20.000900000000001</v>
      </c>
      <c r="U16" s="1"/>
      <c r="V16" s="134">
        <f ca="1">IF($K$24=0,"",IF(VLOOKUP(B16,C4:E23,3,0)=MAX(V$4:V15),VLOOKUP(B16,C4:E23,3,0),B16))</f>
        <v>12</v>
      </c>
      <c r="W16" s="4" t="str">
        <f ca="1">IF($K$24=0,Calc2!$C$16,VLOOKUP(B16,C4:N23,4,0))</f>
        <v>VfB Stuttgart</v>
      </c>
      <c r="X16" s="1">
        <v>0</v>
      </c>
      <c r="Y16" s="1">
        <v>0</v>
      </c>
    </row>
    <row r="17" spans="2:25" s="2" customFormat="1" x14ac:dyDescent="0.2">
      <c r="B17" s="1">
        <v>14</v>
      </c>
      <c r="C17" s="9">
        <f ca="1">RANK(D17,D4:D23,1)</f>
        <v>16</v>
      </c>
      <c r="D17" s="134">
        <f t="shared" ca="1" si="2"/>
        <v>15.016999999999999</v>
      </c>
      <c r="E17" s="134">
        <f ca="1">RANK(T17,T4:T23,1)</f>
        <v>15</v>
      </c>
      <c r="F17" s="187" t="str">
        <f>Calc2!$C$17</f>
        <v>SC Freiburg</v>
      </c>
      <c r="G17" s="1">
        <f ca="1">SUMIFS(OFFSET(Calc2!$H$4,,,$F$26*B2,1),OFFSET(Calc2!$F$4,,,$F$26*B2,1),F17)+SUMIFS(OFFSET(Calc2!$I$4,,,$F$26*B2,1),OFFSET(Calc2!$G$4,,,$F$26*B2,1),F17)</f>
        <v>1</v>
      </c>
      <c r="H17" s="1">
        <f ca="1">SUMIFS(OFFSET(Calc2!$I$4,,,$F$26*B2,1),OFFSET(Calc2!$F$4,,,$F$26*B2,1),F17)+SUMIFS(OFFSET(Calc2!$H$4,,,$F$26*B2,1),OFFSET(Calc2!$G$4,,,$F$26*B2,1),F17)</f>
        <v>3</v>
      </c>
      <c r="I17" s="134">
        <f t="shared" ca="1" si="3"/>
        <v>-2</v>
      </c>
      <c r="J17" s="12">
        <f ca="1">L17*Settings!$C$3+M17+O17</f>
        <v>0</v>
      </c>
      <c r="K17" s="1">
        <f t="shared" ca="1" si="4"/>
        <v>1</v>
      </c>
      <c r="L17" s="1">
        <f t="array" aca="1" ref="L17" ca="1">SUMPRODUCT((OFFSET(Calc2!$F$4,,,$F$26*B2,1)=F17)*(OFFSET(Calc2!$H$4,,,$F$26*B2,1)&gt;OFFSET(Calc2!$I$4,,,$F$26*B2,1)))+SUMPRODUCT((OFFSET(Calc2!$G$4,,,$F$26*B2,1)=F17)*(OFFSET(Calc2!$H$4,,,$F$26*B2,1)&lt;OFFSET(Calc2!$I$4,,,$F$26*B2,1)))</f>
        <v>0</v>
      </c>
      <c r="M17" s="1">
        <f t="array" aca="1" ref="M17" ca="1">SUMPRODUCT((OFFSET(Calc2!$F$4,,,$F$26*B2,2)=F17)*(OFFSET(Calc2!$H$4,,,$F$26*B2,1)=OFFSET(Calc2!$I$4,,,$F$26*B2,1))*(OFFSET(Calc2!$H$4,,,$F$26*B2,1)&lt;&gt;"")*(OFFSET(Calc2!$I$4,,,$F$26*B2,1)&lt;&gt;""))</f>
        <v>0</v>
      </c>
      <c r="N17" s="1">
        <f t="array" aca="1" ref="N17" ca="1">SUMPRODUCT((OFFSET(Calc2!$F$4,,,$F$26*B2,1)=F17)*(OFFSET(Calc2!$H$4,,,$F$26*B2,1)&lt;OFFSET(Calc2!$I$4,,,$F$26*B2,1)))+SUMPRODUCT((OFFSET(Calc2!$G$4,,,$F$26*B2,1)=F17)*(OFFSET(Calc2!$H$4,,,$F$26*B2,1)&gt;OFFSET(Calc2!$I$4,,,$F$26*B2,1)))</f>
        <v>1</v>
      </c>
      <c r="O17" s="132">
        <f ca="1">SUMPRODUCT((F17=OFFSET(Calc2!$F$4,,,$F$26*B2,1))*OFFSET(Calc2!$O$4,,,$F$26*B2,1))+SUMPRODUCT((F17=OFFSET(Calc2!$G$4,,,$F$26*B2,1))*OFFSET(Calc2!$P$4,,,$F$26*B2,1))</f>
        <v>0</v>
      </c>
      <c r="R17" s="13">
        <f t="shared" ca="1" si="1"/>
        <v>499998001</v>
      </c>
      <c r="S17" s="134">
        <f>Tie_Break!$D$20</f>
        <v>0</v>
      </c>
      <c r="T17" s="9">
        <f ca="1">RANK(R17,R4:R23)+(9-S17)/10000+(F17="")*1000</f>
        <v>17.000900000000001</v>
      </c>
      <c r="V17" s="134">
        <f ca="1">IF($K$24=0,"",IF(VLOOKUP(B17,C4:E23,3,0)=MAX(V$4:V16),VLOOKUP(B17,C4:E23,3,0),B17))</f>
        <v>14</v>
      </c>
      <c r="W17" s="4" t="str">
        <f ca="1">IF($K$24=0,Calc2!$C$17,VLOOKUP(B17,C4:N23,4,0))</f>
        <v>1. FSV Mainz 05</v>
      </c>
      <c r="X17" s="1">
        <v>0</v>
      </c>
      <c r="Y17" s="1">
        <v>0</v>
      </c>
    </row>
    <row r="18" spans="2:25" s="2" customFormat="1" x14ac:dyDescent="0.2">
      <c r="B18" s="1">
        <v>15</v>
      </c>
      <c r="C18" s="9">
        <f ca="1">RANK(D18,D4:D23,1)</f>
        <v>17</v>
      </c>
      <c r="D18" s="134">
        <f t="shared" ca="1" si="2"/>
        <v>17.018000000000001</v>
      </c>
      <c r="E18" s="134">
        <f ca="1">RANK(T18,T4:T23,1)</f>
        <v>17</v>
      </c>
      <c r="F18" s="187" t="str">
        <f>Calc2!$C$18</f>
        <v>SV Werder Bremen</v>
      </c>
      <c r="G18" s="1">
        <f ca="1">SUMIFS(OFFSET(Calc2!$H$4,,,$F$26*B2,1),OFFSET(Calc2!$F$4,,,$F$26*B2,1),F18)+SUMIFS(OFFSET(Calc2!$I$4,,,$F$26*B2,1),OFFSET(Calc2!$G$4,,,$F$26*B2,1),F18)</f>
        <v>1</v>
      </c>
      <c r="H18" s="1">
        <f ca="1">SUMIFS(OFFSET(Calc2!$I$4,,,$F$26*B2,1),OFFSET(Calc2!$F$4,,,$F$26*B2,1),F18)+SUMIFS(OFFSET(Calc2!$H$4,,,$F$26*B2,1),OFFSET(Calc2!$G$4,,,$F$26*B2,1),F18)</f>
        <v>4</v>
      </c>
      <c r="I18" s="134">
        <f t="shared" ca="1" si="3"/>
        <v>-3</v>
      </c>
      <c r="J18" s="12">
        <f ca="1">L18*Settings!$C$3+M18+O18</f>
        <v>0</v>
      </c>
      <c r="K18" s="1">
        <f t="shared" ca="1" si="4"/>
        <v>1</v>
      </c>
      <c r="L18" s="1">
        <f t="array" aca="1" ref="L18" ca="1">SUMPRODUCT((OFFSET(Calc2!$F$4,,,$F$26*B2,1)=F18)*(OFFSET(Calc2!$H$4,,,$F$26*B2,1)&gt;OFFSET(Calc2!$I$4,,,$F$26*B2,1)))+SUMPRODUCT((OFFSET(Calc2!$G$4,,,$F$26*B2,1)=F18)*(OFFSET(Calc2!$H$4,,,$F$26*B2,1)&lt;OFFSET(Calc2!$I$4,,,$F$26*B2,1)))</f>
        <v>0</v>
      </c>
      <c r="M18" s="1">
        <f t="array" aca="1" ref="M18" ca="1">SUMPRODUCT((OFFSET(Calc2!$F$4,,,$F$26*B2,2)=F18)*(OFFSET(Calc2!$H$4,,,$F$26*B2,1)=OFFSET(Calc2!$I$4,,,$F$26*B2,1))*(OFFSET(Calc2!$H$4,,,$F$26*B2,1)&lt;&gt;"")*(OFFSET(Calc2!$I$4,,,$F$26*B2,1)&lt;&gt;""))</f>
        <v>0</v>
      </c>
      <c r="N18" s="1">
        <f t="array" aca="1" ref="N18" ca="1">SUMPRODUCT((OFFSET(Calc2!$F$4,,,$F$26*B2,1)=F18)*(OFFSET(Calc2!$H$4,,,$F$26*B2,1)&lt;OFFSET(Calc2!$I$4,,,$F$26*B2,1)))+SUMPRODUCT((OFFSET(Calc2!$G$4,,,$F$26*B2,1)=F18)*(OFFSET(Calc2!$H$4,,,$F$26*B2,1)&gt;OFFSET(Calc2!$I$4,,,$F$26*B2,1)))</f>
        <v>1</v>
      </c>
      <c r="O18" s="132">
        <f ca="1">SUMPRODUCT((F18=OFFSET(Calc2!$F$4,,,$F$26*B2,1))*OFFSET(Calc2!$O$4,,,$F$26*B2,1))+SUMPRODUCT((F18=OFFSET(Calc2!$G$4,,,$F$26*B2,1))*OFFSET(Calc2!$P$4,,,$F$26*B2,1))</f>
        <v>0</v>
      </c>
      <c r="R18" s="13">
        <f t="shared" ca="1" si="1"/>
        <v>499997001</v>
      </c>
      <c r="S18" s="134">
        <f>Tie_Break!$D$21</f>
        <v>0</v>
      </c>
      <c r="T18" s="9">
        <f ca="1">RANK(R18,R4:R23)+(9-S18)/10000+(F18="")*1000</f>
        <v>19.000900000000001</v>
      </c>
      <c r="V18" s="134">
        <f ca="1">IF($K$24=0,"",IF(VLOOKUP(B18,C4:E23,3,0)=MAX(V$4:V17),VLOOKUP(B18,C4:E23,3,0),B18))</f>
        <v>15</v>
      </c>
      <c r="W18" s="4" t="str">
        <f ca="1">IF($K$24=0,Calc2!$C$18,VLOOKUP(B18,C4:N23,4,0))</f>
        <v>1. FC Heidenheim 1846</v>
      </c>
      <c r="X18" s="1">
        <v>0</v>
      </c>
      <c r="Y18" s="1">
        <v>0</v>
      </c>
    </row>
    <row r="19" spans="2:25" s="2" customFormat="1" x14ac:dyDescent="0.2">
      <c r="B19" s="1">
        <v>16</v>
      </c>
      <c r="C19" s="9">
        <f ca="1">RANK(D19,D4:D23,1)</f>
        <v>6</v>
      </c>
      <c r="D19" s="134">
        <f t="shared" ca="1" si="2"/>
        <v>5.0190000000000001</v>
      </c>
      <c r="E19" s="134">
        <f ca="1">RANK(T19,T4:T23,1)</f>
        <v>5</v>
      </c>
      <c r="F19" s="187" t="str">
        <f>Calc2!$C$19</f>
        <v>TSG Hoffenheim</v>
      </c>
      <c r="G19" s="1">
        <f ca="1">SUMIFS(OFFSET(Calc2!$H$4,,,$F$26*B2,1),OFFSET(Calc2!$F$4,,,$F$26*B2,1),F19)+SUMIFS(OFFSET(Calc2!$I$4,,,$F$26*B2,1),OFFSET(Calc2!$G$4,,,$F$26*B2,1),F19)</f>
        <v>2</v>
      </c>
      <c r="H19" s="1">
        <f ca="1">SUMIFS(OFFSET(Calc2!$I$4,,,$F$26*B2,1),OFFSET(Calc2!$F$4,,,$F$26*B2,1),F19)+SUMIFS(OFFSET(Calc2!$H$4,,,$F$26*B2,1),OFFSET(Calc2!$G$4,,,$F$26*B2,1),F19)</f>
        <v>1</v>
      </c>
      <c r="I19" s="134">
        <f t="shared" ca="1" si="3"/>
        <v>1</v>
      </c>
      <c r="J19" s="12">
        <f ca="1">L19*Settings!$C$3+M19+O19</f>
        <v>3</v>
      </c>
      <c r="K19" s="1">
        <f t="shared" ca="1" si="4"/>
        <v>1</v>
      </c>
      <c r="L19" s="1">
        <f t="array" aca="1" ref="L19" ca="1">SUMPRODUCT((OFFSET(Calc2!$F$4,,,$F$26*B2,1)=F19)*(OFFSET(Calc2!$H$4,,,$F$26*B2,1)&gt;OFFSET(Calc2!$I$4,,,$F$26*B2,1)))+SUMPRODUCT((OFFSET(Calc2!$G$4,,,$F$26*B2,1)=F19)*(OFFSET(Calc2!$H$4,,,$F$26*B2,1)&lt;OFFSET(Calc2!$I$4,,,$F$26*B2,1)))</f>
        <v>1</v>
      </c>
      <c r="M19" s="1">
        <f t="array" aca="1" ref="M19" ca="1">SUMPRODUCT((OFFSET(Calc2!$F$4,,,$F$26*B2,2)=F19)*(OFFSET(Calc2!$H$4,,,$F$26*B2,1)=OFFSET(Calc2!$I$4,,,$F$26*B2,1))*(OFFSET(Calc2!$H$4,,,$F$26*B2,1)&lt;&gt;"")*(OFFSET(Calc2!$I$4,,,$F$26*B2,1)&lt;&gt;""))</f>
        <v>0</v>
      </c>
      <c r="N19" s="1">
        <f t="array" aca="1" ref="N19" ca="1">SUMPRODUCT((OFFSET(Calc2!$F$4,,,$F$26*B2,1)=F19)*(OFFSET(Calc2!$H$4,,,$F$26*B2,1)&lt;OFFSET(Calc2!$I$4,,,$F$26*B2,1)))+SUMPRODUCT((OFFSET(Calc2!$G$4,,,$F$26*B2,1)=F19)*(OFFSET(Calc2!$H$4,,,$F$26*B2,1)&gt;OFFSET(Calc2!$I$4,,,$F$26*B2,1)))</f>
        <v>0</v>
      </c>
      <c r="O19" s="132">
        <f ca="1">SUMPRODUCT((F19=OFFSET(Calc2!$F$4,,,$F$26*B2,1))*OFFSET(Calc2!$O$4,,,$F$26*B2,1))+SUMPRODUCT((F19=OFFSET(Calc2!$G$4,,,$F$26*B2,1))*OFFSET(Calc2!$P$4,,,$F$26*B2,1))</f>
        <v>0</v>
      </c>
      <c r="R19" s="13">
        <f t="shared" ca="1" si="1"/>
        <v>3500001002</v>
      </c>
      <c r="S19" s="134">
        <f>Tie_Break!$D$22</f>
        <v>0</v>
      </c>
      <c r="T19" s="9">
        <f ca="1">RANK(R19,R4:R23)+(9-S19)/10000+(F19="")*1000</f>
        <v>5.0008999999999997</v>
      </c>
      <c r="V19" s="134">
        <f ca="1">IF($K$24=0,"",IF(VLOOKUP(B19,C4:E23,3,0)=MAX(V$4:V18),VLOOKUP(B19,C4:E23,3,0),B19))</f>
        <v>15</v>
      </c>
      <c r="W19" s="4" t="str">
        <f ca="1">IF($K$24=0,Calc2!$C$19,VLOOKUP(B19,C4:N23,4,0))</f>
        <v>SC Freiburg</v>
      </c>
      <c r="X19" s="1">
        <v>0</v>
      </c>
      <c r="Y19" s="1">
        <v>0</v>
      </c>
    </row>
    <row r="20" spans="2:25" s="2" customFormat="1" x14ac:dyDescent="0.2">
      <c r="B20" s="1">
        <v>17</v>
      </c>
      <c r="C20" s="9">
        <f ca="1">RANK(D20,D4:D23,1)</f>
        <v>13</v>
      </c>
      <c r="D20" s="134">
        <f t="shared" ca="1" si="2"/>
        <v>12.02</v>
      </c>
      <c r="E20" s="134">
        <f ca="1">RANK(T20,T4:T23,1)</f>
        <v>12</v>
      </c>
      <c r="F20" s="187" t="str">
        <f>Calc2!$C$20</f>
        <v>VfB Stuttgart</v>
      </c>
      <c r="G20" s="1">
        <f ca="1">SUMIFS(OFFSET(Calc2!$H$4,,,$F$26*B2,1),OFFSET(Calc2!$F$4,,,$F$26*B2,1),F20)+SUMIFS(OFFSET(Calc2!$I$4,,,$F$26*B2,1),OFFSET(Calc2!$G$4,,,$F$26*B2,1),F20)</f>
        <v>1</v>
      </c>
      <c r="H20" s="1">
        <f ca="1">SUMIFS(OFFSET(Calc2!$I$4,,,$F$26*B2,1),OFFSET(Calc2!$F$4,,,$F$26*B2,1),F20)+SUMIFS(OFFSET(Calc2!$H$4,,,$F$26*B2,1),OFFSET(Calc2!$G$4,,,$F$26*B2,1),F20)</f>
        <v>2</v>
      </c>
      <c r="I20" s="134">
        <f t="shared" ca="1" si="3"/>
        <v>-1</v>
      </c>
      <c r="J20" s="12">
        <f ca="1">L20*Settings!$C$3+M20+O20</f>
        <v>0</v>
      </c>
      <c r="K20" s="1">
        <f t="shared" ca="1" si="4"/>
        <v>1</v>
      </c>
      <c r="L20" s="1">
        <f t="array" aca="1" ref="L20" ca="1">SUMPRODUCT((OFFSET(Calc2!$F$4,,,$F$26*B2,1)=F20)*(OFFSET(Calc2!$H$4,,,$F$26*B2,1)&gt;OFFSET(Calc2!$I$4,,,$F$26*B2,1)))+SUMPRODUCT((OFFSET(Calc2!$G$4,,,$F$26*B2,1)=F20)*(OFFSET(Calc2!$H$4,,,$F$26*B2,1)&lt;OFFSET(Calc2!$I$4,,,$F$26*B2,1)))</f>
        <v>0</v>
      </c>
      <c r="M20" s="1">
        <f t="array" aca="1" ref="M20" ca="1">SUMPRODUCT((OFFSET(Calc2!$F$4,,,$F$26*B2,2)=F20)*(OFFSET(Calc2!$H$4,,,$F$26*B2,1)=OFFSET(Calc2!$I$4,,,$F$26*B2,1))*(OFFSET(Calc2!$H$4,,,$F$26*B2,1)&lt;&gt;"")*(OFFSET(Calc2!$I$4,,,$F$26*B2,1)&lt;&gt;""))</f>
        <v>0</v>
      </c>
      <c r="N20" s="1">
        <f t="array" aca="1" ref="N20" ca="1">SUMPRODUCT((OFFSET(Calc2!$F$4,,,$F$26*B2,1)=F20)*(OFFSET(Calc2!$H$4,,,$F$26*B2,1)&lt;OFFSET(Calc2!$I$4,,,$F$26*B2,1)))+SUMPRODUCT((OFFSET(Calc2!$G$4,,,$F$26*B2,1)=F20)*(OFFSET(Calc2!$H$4,,,$F$26*B2,1)&gt;OFFSET(Calc2!$I$4,,,$F$26*B2,1)))</f>
        <v>1</v>
      </c>
      <c r="O20" s="132">
        <f ca="1">SUMPRODUCT((F20=OFFSET(Calc2!$F$4,,,$F$26*B2,1))*OFFSET(Calc2!$O$4,,,$F$26*B2,1))+SUMPRODUCT((F20=OFFSET(Calc2!$G$4,,,$F$26*B2,1))*OFFSET(Calc2!$P$4,,,$F$26*B2,1))</f>
        <v>0</v>
      </c>
      <c r="R20" s="13">
        <f t="shared" ca="1" si="1"/>
        <v>499999001</v>
      </c>
      <c r="S20" s="134">
        <f>Tie_Break!$D$23</f>
        <v>0</v>
      </c>
      <c r="T20" s="9">
        <f ca="1">RANK(R20,R4:R23)+(9-S20)/10000+(F20="")*1000</f>
        <v>14.0009</v>
      </c>
      <c r="V20" s="134">
        <f ca="1">IF($K$24=0,"",IF(VLOOKUP(B20,C4:E23,3,0)=MAX(V$4:V19),VLOOKUP(B20,C4:E23,3,0),B20))</f>
        <v>17</v>
      </c>
      <c r="W20" s="4" t="str">
        <f ca="1">IF($K$24=0,Calc2!$C$20,VLOOKUP(B20,C4:N23,4,0))</f>
        <v>SV Werder Bremen</v>
      </c>
      <c r="X20" s="1">
        <v>0</v>
      </c>
      <c r="Y20" s="1">
        <v>0</v>
      </c>
    </row>
    <row r="21" spans="2:25" s="2" customFormat="1" x14ac:dyDescent="0.2">
      <c r="B21" s="1">
        <v>18</v>
      </c>
      <c r="C21" s="9">
        <f ca="1">RANK(D21,D4:D23,1)</f>
        <v>4</v>
      </c>
      <c r="D21" s="134">
        <f t="shared" ca="1" si="2"/>
        <v>3.0209999999999999</v>
      </c>
      <c r="E21" s="134">
        <f ca="1">RANK(T21,T4:T23,1)</f>
        <v>3</v>
      </c>
      <c r="F21" s="187" t="str">
        <f>Calc2!$C$21</f>
        <v>VfL Wolfsburg</v>
      </c>
      <c r="G21" s="1">
        <f ca="1">SUMIFS(OFFSET(Calc2!$H$4,,,$F$26*B2,1),OFFSET(Calc2!$F$4,,,$F$26*B2,1),F21)+SUMIFS(OFFSET(Calc2!$I$4,,,$F$26*B2,1),OFFSET(Calc2!$G$4,,,$F$26*B2,1),F21)</f>
        <v>3</v>
      </c>
      <c r="H21" s="1">
        <f ca="1">SUMIFS(OFFSET(Calc2!$I$4,,,$F$26*B2,1),OFFSET(Calc2!$F$4,,,$F$26*B2,1),F21)+SUMIFS(OFFSET(Calc2!$H$4,,,$F$26*B2,1),OFFSET(Calc2!$G$4,,,$F$26*B2,1),F21)</f>
        <v>1</v>
      </c>
      <c r="I21" s="134">
        <f t="shared" ca="1" si="3"/>
        <v>2</v>
      </c>
      <c r="J21" s="12">
        <f ca="1">L21*Settings!$C$3+M21+O21</f>
        <v>3</v>
      </c>
      <c r="K21" s="1">
        <f t="shared" ca="1" si="4"/>
        <v>1</v>
      </c>
      <c r="L21" s="1">
        <f t="array" aca="1" ref="L21" ca="1">SUMPRODUCT((OFFSET(Calc2!$F$4,,,$F$26*B2,1)=F21)*(OFFSET(Calc2!$H$4,,,$F$26*B2,1)&gt;OFFSET(Calc2!$I$4,,,$F$26*B2,1)))+SUMPRODUCT((OFFSET(Calc2!$G$4,,,$F$26*B2,1)=F21)*(OFFSET(Calc2!$H$4,,,$F$26*B2,1)&lt;OFFSET(Calc2!$I$4,,,$F$26*B2,1)))</f>
        <v>1</v>
      </c>
      <c r="M21" s="1">
        <f t="array" aca="1" ref="M21" ca="1">SUMPRODUCT((OFFSET(Calc2!$F$4,,,$F$26*B2,2)=F21)*(OFFSET(Calc2!$H$4,,,$F$26*B2,1)=OFFSET(Calc2!$I$4,,,$F$26*B2,1))*(OFFSET(Calc2!$H$4,,,$F$26*B2,1)&lt;&gt;"")*(OFFSET(Calc2!$I$4,,,$F$26*B2,1)&lt;&gt;""))</f>
        <v>0</v>
      </c>
      <c r="N21" s="1">
        <f t="array" aca="1" ref="N21" ca="1">SUMPRODUCT((OFFSET(Calc2!$F$4,,,$F$26*B2,1)=F21)*(OFFSET(Calc2!$H$4,,,$F$26*B2,1)&lt;OFFSET(Calc2!$I$4,,,$F$26*B2,1)))+SUMPRODUCT((OFFSET(Calc2!$G$4,,,$F$26*B2,1)=F21)*(OFFSET(Calc2!$H$4,,,$F$26*B2,1)&gt;OFFSET(Calc2!$I$4,,,$F$26*B2,1)))</f>
        <v>0</v>
      </c>
      <c r="O21" s="132">
        <f ca="1">SUMPRODUCT((F21=OFFSET(Calc2!$F$4,,,$F$26*B2,1))*OFFSET(Calc2!$O$4,,,$F$26*B2,1))+SUMPRODUCT((F21=OFFSET(Calc2!$G$4,,,$F$26*B2,1))*OFFSET(Calc2!$P$4,,,$F$26*B2,1))</f>
        <v>0</v>
      </c>
      <c r="R21" s="13">
        <f t="shared" ca="1" si="1"/>
        <v>3500002003</v>
      </c>
      <c r="S21" s="134">
        <f>Tie_Break!$D$24</f>
        <v>0</v>
      </c>
      <c r="T21" s="9">
        <f ca="1">RANK(R21,R4:R23)+(9-S21)/10000+(F21="")*1000</f>
        <v>3.0009000000000001</v>
      </c>
      <c r="V21" s="134">
        <f ca="1">IF($K$24=0,"",IF(VLOOKUP(B21,C4:E23,3,0)=MAX(V$4:V20),VLOOKUP(B21,C4:E23,3,0),B21))</f>
        <v>18</v>
      </c>
      <c r="W21" s="4" t="str">
        <f ca="1">IF($K$24=0,Calc2!$C$21,VLOOKUP(B21,C4:N23,4,0))</f>
        <v>RB Leipzig</v>
      </c>
      <c r="X21" s="1">
        <v>0</v>
      </c>
      <c r="Y21" s="1">
        <v>0</v>
      </c>
    </row>
    <row r="22" spans="2:25" s="2" customFormat="1" x14ac:dyDescent="0.2">
      <c r="B22" s="1">
        <v>19</v>
      </c>
      <c r="C22" s="9">
        <f ca="1">RANK(D22,D4:D23,1)</f>
        <v>19</v>
      </c>
      <c r="D22" s="134">
        <f t="shared" ca="1" si="2"/>
        <v>19.021999999999998</v>
      </c>
      <c r="E22" s="134">
        <f ca="1">RANK(T22,T4:T23,1)</f>
        <v>19</v>
      </c>
      <c r="F22" s="187" t="str">
        <f>Calc2!$C$22</f>
        <v/>
      </c>
      <c r="G22" s="1">
        <f ca="1">SUMIFS(OFFSET(Calc2!$H$4,,,$F$26*B2,1),OFFSET(Calc2!$F$4,,,$F$26*B2,1),F22)+SUMIFS(OFFSET(Calc2!$I$4,,,$F$26*B2,1),OFFSET(Calc2!$G$4,,,$F$26*B2,1),F22)</f>
        <v>0</v>
      </c>
      <c r="H22" s="1">
        <f ca="1">SUMIFS(OFFSET(Calc2!$I$4,,,$F$26*B2,1),OFFSET(Calc2!$F$4,,,$F$26*B2,1),F22)+SUMIFS(OFFSET(Calc2!$H$4,,,$F$26*B2,1),OFFSET(Calc2!$G$4,,,$F$26*B2,1),F22)</f>
        <v>0</v>
      </c>
      <c r="I22" s="134">
        <f t="shared" ca="1" si="3"/>
        <v>0</v>
      </c>
      <c r="J22" s="12">
        <f ca="1">L22*Settings!$C$3+M22+O22</f>
        <v>0</v>
      </c>
      <c r="K22" s="1">
        <f t="shared" ca="1" si="4"/>
        <v>0</v>
      </c>
      <c r="L22" s="1">
        <f t="array" aca="1" ref="L22" ca="1">SUMPRODUCT((OFFSET(Calc2!$F$4,,,$F$26*B2,1)=F22)*(OFFSET(Calc2!$H$4,,,$F$26*B2,1)&gt;OFFSET(Calc2!$I$4,,,$F$26*B2,1)))+SUMPRODUCT((OFFSET(Calc2!$G$4,,,$F$26*B2,1)=F22)*(OFFSET(Calc2!$H$4,,,$F$26*B2,1)&lt;OFFSET(Calc2!$I$4,,,$F$26*B2,1)))</f>
        <v>0</v>
      </c>
      <c r="M22" s="1">
        <f t="array" aca="1" ref="M22" ca="1">SUMPRODUCT((OFFSET(Calc2!$F$4,,,$F$26*B2,2)=F22)*(OFFSET(Calc2!$H$4,,,$F$26*B2,1)=OFFSET(Calc2!$I$4,,,$F$26*B2,1))*(OFFSET(Calc2!$H$4,,,$F$26*B2,1)&lt;&gt;"")*(OFFSET(Calc2!$I$4,,,$F$26*B2,1)&lt;&gt;""))</f>
        <v>0</v>
      </c>
      <c r="N22" s="1">
        <f t="array" aca="1" ref="N22" ca="1">SUMPRODUCT((OFFSET(Calc2!$F$4,,,$F$26*B2,1)=F22)*(OFFSET(Calc2!$H$4,,,$F$26*B2,1)&lt;OFFSET(Calc2!$I$4,,,$F$26*B2,1)))+SUMPRODUCT((OFFSET(Calc2!$G$4,,,$F$26*B2,1)=F22)*(OFFSET(Calc2!$H$4,,,$F$26*B2,1)&gt;OFFSET(Calc2!$I$4,,,$F$26*B2,1)))</f>
        <v>0</v>
      </c>
      <c r="O22" s="132">
        <f ca="1">SUMPRODUCT((F22=OFFSET(Calc2!$F$4,,,$F$26*B2,1))*OFFSET(Calc2!$O$4,,,$F$26*B2,1))+SUMPRODUCT((F22=OFFSET(Calc2!$G$4,,,$F$26*B2,1))*OFFSET(Calc2!$P$4,,,$F$26*B2,1))</f>
        <v>0</v>
      </c>
      <c r="R22" s="13">
        <f t="shared" ca="1" si="1"/>
        <v>500000000</v>
      </c>
      <c r="S22" s="134">
        <f>Tie_Break!$D$25</f>
        <v>0</v>
      </c>
      <c r="T22" s="9">
        <f ca="1">RANK(R22,R4:R23)+(9-S22)/10000+(F22="")*1000</f>
        <v>1012.0009</v>
      </c>
      <c r="V22" s="134">
        <f ca="1">IF($K$24=0,"",IF(VLOOKUP(B22,C4:E23,3,0)=MAX(V$4:V21),VLOOKUP(B22,C4:E23,3,0),B22))</f>
        <v>19</v>
      </c>
      <c r="W22" s="4" t="str">
        <f ca="1">IF($K$24=0,Calc2!$C$22,VLOOKUP(B22,C4:N23,4,0))</f>
        <v/>
      </c>
      <c r="X22" s="1">
        <v>0</v>
      </c>
      <c r="Y22" s="1">
        <v>0</v>
      </c>
    </row>
    <row r="23" spans="2:25" s="2" customFormat="1" ht="12.75" thickBot="1" x14ac:dyDescent="0.25">
      <c r="B23" s="1">
        <v>20</v>
      </c>
      <c r="C23" s="10">
        <f ca="1">RANK(D23,D4:D23,1)</f>
        <v>20</v>
      </c>
      <c r="D23" s="134">
        <f t="shared" ca="1" si="2"/>
        <v>19.023</v>
      </c>
      <c r="E23" s="134">
        <f ca="1">RANK(T23,T4:T23,1)</f>
        <v>19</v>
      </c>
      <c r="F23" s="187" t="str">
        <f>Calc2!$C$23</f>
        <v/>
      </c>
      <c r="G23" s="1">
        <f ca="1">SUMIFS(OFFSET(Calc2!$H$4,,,$F$26*B2,1),OFFSET(Calc2!$F$4,,,$F$26*B2,1),F23)+SUMIFS(OFFSET(Calc2!$I$4,,,$F$26*B2,1),OFFSET(Calc2!$G$4,,,$F$26*B2,1),F23)</f>
        <v>0</v>
      </c>
      <c r="H23" s="1">
        <f ca="1">SUMIFS(OFFSET(Calc2!$I$4,,,$F$26*B2,1),OFFSET(Calc2!$F$4,,,$F$26*B2,1),F23)+SUMIFS(OFFSET(Calc2!$H$4,,,$F$26*B2,1),OFFSET(Calc2!$G$4,,,$F$26*B2,1),F23)</f>
        <v>0</v>
      </c>
      <c r="I23" s="134">
        <f t="shared" ca="1" si="3"/>
        <v>0</v>
      </c>
      <c r="J23" s="12">
        <f ca="1">L23*Settings!$C$3+M23+O23</f>
        <v>0</v>
      </c>
      <c r="K23" s="1">
        <f t="shared" ca="1" si="4"/>
        <v>0</v>
      </c>
      <c r="L23" s="1">
        <f t="array" aca="1" ref="L23" ca="1">SUMPRODUCT((OFFSET(Calc2!$F$4,,,$F$26*B2,1)=F23)*(OFFSET(Calc2!$H$4,,,$F$26*B2,1)&gt;OFFSET(Calc2!$I$4,,,$F$26*B2,1)))+SUMPRODUCT((OFFSET(Calc2!$G$4,,,$F$26*B2,1)=F23)*(OFFSET(Calc2!$H$4,,,$F$26*B2,1)&lt;OFFSET(Calc2!$I$4,,,$F$26*B2,1)))</f>
        <v>0</v>
      </c>
      <c r="M23" s="1">
        <f t="array" aca="1" ref="M23" ca="1">SUMPRODUCT((OFFSET(Calc2!$F$4,,,$F$26*B2,2)=F23)*(OFFSET(Calc2!$H$4,,,$F$26*B2,1)=OFFSET(Calc2!$I$4,,,$F$26*B2,1))*(OFFSET(Calc2!$H$4,,,$F$26*B2,1)&lt;&gt;"")*(OFFSET(Calc2!$I$4,,,$F$26*B2,1)&lt;&gt;""))</f>
        <v>0</v>
      </c>
      <c r="N23" s="1">
        <f t="array" aca="1" ref="N23" ca="1">SUMPRODUCT((OFFSET(Calc2!$F$4,,,$F$26*B2,1)=F23)*(OFFSET(Calc2!$H$4,,,$F$26*B2,1)&lt;OFFSET(Calc2!$I$4,,,$F$26*B2,1)))+SUMPRODUCT((OFFSET(Calc2!$G$4,,,$F$26*B2,1)=F23)*(OFFSET(Calc2!$H$4,,,$F$26*B2,1)&gt;OFFSET(Calc2!$I$4,,,$F$26*B2,1)))</f>
        <v>0</v>
      </c>
      <c r="O23" s="132">
        <f ca="1">SUMPRODUCT((F23=OFFSET(Calc2!$F$4,,,$F$26*B2,1))*OFFSET(Calc2!$O$4,,,$F$26*B2,1))+SUMPRODUCT((F23=OFFSET(Calc2!$G$4,,,$F$26*B2,1))*OFFSET(Calc2!$P$4,,,$F$26*B2,1))</f>
        <v>0</v>
      </c>
      <c r="R23" s="13">
        <f t="shared" ca="1" si="1"/>
        <v>500000000</v>
      </c>
      <c r="S23" s="134">
        <f>Tie_Break!$D$26</f>
        <v>0</v>
      </c>
      <c r="T23" s="10">
        <f ca="1">RANK(R23,R4:R23)+(9-S23)/10000+(F23="")*1000</f>
        <v>1012.0009</v>
      </c>
      <c r="V23" s="134">
        <f ca="1">IF($K$24=0,"",IF(VLOOKUP(B23,C4:E23,3,0)=MAX(V$4:V22),VLOOKUP(B23,C4:E23,3,0),B23))</f>
        <v>19</v>
      </c>
      <c r="W23" s="4" t="str">
        <f ca="1">IF($K$24=0,Calc2!$C$23,VLOOKUP(B23,C4:N23,4,0))</f>
        <v/>
      </c>
      <c r="X23" s="1">
        <v>0</v>
      </c>
      <c r="Y23" s="1">
        <v>0</v>
      </c>
    </row>
    <row r="24" spans="2:25" s="2" customFormat="1" ht="21.75" customHeight="1" thickTop="1" x14ac:dyDescent="0.2">
      <c r="B24" s="12">
        <f>$F$24*($F$24-1)</f>
        <v>306</v>
      </c>
      <c r="F24" s="210">
        <f>20-COUNTBLANK($F$4:$F$23)</f>
        <v>18</v>
      </c>
      <c r="K24" s="12">
        <f ca="1">QUOTIENT(SUM(K4:K23),2)</f>
        <v>9</v>
      </c>
      <c r="Q24" s="4"/>
      <c r="R24" s="1"/>
      <c r="S24" s="1"/>
      <c r="X24" s="1"/>
      <c r="Y24" s="1"/>
    </row>
    <row r="25" spans="2:25" s="2" customFormat="1" ht="51" customHeight="1" x14ac:dyDescent="0.2">
      <c r="B25" s="461" t="s">
        <v>465</v>
      </c>
      <c r="C25" s="461"/>
      <c r="F25" s="211" t="s">
        <v>466</v>
      </c>
      <c r="K25" s="211" t="s">
        <v>467</v>
      </c>
      <c r="Q25" s="4"/>
      <c r="R25" s="1"/>
      <c r="S25" s="1"/>
      <c r="X25" s="1"/>
      <c r="Y25" s="1"/>
    </row>
    <row r="26" spans="2:25" s="2" customFormat="1" x14ac:dyDescent="0.2">
      <c r="B26" s="2">
        <f>IF(F26&gt;0,B24/F26,0)</f>
        <v>34</v>
      </c>
      <c r="F26" s="210">
        <f>QUOTIENT($F$24,2)</f>
        <v>9</v>
      </c>
      <c r="O26" s="1"/>
      <c r="P26" s="1"/>
      <c r="Q26" s="1"/>
      <c r="X26" s="1"/>
      <c r="Y26" s="1"/>
    </row>
    <row r="27" spans="2:25" s="2" customFormat="1" ht="25.5" customHeight="1" x14ac:dyDescent="0.2">
      <c r="B27" s="461" t="s">
        <v>574</v>
      </c>
      <c r="C27" s="461"/>
      <c r="F27" s="211" t="s">
        <v>478</v>
      </c>
      <c r="O27" s="1"/>
      <c r="P27" s="1"/>
      <c r="Q27" s="1"/>
      <c r="X27" s="1"/>
      <c r="Y27" s="1"/>
    </row>
    <row r="28" spans="2:25" s="2" customFormat="1" ht="12.75" thickBot="1" x14ac:dyDescent="0.25">
      <c r="F28" s="187"/>
      <c r="W28" s="4"/>
      <c r="X28" s="1"/>
      <c r="Y28" s="1"/>
    </row>
    <row r="29" spans="2:25" s="2" customFormat="1" ht="12.75" thickBot="1" x14ac:dyDescent="0.25">
      <c r="B29" s="410">
        <v>2</v>
      </c>
      <c r="C29" s="134"/>
      <c r="D29" s="134"/>
      <c r="E29" s="134"/>
      <c r="F29" s="187"/>
      <c r="G29" s="1"/>
      <c r="H29" s="1"/>
      <c r="I29" s="1"/>
      <c r="J29" s="1"/>
      <c r="K29" s="1"/>
      <c r="L29" s="1"/>
      <c r="M29" s="1"/>
      <c r="N29" s="134"/>
      <c r="O29" s="1"/>
      <c r="P29" s="1"/>
      <c r="Q29" s="1"/>
      <c r="X29" s="1"/>
      <c r="Y29" s="1"/>
    </row>
    <row r="30" spans="2:25" s="2" customFormat="1" ht="15.75" thickBot="1" x14ac:dyDescent="0.25">
      <c r="B30" s="1"/>
      <c r="C30" s="134"/>
      <c r="D30" s="134"/>
      <c r="E30" s="134"/>
      <c r="F30" s="11" t="s">
        <v>90</v>
      </c>
      <c r="G30" s="42" t="s">
        <v>95</v>
      </c>
      <c r="H30" s="42" t="s">
        <v>96</v>
      </c>
      <c r="I30" s="11" t="s">
        <v>97</v>
      </c>
      <c r="J30" s="11" t="s">
        <v>98</v>
      </c>
      <c r="K30" s="11" t="s">
        <v>91</v>
      </c>
      <c r="L30" s="12" t="s">
        <v>92</v>
      </c>
      <c r="M30" s="12" t="s">
        <v>93</v>
      </c>
      <c r="N30" s="12" t="s">
        <v>94</v>
      </c>
      <c r="O30" s="12" t="s">
        <v>534</v>
      </c>
      <c r="Q30" s="11"/>
      <c r="R30" s="133" t="s">
        <v>99</v>
      </c>
      <c r="S30" s="6" t="s">
        <v>483</v>
      </c>
      <c r="T30" s="120" t="s">
        <v>146</v>
      </c>
      <c r="U30" s="134"/>
      <c r="V30" s="134"/>
      <c r="W30" s="132"/>
      <c r="X30" s="120" t="s">
        <v>575</v>
      </c>
      <c r="Y30" s="1"/>
    </row>
    <row r="31" spans="2:25" s="2" customFormat="1" ht="12.75" thickTop="1" x14ac:dyDescent="0.2">
      <c r="B31" s="1">
        <v>1</v>
      </c>
      <c r="C31" s="8">
        <f ca="1">RANK(D31,D31:D50,1)</f>
        <v>17</v>
      </c>
      <c r="D31" s="134">
        <f ca="1">E31+ROW()/1000</f>
        <v>17.030999999999999</v>
      </c>
      <c r="E31" s="134">
        <f ca="1">RANK(T31,T31:T50,1)</f>
        <v>17</v>
      </c>
      <c r="F31" s="187" t="str">
        <f>Calc2!$C$4</f>
        <v>1. FC Heidenheim 1846</v>
      </c>
      <c r="G31" s="1">
        <f ca="1">SUMIFS(OFFSET(Calc2!$H$4,,,$F$26*B29,1),OFFSET(Calc2!$F$4,,,$F$26*B29,1),F31)+SUMIFS(OFFSET(Calc2!$I$4,,,$F$26*B29,1),OFFSET(Calc2!$G$4,,,$F$26*B29,1),F31)</f>
        <v>1</v>
      </c>
      <c r="H31" s="1">
        <f ca="1">SUMIFS(OFFSET(Calc2!$I$4,,,$F$26*B29,1),OFFSET(Calc2!$F$4,,,$F$26*B29,1),F31)+SUMIFS(OFFSET(Calc2!$H$4,,,$F$26*B29,1),OFFSET(Calc2!$G$4,,,$F$26*B29,1),F31)</f>
        <v>5</v>
      </c>
      <c r="I31" s="134">
        <f t="shared" ref="I31:I50" ca="1" si="5">G31-H31</f>
        <v>-4</v>
      </c>
      <c r="J31" s="12">
        <f ca="1">L31*Settings!$C$3+M31+O31</f>
        <v>0</v>
      </c>
      <c r="K31" s="1">
        <f ca="1">L31+M31+N31</f>
        <v>2</v>
      </c>
      <c r="L31" s="1">
        <f t="array" aca="1" ref="L31" ca="1">SUMPRODUCT((OFFSET(Calc2!$F$4,,,$F$26*B29,1)=F31)*(OFFSET(Calc2!$H$4,,,$F$26*B29,1)&gt;OFFSET(Calc2!$I$4,,,$F$26*B29,1)))+SUMPRODUCT((OFFSET(Calc2!$G$4,,,$F$26*B29,1)=F31)*(OFFSET(Calc2!$H$4,,,$F$26*B29,1)&lt;OFFSET(Calc2!$I$4,,,$F$26*B29,1)))</f>
        <v>0</v>
      </c>
      <c r="M31" s="1">
        <f t="array" aca="1" ref="M31" ca="1">SUMPRODUCT((OFFSET(Calc2!$F$4,,,$F$26*B29,2)=F31)*(OFFSET(Calc2!$H$4,,,$F$26*B29,1)=OFFSET(Calc2!$I$4,,,$F$26*B29,1))*(OFFSET(Calc2!$H$4,,,$F$26*B29,1)&lt;&gt;"")*(OFFSET(Calc2!$I$4,,,$F$26*B29,1)&lt;&gt;""))</f>
        <v>0</v>
      </c>
      <c r="N31" s="1">
        <f t="array" aca="1" ref="N31" ca="1">SUMPRODUCT((OFFSET(Calc2!$F$4,,,$F$26*B29,1)=F31)*(OFFSET(Calc2!$H$4,,,$F$26*B29,1)&lt;OFFSET(Calc2!$I$4,,,$F$26*B29,1)))+SUMPRODUCT((OFFSET(Calc2!$G$4,,,$F$26*B29,1)=F31)*(OFFSET(Calc2!$H$4,,,$F$26*B29,1)&gt;OFFSET(Calc2!$I$4,,,$F$26*B29,1)))</f>
        <v>2</v>
      </c>
      <c r="O31" s="132">
        <f ca="1">SUMPRODUCT((F31=OFFSET(Calc2!$F$4,,,$F$26*B29,1))*OFFSET(Calc2!$O$4,,,$F$26*B29,1))+SUMPRODUCT((F31=OFFSET(Calc2!$G$4,,,$F$26*B29,1))*OFFSET(Calc2!$P$4,,,$F$26*B29,1))</f>
        <v>0</v>
      </c>
      <c r="R31" s="13">
        <f t="shared" ref="R31:R50" ca="1" si="6">J31*FactorPts+(I31+GDzero)*FactorGD+G31*FactorGF</f>
        <v>499996001</v>
      </c>
      <c r="S31" s="134">
        <f>Tie_Break!$D$7</f>
        <v>0</v>
      </c>
      <c r="T31" s="8">
        <f ca="1">RANK(R31,R31:R50)+(9-S31)/10000+(F31="")*1000</f>
        <v>19.000900000000001</v>
      </c>
      <c r="U31" s="134"/>
      <c r="V31" s="134">
        <f ca="1">IF($K$24=0,"",1)</f>
        <v>1</v>
      </c>
      <c r="W31" s="4" t="str">
        <f ca="1">IF($K$24=0,Calc2!$C$4,VLOOKUP(B31,C31:N50,4,0))</f>
        <v>FC Bayern München</v>
      </c>
      <c r="X31" s="1">
        <f ca="1">INDEX(V4:V23,MATCH(W31,W4:W23,0))</f>
        <v>1</v>
      </c>
      <c r="Y31" s="1">
        <f ca="1">IF(X31&gt;V31,1,IF(X31&lt;V31,-1,0))</f>
        <v>0</v>
      </c>
    </row>
    <row r="32" spans="2:25" s="2" customFormat="1" x14ac:dyDescent="0.2">
      <c r="B32" s="1">
        <v>2</v>
      </c>
      <c r="C32" s="9">
        <f ca="1">RANK(D32,D31:D50,1)</f>
        <v>3</v>
      </c>
      <c r="D32" s="134">
        <f t="shared" ref="D32:D50" ca="1" si="7">E32+ROW()/1000</f>
        <v>3.032</v>
      </c>
      <c r="E32" s="134">
        <f ca="1">RANK(T32,T31:T50,1)</f>
        <v>3</v>
      </c>
      <c r="F32" s="187" t="str">
        <f>Calc2!$C$5</f>
        <v>1. FC Köln</v>
      </c>
      <c r="G32" s="1">
        <f ca="1">SUMIFS(OFFSET(Calc2!$H$4,,,$F$26*B29,1),OFFSET(Calc2!$F$4,,,$F$26*B29,1),F32)+SUMIFS(OFFSET(Calc2!$I$4,,,$F$26*B29,1),OFFSET(Calc2!$G$4,,,$F$26*B29,1),F32)</f>
        <v>5</v>
      </c>
      <c r="H32" s="1">
        <f ca="1">SUMIFS(OFFSET(Calc2!$I$4,,,$F$26*B29,1),OFFSET(Calc2!$F$4,,,$F$26*B29,1),F32)+SUMIFS(OFFSET(Calc2!$H$4,,,$F$26*B29,1),OFFSET(Calc2!$G$4,,,$F$26*B29,1),F32)</f>
        <v>1</v>
      </c>
      <c r="I32" s="134">
        <f t="shared" ca="1" si="5"/>
        <v>4</v>
      </c>
      <c r="J32" s="12">
        <f ca="1">L32*Settings!$C$3+M32+O32</f>
        <v>6</v>
      </c>
      <c r="K32" s="1">
        <f t="shared" ref="K32:K50" ca="1" si="8">L32+M32+N32</f>
        <v>2</v>
      </c>
      <c r="L32" s="1">
        <f t="array" aca="1" ref="L32" ca="1">SUMPRODUCT((OFFSET(Calc2!$F$4,,,$F$26*B29,1)=F32)*(OFFSET(Calc2!$H$4,,,$F$26*B29,1)&gt;OFFSET(Calc2!$I$4,,,$F$26*B29,1)))+SUMPRODUCT((OFFSET(Calc2!$G$4,,,$F$26*B29,1)=F32)*(OFFSET(Calc2!$H$4,,,$F$26*B29,1)&lt;OFFSET(Calc2!$I$4,,,$F$26*B29,1)))</f>
        <v>2</v>
      </c>
      <c r="M32" s="1">
        <f t="array" aca="1" ref="M32" ca="1">SUMPRODUCT((OFFSET(Calc2!$F$4,,,$F$26*B29,2)=F32)*(OFFSET(Calc2!$H$4,,,$F$26*B29,1)=OFFSET(Calc2!$I$4,,,$F$26*B29,1))*(OFFSET(Calc2!$H$4,,,$F$26*B29,1)&lt;&gt;"")*(OFFSET(Calc2!$I$4,,,$F$26*B29,1)&lt;&gt;""))</f>
        <v>0</v>
      </c>
      <c r="N32" s="1">
        <f t="array" aca="1" ref="N32" ca="1">SUMPRODUCT((OFFSET(Calc2!$F$4,,,$F$26*B29,1)=F32)*(OFFSET(Calc2!$H$4,,,$F$26*B29,1)&lt;OFFSET(Calc2!$I$4,,,$F$26*B29,1)))+SUMPRODUCT((OFFSET(Calc2!$G$4,,,$F$26*B29,1)=F32)*(OFFSET(Calc2!$H$4,,,$F$26*B29,1)&gt;OFFSET(Calc2!$I$4,,,$F$26*B29,1)))</f>
        <v>0</v>
      </c>
      <c r="O32" s="132">
        <f ca="1">SUMPRODUCT((F32=OFFSET(Calc2!$F$4,,,$F$26*B29,1))*OFFSET(Calc2!$O$4,,,$F$26*B29,1))+SUMPRODUCT((F32=OFFSET(Calc2!$G$4,,,$F$26*B29,1))*OFFSET(Calc2!$P$4,,,$F$26*B29,1))</f>
        <v>0</v>
      </c>
      <c r="R32" s="13">
        <f t="shared" ca="1" si="6"/>
        <v>6500004005</v>
      </c>
      <c r="S32" s="134">
        <f>Tie_Break!$D$8</f>
        <v>0</v>
      </c>
      <c r="T32" s="9">
        <f ca="1">RANK(R32,R31:R50)+(9-S32)/10000+(F32="")*1000</f>
        <v>3.0009000000000001</v>
      </c>
      <c r="U32" s="134"/>
      <c r="V32" s="134">
        <f ca="1">IF($K$24=0,"",IF(VLOOKUP(B32,C31:E50,3,0)=MAX(V$31:V31),VLOOKUP(B32,C31:E50,3,0),B32))</f>
        <v>2</v>
      </c>
      <c r="W32" s="4" t="str">
        <f ca="1">IF($K$24=0,Calc2!$C$5,VLOOKUP(B32,C31:N50,4,0))</f>
        <v>Eintracht Frankfurt</v>
      </c>
      <c r="X32" s="1">
        <f ca="1">INDEX(V4:V23,MATCH(W32,W4:W23,0))</f>
        <v>2</v>
      </c>
      <c r="Y32" s="1">
        <f t="shared" ref="Y32:Y50" ca="1" si="9">IF(X32&gt;V32,1,IF(X32&lt;V32,-1,0))</f>
        <v>0</v>
      </c>
    </row>
    <row r="33" spans="2:25" s="2" customFormat="1" x14ac:dyDescent="0.2">
      <c r="B33" s="1">
        <v>3</v>
      </c>
      <c r="C33" s="9">
        <f ca="1">RANK(D33,D31:D50,1)</f>
        <v>10</v>
      </c>
      <c r="D33" s="134">
        <f t="shared" ca="1" si="7"/>
        <v>10.032999999999999</v>
      </c>
      <c r="E33" s="134">
        <f ca="1">RANK(T33,T31:T50,1)</f>
        <v>10</v>
      </c>
      <c r="F33" s="187" t="str">
        <f>Calc2!$C$6</f>
        <v>1. FC Union Berlin</v>
      </c>
      <c r="G33" s="1">
        <f ca="1">SUMIFS(OFFSET(Calc2!$H$4,,,$F$26*B29,1),OFFSET(Calc2!$F$4,,,$F$26*B29,1),F33)+SUMIFS(OFFSET(Calc2!$I$4,,,$F$26*B29,1),OFFSET(Calc2!$G$4,,,$F$26*B29,1),F33)</f>
        <v>2</v>
      </c>
      <c r="H33" s="1">
        <f ca="1">SUMIFS(OFFSET(Calc2!$I$4,,,$F$26*B29,1),OFFSET(Calc2!$F$4,,,$F$26*B29,1),F33)+SUMIFS(OFFSET(Calc2!$H$4,,,$F$26*B29,1),OFFSET(Calc2!$G$4,,,$F$26*B29,1),F33)</f>
        <v>4</v>
      </c>
      <c r="I33" s="134">
        <f t="shared" ca="1" si="5"/>
        <v>-2</v>
      </c>
      <c r="J33" s="12">
        <f ca="1">L33*Settings!$C$3+M33+O33</f>
        <v>3</v>
      </c>
      <c r="K33" s="1">
        <f t="shared" ca="1" si="8"/>
        <v>2</v>
      </c>
      <c r="L33" s="1">
        <f t="array" aca="1" ref="L33" ca="1">SUMPRODUCT((OFFSET(Calc2!$F$4,,,$F$26*B29,1)=F33)*(OFFSET(Calc2!$H$4,,,$F$26*B29,1)&gt;OFFSET(Calc2!$I$4,,,$F$26*B29,1)))+SUMPRODUCT((OFFSET(Calc2!$G$4,,,$F$26*B29,1)=F33)*(OFFSET(Calc2!$H$4,,,$F$26*B29,1)&lt;OFFSET(Calc2!$I$4,,,$F$26*B29,1)))</f>
        <v>1</v>
      </c>
      <c r="M33" s="1">
        <f t="array" aca="1" ref="M33" ca="1">SUMPRODUCT((OFFSET(Calc2!$F$4,,,$F$26*B29,2)=F33)*(OFFSET(Calc2!$H$4,,,$F$26*B29,1)=OFFSET(Calc2!$I$4,,,$F$26*B29,1))*(OFFSET(Calc2!$H$4,,,$F$26*B29,1)&lt;&gt;"")*(OFFSET(Calc2!$I$4,,,$F$26*B29,1)&lt;&gt;""))</f>
        <v>0</v>
      </c>
      <c r="N33" s="1">
        <f t="array" aca="1" ref="N33" ca="1">SUMPRODUCT((OFFSET(Calc2!$F$4,,,$F$26*B29,1)=F33)*(OFFSET(Calc2!$H$4,,,$F$26*B29,1)&lt;OFFSET(Calc2!$I$4,,,$F$26*B29,1)))+SUMPRODUCT((OFFSET(Calc2!$G$4,,,$F$26*B29,1)=F33)*(OFFSET(Calc2!$H$4,,,$F$26*B29,1)&gt;OFFSET(Calc2!$I$4,,,$F$26*B29,1)))</f>
        <v>1</v>
      </c>
      <c r="O33" s="132">
        <f ca="1">SUMPRODUCT((F33=OFFSET(Calc2!$F$4,,,$F$26*B29,1))*OFFSET(Calc2!$O$4,,,$F$26*B29,1))+SUMPRODUCT((F33=OFFSET(Calc2!$G$4,,,$F$26*B29,1))*OFFSET(Calc2!$P$4,,,$F$26*B29,1))</f>
        <v>0</v>
      </c>
      <c r="R33" s="13">
        <f t="shared" ca="1" si="6"/>
        <v>3499998002</v>
      </c>
      <c r="S33" s="134">
        <f>Tie_Break!$D$9</f>
        <v>0</v>
      </c>
      <c r="T33" s="9">
        <f ca="1">RANK(R33,R31:R50)+(9-S33)/10000+(F33="")*1000</f>
        <v>10.0009</v>
      </c>
      <c r="U33" s="134"/>
      <c r="V33" s="134">
        <f ca="1">IF($K$24=0,"",IF(VLOOKUP(B33,C31:E50,3,0)=MAX(V$31:V32),VLOOKUP(B33,C31:E50,3,0),B33))</f>
        <v>3</v>
      </c>
      <c r="W33" s="4" t="str">
        <f ca="1">IF($K$24=0,Calc2!$C$6,VLOOKUP(B33,C31:N50,4,0))</f>
        <v>1. FC Köln</v>
      </c>
      <c r="X33" s="1">
        <f ca="1">INDEX(V4:V23,MATCH(W33,W4:W23,0))</f>
        <v>7</v>
      </c>
      <c r="Y33" s="1">
        <f t="shared" ca="1" si="9"/>
        <v>1</v>
      </c>
    </row>
    <row r="34" spans="2:25" s="2" customFormat="1" x14ac:dyDescent="0.2">
      <c r="B34" s="1">
        <v>4</v>
      </c>
      <c r="C34" s="9">
        <f ca="1">RANK(D34,D31:D50,1)</f>
        <v>13</v>
      </c>
      <c r="D34" s="134">
        <f t="shared" ca="1" si="7"/>
        <v>13.034000000000001</v>
      </c>
      <c r="E34" s="134">
        <f ca="1">RANK(T34,T31:T50,1)</f>
        <v>13</v>
      </c>
      <c r="F34" s="187" t="str">
        <f>Calc2!$C$7</f>
        <v>1. FSV Mainz 05</v>
      </c>
      <c r="G34" s="1">
        <f ca="1">SUMIFS(OFFSET(Calc2!$H$4,,,$F$26*B29,1),OFFSET(Calc2!$F$4,,,$F$26*B29,1),F34)+SUMIFS(OFFSET(Calc2!$I$4,,,$F$26*B29,1),OFFSET(Calc2!$G$4,,,$F$26*B29,1),F34)</f>
        <v>1</v>
      </c>
      <c r="H34" s="1">
        <f ca="1">SUMIFS(OFFSET(Calc2!$I$4,,,$F$26*B29,1),OFFSET(Calc2!$F$4,,,$F$26*B29,1),F34)+SUMIFS(OFFSET(Calc2!$H$4,,,$F$26*B29,1),OFFSET(Calc2!$G$4,,,$F$26*B29,1),F34)</f>
        <v>2</v>
      </c>
      <c r="I34" s="134">
        <f t="shared" ca="1" si="5"/>
        <v>-1</v>
      </c>
      <c r="J34" s="12">
        <f ca="1">L34*Settings!$C$3+M34+O34</f>
        <v>1</v>
      </c>
      <c r="K34" s="1">
        <f t="shared" ca="1" si="8"/>
        <v>2</v>
      </c>
      <c r="L34" s="1">
        <f t="array" aca="1" ref="L34" ca="1">SUMPRODUCT((OFFSET(Calc2!$F$4,,,$F$26*B29,1)=F34)*(OFFSET(Calc2!$H$4,,,$F$26*B29,1)&gt;OFFSET(Calc2!$I$4,,,$F$26*B29,1)))+SUMPRODUCT((OFFSET(Calc2!$G$4,,,$F$26*B29,1)=F34)*(OFFSET(Calc2!$H$4,,,$F$26*B29,1)&lt;OFFSET(Calc2!$I$4,,,$F$26*B29,1)))</f>
        <v>0</v>
      </c>
      <c r="M34" s="1">
        <f t="array" aca="1" ref="M34" ca="1">SUMPRODUCT((OFFSET(Calc2!$F$4,,,$F$26*B29,2)=F34)*(OFFSET(Calc2!$H$4,,,$F$26*B29,1)=OFFSET(Calc2!$I$4,,,$F$26*B29,1))*(OFFSET(Calc2!$H$4,,,$F$26*B29,1)&lt;&gt;"")*(OFFSET(Calc2!$I$4,,,$F$26*B29,1)&lt;&gt;""))</f>
        <v>1</v>
      </c>
      <c r="N34" s="1">
        <f t="array" aca="1" ref="N34" ca="1">SUMPRODUCT((OFFSET(Calc2!$F$4,,,$F$26*B29,1)=F34)*(OFFSET(Calc2!$H$4,,,$F$26*B29,1)&lt;OFFSET(Calc2!$I$4,,,$F$26*B29,1)))+SUMPRODUCT((OFFSET(Calc2!$G$4,,,$F$26*B29,1)=F34)*(OFFSET(Calc2!$H$4,,,$F$26*B29,1)&gt;OFFSET(Calc2!$I$4,,,$F$26*B29,1)))</f>
        <v>1</v>
      </c>
      <c r="O34" s="132">
        <f ca="1">SUMPRODUCT((F34=OFFSET(Calc2!$F$4,,,$F$26*B29,1))*OFFSET(Calc2!$O$4,,,$F$26*B29,1))+SUMPRODUCT((F34=OFFSET(Calc2!$G$4,,,$F$26*B29,1))*OFFSET(Calc2!$P$4,,,$F$26*B29,1))</f>
        <v>0</v>
      </c>
      <c r="R34" s="13">
        <f t="shared" ca="1" si="6"/>
        <v>1499999001</v>
      </c>
      <c r="S34" s="134">
        <f>Tie_Break!$D$10</f>
        <v>0</v>
      </c>
      <c r="T34" s="9">
        <f ca="1">RANK(R34,R31:R50)+(9-S34)/10000+(F34="")*1000</f>
        <v>13.0009</v>
      </c>
      <c r="U34" s="134"/>
      <c r="V34" s="134">
        <f ca="1">IF($K$24=0,"",IF(VLOOKUP(B34,C31:E50,3,0)=MAX(V$31:V33),VLOOKUP(B34,C31:E50,3,0),B34))</f>
        <v>4</v>
      </c>
      <c r="W34" s="4" t="str">
        <f ca="1">IF($K$24=0,Calc2!$C$7,VLOOKUP(B34,C31:N50,4,0))</f>
        <v>Borussia Dortmund</v>
      </c>
      <c r="X34" s="1">
        <f ca="1">INDEX(V4:V23,MATCH(W34,W4:W23,0))</f>
        <v>8</v>
      </c>
      <c r="Y34" s="1">
        <f t="shared" ca="1" si="9"/>
        <v>1</v>
      </c>
    </row>
    <row r="35" spans="2:25" s="2" customFormat="1" x14ac:dyDescent="0.2">
      <c r="B35" s="1">
        <v>5</v>
      </c>
      <c r="C35" s="9">
        <f ca="1">RANK(D35,D31:D50,1)</f>
        <v>12</v>
      </c>
      <c r="D35" s="134">
        <f t="shared" ca="1" si="7"/>
        <v>12.035</v>
      </c>
      <c r="E35" s="134">
        <f ca="1">RANK(T35,T31:T50,1)</f>
        <v>12</v>
      </c>
      <c r="F35" s="187" t="str">
        <f>Calc2!$C$8</f>
        <v>Bayer 04 Leverkusen</v>
      </c>
      <c r="G35" s="1">
        <f ca="1">SUMIFS(OFFSET(Calc2!$H$4,,,$F$26*B29,1),OFFSET(Calc2!$F$4,,,$F$26*B29,1),F35)+SUMIFS(OFFSET(Calc2!$I$4,,,$F$26*B29,1),OFFSET(Calc2!$G$4,,,$F$26*B29,1),F35)</f>
        <v>4</v>
      </c>
      <c r="H35" s="1">
        <f ca="1">SUMIFS(OFFSET(Calc2!$I$4,,,$F$26*B29,1),OFFSET(Calc2!$F$4,,,$F$26*B29,1),F35)+SUMIFS(OFFSET(Calc2!$H$4,,,$F$26*B29,1),OFFSET(Calc2!$G$4,,,$F$26*B29,1),F35)</f>
        <v>5</v>
      </c>
      <c r="I35" s="134">
        <f t="shared" ca="1" si="5"/>
        <v>-1</v>
      </c>
      <c r="J35" s="12">
        <f ca="1">L35*Settings!$C$3+M35+O35</f>
        <v>1</v>
      </c>
      <c r="K35" s="1">
        <f t="shared" ca="1" si="8"/>
        <v>2</v>
      </c>
      <c r="L35" s="1">
        <f t="array" aca="1" ref="L35" ca="1">SUMPRODUCT((OFFSET(Calc2!$F$4,,,$F$26*B29,1)=F35)*(OFFSET(Calc2!$H$4,,,$F$26*B29,1)&gt;OFFSET(Calc2!$I$4,,,$F$26*B29,1)))+SUMPRODUCT((OFFSET(Calc2!$G$4,,,$F$26*B29,1)=F35)*(OFFSET(Calc2!$H$4,,,$F$26*B29,1)&lt;OFFSET(Calc2!$I$4,,,$F$26*B29,1)))</f>
        <v>0</v>
      </c>
      <c r="M35" s="1">
        <f t="array" aca="1" ref="M35" ca="1">SUMPRODUCT((OFFSET(Calc2!$F$4,,,$F$26*B29,2)=F35)*(OFFSET(Calc2!$H$4,,,$F$26*B29,1)=OFFSET(Calc2!$I$4,,,$F$26*B29,1))*(OFFSET(Calc2!$H$4,,,$F$26*B29,1)&lt;&gt;"")*(OFFSET(Calc2!$I$4,,,$F$26*B29,1)&lt;&gt;""))</f>
        <v>1</v>
      </c>
      <c r="N35" s="1">
        <f t="array" aca="1" ref="N35" ca="1">SUMPRODUCT((OFFSET(Calc2!$F$4,,,$F$26*B29,1)=F35)*(OFFSET(Calc2!$H$4,,,$F$26*B29,1)&lt;OFFSET(Calc2!$I$4,,,$F$26*B29,1)))+SUMPRODUCT((OFFSET(Calc2!$G$4,,,$F$26*B29,1)=F35)*(OFFSET(Calc2!$H$4,,,$F$26*B29,1)&gt;OFFSET(Calc2!$I$4,,,$F$26*B29,1)))</f>
        <v>1</v>
      </c>
      <c r="O35" s="132">
        <f ca="1">SUMPRODUCT((F35=OFFSET(Calc2!$F$4,,,$F$26*B29,1))*OFFSET(Calc2!$O$4,,,$F$26*B29,1))+SUMPRODUCT((F35=OFFSET(Calc2!$G$4,,,$F$26*B29,1))*OFFSET(Calc2!$P$4,,,$F$26*B29,1))</f>
        <v>0</v>
      </c>
      <c r="R35" s="13">
        <f t="shared" ca="1" si="6"/>
        <v>1499999004</v>
      </c>
      <c r="S35" s="134">
        <f>Tie_Break!$D$11</f>
        <v>0</v>
      </c>
      <c r="T35" s="9">
        <f ca="1">RANK(R35,R31:R50)+(9-S35)/10000+(F35="")*1000</f>
        <v>12.0009</v>
      </c>
      <c r="U35" s="134"/>
      <c r="V35" s="134">
        <f ca="1">IF($K$24=0,"",IF(VLOOKUP(B35,C31:E50,3,0)=MAX(V$31:V34),VLOOKUP(B35,C31:E50,3,0),B35))</f>
        <v>5</v>
      </c>
      <c r="W35" s="4" t="str">
        <f ca="1">IF($K$24=0,Calc2!$C$8,VLOOKUP(B35,C31:N50,4,0))</f>
        <v>FC St. Pauli</v>
      </c>
      <c r="X35" s="1">
        <f ca="1">INDEX(V4:V23,MATCH(W35,W4:W23,0))</f>
        <v>8</v>
      </c>
      <c r="Y35" s="1">
        <f t="shared" ca="1" si="9"/>
        <v>1</v>
      </c>
    </row>
    <row r="36" spans="2:25" s="2" customFormat="1" x14ac:dyDescent="0.2">
      <c r="B36" s="1">
        <v>6</v>
      </c>
      <c r="C36" s="9">
        <f ca="1">RANK(D36,D31:D50,1)</f>
        <v>4</v>
      </c>
      <c r="D36" s="134">
        <f t="shared" ca="1" si="7"/>
        <v>4.0359999999999996</v>
      </c>
      <c r="E36" s="134">
        <f ca="1">RANK(T36,T31:T50,1)</f>
        <v>4</v>
      </c>
      <c r="F36" s="187" t="str">
        <f>Calc2!$C$9</f>
        <v>Borussia Dortmund</v>
      </c>
      <c r="G36" s="1">
        <f ca="1">SUMIFS(OFFSET(Calc2!$H$4,,,$F$26*B29,1),OFFSET(Calc2!$F$4,,,$F$26*B29,1),F36)+SUMIFS(OFFSET(Calc2!$I$4,,,$F$26*B29,1),OFFSET(Calc2!$G$4,,,$F$26*B29,1),F36)</f>
        <v>6</v>
      </c>
      <c r="H36" s="1">
        <f ca="1">SUMIFS(OFFSET(Calc2!$I$4,,,$F$26*B29,1),OFFSET(Calc2!$F$4,,,$F$26*B29,1),F36)+SUMIFS(OFFSET(Calc2!$H$4,,,$F$26*B29,1),OFFSET(Calc2!$G$4,,,$F$26*B29,1),F36)</f>
        <v>3</v>
      </c>
      <c r="I36" s="134">
        <f t="shared" ca="1" si="5"/>
        <v>3</v>
      </c>
      <c r="J36" s="12">
        <f ca="1">L36*Settings!$C$3+M36+O36</f>
        <v>4</v>
      </c>
      <c r="K36" s="1">
        <f t="shared" ca="1" si="8"/>
        <v>2</v>
      </c>
      <c r="L36" s="1">
        <f t="array" aca="1" ref="L36" ca="1">SUMPRODUCT((OFFSET(Calc2!$F$4,,,$F$26*B29,1)=F36)*(OFFSET(Calc2!$H$4,,,$F$26*B29,1)&gt;OFFSET(Calc2!$I$4,,,$F$26*B29,1)))+SUMPRODUCT((OFFSET(Calc2!$G$4,,,$F$26*B29,1)=F36)*(OFFSET(Calc2!$H$4,,,$F$26*B29,1)&lt;OFFSET(Calc2!$I$4,,,$F$26*B29,1)))</f>
        <v>1</v>
      </c>
      <c r="M36" s="1">
        <f t="array" aca="1" ref="M36" ca="1">SUMPRODUCT((OFFSET(Calc2!$F$4,,,$F$26*B29,2)=F36)*(OFFSET(Calc2!$H$4,,,$F$26*B29,1)=OFFSET(Calc2!$I$4,,,$F$26*B29,1))*(OFFSET(Calc2!$H$4,,,$F$26*B29,1)&lt;&gt;"")*(OFFSET(Calc2!$I$4,,,$F$26*B29,1)&lt;&gt;""))</f>
        <v>1</v>
      </c>
      <c r="N36" s="1">
        <f t="array" aca="1" ref="N36" ca="1">SUMPRODUCT((OFFSET(Calc2!$F$4,,,$F$26*B29,1)=F36)*(OFFSET(Calc2!$H$4,,,$F$26*B29,1)&lt;OFFSET(Calc2!$I$4,,,$F$26*B29,1)))+SUMPRODUCT((OFFSET(Calc2!$G$4,,,$F$26*B29,1)=F36)*(OFFSET(Calc2!$H$4,,,$F$26*B29,1)&gt;OFFSET(Calc2!$I$4,,,$F$26*B29,1)))</f>
        <v>0</v>
      </c>
      <c r="O36" s="132">
        <f ca="1">SUMPRODUCT((F36=OFFSET(Calc2!$F$4,,,$F$26*B29,1))*OFFSET(Calc2!$O$4,,,$F$26*B29,1))+SUMPRODUCT((F36=OFFSET(Calc2!$G$4,,,$F$26*B29,1))*OFFSET(Calc2!$P$4,,,$F$26*B29,1))</f>
        <v>0</v>
      </c>
      <c r="R36" s="13">
        <f t="shared" ca="1" si="6"/>
        <v>4500003006</v>
      </c>
      <c r="S36" s="134">
        <f>Tie_Break!$D$12</f>
        <v>0</v>
      </c>
      <c r="T36" s="9">
        <f ca="1">RANK(R36,R31:R50)+(9-S36)/10000+(F36="")*1000</f>
        <v>4.0008999999999997</v>
      </c>
      <c r="U36" s="134"/>
      <c r="V36" s="134">
        <f ca="1">IF($K$24=0,"",IF(VLOOKUP(B36,C31:E50,3,0)=MAX(V$31:V35),VLOOKUP(B36,C31:E50,3,0),B36))</f>
        <v>6</v>
      </c>
      <c r="W36" s="4" t="str">
        <f ca="1">IF($K$24=0,Calc2!$C$9,VLOOKUP(B36,C31:N50,4,0))</f>
        <v>VfL Wolfsburg</v>
      </c>
      <c r="X36" s="1">
        <f ca="1">INDEX(V4:V23,MATCH(W36,W4:W23,0))</f>
        <v>3</v>
      </c>
      <c r="Y36" s="1">
        <f t="shared" ca="1" si="9"/>
        <v>-1</v>
      </c>
    </row>
    <row r="37" spans="2:25" s="2" customFormat="1" x14ac:dyDescent="0.2">
      <c r="B37" s="1">
        <v>7</v>
      </c>
      <c r="C37" s="9">
        <f ca="1">RANK(D37,D31:D50,1)</f>
        <v>14</v>
      </c>
      <c r="D37" s="134">
        <f t="shared" ca="1" si="7"/>
        <v>14.037000000000001</v>
      </c>
      <c r="E37" s="134">
        <f ca="1">RANK(T37,T31:T50,1)</f>
        <v>14</v>
      </c>
      <c r="F37" s="187" t="str">
        <f>Calc2!$C$10</f>
        <v>Borussia Mönchengladbach</v>
      </c>
      <c r="G37" s="1">
        <f ca="1">SUMIFS(OFFSET(Calc2!$H$4,,,$F$26*B29,1),OFFSET(Calc2!$F$4,,,$F$26*B29,1),F37)+SUMIFS(OFFSET(Calc2!$I$4,,,$F$26*B29,1),OFFSET(Calc2!$G$4,,,$F$26*B29,1),F37)</f>
        <v>0</v>
      </c>
      <c r="H37" s="1">
        <f ca="1">SUMIFS(OFFSET(Calc2!$I$4,,,$F$26*B29,1),OFFSET(Calc2!$F$4,,,$F$26*B29,1),F37)+SUMIFS(OFFSET(Calc2!$H$4,,,$F$26*B29,1),OFFSET(Calc2!$G$4,,,$F$26*B29,1),F37)</f>
        <v>1</v>
      </c>
      <c r="I37" s="134">
        <f t="shared" ca="1" si="5"/>
        <v>-1</v>
      </c>
      <c r="J37" s="12">
        <f ca="1">L37*Settings!$C$3+M37+O37</f>
        <v>1</v>
      </c>
      <c r="K37" s="1">
        <f t="shared" ca="1" si="8"/>
        <v>2</v>
      </c>
      <c r="L37" s="1">
        <f t="array" aca="1" ref="L37" ca="1">SUMPRODUCT((OFFSET(Calc2!$F$4,,,$F$26*B29,1)=F37)*(OFFSET(Calc2!$H$4,,,$F$26*B29,1)&gt;OFFSET(Calc2!$I$4,,,$F$26*B29,1)))+SUMPRODUCT((OFFSET(Calc2!$G$4,,,$F$26*B29,1)=F37)*(OFFSET(Calc2!$H$4,,,$F$26*B29,1)&lt;OFFSET(Calc2!$I$4,,,$F$26*B29,1)))</f>
        <v>0</v>
      </c>
      <c r="M37" s="1">
        <f t="array" aca="1" ref="M37" ca="1">SUMPRODUCT((OFFSET(Calc2!$F$4,,,$F$26*B29,2)=F37)*(OFFSET(Calc2!$H$4,,,$F$26*B29,1)=OFFSET(Calc2!$I$4,,,$F$26*B29,1))*(OFFSET(Calc2!$H$4,,,$F$26*B29,1)&lt;&gt;"")*(OFFSET(Calc2!$I$4,,,$F$26*B29,1)&lt;&gt;""))</f>
        <v>1</v>
      </c>
      <c r="N37" s="1">
        <f t="array" aca="1" ref="N37" ca="1">SUMPRODUCT((OFFSET(Calc2!$F$4,,,$F$26*B29,1)=F37)*(OFFSET(Calc2!$H$4,,,$F$26*B29,1)&lt;OFFSET(Calc2!$I$4,,,$F$26*B29,1)))+SUMPRODUCT((OFFSET(Calc2!$G$4,,,$F$26*B29,1)=F37)*(OFFSET(Calc2!$H$4,,,$F$26*B29,1)&gt;OFFSET(Calc2!$I$4,,,$F$26*B29,1)))</f>
        <v>1</v>
      </c>
      <c r="O37" s="132">
        <f ca="1">SUMPRODUCT((F37=OFFSET(Calc2!$F$4,,,$F$26*B29,1))*OFFSET(Calc2!$O$4,,,$F$26*B29,1))+SUMPRODUCT((F37=OFFSET(Calc2!$G$4,,,$F$26*B29,1))*OFFSET(Calc2!$P$4,,,$F$26*B29,1))</f>
        <v>0</v>
      </c>
      <c r="R37" s="13">
        <f t="shared" ca="1" si="6"/>
        <v>1499999000</v>
      </c>
      <c r="S37" s="134">
        <f>Tie_Break!$D$13</f>
        <v>0</v>
      </c>
      <c r="T37" s="9">
        <f ca="1">RANK(R37,R31:R50)+(9-S37)/10000+(F37="")*1000</f>
        <v>14.0009</v>
      </c>
      <c r="U37" s="134"/>
      <c r="V37" s="134">
        <f ca="1">IF($K$24=0,"",IF(VLOOKUP(B37,C31:E50,3,0)=MAX(V$31:V36),VLOOKUP(B37,C31:E50,3,0),B37))</f>
        <v>7</v>
      </c>
      <c r="W37" s="4" t="str">
        <f ca="1">IF($K$24=0,Calc2!$C$10,VLOOKUP(B37,C31:N50,4,0))</f>
        <v>FC Augsburg</v>
      </c>
      <c r="X37" s="1">
        <f ca="1">INDEX(V4:V23,MATCH(W37,W4:W23,0))</f>
        <v>3</v>
      </c>
      <c r="Y37" s="1">
        <f t="shared" ca="1" si="9"/>
        <v>-1</v>
      </c>
    </row>
    <row r="38" spans="2:25" s="2" customFormat="1" x14ac:dyDescent="0.2">
      <c r="B38" s="1">
        <v>8</v>
      </c>
      <c r="C38" s="9">
        <f ca="1">RANK(D38,D31:D50,1)</f>
        <v>2</v>
      </c>
      <c r="D38" s="134">
        <f t="shared" ca="1" si="7"/>
        <v>2.0379999999999998</v>
      </c>
      <c r="E38" s="134">
        <f ca="1">RANK(T38,T31:T50,1)</f>
        <v>2</v>
      </c>
      <c r="F38" s="187" t="str">
        <f>Calc2!$C$11</f>
        <v>Eintracht Frankfurt</v>
      </c>
      <c r="G38" s="1">
        <f ca="1">SUMIFS(OFFSET(Calc2!$H$4,,,$F$26*B29,1),OFFSET(Calc2!$F$4,,,$F$26*B29,1),F38)+SUMIFS(OFFSET(Calc2!$I$4,,,$F$26*B29,1),OFFSET(Calc2!$G$4,,,$F$26*B29,1),F38)</f>
        <v>7</v>
      </c>
      <c r="H38" s="1">
        <f ca="1">SUMIFS(OFFSET(Calc2!$I$4,,,$F$26*B29,1),OFFSET(Calc2!$F$4,,,$F$26*B29,1),F38)+SUMIFS(OFFSET(Calc2!$H$4,,,$F$26*B29,1),OFFSET(Calc2!$G$4,,,$F$26*B29,1),F38)</f>
        <v>2</v>
      </c>
      <c r="I38" s="134">
        <f t="shared" ca="1" si="5"/>
        <v>5</v>
      </c>
      <c r="J38" s="12">
        <f ca="1">L38*Settings!$C$3+M38+O38</f>
        <v>6</v>
      </c>
      <c r="K38" s="1">
        <f t="shared" ca="1" si="8"/>
        <v>2</v>
      </c>
      <c r="L38" s="1">
        <f t="array" aca="1" ref="L38" ca="1">SUMPRODUCT((OFFSET(Calc2!$F$4,,,$F$26*B29,1)=F38)*(OFFSET(Calc2!$H$4,,,$F$26*B29,1)&gt;OFFSET(Calc2!$I$4,,,$F$26*B29,1)))+SUMPRODUCT((OFFSET(Calc2!$G$4,,,$F$26*B29,1)=F38)*(OFFSET(Calc2!$H$4,,,$F$26*B29,1)&lt;OFFSET(Calc2!$I$4,,,$F$26*B29,1)))</f>
        <v>2</v>
      </c>
      <c r="M38" s="1">
        <f t="array" aca="1" ref="M38" ca="1">SUMPRODUCT((OFFSET(Calc2!$F$4,,,$F$26*B29,2)=F38)*(OFFSET(Calc2!$H$4,,,$F$26*B29,1)=OFFSET(Calc2!$I$4,,,$F$26*B29,1))*(OFFSET(Calc2!$H$4,,,$F$26*B29,1)&lt;&gt;"")*(OFFSET(Calc2!$I$4,,,$F$26*B29,1)&lt;&gt;""))</f>
        <v>0</v>
      </c>
      <c r="N38" s="1">
        <f t="array" aca="1" ref="N38" ca="1">SUMPRODUCT((OFFSET(Calc2!$F$4,,,$F$26*B29,1)=F38)*(OFFSET(Calc2!$H$4,,,$F$26*B29,1)&lt;OFFSET(Calc2!$I$4,,,$F$26*B29,1)))+SUMPRODUCT((OFFSET(Calc2!$G$4,,,$F$26*B29,1)=F38)*(OFFSET(Calc2!$H$4,,,$F$26*B29,1)&gt;OFFSET(Calc2!$I$4,,,$F$26*B29,1)))</f>
        <v>0</v>
      </c>
      <c r="O38" s="132">
        <f ca="1">SUMPRODUCT((F38=OFFSET(Calc2!$F$4,,,$F$26*B29,1))*OFFSET(Calc2!$O$4,,,$F$26*B29,1))+SUMPRODUCT((F38=OFFSET(Calc2!$G$4,,,$F$26*B29,1))*OFFSET(Calc2!$P$4,,,$F$26*B29,1))</f>
        <v>0</v>
      </c>
      <c r="R38" s="13">
        <f t="shared" ca="1" si="6"/>
        <v>6500005007</v>
      </c>
      <c r="S38" s="134">
        <f>Tie_Break!$D$14</f>
        <v>0</v>
      </c>
      <c r="T38" s="9">
        <f ca="1">RANK(R38,R31:R50)+(9-S38)/10000+(F38="")*1000</f>
        <v>2.0009000000000001</v>
      </c>
      <c r="U38" s="134"/>
      <c r="V38" s="134">
        <f ca="1">IF($K$24=0,"",IF(VLOOKUP(B38,C31:E50,3,0)=MAX(V$31:V37),VLOOKUP(B38,C31:E50,3,0),B38))</f>
        <v>8</v>
      </c>
      <c r="W38" s="4" t="str">
        <f ca="1">IF($K$24=0,Calc2!$C$11,VLOOKUP(B38,C31:N50,4,0))</f>
        <v>VfB Stuttgart</v>
      </c>
      <c r="X38" s="1">
        <f ca="1">INDEX(V4:V23,MATCH(W38,W4:W23,0))</f>
        <v>12</v>
      </c>
      <c r="Y38" s="1">
        <f t="shared" ca="1" si="9"/>
        <v>1</v>
      </c>
    </row>
    <row r="39" spans="2:25" s="2" customFormat="1" x14ac:dyDescent="0.2">
      <c r="B39" s="1">
        <v>9</v>
      </c>
      <c r="C39" s="9">
        <f ca="1">RANK(D39,D31:D50,1)</f>
        <v>7</v>
      </c>
      <c r="D39" s="134">
        <f t="shared" ca="1" si="7"/>
        <v>7.0389999999999997</v>
      </c>
      <c r="E39" s="134">
        <f ca="1">RANK(T39,T31:T50,1)</f>
        <v>7</v>
      </c>
      <c r="F39" s="187" t="str">
        <f>Calc2!$C$12</f>
        <v>FC Augsburg</v>
      </c>
      <c r="G39" s="1">
        <f ca="1">SUMIFS(OFFSET(Calc2!$H$4,,,$F$26*B29,1),OFFSET(Calc2!$F$4,,,$F$26*B29,1),F39)+SUMIFS(OFFSET(Calc2!$I$4,,,$F$26*B29,1),OFFSET(Calc2!$G$4,,,$F$26*B29,1),F39)</f>
        <v>5</v>
      </c>
      <c r="H39" s="1">
        <f ca="1">SUMIFS(OFFSET(Calc2!$I$4,,,$F$26*B29,1),OFFSET(Calc2!$F$4,,,$F$26*B29,1),F39)+SUMIFS(OFFSET(Calc2!$H$4,,,$F$26*B29,1),OFFSET(Calc2!$G$4,,,$F$26*B29,1),F39)</f>
        <v>4</v>
      </c>
      <c r="I39" s="134">
        <f t="shared" ca="1" si="5"/>
        <v>1</v>
      </c>
      <c r="J39" s="12">
        <f ca="1">L39*Settings!$C$3+M39+O39</f>
        <v>3</v>
      </c>
      <c r="K39" s="1">
        <f t="shared" ca="1" si="8"/>
        <v>2</v>
      </c>
      <c r="L39" s="1">
        <f t="array" aca="1" ref="L39" ca="1">SUMPRODUCT((OFFSET(Calc2!$F$4,,,$F$26*B29,1)=F39)*(OFFSET(Calc2!$H$4,,,$F$26*B29,1)&gt;OFFSET(Calc2!$I$4,,,$F$26*B29,1)))+SUMPRODUCT((OFFSET(Calc2!$G$4,,,$F$26*B29,1)=F39)*(OFFSET(Calc2!$H$4,,,$F$26*B29,1)&lt;OFFSET(Calc2!$I$4,,,$F$26*B29,1)))</f>
        <v>1</v>
      </c>
      <c r="M39" s="1">
        <f t="array" aca="1" ref="M39" ca="1">SUMPRODUCT((OFFSET(Calc2!$F$4,,,$F$26*B29,2)=F39)*(OFFSET(Calc2!$H$4,,,$F$26*B29,1)=OFFSET(Calc2!$I$4,,,$F$26*B29,1))*(OFFSET(Calc2!$H$4,,,$F$26*B29,1)&lt;&gt;"")*(OFFSET(Calc2!$I$4,,,$F$26*B29,1)&lt;&gt;""))</f>
        <v>0</v>
      </c>
      <c r="N39" s="1">
        <f t="array" aca="1" ref="N39" ca="1">SUMPRODUCT((OFFSET(Calc2!$F$4,,,$F$26*B29,1)=F39)*(OFFSET(Calc2!$H$4,,,$F$26*B29,1)&lt;OFFSET(Calc2!$I$4,,,$F$26*B29,1)))+SUMPRODUCT((OFFSET(Calc2!$G$4,,,$F$26*B29,1)=F39)*(OFFSET(Calc2!$H$4,,,$F$26*B29,1)&gt;OFFSET(Calc2!$I$4,,,$F$26*B29,1)))</f>
        <v>1</v>
      </c>
      <c r="O39" s="132">
        <f ca="1">SUMPRODUCT((F39=OFFSET(Calc2!$F$4,,,$F$26*B29,1))*OFFSET(Calc2!$O$4,,,$F$26*B29,1))+SUMPRODUCT((F39=OFFSET(Calc2!$G$4,,,$F$26*B29,1))*OFFSET(Calc2!$P$4,,,$F$26*B29,1))</f>
        <v>0</v>
      </c>
      <c r="R39" s="13">
        <f t="shared" ca="1" si="6"/>
        <v>3500001005</v>
      </c>
      <c r="S39" s="134">
        <f>Tie_Break!$D$15</f>
        <v>0</v>
      </c>
      <c r="T39" s="9">
        <f ca="1">RANK(R39,R31:R50)+(9-S39)/10000+(F39="")*1000</f>
        <v>7.0008999999999997</v>
      </c>
      <c r="U39" s="134"/>
      <c r="V39" s="134">
        <f ca="1">IF($K$24=0,"",IF(VLOOKUP(B39,C31:E50,3,0)=MAX(V$31:V38),VLOOKUP(B39,C31:E50,3,0),B39))</f>
        <v>9</v>
      </c>
      <c r="W39" s="4" t="str">
        <f ca="1">IF($K$24=0,Calc2!$C$12,VLOOKUP(B39,C31:N50,4,0))</f>
        <v>TSG Hoffenheim</v>
      </c>
      <c r="X39" s="1">
        <f ca="1">INDEX(V4:V23,MATCH(W39,W4:W23,0))</f>
        <v>5</v>
      </c>
      <c r="Y39" s="1">
        <f t="shared" ca="1" si="9"/>
        <v>-1</v>
      </c>
    </row>
    <row r="40" spans="2:25" s="2" customFormat="1" x14ac:dyDescent="0.2">
      <c r="B40" s="1">
        <v>10</v>
      </c>
      <c r="C40" s="9">
        <f ca="1">RANK(D40,D31:D50,1)</f>
        <v>1</v>
      </c>
      <c r="D40" s="134">
        <f t="shared" ca="1" si="7"/>
        <v>1.04</v>
      </c>
      <c r="E40" s="134">
        <f ca="1">RANK(T40,T31:T50,1)</f>
        <v>1</v>
      </c>
      <c r="F40" s="187" t="str">
        <f>Calc2!$C$13</f>
        <v>FC Bayern München</v>
      </c>
      <c r="G40" s="1">
        <f ca="1">SUMIFS(OFFSET(Calc2!$H$4,,,$F$26*B29,1),OFFSET(Calc2!$F$4,,,$F$26*B29,1),F40)+SUMIFS(OFFSET(Calc2!$I$4,,,$F$26*B29,1),OFFSET(Calc2!$G$4,,,$F$26*B29,1),F40)</f>
        <v>9</v>
      </c>
      <c r="H40" s="1">
        <f ca="1">SUMIFS(OFFSET(Calc2!$I$4,,,$F$26*B29,1),OFFSET(Calc2!$F$4,,,$F$26*B29,1),F40)+SUMIFS(OFFSET(Calc2!$H$4,,,$F$26*B29,1),OFFSET(Calc2!$G$4,,,$F$26*B29,1),F40)</f>
        <v>2</v>
      </c>
      <c r="I40" s="134">
        <f t="shared" ca="1" si="5"/>
        <v>7</v>
      </c>
      <c r="J40" s="12">
        <f ca="1">L40*Settings!$C$3+M40+O40</f>
        <v>6</v>
      </c>
      <c r="K40" s="1">
        <f t="shared" ca="1" si="8"/>
        <v>2</v>
      </c>
      <c r="L40" s="1">
        <f t="array" aca="1" ref="L40" ca="1">SUMPRODUCT((OFFSET(Calc2!$F$4,,,$F$26*B29,1)=F40)*(OFFSET(Calc2!$H$4,,,$F$26*B29,1)&gt;OFFSET(Calc2!$I$4,,,$F$26*B29,1)))+SUMPRODUCT((OFFSET(Calc2!$G$4,,,$F$26*B29,1)=F40)*(OFFSET(Calc2!$H$4,,,$F$26*B29,1)&lt;OFFSET(Calc2!$I$4,,,$F$26*B29,1)))</f>
        <v>2</v>
      </c>
      <c r="M40" s="1">
        <f t="array" aca="1" ref="M40" ca="1">SUMPRODUCT((OFFSET(Calc2!$F$4,,,$F$26*B29,2)=F40)*(OFFSET(Calc2!$H$4,,,$F$26*B29,1)=OFFSET(Calc2!$I$4,,,$F$26*B29,1))*(OFFSET(Calc2!$H$4,,,$F$26*B29,1)&lt;&gt;"")*(OFFSET(Calc2!$I$4,,,$F$26*B29,1)&lt;&gt;""))</f>
        <v>0</v>
      </c>
      <c r="N40" s="1">
        <f t="array" aca="1" ref="N40" ca="1">SUMPRODUCT((OFFSET(Calc2!$F$4,,,$F$26*B29,1)=F40)*(OFFSET(Calc2!$H$4,,,$F$26*B29,1)&lt;OFFSET(Calc2!$I$4,,,$F$26*B29,1)))+SUMPRODUCT((OFFSET(Calc2!$G$4,,,$F$26*B29,1)=F40)*(OFFSET(Calc2!$H$4,,,$F$26*B29,1)&gt;OFFSET(Calc2!$I$4,,,$F$26*B29,1)))</f>
        <v>0</v>
      </c>
      <c r="O40" s="132">
        <f ca="1">SUMPRODUCT((F40=OFFSET(Calc2!$F$4,,,$F$26*B29,1))*OFFSET(Calc2!$O$4,,,$F$26*B29,1))+SUMPRODUCT((F40=OFFSET(Calc2!$G$4,,,$F$26*B29,1))*OFFSET(Calc2!$P$4,,,$F$26*B29,1))</f>
        <v>0</v>
      </c>
      <c r="R40" s="13">
        <f t="shared" ca="1" si="6"/>
        <v>6500007009</v>
      </c>
      <c r="S40" s="134">
        <f>Tie_Break!$D$16</f>
        <v>0</v>
      </c>
      <c r="T40" s="9">
        <f ca="1">RANK(R40,R31:R50)+(9-S40)/10000+(F40="")*1000</f>
        <v>1.0008999999999999</v>
      </c>
      <c r="V40" s="134">
        <f ca="1">IF($K$24=0,"",IF(VLOOKUP(B40,C31:E50,3,0)=MAX(V$31:V39),VLOOKUP(B40,C31:E50,3,0),B40))</f>
        <v>10</v>
      </c>
      <c r="W40" s="4" t="str">
        <f ca="1">IF($K$24=0,Calc2!$C$13,VLOOKUP(B40,C31:N50,4,0))</f>
        <v>1. FC Union Berlin</v>
      </c>
      <c r="X40" s="1">
        <f ca="1">INDEX(V4:V23,MATCH(W40,W4:W23,0))</f>
        <v>5</v>
      </c>
      <c r="Y40" s="1">
        <f t="shared" ca="1" si="9"/>
        <v>-1</v>
      </c>
    </row>
    <row r="41" spans="2:25" s="2" customFormat="1" x14ac:dyDescent="0.2">
      <c r="B41" s="1">
        <v>11</v>
      </c>
      <c r="C41" s="9">
        <f ca="1">RANK(D41,D31:D50,1)</f>
        <v>5</v>
      </c>
      <c r="D41" s="134">
        <f t="shared" ca="1" si="7"/>
        <v>5.0410000000000004</v>
      </c>
      <c r="E41" s="134">
        <f ca="1">RANK(T41,T31:T50,1)</f>
        <v>5</v>
      </c>
      <c r="F41" s="187" t="str">
        <f>Calc2!$C$14</f>
        <v>FC St. Pauli</v>
      </c>
      <c r="G41" s="1">
        <f ca="1">SUMIFS(OFFSET(Calc2!$H$4,,,$F$26*B29,1),OFFSET(Calc2!$F$4,,,$F$26*B29,1),F41)+SUMIFS(OFFSET(Calc2!$I$4,,,$F$26*B29,1),OFFSET(Calc2!$G$4,,,$F$26*B29,1),F41)</f>
        <v>5</v>
      </c>
      <c r="H41" s="1">
        <f ca="1">SUMIFS(OFFSET(Calc2!$I$4,,,$F$26*B29,1),OFFSET(Calc2!$F$4,,,$F$26*B29,1),F41)+SUMIFS(OFFSET(Calc2!$H$4,,,$F$26*B29,1),OFFSET(Calc2!$G$4,,,$F$26*B29,1),F41)</f>
        <v>3</v>
      </c>
      <c r="I41" s="134">
        <f t="shared" ca="1" si="5"/>
        <v>2</v>
      </c>
      <c r="J41" s="12">
        <f ca="1">L41*Settings!$C$3+M41+O41</f>
        <v>4</v>
      </c>
      <c r="K41" s="1">
        <f t="shared" ca="1" si="8"/>
        <v>2</v>
      </c>
      <c r="L41" s="1">
        <f t="array" aca="1" ref="L41" ca="1">SUMPRODUCT((OFFSET(Calc2!$F$4,,,$F$26*B29,1)=F41)*(OFFSET(Calc2!$H$4,,,$F$26*B29,1)&gt;OFFSET(Calc2!$I$4,,,$F$26*B29,1)))+SUMPRODUCT((OFFSET(Calc2!$G$4,,,$F$26*B29,1)=F41)*(OFFSET(Calc2!$H$4,,,$F$26*B29,1)&lt;OFFSET(Calc2!$I$4,,,$F$26*B29,1)))</f>
        <v>1</v>
      </c>
      <c r="M41" s="1">
        <f t="array" aca="1" ref="M41" ca="1">SUMPRODUCT((OFFSET(Calc2!$F$4,,,$F$26*B29,2)=F41)*(OFFSET(Calc2!$H$4,,,$F$26*B29,1)=OFFSET(Calc2!$I$4,,,$F$26*B29,1))*(OFFSET(Calc2!$H$4,,,$F$26*B29,1)&lt;&gt;"")*(OFFSET(Calc2!$I$4,,,$F$26*B29,1)&lt;&gt;""))</f>
        <v>1</v>
      </c>
      <c r="N41" s="1">
        <f t="array" aca="1" ref="N41" ca="1">SUMPRODUCT((OFFSET(Calc2!$F$4,,,$F$26*B29,1)=F41)*(OFFSET(Calc2!$H$4,,,$F$26*B29,1)&lt;OFFSET(Calc2!$I$4,,,$F$26*B29,1)))+SUMPRODUCT((OFFSET(Calc2!$G$4,,,$F$26*B29,1)=F41)*(OFFSET(Calc2!$H$4,,,$F$26*B29,1)&gt;OFFSET(Calc2!$I$4,,,$F$26*B29,1)))</f>
        <v>0</v>
      </c>
      <c r="O41" s="132">
        <f ca="1">SUMPRODUCT((F41=OFFSET(Calc2!$F$4,,,$F$26*B29,1))*OFFSET(Calc2!$O$4,,,$F$26*B29,1))+SUMPRODUCT((F41=OFFSET(Calc2!$G$4,,,$F$26*B29,1))*OFFSET(Calc2!$P$4,,,$F$26*B29,1))</f>
        <v>0</v>
      </c>
      <c r="R41" s="13">
        <f t="shared" ca="1" si="6"/>
        <v>4500002005</v>
      </c>
      <c r="S41" s="134">
        <f>Tie_Break!$D$17</f>
        <v>0</v>
      </c>
      <c r="T41" s="9">
        <f ca="1">RANK(R41,R31:R50)+(9-S41)/10000+(F41="")*1000</f>
        <v>5.0008999999999997</v>
      </c>
      <c r="V41" s="134">
        <f ca="1">IF($K$24=0,"",IF(VLOOKUP(B41,C31:E50,3,0)=MAX(V$31:V40),VLOOKUP(B41,C31:E50,3,0),B41))</f>
        <v>11</v>
      </c>
      <c r="W41" s="4" t="str">
        <f ca="1">IF($K$24=0,Calc2!$C$14,VLOOKUP(B41,C31:N50,4,0))</f>
        <v>RB Leipzig</v>
      </c>
      <c r="X41" s="1">
        <f ca="1">INDEX(V4:V23,MATCH(W41,W4:W23,0))</f>
        <v>18</v>
      </c>
      <c r="Y41" s="1">
        <f t="shared" ca="1" si="9"/>
        <v>1</v>
      </c>
    </row>
    <row r="42" spans="2:25" s="2" customFormat="1" x14ac:dyDescent="0.2">
      <c r="B42" s="1">
        <v>12</v>
      </c>
      <c r="C42" s="9">
        <f ca="1">RANK(D42,D31:D50,1)</f>
        <v>15</v>
      </c>
      <c r="D42" s="134">
        <f t="shared" ca="1" si="7"/>
        <v>15.042</v>
      </c>
      <c r="E42" s="134">
        <f ca="1">RANK(T42,T31:T50,1)</f>
        <v>15</v>
      </c>
      <c r="F42" s="187" t="str">
        <f>Calc2!$C$15</f>
        <v>Hamburger SV</v>
      </c>
      <c r="G42" s="1">
        <f ca="1">SUMIFS(OFFSET(Calc2!$H$4,,,$F$26*B29,1),OFFSET(Calc2!$F$4,,,$F$26*B29,1),F42)+SUMIFS(OFFSET(Calc2!$I$4,,,$F$26*B29,1),OFFSET(Calc2!$G$4,,,$F$26*B29,1),F42)</f>
        <v>0</v>
      </c>
      <c r="H42" s="1">
        <f ca="1">SUMIFS(OFFSET(Calc2!$I$4,,,$F$26*B29,1),OFFSET(Calc2!$F$4,,,$F$26*B29,1),F42)+SUMIFS(OFFSET(Calc2!$H$4,,,$F$26*B29,1),OFFSET(Calc2!$G$4,,,$F$26*B29,1),F42)</f>
        <v>2</v>
      </c>
      <c r="I42" s="134">
        <f t="shared" ca="1" si="5"/>
        <v>-2</v>
      </c>
      <c r="J42" s="12">
        <f ca="1">L42*Settings!$C$3+M42+O42</f>
        <v>1</v>
      </c>
      <c r="K42" s="1">
        <f t="shared" ca="1" si="8"/>
        <v>2</v>
      </c>
      <c r="L42" s="1">
        <f t="array" aca="1" ref="L42" ca="1">SUMPRODUCT((OFFSET(Calc2!$F$4,,,$F$26*B29,1)=F42)*(OFFSET(Calc2!$H$4,,,$F$26*B29,1)&gt;OFFSET(Calc2!$I$4,,,$F$26*B29,1)))+SUMPRODUCT((OFFSET(Calc2!$G$4,,,$F$26*B29,1)=F42)*(OFFSET(Calc2!$H$4,,,$F$26*B29,1)&lt;OFFSET(Calc2!$I$4,,,$F$26*B29,1)))</f>
        <v>0</v>
      </c>
      <c r="M42" s="1">
        <f t="array" aca="1" ref="M42" ca="1">SUMPRODUCT((OFFSET(Calc2!$F$4,,,$F$26*B29,2)=F42)*(OFFSET(Calc2!$H$4,,,$F$26*B29,1)=OFFSET(Calc2!$I$4,,,$F$26*B29,1))*(OFFSET(Calc2!$H$4,,,$F$26*B29,1)&lt;&gt;"")*(OFFSET(Calc2!$I$4,,,$F$26*B29,1)&lt;&gt;""))</f>
        <v>1</v>
      </c>
      <c r="N42" s="1">
        <f t="array" aca="1" ref="N42" ca="1">SUMPRODUCT((OFFSET(Calc2!$F$4,,,$F$26*B29,1)=F42)*(OFFSET(Calc2!$H$4,,,$F$26*B29,1)&lt;OFFSET(Calc2!$I$4,,,$F$26*B29,1)))+SUMPRODUCT((OFFSET(Calc2!$G$4,,,$F$26*B29,1)=F42)*(OFFSET(Calc2!$H$4,,,$F$26*B29,1)&gt;OFFSET(Calc2!$I$4,,,$F$26*B29,1)))</f>
        <v>1</v>
      </c>
      <c r="O42" s="132">
        <f ca="1">SUMPRODUCT((F42=OFFSET(Calc2!$F$4,,,$F$26*B29,1))*OFFSET(Calc2!$O$4,,,$F$26*B29,1))+SUMPRODUCT((F42=OFFSET(Calc2!$G$4,,,$F$26*B29,1))*OFFSET(Calc2!$P$4,,,$F$26*B29,1))</f>
        <v>0</v>
      </c>
      <c r="R42" s="13">
        <f t="shared" ca="1" si="6"/>
        <v>1499998000</v>
      </c>
      <c r="S42" s="134">
        <f>Tie_Break!$D$18</f>
        <v>0</v>
      </c>
      <c r="T42" s="9">
        <f ca="1">RANK(R42,R31:R50)+(9-S42)/10000+(F42="")*1000</f>
        <v>15.0009</v>
      </c>
      <c r="V42" s="134">
        <f ca="1">IF($K$24=0,"",IF(VLOOKUP(B42,C31:E50,3,0)=MAX(V$31:V41),VLOOKUP(B42,C31:E50,3,0),B42))</f>
        <v>12</v>
      </c>
      <c r="W42" s="4" t="str">
        <f ca="1">IF($K$24=0,Calc2!$C$15,VLOOKUP(B42,C31:N50,4,0))</f>
        <v>Bayer 04 Leverkusen</v>
      </c>
      <c r="X42" s="1">
        <f ca="1">INDEX(V4:V23,MATCH(W42,W4:W23,0))</f>
        <v>12</v>
      </c>
      <c r="Y42" s="1">
        <f t="shared" ca="1" si="9"/>
        <v>0</v>
      </c>
    </row>
    <row r="43" spans="2:25" s="2" customFormat="1" x14ac:dyDescent="0.2">
      <c r="B43" s="1">
        <v>13</v>
      </c>
      <c r="C43" s="9">
        <f ca="1">RANK(D43,D31:D50,1)</f>
        <v>11</v>
      </c>
      <c r="D43" s="134">
        <f t="shared" ca="1" si="7"/>
        <v>11.042999999999999</v>
      </c>
      <c r="E43" s="134">
        <f ca="1">RANK(T43,T31:T50,1)</f>
        <v>11</v>
      </c>
      <c r="F43" s="187" t="str">
        <f>Calc2!$C$16</f>
        <v>RB Leipzig</v>
      </c>
      <c r="G43" s="1">
        <f ca="1">SUMIFS(OFFSET(Calc2!$H$4,,,$F$26*B29,1),OFFSET(Calc2!$F$4,,,$F$26*B29,1),F43)+SUMIFS(OFFSET(Calc2!$I$4,,,$F$26*B29,1),OFFSET(Calc2!$G$4,,,$F$26*B29,1),F43)</f>
        <v>2</v>
      </c>
      <c r="H43" s="1">
        <f ca="1">SUMIFS(OFFSET(Calc2!$I$4,,,$F$26*B29,1),OFFSET(Calc2!$F$4,,,$F$26*B29,1),F43)+SUMIFS(OFFSET(Calc2!$H$4,,,$F$26*B29,1),OFFSET(Calc2!$G$4,,,$F$26*B29,1),F43)</f>
        <v>6</v>
      </c>
      <c r="I43" s="134">
        <f t="shared" ca="1" si="5"/>
        <v>-4</v>
      </c>
      <c r="J43" s="12">
        <f ca="1">L43*Settings!$C$3+M43+O43</f>
        <v>3</v>
      </c>
      <c r="K43" s="1">
        <f t="shared" ca="1" si="8"/>
        <v>2</v>
      </c>
      <c r="L43" s="1">
        <f t="array" aca="1" ref="L43" ca="1">SUMPRODUCT((OFFSET(Calc2!$F$4,,,$F$26*B29,1)=F43)*(OFFSET(Calc2!$H$4,,,$F$26*B29,1)&gt;OFFSET(Calc2!$I$4,,,$F$26*B29,1)))+SUMPRODUCT((OFFSET(Calc2!$G$4,,,$F$26*B29,1)=F43)*(OFFSET(Calc2!$H$4,,,$F$26*B29,1)&lt;OFFSET(Calc2!$I$4,,,$F$26*B29,1)))</f>
        <v>1</v>
      </c>
      <c r="M43" s="1">
        <f t="array" aca="1" ref="M43" ca="1">SUMPRODUCT((OFFSET(Calc2!$F$4,,,$F$26*B29,2)=F43)*(OFFSET(Calc2!$H$4,,,$F$26*B29,1)=OFFSET(Calc2!$I$4,,,$F$26*B29,1))*(OFFSET(Calc2!$H$4,,,$F$26*B29,1)&lt;&gt;"")*(OFFSET(Calc2!$I$4,,,$F$26*B29,1)&lt;&gt;""))</f>
        <v>0</v>
      </c>
      <c r="N43" s="1">
        <f t="array" aca="1" ref="N43" ca="1">SUMPRODUCT((OFFSET(Calc2!$F$4,,,$F$26*B29,1)=F43)*(OFFSET(Calc2!$H$4,,,$F$26*B29,1)&lt;OFFSET(Calc2!$I$4,,,$F$26*B29,1)))+SUMPRODUCT((OFFSET(Calc2!$G$4,,,$F$26*B29,1)=F43)*(OFFSET(Calc2!$H$4,,,$F$26*B29,1)&gt;OFFSET(Calc2!$I$4,,,$F$26*B29,1)))</f>
        <v>1</v>
      </c>
      <c r="O43" s="132">
        <f ca="1">SUMPRODUCT((F43=OFFSET(Calc2!$F$4,,,$F$26*B29,1))*OFFSET(Calc2!$O$4,,,$F$26*B29,1))+SUMPRODUCT((F43=OFFSET(Calc2!$G$4,,,$F$26*B29,1))*OFFSET(Calc2!$P$4,,,$F$26*B29,1))</f>
        <v>0</v>
      </c>
      <c r="R43" s="13">
        <f t="shared" ca="1" si="6"/>
        <v>3499996002</v>
      </c>
      <c r="S43" s="134">
        <f>Tie_Break!$D$19</f>
        <v>0</v>
      </c>
      <c r="T43" s="9">
        <f ca="1">RANK(R43,R31:R50)+(9-S43)/10000+(F43="")*1000</f>
        <v>11.0009</v>
      </c>
      <c r="U43" s="1"/>
      <c r="V43" s="134">
        <f ca="1">IF($K$24=0,"",IF(VLOOKUP(B43,C31:E50,3,0)=MAX(V$31:V42),VLOOKUP(B43,C31:E50,3,0),B43))</f>
        <v>13</v>
      </c>
      <c r="W43" s="4" t="str">
        <f ca="1">IF($K$24=0,Calc2!$C$16,VLOOKUP(B43,C31:N50,4,0))</f>
        <v>1. FSV Mainz 05</v>
      </c>
      <c r="X43" s="1">
        <f ca="1">INDEX(V4:V23,MATCH(W43,W4:W23,0))</f>
        <v>14</v>
      </c>
      <c r="Y43" s="1">
        <f t="shared" ca="1" si="9"/>
        <v>1</v>
      </c>
    </row>
    <row r="44" spans="2:25" s="2" customFormat="1" x14ac:dyDescent="0.2">
      <c r="B44" s="1">
        <v>14</v>
      </c>
      <c r="C44" s="9">
        <f ca="1">RANK(D44,D31:D50,1)</f>
        <v>18</v>
      </c>
      <c r="D44" s="134">
        <f t="shared" ca="1" si="7"/>
        <v>18.044</v>
      </c>
      <c r="E44" s="134">
        <f ca="1">RANK(T44,T31:T50,1)</f>
        <v>18</v>
      </c>
      <c r="F44" s="187" t="str">
        <f>Calc2!$C$17</f>
        <v>SC Freiburg</v>
      </c>
      <c r="G44" s="1">
        <f ca="1">SUMIFS(OFFSET(Calc2!$H$4,,,$F$26*B29,1),OFFSET(Calc2!$F$4,,,$F$26*B29,1),F44)+SUMIFS(OFFSET(Calc2!$I$4,,,$F$26*B29,1),OFFSET(Calc2!$G$4,,,$F$26*B29,1),F44)</f>
        <v>2</v>
      </c>
      <c r="H44" s="1">
        <f ca="1">SUMIFS(OFFSET(Calc2!$I$4,,,$F$26*B29,1),OFFSET(Calc2!$F$4,,,$F$26*B29,1),F44)+SUMIFS(OFFSET(Calc2!$H$4,,,$F$26*B29,1),OFFSET(Calc2!$G$4,,,$F$26*B29,1),F44)</f>
        <v>7</v>
      </c>
      <c r="I44" s="134">
        <f t="shared" ca="1" si="5"/>
        <v>-5</v>
      </c>
      <c r="J44" s="12">
        <f ca="1">L44*Settings!$C$3+M44+O44</f>
        <v>0</v>
      </c>
      <c r="K44" s="1">
        <f t="shared" ca="1" si="8"/>
        <v>2</v>
      </c>
      <c r="L44" s="1">
        <f t="array" aca="1" ref="L44" ca="1">SUMPRODUCT((OFFSET(Calc2!$F$4,,,$F$26*B29,1)=F44)*(OFFSET(Calc2!$H$4,,,$F$26*B29,1)&gt;OFFSET(Calc2!$I$4,,,$F$26*B29,1)))+SUMPRODUCT((OFFSET(Calc2!$G$4,,,$F$26*B29,1)=F44)*(OFFSET(Calc2!$H$4,,,$F$26*B29,1)&lt;OFFSET(Calc2!$I$4,,,$F$26*B29,1)))</f>
        <v>0</v>
      </c>
      <c r="M44" s="1">
        <f t="array" aca="1" ref="M44" ca="1">SUMPRODUCT((OFFSET(Calc2!$F$4,,,$F$26*B29,2)=F44)*(OFFSET(Calc2!$H$4,,,$F$26*B29,1)=OFFSET(Calc2!$I$4,,,$F$26*B29,1))*(OFFSET(Calc2!$H$4,,,$F$26*B29,1)&lt;&gt;"")*(OFFSET(Calc2!$I$4,,,$F$26*B29,1)&lt;&gt;""))</f>
        <v>0</v>
      </c>
      <c r="N44" s="1">
        <f t="array" aca="1" ref="N44" ca="1">SUMPRODUCT((OFFSET(Calc2!$F$4,,,$F$26*B29,1)=F44)*(OFFSET(Calc2!$H$4,,,$F$26*B29,1)&lt;OFFSET(Calc2!$I$4,,,$F$26*B29,1)))+SUMPRODUCT((OFFSET(Calc2!$G$4,,,$F$26*B29,1)=F44)*(OFFSET(Calc2!$H$4,,,$F$26*B29,1)&gt;OFFSET(Calc2!$I$4,,,$F$26*B29,1)))</f>
        <v>2</v>
      </c>
      <c r="O44" s="132">
        <f ca="1">SUMPRODUCT((F44=OFFSET(Calc2!$F$4,,,$F$26*B29,1))*OFFSET(Calc2!$O$4,,,$F$26*B29,1))+SUMPRODUCT((F44=OFFSET(Calc2!$G$4,,,$F$26*B29,1))*OFFSET(Calc2!$P$4,,,$F$26*B29,1))</f>
        <v>0</v>
      </c>
      <c r="R44" s="13">
        <f t="shared" ca="1" si="6"/>
        <v>499995002</v>
      </c>
      <c r="S44" s="134">
        <f>Tie_Break!$D$20</f>
        <v>0</v>
      </c>
      <c r="T44" s="9">
        <f ca="1">RANK(R44,R31:R50)+(9-S44)/10000+(F44="")*1000</f>
        <v>20.000900000000001</v>
      </c>
      <c r="V44" s="134">
        <f ca="1">IF($K$24=0,"",IF(VLOOKUP(B44,C31:E50,3,0)=MAX(V$31:V43),VLOOKUP(B44,C31:E50,3,0),B44))</f>
        <v>14</v>
      </c>
      <c r="W44" s="4" t="str">
        <f ca="1">IF($K$24=0,Calc2!$C$17,VLOOKUP(B44,C31:N50,4,0))</f>
        <v>Borussia Mönchengladbach</v>
      </c>
      <c r="X44" s="1">
        <f ca="1">INDEX(V4:V23,MATCH(W44,W4:W23,0))</f>
        <v>10</v>
      </c>
      <c r="Y44" s="1">
        <f t="shared" ca="1" si="9"/>
        <v>-1</v>
      </c>
    </row>
    <row r="45" spans="2:25" s="2" customFormat="1" x14ac:dyDescent="0.2">
      <c r="B45" s="1">
        <v>15</v>
      </c>
      <c r="C45" s="9">
        <f ca="1">RANK(D45,D31:D50,1)</f>
        <v>16</v>
      </c>
      <c r="D45" s="134">
        <f t="shared" ca="1" si="7"/>
        <v>16.045000000000002</v>
      </c>
      <c r="E45" s="134">
        <f ca="1">RANK(T45,T31:T50,1)</f>
        <v>16</v>
      </c>
      <c r="F45" s="187" t="str">
        <f>Calc2!$C$18</f>
        <v>SV Werder Bremen</v>
      </c>
      <c r="G45" s="1">
        <f ca="1">SUMIFS(OFFSET(Calc2!$H$4,,,$F$26*B29,1),OFFSET(Calc2!$F$4,,,$F$26*B29,1),F45)+SUMIFS(OFFSET(Calc2!$I$4,,,$F$26*B29,1),OFFSET(Calc2!$G$4,,,$F$26*B29,1),F45)</f>
        <v>4</v>
      </c>
      <c r="H45" s="1">
        <f ca="1">SUMIFS(OFFSET(Calc2!$I$4,,,$F$26*B29,1),OFFSET(Calc2!$F$4,,,$F$26*B29,1),F45)+SUMIFS(OFFSET(Calc2!$H$4,,,$F$26*B29,1),OFFSET(Calc2!$G$4,,,$F$26*B29,1),F45)</f>
        <v>7</v>
      </c>
      <c r="I45" s="134">
        <f t="shared" ca="1" si="5"/>
        <v>-3</v>
      </c>
      <c r="J45" s="12">
        <f ca="1">L45*Settings!$C$3+M45+O45</f>
        <v>1</v>
      </c>
      <c r="K45" s="1">
        <f t="shared" ca="1" si="8"/>
        <v>2</v>
      </c>
      <c r="L45" s="1">
        <f t="array" aca="1" ref="L45" ca="1">SUMPRODUCT((OFFSET(Calc2!$F$4,,,$F$26*B29,1)=F45)*(OFFSET(Calc2!$H$4,,,$F$26*B29,1)&gt;OFFSET(Calc2!$I$4,,,$F$26*B29,1)))+SUMPRODUCT((OFFSET(Calc2!$G$4,,,$F$26*B29,1)=F45)*(OFFSET(Calc2!$H$4,,,$F$26*B29,1)&lt;OFFSET(Calc2!$I$4,,,$F$26*B29,1)))</f>
        <v>0</v>
      </c>
      <c r="M45" s="1">
        <f t="array" aca="1" ref="M45" ca="1">SUMPRODUCT((OFFSET(Calc2!$F$4,,,$F$26*B29,2)=F45)*(OFFSET(Calc2!$H$4,,,$F$26*B29,1)=OFFSET(Calc2!$I$4,,,$F$26*B29,1))*(OFFSET(Calc2!$H$4,,,$F$26*B29,1)&lt;&gt;"")*(OFFSET(Calc2!$I$4,,,$F$26*B29,1)&lt;&gt;""))</f>
        <v>1</v>
      </c>
      <c r="N45" s="1">
        <f t="array" aca="1" ref="N45" ca="1">SUMPRODUCT((OFFSET(Calc2!$F$4,,,$F$26*B29,1)=F45)*(OFFSET(Calc2!$H$4,,,$F$26*B29,1)&lt;OFFSET(Calc2!$I$4,,,$F$26*B29,1)))+SUMPRODUCT((OFFSET(Calc2!$G$4,,,$F$26*B29,1)=F45)*(OFFSET(Calc2!$H$4,,,$F$26*B29,1)&gt;OFFSET(Calc2!$I$4,,,$F$26*B29,1)))</f>
        <v>1</v>
      </c>
      <c r="O45" s="132">
        <f ca="1">SUMPRODUCT((F45=OFFSET(Calc2!$F$4,,,$F$26*B29,1))*OFFSET(Calc2!$O$4,,,$F$26*B29,1))+SUMPRODUCT((F45=OFFSET(Calc2!$G$4,,,$F$26*B29,1))*OFFSET(Calc2!$P$4,,,$F$26*B29,1))</f>
        <v>0</v>
      </c>
      <c r="R45" s="13">
        <f t="shared" ca="1" si="6"/>
        <v>1499997004</v>
      </c>
      <c r="S45" s="134">
        <f>Tie_Break!$D$21</f>
        <v>0</v>
      </c>
      <c r="T45" s="9">
        <f ca="1">RANK(R45,R31:R50)+(9-S45)/10000+(F45="")*1000</f>
        <v>16.000900000000001</v>
      </c>
      <c r="V45" s="134">
        <f ca="1">IF($K$24=0,"",IF(VLOOKUP(B45,C31:E50,3,0)=MAX(V$31:V44),VLOOKUP(B45,C31:E50,3,0),B45))</f>
        <v>15</v>
      </c>
      <c r="W45" s="4" t="str">
        <f ca="1">IF($K$24=0,Calc2!$C$18,VLOOKUP(B45,C31:N50,4,0))</f>
        <v>Hamburger SV</v>
      </c>
      <c r="X45" s="1">
        <f ca="1">INDEX(V4:V23,MATCH(W45,W4:W23,0))</f>
        <v>10</v>
      </c>
      <c r="Y45" s="1">
        <f t="shared" ca="1" si="9"/>
        <v>-1</v>
      </c>
    </row>
    <row r="46" spans="2:25" s="2" customFormat="1" x14ac:dyDescent="0.2">
      <c r="B46" s="1">
        <v>16</v>
      </c>
      <c r="C46" s="9">
        <f ca="1">RANK(D46,D31:D50,1)</f>
        <v>9</v>
      </c>
      <c r="D46" s="134">
        <f t="shared" ca="1" si="7"/>
        <v>9.0459999999999994</v>
      </c>
      <c r="E46" s="134">
        <f ca="1">RANK(T46,T31:T50,1)</f>
        <v>9</v>
      </c>
      <c r="F46" s="187" t="str">
        <f>Calc2!$C$19</f>
        <v>TSG Hoffenheim</v>
      </c>
      <c r="G46" s="1">
        <f ca="1">SUMIFS(OFFSET(Calc2!$H$4,,,$F$26*B29,1),OFFSET(Calc2!$F$4,,,$F$26*B29,1),F46)+SUMIFS(OFFSET(Calc2!$I$4,,,$F$26*B29,1),OFFSET(Calc2!$G$4,,,$F$26*B29,1),F46)</f>
        <v>3</v>
      </c>
      <c r="H46" s="1">
        <f ca="1">SUMIFS(OFFSET(Calc2!$I$4,,,$F$26*B29,1),OFFSET(Calc2!$F$4,,,$F$26*B29,1),F46)+SUMIFS(OFFSET(Calc2!$H$4,,,$F$26*B29,1),OFFSET(Calc2!$G$4,,,$F$26*B29,1),F46)</f>
        <v>4</v>
      </c>
      <c r="I46" s="134">
        <f t="shared" ca="1" si="5"/>
        <v>-1</v>
      </c>
      <c r="J46" s="12">
        <f ca="1">L46*Settings!$C$3+M46+O46</f>
        <v>3</v>
      </c>
      <c r="K46" s="1">
        <f t="shared" ca="1" si="8"/>
        <v>2</v>
      </c>
      <c r="L46" s="1">
        <f t="array" aca="1" ref="L46" ca="1">SUMPRODUCT((OFFSET(Calc2!$F$4,,,$F$26*B29,1)=F46)*(OFFSET(Calc2!$H$4,,,$F$26*B29,1)&gt;OFFSET(Calc2!$I$4,,,$F$26*B29,1)))+SUMPRODUCT((OFFSET(Calc2!$G$4,,,$F$26*B29,1)=F46)*(OFFSET(Calc2!$H$4,,,$F$26*B29,1)&lt;OFFSET(Calc2!$I$4,,,$F$26*B29,1)))</f>
        <v>1</v>
      </c>
      <c r="M46" s="1">
        <f t="array" aca="1" ref="M46" ca="1">SUMPRODUCT((OFFSET(Calc2!$F$4,,,$F$26*B29,2)=F46)*(OFFSET(Calc2!$H$4,,,$F$26*B29,1)=OFFSET(Calc2!$I$4,,,$F$26*B29,1))*(OFFSET(Calc2!$H$4,,,$F$26*B29,1)&lt;&gt;"")*(OFFSET(Calc2!$I$4,,,$F$26*B29,1)&lt;&gt;""))</f>
        <v>0</v>
      </c>
      <c r="N46" s="1">
        <f t="array" aca="1" ref="N46" ca="1">SUMPRODUCT((OFFSET(Calc2!$F$4,,,$F$26*B29,1)=F46)*(OFFSET(Calc2!$H$4,,,$F$26*B29,1)&lt;OFFSET(Calc2!$I$4,,,$F$26*B29,1)))+SUMPRODUCT((OFFSET(Calc2!$G$4,,,$F$26*B29,1)=F46)*(OFFSET(Calc2!$H$4,,,$F$26*B29,1)&gt;OFFSET(Calc2!$I$4,,,$F$26*B29,1)))</f>
        <v>1</v>
      </c>
      <c r="O46" s="132">
        <f ca="1">SUMPRODUCT((F46=OFFSET(Calc2!$F$4,,,$F$26*B29,1))*OFFSET(Calc2!$O$4,,,$F$26*B29,1))+SUMPRODUCT((F46=OFFSET(Calc2!$G$4,,,$F$26*B29,1))*OFFSET(Calc2!$P$4,,,$F$26*B29,1))</f>
        <v>0</v>
      </c>
      <c r="R46" s="13">
        <f t="shared" ca="1" si="6"/>
        <v>3499999003</v>
      </c>
      <c r="S46" s="134">
        <f>Tie_Break!$D$22</f>
        <v>0</v>
      </c>
      <c r="T46" s="9">
        <f ca="1">RANK(R46,R31:R50)+(9-S46)/10000+(F46="")*1000</f>
        <v>9.0008999999999997</v>
      </c>
      <c r="V46" s="134">
        <f ca="1">IF($K$24=0,"",IF(VLOOKUP(B46,C31:E50,3,0)=MAX(V$31:V45),VLOOKUP(B46,C31:E50,3,0),B46))</f>
        <v>16</v>
      </c>
      <c r="W46" s="4" t="str">
        <f ca="1">IF($K$24=0,Calc2!$C$19,VLOOKUP(B46,C31:N50,4,0))</f>
        <v>SV Werder Bremen</v>
      </c>
      <c r="X46" s="1">
        <f ca="1">INDEX(V4:V23,MATCH(W46,W4:W23,0))</f>
        <v>17</v>
      </c>
      <c r="Y46" s="1">
        <f t="shared" ca="1" si="9"/>
        <v>1</v>
      </c>
    </row>
    <row r="47" spans="2:25" s="2" customFormat="1" x14ac:dyDescent="0.2">
      <c r="B47" s="1">
        <v>17</v>
      </c>
      <c r="C47" s="9">
        <f ca="1">RANK(D47,D31:D50,1)</f>
        <v>8</v>
      </c>
      <c r="D47" s="134">
        <f t="shared" ca="1" si="7"/>
        <v>8.0470000000000006</v>
      </c>
      <c r="E47" s="134">
        <f ca="1">RANK(T47,T31:T50,1)</f>
        <v>8</v>
      </c>
      <c r="F47" s="187" t="str">
        <f>Calc2!$C$20</f>
        <v>VfB Stuttgart</v>
      </c>
      <c r="G47" s="1">
        <f ca="1">SUMIFS(OFFSET(Calc2!$H$4,,,$F$26*B29,1),OFFSET(Calc2!$F$4,,,$F$26*B29,1),F47)+SUMIFS(OFFSET(Calc2!$I$4,,,$F$26*B29,1),OFFSET(Calc2!$G$4,,,$F$26*B29,1),F47)</f>
        <v>2</v>
      </c>
      <c r="H47" s="1">
        <f ca="1">SUMIFS(OFFSET(Calc2!$I$4,,,$F$26*B29,1),OFFSET(Calc2!$F$4,,,$F$26*B29,1),F47)+SUMIFS(OFFSET(Calc2!$H$4,,,$F$26*B29,1),OFFSET(Calc2!$G$4,,,$F$26*B29,1),F47)</f>
        <v>2</v>
      </c>
      <c r="I47" s="134">
        <f t="shared" ca="1" si="5"/>
        <v>0</v>
      </c>
      <c r="J47" s="12">
        <f ca="1">L47*Settings!$C$3+M47+O47</f>
        <v>3</v>
      </c>
      <c r="K47" s="1">
        <f t="shared" ca="1" si="8"/>
        <v>2</v>
      </c>
      <c r="L47" s="1">
        <f t="array" aca="1" ref="L47" ca="1">SUMPRODUCT((OFFSET(Calc2!$F$4,,,$F$26*B29,1)=F47)*(OFFSET(Calc2!$H$4,,,$F$26*B29,1)&gt;OFFSET(Calc2!$I$4,,,$F$26*B29,1)))+SUMPRODUCT((OFFSET(Calc2!$G$4,,,$F$26*B29,1)=F47)*(OFFSET(Calc2!$H$4,,,$F$26*B29,1)&lt;OFFSET(Calc2!$I$4,,,$F$26*B29,1)))</f>
        <v>1</v>
      </c>
      <c r="M47" s="1">
        <f t="array" aca="1" ref="M47" ca="1">SUMPRODUCT((OFFSET(Calc2!$F$4,,,$F$26*B29,2)=F47)*(OFFSET(Calc2!$H$4,,,$F$26*B29,1)=OFFSET(Calc2!$I$4,,,$F$26*B29,1))*(OFFSET(Calc2!$H$4,,,$F$26*B29,1)&lt;&gt;"")*(OFFSET(Calc2!$I$4,,,$F$26*B29,1)&lt;&gt;""))</f>
        <v>0</v>
      </c>
      <c r="N47" s="1">
        <f t="array" aca="1" ref="N47" ca="1">SUMPRODUCT((OFFSET(Calc2!$F$4,,,$F$26*B29,1)=F47)*(OFFSET(Calc2!$H$4,,,$F$26*B29,1)&lt;OFFSET(Calc2!$I$4,,,$F$26*B29,1)))+SUMPRODUCT((OFFSET(Calc2!$G$4,,,$F$26*B29,1)=F47)*(OFFSET(Calc2!$H$4,,,$F$26*B29,1)&gt;OFFSET(Calc2!$I$4,,,$F$26*B29,1)))</f>
        <v>1</v>
      </c>
      <c r="O47" s="132">
        <f ca="1">SUMPRODUCT((F47=OFFSET(Calc2!$F$4,,,$F$26*B29,1))*OFFSET(Calc2!$O$4,,,$F$26*B29,1))+SUMPRODUCT((F47=OFFSET(Calc2!$G$4,,,$F$26*B29,1))*OFFSET(Calc2!$P$4,,,$F$26*B29,1))</f>
        <v>0</v>
      </c>
      <c r="R47" s="13">
        <f t="shared" ca="1" si="6"/>
        <v>3500000002</v>
      </c>
      <c r="S47" s="134">
        <f>Tie_Break!$D$23</f>
        <v>0</v>
      </c>
      <c r="T47" s="9">
        <f ca="1">RANK(R47,R31:R50)+(9-S47)/10000+(F47="")*1000</f>
        <v>8.0008999999999997</v>
      </c>
      <c r="V47" s="134">
        <f ca="1">IF($K$24=0,"",IF(VLOOKUP(B47,C31:E50,3,0)=MAX(V$31:V46),VLOOKUP(B47,C31:E50,3,0),B47))</f>
        <v>17</v>
      </c>
      <c r="W47" s="4" t="str">
        <f ca="1">IF($K$24=0,Calc2!$C$20,VLOOKUP(B47,C31:N50,4,0))</f>
        <v>1. FC Heidenheim 1846</v>
      </c>
      <c r="X47" s="1">
        <f ca="1">INDEX(V4:V23,MATCH(W47,W4:W23,0))</f>
        <v>15</v>
      </c>
      <c r="Y47" s="1">
        <f t="shared" ca="1" si="9"/>
        <v>-1</v>
      </c>
    </row>
    <row r="48" spans="2:25" s="2" customFormat="1" x14ac:dyDescent="0.2">
      <c r="B48" s="1">
        <v>18</v>
      </c>
      <c r="C48" s="9">
        <f ca="1">RANK(D48,D31:D50,1)</f>
        <v>6</v>
      </c>
      <c r="D48" s="134">
        <f t="shared" ca="1" si="7"/>
        <v>6.048</v>
      </c>
      <c r="E48" s="134">
        <f ca="1">RANK(T48,T31:T50,1)</f>
        <v>6</v>
      </c>
      <c r="F48" s="187" t="str">
        <f>Calc2!$C$21</f>
        <v>VfL Wolfsburg</v>
      </c>
      <c r="G48" s="1">
        <f ca="1">SUMIFS(OFFSET(Calc2!$H$4,,,$F$26*B29,1),OFFSET(Calc2!$F$4,,,$F$26*B29,1),F48)+SUMIFS(OFFSET(Calc2!$I$4,,,$F$26*B29,1),OFFSET(Calc2!$G$4,,,$F$26*B29,1),F48)</f>
        <v>4</v>
      </c>
      <c r="H48" s="1">
        <f ca="1">SUMIFS(OFFSET(Calc2!$I$4,,,$F$26*B29,1),OFFSET(Calc2!$F$4,,,$F$26*B29,1),F48)+SUMIFS(OFFSET(Calc2!$H$4,,,$F$26*B29,1),OFFSET(Calc2!$G$4,,,$F$26*B29,1),F48)</f>
        <v>2</v>
      </c>
      <c r="I48" s="134">
        <f t="shared" ca="1" si="5"/>
        <v>2</v>
      </c>
      <c r="J48" s="12">
        <f ca="1">L48*Settings!$C$3+M48+O48</f>
        <v>4</v>
      </c>
      <c r="K48" s="1">
        <f t="shared" ca="1" si="8"/>
        <v>2</v>
      </c>
      <c r="L48" s="1">
        <f t="array" aca="1" ref="L48" ca="1">SUMPRODUCT((OFFSET(Calc2!$F$4,,,$F$26*B29,1)=F48)*(OFFSET(Calc2!$H$4,,,$F$26*B29,1)&gt;OFFSET(Calc2!$I$4,,,$F$26*B29,1)))+SUMPRODUCT((OFFSET(Calc2!$G$4,,,$F$26*B29,1)=F48)*(OFFSET(Calc2!$H$4,,,$F$26*B29,1)&lt;OFFSET(Calc2!$I$4,,,$F$26*B29,1)))</f>
        <v>1</v>
      </c>
      <c r="M48" s="1">
        <f t="array" aca="1" ref="M48" ca="1">SUMPRODUCT((OFFSET(Calc2!$F$4,,,$F$26*B29,2)=F48)*(OFFSET(Calc2!$H$4,,,$F$26*B29,1)=OFFSET(Calc2!$I$4,,,$F$26*B29,1))*(OFFSET(Calc2!$H$4,,,$F$26*B29,1)&lt;&gt;"")*(OFFSET(Calc2!$I$4,,,$F$26*B29,1)&lt;&gt;""))</f>
        <v>1</v>
      </c>
      <c r="N48" s="1">
        <f t="array" aca="1" ref="N48" ca="1">SUMPRODUCT((OFFSET(Calc2!$F$4,,,$F$26*B29,1)=F48)*(OFFSET(Calc2!$H$4,,,$F$26*B29,1)&lt;OFFSET(Calc2!$I$4,,,$F$26*B29,1)))+SUMPRODUCT((OFFSET(Calc2!$G$4,,,$F$26*B29,1)=F48)*(OFFSET(Calc2!$H$4,,,$F$26*B29,1)&gt;OFFSET(Calc2!$I$4,,,$F$26*B29,1)))</f>
        <v>0</v>
      </c>
      <c r="O48" s="132">
        <f ca="1">SUMPRODUCT((F48=OFFSET(Calc2!$F$4,,,$F$26*B29,1))*OFFSET(Calc2!$O$4,,,$F$26*B29,1))+SUMPRODUCT((F48=OFFSET(Calc2!$G$4,,,$F$26*B29,1))*OFFSET(Calc2!$P$4,,,$F$26*B29,1))</f>
        <v>0</v>
      </c>
      <c r="R48" s="13">
        <f t="shared" ca="1" si="6"/>
        <v>4500002004</v>
      </c>
      <c r="S48" s="134">
        <f>Tie_Break!$D$24</f>
        <v>0</v>
      </c>
      <c r="T48" s="9">
        <f ca="1">RANK(R48,R31:R50)+(9-S48)/10000+(F48="")*1000</f>
        <v>6.0008999999999997</v>
      </c>
      <c r="V48" s="134">
        <f ca="1">IF($K$24=0,"",IF(VLOOKUP(B48,C31:E50,3,0)=MAX(V$31:V47),VLOOKUP(B48,C31:E50,3,0),B48))</f>
        <v>18</v>
      </c>
      <c r="W48" s="4" t="str">
        <f ca="1">IF($K$24=0,Calc2!$C$21,VLOOKUP(B48,C31:N50,4,0))</f>
        <v>SC Freiburg</v>
      </c>
      <c r="X48" s="1">
        <f ca="1">INDEX(V4:V23,MATCH(W48,W4:W23,0))</f>
        <v>15</v>
      </c>
      <c r="Y48" s="1">
        <f t="shared" ca="1" si="9"/>
        <v>-1</v>
      </c>
    </row>
    <row r="49" spans="2:25" s="2" customFormat="1" x14ac:dyDescent="0.2">
      <c r="B49" s="1">
        <v>19</v>
      </c>
      <c r="C49" s="9">
        <f ca="1">RANK(D49,D31:D50,1)</f>
        <v>19</v>
      </c>
      <c r="D49" s="134">
        <f t="shared" ca="1" si="7"/>
        <v>19.048999999999999</v>
      </c>
      <c r="E49" s="134">
        <f ca="1">RANK(T49,T31:T50,1)</f>
        <v>19</v>
      </c>
      <c r="F49" s="187" t="str">
        <f>Calc2!$C$22</f>
        <v/>
      </c>
      <c r="G49" s="1">
        <f ca="1">SUMIFS(OFFSET(Calc2!$H$4,,,$F$26*B29,1),OFFSET(Calc2!$F$4,,,$F$26*B29,1),F49)+SUMIFS(OFFSET(Calc2!$I$4,,,$F$26*B29,1),OFFSET(Calc2!$G$4,,,$F$26*B29,1),F49)</f>
        <v>0</v>
      </c>
      <c r="H49" s="1">
        <f ca="1">SUMIFS(OFFSET(Calc2!$I$4,,,$F$26*B29,1),OFFSET(Calc2!$F$4,,,$F$26*B29,1),F49)+SUMIFS(OFFSET(Calc2!$H$4,,,$F$26*B29,1),OFFSET(Calc2!$G$4,,,$F$26*B29,1),F49)</f>
        <v>0</v>
      </c>
      <c r="I49" s="134">
        <f t="shared" ca="1" si="5"/>
        <v>0</v>
      </c>
      <c r="J49" s="12">
        <f ca="1">L49*Settings!$C$3+M49+O49</f>
        <v>0</v>
      </c>
      <c r="K49" s="1">
        <f t="shared" ca="1" si="8"/>
        <v>0</v>
      </c>
      <c r="L49" s="1">
        <f t="array" aca="1" ref="L49" ca="1">SUMPRODUCT((OFFSET(Calc2!$F$4,,,$F$26*B29,1)=F49)*(OFFSET(Calc2!$H$4,,,$F$26*B29,1)&gt;OFFSET(Calc2!$I$4,,,$F$26*B29,1)))+SUMPRODUCT((OFFSET(Calc2!$G$4,,,$F$26*B29,1)=F49)*(OFFSET(Calc2!$H$4,,,$F$26*B29,1)&lt;OFFSET(Calc2!$I$4,,,$F$26*B29,1)))</f>
        <v>0</v>
      </c>
      <c r="M49" s="1">
        <f t="array" aca="1" ref="M49" ca="1">SUMPRODUCT((OFFSET(Calc2!$F$4,,,$F$26*B29,2)=F49)*(OFFSET(Calc2!$H$4,,,$F$26*B29,1)=OFFSET(Calc2!$I$4,,,$F$26*B29,1))*(OFFSET(Calc2!$H$4,,,$F$26*B29,1)&lt;&gt;"")*(OFFSET(Calc2!$I$4,,,$F$26*B29,1)&lt;&gt;""))</f>
        <v>0</v>
      </c>
      <c r="N49" s="1">
        <f t="array" aca="1" ref="N49" ca="1">SUMPRODUCT((OFFSET(Calc2!$F$4,,,$F$26*B29,1)=F49)*(OFFSET(Calc2!$H$4,,,$F$26*B29,1)&lt;OFFSET(Calc2!$I$4,,,$F$26*B29,1)))+SUMPRODUCT((OFFSET(Calc2!$G$4,,,$F$26*B29,1)=F49)*(OFFSET(Calc2!$H$4,,,$F$26*B29,1)&gt;OFFSET(Calc2!$I$4,,,$F$26*B29,1)))</f>
        <v>0</v>
      </c>
      <c r="O49" s="132">
        <f ca="1">SUMPRODUCT((F49=OFFSET(Calc2!$F$4,,,$F$26*B29,1))*OFFSET(Calc2!$O$4,,,$F$26*B29,1))+SUMPRODUCT((F49=OFFSET(Calc2!$G$4,,,$F$26*B29,1))*OFFSET(Calc2!$P$4,,,$F$26*B29,1))</f>
        <v>0</v>
      </c>
      <c r="R49" s="13">
        <f t="shared" ca="1" si="6"/>
        <v>500000000</v>
      </c>
      <c r="S49" s="134">
        <f>Tie_Break!$D$25</f>
        <v>0</v>
      </c>
      <c r="T49" s="9">
        <f ca="1">RANK(R49,R31:R50)+(9-S49)/10000+(F49="")*1000</f>
        <v>1017.0009</v>
      </c>
      <c r="V49" s="134">
        <f ca="1">IF($K$24=0,"",IF(VLOOKUP(B49,C31:E50,3,0)=MAX(V$31:V48),VLOOKUP(B49,C31:E50,3,0),B49))</f>
        <v>19</v>
      </c>
      <c r="W49" s="4" t="str">
        <f ca="1">IF($K$24=0,Calc2!$C$22,VLOOKUP(B49,C31:N50,4,0))</f>
        <v/>
      </c>
      <c r="X49" s="1">
        <f ca="1">INDEX(V4:V23,MATCH(W49,W4:W23,0))</f>
        <v>19</v>
      </c>
      <c r="Y49" s="1">
        <f t="shared" ca="1" si="9"/>
        <v>0</v>
      </c>
    </row>
    <row r="50" spans="2:25" s="2" customFormat="1" ht="12.75" thickBot="1" x14ac:dyDescent="0.25">
      <c r="B50" s="1">
        <v>20</v>
      </c>
      <c r="C50" s="10">
        <f ca="1">RANK(D50,D31:D50,1)</f>
        <v>20</v>
      </c>
      <c r="D50" s="134">
        <f t="shared" ca="1" si="7"/>
        <v>19.05</v>
      </c>
      <c r="E50" s="134">
        <f ca="1">RANK(T50,T31:T50,1)</f>
        <v>19</v>
      </c>
      <c r="F50" s="187" t="str">
        <f>Calc2!$C$23</f>
        <v/>
      </c>
      <c r="G50" s="1">
        <f ca="1">SUMIFS(OFFSET(Calc2!$H$4,,,$F$26*B29,1),OFFSET(Calc2!$F$4,,,$F$26*B29,1),F50)+SUMIFS(OFFSET(Calc2!$I$4,,,$F$26*B29,1),OFFSET(Calc2!$G$4,,,$F$26*B29,1),F50)</f>
        <v>0</v>
      </c>
      <c r="H50" s="1">
        <f ca="1">SUMIFS(OFFSET(Calc2!$I$4,,,$F$26*B29,1),OFFSET(Calc2!$F$4,,,$F$26*B29,1),F50)+SUMIFS(OFFSET(Calc2!$H$4,,,$F$26*B29,1),OFFSET(Calc2!$G$4,,,$F$26*B29,1),F50)</f>
        <v>0</v>
      </c>
      <c r="I50" s="134">
        <f t="shared" ca="1" si="5"/>
        <v>0</v>
      </c>
      <c r="J50" s="12">
        <f ca="1">L50*Settings!$C$3+M50+O50</f>
        <v>0</v>
      </c>
      <c r="K50" s="1">
        <f t="shared" ca="1" si="8"/>
        <v>0</v>
      </c>
      <c r="L50" s="1">
        <f t="array" aca="1" ref="L50" ca="1">SUMPRODUCT((OFFSET(Calc2!$F$4,,,$F$26*B29,1)=F50)*(OFFSET(Calc2!$H$4,,,$F$26*B29,1)&gt;OFFSET(Calc2!$I$4,,,$F$26*B29,1)))+SUMPRODUCT((OFFSET(Calc2!$G$4,,,$F$26*B29,1)=F50)*(OFFSET(Calc2!$H$4,,,$F$26*B29,1)&lt;OFFSET(Calc2!$I$4,,,$F$26*B29,1)))</f>
        <v>0</v>
      </c>
      <c r="M50" s="1">
        <f t="array" aca="1" ref="M50" ca="1">SUMPRODUCT((OFFSET(Calc2!$F$4,,,$F$26*B29,2)=F50)*(OFFSET(Calc2!$H$4,,,$F$26*B29,1)=OFFSET(Calc2!$I$4,,,$F$26*B29,1))*(OFFSET(Calc2!$H$4,,,$F$26*B29,1)&lt;&gt;"")*(OFFSET(Calc2!$I$4,,,$F$26*B29,1)&lt;&gt;""))</f>
        <v>0</v>
      </c>
      <c r="N50" s="1">
        <f t="array" aca="1" ref="N50" ca="1">SUMPRODUCT((OFFSET(Calc2!$F$4,,,$F$26*B29,1)=F50)*(OFFSET(Calc2!$H$4,,,$F$26*B29,1)&lt;OFFSET(Calc2!$I$4,,,$F$26*B29,1)))+SUMPRODUCT((OFFSET(Calc2!$G$4,,,$F$26*B29,1)=F50)*(OFFSET(Calc2!$H$4,,,$F$26*B29,1)&gt;OFFSET(Calc2!$I$4,,,$F$26*B29,1)))</f>
        <v>0</v>
      </c>
      <c r="O50" s="132">
        <f ca="1">SUMPRODUCT((F50=OFFSET(Calc2!$F$4,,,$F$26*B29,1))*OFFSET(Calc2!$O$4,,,$F$26*B29,1))+SUMPRODUCT((F50=OFFSET(Calc2!$G$4,,,$F$26*B29,1))*OFFSET(Calc2!$P$4,,,$F$26*B29,1))</f>
        <v>0</v>
      </c>
      <c r="R50" s="13">
        <f t="shared" ca="1" si="6"/>
        <v>500000000</v>
      </c>
      <c r="S50" s="134">
        <f>Tie_Break!$D$26</f>
        <v>0</v>
      </c>
      <c r="T50" s="10">
        <f ca="1">RANK(R50,R31:R50)+(9-S50)/10000+(F50="")*1000</f>
        <v>1017.0009</v>
      </c>
      <c r="V50" s="134">
        <f ca="1">IF($K$24=0,"",IF(VLOOKUP(B50,C31:E50,3,0)=MAX(V$31:V49),VLOOKUP(B50,C31:E50,3,0),B50))</f>
        <v>19</v>
      </c>
      <c r="W50" s="4" t="str">
        <f ca="1">IF($K$24=0,Calc2!$C$23,VLOOKUP(B50,C31:N50,4,0))</f>
        <v/>
      </c>
      <c r="X50" s="1">
        <f ca="1">INDEX(V4:V23,MATCH(W50,W4:W23,0))</f>
        <v>19</v>
      </c>
      <c r="Y50" s="1">
        <f t="shared" ca="1" si="9"/>
        <v>0</v>
      </c>
    </row>
    <row r="51" spans="2:25" s="2" customFormat="1" ht="12.75" thickTop="1" x14ac:dyDescent="0.2">
      <c r="B51" s="4"/>
      <c r="C51" s="4"/>
      <c r="D51" s="4"/>
      <c r="E51" s="4"/>
      <c r="F51" s="191"/>
      <c r="G51" s="134"/>
      <c r="H51" s="134"/>
      <c r="I51" s="134"/>
      <c r="J51" s="134"/>
      <c r="K51" s="134"/>
      <c r="L51" s="134"/>
      <c r="M51" s="134"/>
      <c r="X51" s="1"/>
      <c r="Y51" s="1"/>
    </row>
    <row r="52" spans="2:25" s="2" customFormat="1" x14ac:dyDescent="0.2">
      <c r="B52" s="4"/>
      <c r="C52" s="4"/>
      <c r="D52" s="4"/>
      <c r="E52" s="4"/>
      <c r="F52" s="191"/>
      <c r="G52" s="134"/>
      <c r="H52" s="134"/>
      <c r="I52" s="134"/>
      <c r="J52" s="134"/>
      <c r="K52" s="134"/>
      <c r="L52" s="134"/>
      <c r="M52" s="134"/>
      <c r="X52" s="1"/>
      <c r="Y52" s="1"/>
    </row>
    <row r="53" spans="2:25" s="2" customFormat="1" x14ac:dyDescent="0.2">
      <c r="B53" s="4"/>
      <c r="C53" s="4"/>
      <c r="D53" s="4"/>
      <c r="E53" s="4"/>
      <c r="F53" s="191"/>
      <c r="G53" s="134"/>
      <c r="H53" s="134"/>
      <c r="I53" s="134"/>
      <c r="J53" s="134"/>
      <c r="K53" s="134"/>
      <c r="L53" s="134"/>
      <c r="M53" s="134"/>
      <c r="X53" s="1"/>
      <c r="Y53" s="1"/>
    </row>
    <row r="54" spans="2:25" s="2" customFormat="1" x14ac:dyDescent="0.2">
      <c r="B54" s="4"/>
      <c r="C54" s="4"/>
      <c r="D54" s="4"/>
      <c r="E54" s="4"/>
      <c r="F54" s="191"/>
      <c r="G54" s="134"/>
      <c r="H54" s="134"/>
      <c r="I54" s="134"/>
      <c r="J54" s="134"/>
      <c r="K54" s="134"/>
      <c r="L54" s="134"/>
      <c r="M54" s="134"/>
      <c r="X54" s="1"/>
      <c r="Y54" s="1"/>
    </row>
    <row r="55" spans="2:25" s="2" customFormat="1" ht="12.75" thickBot="1" x14ac:dyDescent="0.25">
      <c r="B55" s="4"/>
      <c r="C55" s="4"/>
      <c r="D55" s="4"/>
      <c r="E55" s="4"/>
      <c r="F55" s="191"/>
      <c r="G55" s="134"/>
      <c r="H55" s="134"/>
      <c r="I55" s="134"/>
      <c r="J55" s="134"/>
      <c r="K55" s="134"/>
      <c r="L55" s="134"/>
      <c r="M55" s="134"/>
      <c r="X55" s="1"/>
      <c r="Y55" s="1"/>
    </row>
    <row r="56" spans="2:25" s="2" customFormat="1" ht="12.75" thickBot="1" x14ac:dyDescent="0.25">
      <c r="B56" s="410">
        <v>3</v>
      </c>
      <c r="C56" s="134"/>
      <c r="D56" s="134"/>
      <c r="E56" s="134"/>
      <c r="F56" s="187"/>
      <c r="G56" s="1"/>
      <c r="H56" s="1"/>
      <c r="I56" s="1"/>
      <c r="J56" s="1"/>
      <c r="K56" s="1"/>
      <c r="L56" s="1"/>
      <c r="M56" s="1"/>
      <c r="N56" s="134"/>
      <c r="O56" s="1"/>
      <c r="P56" s="1"/>
      <c r="Q56" s="1"/>
      <c r="X56" s="1"/>
      <c r="Y56" s="1"/>
    </row>
    <row r="57" spans="2:25" s="2" customFormat="1" ht="15.75" thickBot="1" x14ac:dyDescent="0.25">
      <c r="B57" s="1"/>
      <c r="C57" s="134"/>
      <c r="D57" s="134"/>
      <c r="E57" s="134"/>
      <c r="F57" s="11" t="s">
        <v>90</v>
      </c>
      <c r="G57" s="42" t="s">
        <v>95</v>
      </c>
      <c r="H57" s="42" t="s">
        <v>96</v>
      </c>
      <c r="I57" s="11" t="s">
        <v>97</v>
      </c>
      <c r="J57" s="11" t="s">
        <v>98</v>
      </c>
      <c r="K57" s="11" t="s">
        <v>91</v>
      </c>
      <c r="L57" s="12" t="s">
        <v>92</v>
      </c>
      <c r="M57" s="12" t="s">
        <v>93</v>
      </c>
      <c r="N57" s="12" t="s">
        <v>94</v>
      </c>
      <c r="O57" s="12" t="s">
        <v>534</v>
      </c>
      <c r="Q57" s="11"/>
      <c r="R57" s="133" t="s">
        <v>99</v>
      </c>
      <c r="S57" s="6" t="s">
        <v>483</v>
      </c>
      <c r="T57" s="120" t="s">
        <v>146</v>
      </c>
      <c r="U57" s="134"/>
      <c r="V57" s="134"/>
      <c r="W57" s="132"/>
      <c r="X57" s="120" t="s">
        <v>575</v>
      </c>
      <c r="Y57" s="1"/>
    </row>
    <row r="58" spans="2:25" s="2" customFormat="1" ht="12.75" thickTop="1" x14ac:dyDescent="0.2">
      <c r="B58" s="1">
        <v>1</v>
      </c>
      <c r="C58" s="8">
        <f ca="1">RANK(D58,D58:D77,1)</f>
        <v>18</v>
      </c>
      <c r="D58" s="134">
        <f ca="1">E58+ROW()/1000</f>
        <v>18.058</v>
      </c>
      <c r="E58" s="134">
        <f ca="1">RANK(T58,T58:T77,1)</f>
        <v>18</v>
      </c>
      <c r="F58" s="187" t="str">
        <f>Calc2!$C$4</f>
        <v>1. FC Heidenheim 1846</v>
      </c>
      <c r="G58" s="1">
        <f ca="1">SUMIFS(OFFSET(Calc2!$H$4,,,$F$26*B56,1),OFFSET(Calc2!$F$4,,,$F$26*B56,1),F58)+SUMIFS(OFFSET(Calc2!$I$4,,,$F$26*B56,1),OFFSET(Calc2!$G$4,,,$F$26*B56,1),F58)</f>
        <v>1</v>
      </c>
      <c r="H58" s="1">
        <f ca="1">SUMIFS(OFFSET(Calc2!$I$4,,,$F$26*B56,1),OFFSET(Calc2!$F$4,,,$F$26*B56,1),F58)+SUMIFS(OFFSET(Calc2!$H$4,,,$F$26*B56,1),OFFSET(Calc2!$G$4,,,$F$26*B56,1),F58)</f>
        <v>7</v>
      </c>
      <c r="I58" s="134">
        <f t="shared" ref="I58:I77" ca="1" si="10">G58-H58</f>
        <v>-6</v>
      </c>
      <c r="J58" s="12">
        <f ca="1">L58*Settings!$C$3+M58+O58</f>
        <v>0</v>
      </c>
      <c r="K58" s="1">
        <f ca="1">L58+M58+N58</f>
        <v>3</v>
      </c>
      <c r="L58" s="1">
        <f t="array" aca="1" ref="L58" ca="1">SUMPRODUCT((OFFSET(Calc2!$F$4,,,$F$26*B56,1)=F58)*(OFFSET(Calc2!$H$4,,,$F$26*B56,1)&gt;OFFSET(Calc2!$I$4,,,$F$26*B56,1)))+SUMPRODUCT((OFFSET(Calc2!$G$4,,,$F$26*B56,1)=F58)*(OFFSET(Calc2!$H$4,,,$F$26*B56,1)&lt;OFFSET(Calc2!$I$4,,,$F$26*B56,1)))</f>
        <v>0</v>
      </c>
      <c r="M58" s="1">
        <f t="array" aca="1" ref="M58" ca="1">SUMPRODUCT((OFFSET(Calc2!$F$4,,,$F$26*B56,2)=F58)*(OFFSET(Calc2!$H$4,,,$F$26*B56,1)=OFFSET(Calc2!$I$4,,,$F$26*B56,1))*(OFFSET(Calc2!$H$4,,,$F$26*B56,1)&lt;&gt;"")*(OFFSET(Calc2!$I$4,,,$F$26*B56,1)&lt;&gt;""))</f>
        <v>0</v>
      </c>
      <c r="N58" s="1">
        <f t="array" aca="1" ref="N58" ca="1">SUMPRODUCT((OFFSET(Calc2!$F$4,,,$F$26*B56,1)=F58)*(OFFSET(Calc2!$H$4,,,$F$26*B56,1)&lt;OFFSET(Calc2!$I$4,,,$F$26*B56,1)))+SUMPRODUCT((OFFSET(Calc2!$G$4,,,$F$26*B56,1)=F58)*(OFFSET(Calc2!$H$4,,,$F$26*B56,1)&gt;OFFSET(Calc2!$I$4,,,$F$26*B56,1)))</f>
        <v>3</v>
      </c>
      <c r="O58" s="132">
        <f ca="1">SUMPRODUCT((F58=OFFSET(Calc2!$F$4,,,$F$26*B56,1))*OFFSET(Calc2!$O$4,,,$F$26*B56,1))+SUMPRODUCT((F58=OFFSET(Calc2!$G$4,,,$F$26*B56,1))*OFFSET(Calc2!$P$4,,,$F$26*B56,1))</f>
        <v>0</v>
      </c>
      <c r="R58" s="13">
        <f t="shared" ref="R58:R77" ca="1" si="11">J58*FactorPts+(I58+GDzero)*FactorGD+G58*FactorGF</f>
        <v>499994001</v>
      </c>
      <c r="S58" s="134">
        <f>Tie_Break!$D$7</f>
        <v>0</v>
      </c>
      <c r="T58" s="8">
        <f ca="1">RANK(R58,R58:R77)+(9-S58)/10000+(F58="")*1000</f>
        <v>20.000900000000001</v>
      </c>
      <c r="U58" s="134"/>
      <c r="V58" s="134">
        <f ca="1">IF($K$24=0,"",1)</f>
        <v>1</v>
      </c>
      <c r="W58" s="4" t="str">
        <f ca="1">IF($K$24=0,Calc2!$C$4,VLOOKUP(B58,C58:N77,4,0))</f>
        <v>FC Bayern München</v>
      </c>
      <c r="X58" s="1">
        <f ca="1">INDEX(V31:V50,MATCH(W58,W31:W50,0))</f>
        <v>1</v>
      </c>
      <c r="Y58" s="1">
        <f ca="1">IF(X58&gt;V58,1,IF(X58&lt;V58,-1,0))</f>
        <v>0</v>
      </c>
    </row>
    <row r="59" spans="2:25" s="2" customFormat="1" x14ac:dyDescent="0.2">
      <c r="B59" s="1">
        <v>2</v>
      </c>
      <c r="C59" s="9">
        <f ca="1">RANK(D59,D58:D77,1)</f>
        <v>3</v>
      </c>
      <c r="D59" s="134">
        <f t="shared" ref="D59:D77" ca="1" si="12">E59+ROW()/1000</f>
        <v>3.0590000000000002</v>
      </c>
      <c r="E59" s="134">
        <f ca="1">RANK(T59,T58:T77,1)</f>
        <v>3</v>
      </c>
      <c r="F59" s="187" t="str">
        <f>Calc2!$C$5</f>
        <v>1. FC Köln</v>
      </c>
      <c r="G59" s="1">
        <f ca="1">SUMIFS(OFFSET(Calc2!$H$4,,,$F$26*B56,1),OFFSET(Calc2!$F$4,,,$F$26*B56,1),F59)+SUMIFS(OFFSET(Calc2!$I$4,,,$F$26*B56,1),OFFSET(Calc2!$G$4,,,$F$26*B56,1),F59)</f>
        <v>8</v>
      </c>
      <c r="H59" s="1">
        <f ca="1">SUMIFS(OFFSET(Calc2!$I$4,,,$F$26*B56,1),OFFSET(Calc2!$F$4,,,$F$26*B56,1),F59)+SUMIFS(OFFSET(Calc2!$H$4,,,$F$26*B56,1),OFFSET(Calc2!$G$4,,,$F$26*B56,1),F59)</f>
        <v>4</v>
      </c>
      <c r="I59" s="134">
        <f t="shared" ca="1" si="10"/>
        <v>4</v>
      </c>
      <c r="J59" s="12">
        <f ca="1">L59*Settings!$C$3+M59+O59</f>
        <v>7</v>
      </c>
      <c r="K59" s="1">
        <f t="shared" ref="K59:K77" ca="1" si="13">L59+M59+N59</f>
        <v>3</v>
      </c>
      <c r="L59" s="1">
        <f t="array" aca="1" ref="L59" ca="1">SUMPRODUCT((OFFSET(Calc2!$F$4,,,$F$26*B56,1)=F59)*(OFFSET(Calc2!$H$4,,,$F$26*B56,1)&gt;OFFSET(Calc2!$I$4,,,$F$26*B56,1)))+SUMPRODUCT((OFFSET(Calc2!$G$4,,,$F$26*B56,1)=F59)*(OFFSET(Calc2!$H$4,,,$F$26*B56,1)&lt;OFFSET(Calc2!$I$4,,,$F$26*B56,1)))</f>
        <v>2</v>
      </c>
      <c r="M59" s="1">
        <f t="array" aca="1" ref="M59" ca="1">SUMPRODUCT((OFFSET(Calc2!$F$4,,,$F$26*B56,2)=F59)*(OFFSET(Calc2!$H$4,,,$F$26*B56,1)=OFFSET(Calc2!$I$4,,,$F$26*B56,1))*(OFFSET(Calc2!$H$4,,,$F$26*B56,1)&lt;&gt;"")*(OFFSET(Calc2!$I$4,,,$F$26*B56,1)&lt;&gt;""))</f>
        <v>1</v>
      </c>
      <c r="N59" s="1">
        <f t="array" aca="1" ref="N59" ca="1">SUMPRODUCT((OFFSET(Calc2!$F$4,,,$F$26*B56,1)=F59)*(OFFSET(Calc2!$H$4,,,$F$26*B56,1)&lt;OFFSET(Calc2!$I$4,,,$F$26*B56,1)))+SUMPRODUCT((OFFSET(Calc2!$G$4,,,$F$26*B56,1)=F59)*(OFFSET(Calc2!$H$4,,,$F$26*B56,1)&gt;OFFSET(Calc2!$I$4,,,$F$26*B56,1)))</f>
        <v>0</v>
      </c>
      <c r="O59" s="132">
        <f ca="1">SUMPRODUCT((F59=OFFSET(Calc2!$F$4,,,$F$26*B56,1))*OFFSET(Calc2!$O$4,,,$F$26*B56,1))+SUMPRODUCT((F59=OFFSET(Calc2!$G$4,,,$F$26*B56,1))*OFFSET(Calc2!$P$4,,,$F$26*B56,1))</f>
        <v>0</v>
      </c>
      <c r="R59" s="13">
        <f t="shared" ca="1" si="11"/>
        <v>7500004008</v>
      </c>
      <c r="S59" s="134">
        <f>Tie_Break!$D$8</f>
        <v>0</v>
      </c>
      <c r="T59" s="9">
        <f ca="1">RANK(R59,R58:R77)+(9-S59)/10000+(F59="")*1000</f>
        <v>3.0009000000000001</v>
      </c>
      <c r="U59" s="134"/>
      <c r="V59" s="134">
        <f ca="1">IF($K$24=0,"",IF(VLOOKUP(B59,C58:E77,3,0)=MAX(V$4:V58),VLOOKUP(B59,C58:E77,3,0),B59))</f>
        <v>2</v>
      </c>
      <c r="W59" s="4" t="str">
        <f ca="1">IF($K$24=0,Calc2!$C$5,VLOOKUP(B59,C58:N77,4,0))</f>
        <v>Borussia Dortmund</v>
      </c>
      <c r="X59" s="1">
        <f ca="1">INDEX(V31:V50,MATCH(W59,W31:W50,0))</f>
        <v>4</v>
      </c>
      <c r="Y59" s="1">
        <f t="shared" ref="Y59:Y77" ca="1" si="14">IF(X59&gt;V59,1,IF(X59&lt;V59,-1,0))</f>
        <v>1</v>
      </c>
    </row>
    <row r="60" spans="2:25" s="2" customFormat="1" x14ac:dyDescent="0.2">
      <c r="B60" s="1">
        <v>3</v>
      </c>
      <c r="C60" s="9">
        <f ca="1">RANK(D60,D58:D77,1)</f>
        <v>14</v>
      </c>
      <c r="D60" s="134">
        <f t="shared" ca="1" si="12"/>
        <v>14.06</v>
      </c>
      <c r="E60" s="134">
        <f ca="1">RANK(T60,T58:T77,1)</f>
        <v>14</v>
      </c>
      <c r="F60" s="187" t="str">
        <f>Calc2!$C$6</f>
        <v>1. FC Union Berlin</v>
      </c>
      <c r="G60" s="1">
        <f ca="1">SUMIFS(OFFSET(Calc2!$H$4,,,$F$26*B56,1),OFFSET(Calc2!$F$4,,,$F$26*B56,1),F60)+SUMIFS(OFFSET(Calc2!$I$4,,,$F$26*B56,1),OFFSET(Calc2!$G$4,,,$F$26*B56,1),F60)</f>
        <v>4</v>
      </c>
      <c r="H60" s="1">
        <f ca="1">SUMIFS(OFFSET(Calc2!$I$4,,,$F$26*B56,1),OFFSET(Calc2!$F$4,,,$F$26*B56,1),F60)+SUMIFS(OFFSET(Calc2!$H$4,,,$F$26*B56,1),OFFSET(Calc2!$G$4,,,$F$26*B56,1),F60)</f>
        <v>8</v>
      </c>
      <c r="I60" s="134">
        <f t="shared" ca="1" si="10"/>
        <v>-4</v>
      </c>
      <c r="J60" s="12">
        <f ca="1">L60*Settings!$C$3+M60+O60</f>
        <v>3</v>
      </c>
      <c r="K60" s="1">
        <f t="shared" ca="1" si="13"/>
        <v>3</v>
      </c>
      <c r="L60" s="1">
        <f t="array" aca="1" ref="L60" ca="1">SUMPRODUCT((OFFSET(Calc2!$F$4,,,$F$26*B56,1)=F60)*(OFFSET(Calc2!$H$4,,,$F$26*B56,1)&gt;OFFSET(Calc2!$I$4,,,$F$26*B56,1)))+SUMPRODUCT((OFFSET(Calc2!$G$4,,,$F$26*B56,1)=F60)*(OFFSET(Calc2!$H$4,,,$F$26*B56,1)&lt;OFFSET(Calc2!$I$4,,,$F$26*B56,1)))</f>
        <v>1</v>
      </c>
      <c r="M60" s="1">
        <f t="array" aca="1" ref="M60" ca="1">SUMPRODUCT((OFFSET(Calc2!$F$4,,,$F$26*B56,2)=F60)*(OFFSET(Calc2!$H$4,,,$F$26*B56,1)=OFFSET(Calc2!$I$4,,,$F$26*B56,1))*(OFFSET(Calc2!$H$4,,,$F$26*B56,1)&lt;&gt;"")*(OFFSET(Calc2!$I$4,,,$F$26*B56,1)&lt;&gt;""))</f>
        <v>0</v>
      </c>
      <c r="N60" s="1">
        <f t="array" aca="1" ref="N60" ca="1">SUMPRODUCT((OFFSET(Calc2!$F$4,,,$F$26*B56,1)=F60)*(OFFSET(Calc2!$H$4,,,$F$26*B56,1)&lt;OFFSET(Calc2!$I$4,,,$F$26*B56,1)))+SUMPRODUCT((OFFSET(Calc2!$G$4,,,$F$26*B56,1)=F60)*(OFFSET(Calc2!$H$4,,,$F$26*B56,1)&gt;OFFSET(Calc2!$I$4,,,$F$26*B56,1)))</f>
        <v>2</v>
      </c>
      <c r="O60" s="132">
        <f ca="1">SUMPRODUCT((F60=OFFSET(Calc2!$F$4,,,$F$26*B56,1))*OFFSET(Calc2!$O$4,,,$F$26*B56,1))+SUMPRODUCT((F60=OFFSET(Calc2!$G$4,,,$F$26*B56,1))*OFFSET(Calc2!$P$4,,,$F$26*B56,1))</f>
        <v>0</v>
      </c>
      <c r="R60" s="13">
        <f t="shared" ca="1" si="11"/>
        <v>3499996004</v>
      </c>
      <c r="S60" s="134">
        <f>Tie_Break!$D$9</f>
        <v>0</v>
      </c>
      <c r="T60" s="9">
        <f ca="1">RANK(R60,R58:R77)+(9-S60)/10000+(F60="")*1000</f>
        <v>14.0009</v>
      </c>
      <c r="U60" s="134"/>
      <c r="V60" s="134">
        <f ca="1">IF($K$24=0,"",IF(VLOOKUP(B60,C58:E77,3,0)=MAX(V$4:V59),VLOOKUP(B60,C58:E77,3,0),B60))</f>
        <v>3</v>
      </c>
      <c r="W60" s="4" t="str">
        <f ca="1">IF($K$24=0,Calc2!$C$6,VLOOKUP(B60,C58:N77,4,0))</f>
        <v>1. FC Köln</v>
      </c>
      <c r="X60" s="1">
        <f ca="1">INDEX(V31:V50,MATCH(W60,W31:W50,0))</f>
        <v>3</v>
      </c>
      <c r="Y60" s="1">
        <f t="shared" ca="1" si="14"/>
        <v>0</v>
      </c>
    </row>
    <row r="61" spans="2:25" s="2" customFormat="1" x14ac:dyDescent="0.2">
      <c r="B61" s="1">
        <v>4</v>
      </c>
      <c r="C61" s="9">
        <f ca="1">RANK(D61,D58:D77,1)</f>
        <v>15</v>
      </c>
      <c r="D61" s="134">
        <f t="shared" ca="1" si="12"/>
        <v>15.061</v>
      </c>
      <c r="E61" s="134">
        <f ca="1">RANK(T61,T58:T77,1)</f>
        <v>15</v>
      </c>
      <c r="F61" s="187" t="str">
        <f>Calc2!$C$7</f>
        <v>1. FSV Mainz 05</v>
      </c>
      <c r="G61" s="1">
        <f ca="1">SUMIFS(OFFSET(Calc2!$H$4,,,$F$26*B56,1),OFFSET(Calc2!$F$4,,,$F$26*B56,1),F61)+SUMIFS(OFFSET(Calc2!$I$4,,,$F$26*B56,1),OFFSET(Calc2!$G$4,,,$F$26*B56,1),F61)</f>
        <v>1</v>
      </c>
      <c r="H61" s="1">
        <f ca="1">SUMIFS(OFFSET(Calc2!$I$4,,,$F$26*B56,1),OFFSET(Calc2!$F$4,,,$F$26*B56,1),F61)+SUMIFS(OFFSET(Calc2!$H$4,,,$F$26*B56,1),OFFSET(Calc2!$G$4,,,$F$26*B56,1),F61)</f>
        <v>3</v>
      </c>
      <c r="I61" s="134">
        <f t="shared" ca="1" si="10"/>
        <v>-2</v>
      </c>
      <c r="J61" s="12">
        <f ca="1">L61*Settings!$C$3+M61+O61</f>
        <v>1</v>
      </c>
      <c r="K61" s="1">
        <f t="shared" ca="1" si="13"/>
        <v>3</v>
      </c>
      <c r="L61" s="1">
        <f t="array" aca="1" ref="L61" ca="1">SUMPRODUCT((OFFSET(Calc2!$F$4,,,$F$26*B56,1)=F61)*(OFFSET(Calc2!$H$4,,,$F$26*B56,1)&gt;OFFSET(Calc2!$I$4,,,$F$26*B56,1)))+SUMPRODUCT((OFFSET(Calc2!$G$4,,,$F$26*B56,1)=F61)*(OFFSET(Calc2!$H$4,,,$F$26*B56,1)&lt;OFFSET(Calc2!$I$4,,,$F$26*B56,1)))</f>
        <v>0</v>
      </c>
      <c r="M61" s="1">
        <f t="array" aca="1" ref="M61" ca="1">SUMPRODUCT((OFFSET(Calc2!$F$4,,,$F$26*B56,2)=F61)*(OFFSET(Calc2!$H$4,,,$F$26*B56,1)=OFFSET(Calc2!$I$4,,,$F$26*B56,1))*(OFFSET(Calc2!$H$4,,,$F$26*B56,1)&lt;&gt;"")*(OFFSET(Calc2!$I$4,,,$F$26*B56,1)&lt;&gt;""))</f>
        <v>1</v>
      </c>
      <c r="N61" s="1">
        <f t="array" aca="1" ref="N61" ca="1">SUMPRODUCT((OFFSET(Calc2!$F$4,,,$F$26*B56,1)=F61)*(OFFSET(Calc2!$H$4,,,$F$26*B56,1)&lt;OFFSET(Calc2!$I$4,,,$F$26*B56,1)))+SUMPRODUCT((OFFSET(Calc2!$G$4,,,$F$26*B56,1)=F61)*(OFFSET(Calc2!$H$4,,,$F$26*B56,1)&gt;OFFSET(Calc2!$I$4,,,$F$26*B56,1)))</f>
        <v>2</v>
      </c>
      <c r="O61" s="132">
        <f ca="1">SUMPRODUCT((F61=OFFSET(Calc2!$F$4,,,$F$26*B56,1))*OFFSET(Calc2!$O$4,,,$F$26*B56,1))+SUMPRODUCT((F61=OFFSET(Calc2!$G$4,,,$F$26*B56,1))*OFFSET(Calc2!$P$4,,,$F$26*B56,1))</f>
        <v>0</v>
      </c>
      <c r="R61" s="13">
        <f t="shared" ca="1" si="11"/>
        <v>1499998001</v>
      </c>
      <c r="S61" s="134">
        <f>Tie_Break!$D$10</f>
        <v>0</v>
      </c>
      <c r="T61" s="9">
        <f ca="1">RANK(R61,R58:R77)+(9-S61)/10000+(F61="")*1000</f>
        <v>15.0009</v>
      </c>
      <c r="U61" s="134"/>
      <c r="V61" s="134">
        <f ca="1">IF($K$24=0,"",IF(VLOOKUP(B61,C58:E77,3,0)=MAX(V$4:V60),VLOOKUP(B61,C58:E77,3,0),B61))</f>
        <v>4</v>
      </c>
      <c r="W61" s="4" t="str">
        <f ca="1">IF($K$24=0,Calc2!$C$7,VLOOKUP(B61,C58:N77,4,0))</f>
        <v>FC St. Pauli</v>
      </c>
      <c r="X61" s="1">
        <f ca="1">INDEX(V31:V50,MATCH(W61,W31:W50,0))</f>
        <v>5</v>
      </c>
      <c r="Y61" s="1">
        <f t="shared" ca="1" si="14"/>
        <v>1</v>
      </c>
    </row>
    <row r="62" spans="2:25" s="2" customFormat="1" x14ac:dyDescent="0.2">
      <c r="B62" s="1">
        <v>5</v>
      </c>
      <c r="C62" s="9">
        <f ca="1">RANK(D62,D58:D77,1)</f>
        <v>10</v>
      </c>
      <c r="D62" s="134">
        <f t="shared" ca="1" si="12"/>
        <v>10.061999999999999</v>
      </c>
      <c r="E62" s="134">
        <f ca="1">RANK(T62,T58:T77,1)</f>
        <v>10</v>
      </c>
      <c r="F62" s="187" t="str">
        <f>Calc2!$C$8</f>
        <v>Bayer 04 Leverkusen</v>
      </c>
      <c r="G62" s="1">
        <f ca="1">SUMIFS(OFFSET(Calc2!$H$4,,,$F$26*B56,1),OFFSET(Calc2!$F$4,,,$F$26*B56,1),F62)+SUMIFS(OFFSET(Calc2!$I$4,,,$F$26*B56,1),OFFSET(Calc2!$G$4,,,$F$26*B56,1),F62)</f>
        <v>7</v>
      </c>
      <c r="H62" s="1">
        <f ca="1">SUMIFS(OFFSET(Calc2!$I$4,,,$F$26*B56,1),OFFSET(Calc2!$F$4,,,$F$26*B56,1),F62)+SUMIFS(OFFSET(Calc2!$H$4,,,$F$26*B56,1),OFFSET(Calc2!$G$4,,,$F$26*B56,1),F62)</f>
        <v>6</v>
      </c>
      <c r="I62" s="134">
        <f t="shared" ca="1" si="10"/>
        <v>1</v>
      </c>
      <c r="J62" s="12">
        <f ca="1">L62*Settings!$C$3+M62+O62</f>
        <v>4</v>
      </c>
      <c r="K62" s="1">
        <f t="shared" ca="1" si="13"/>
        <v>3</v>
      </c>
      <c r="L62" s="1">
        <f t="array" aca="1" ref="L62" ca="1">SUMPRODUCT((OFFSET(Calc2!$F$4,,,$F$26*B56,1)=F62)*(OFFSET(Calc2!$H$4,,,$F$26*B56,1)&gt;OFFSET(Calc2!$I$4,,,$F$26*B56,1)))+SUMPRODUCT((OFFSET(Calc2!$G$4,,,$F$26*B56,1)=F62)*(OFFSET(Calc2!$H$4,,,$F$26*B56,1)&lt;OFFSET(Calc2!$I$4,,,$F$26*B56,1)))</f>
        <v>1</v>
      </c>
      <c r="M62" s="1">
        <f t="array" aca="1" ref="M62" ca="1">SUMPRODUCT((OFFSET(Calc2!$F$4,,,$F$26*B56,2)=F62)*(OFFSET(Calc2!$H$4,,,$F$26*B56,1)=OFFSET(Calc2!$I$4,,,$F$26*B56,1))*(OFFSET(Calc2!$H$4,,,$F$26*B56,1)&lt;&gt;"")*(OFFSET(Calc2!$I$4,,,$F$26*B56,1)&lt;&gt;""))</f>
        <v>1</v>
      </c>
      <c r="N62" s="1">
        <f t="array" aca="1" ref="N62" ca="1">SUMPRODUCT((OFFSET(Calc2!$F$4,,,$F$26*B56,1)=F62)*(OFFSET(Calc2!$H$4,,,$F$26*B56,1)&lt;OFFSET(Calc2!$I$4,,,$F$26*B56,1)))+SUMPRODUCT((OFFSET(Calc2!$G$4,,,$F$26*B56,1)=F62)*(OFFSET(Calc2!$H$4,,,$F$26*B56,1)&gt;OFFSET(Calc2!$I$4,,,$F$26*B56,1)))</f>
        <v>1</v>
      </c>
      <c r="O62" s="132">
        <f ca="1">SUMPRODUCT((F62=OFFSET(Calc2!$F$4,,,$F$26*B56,1))*OFFSET(Calc2!$O$4,,,$F$26*B56,1))+SUMPRODUCT((F62=OFFSET(Calc2!$G$4,,,$F$26*B56,1))*OFFSET(Calc2!$P$4,,,$F$26*B56,1))</f>
        <v>0</v>
      </c>
      <c r="R62" s="13">
        <f t="shared" ca="1" si="11"/>
        <v>4500001007</v>
      </c>
      <c r="S62" s="134">
        <f>Tie_Break!$D$11</f>
        <v>0</v>
      </c>
      <c r="T62" s="9">
        <f ca="1">RANK(R62,R58:R77)+(9-S62)/10000+(F62="")*1000</f>
        <v>10.0009</v>
      </c>
      <c r="U62" s="134"/>
      <c r="V62" s="134">
        <f ca="1">IF($K$24=0,"",IF(VLOOKUP(B62,C58:E77,3,0)=MAX(V$4:V61),VLOOKUP(B62,C58:E77,3,0),B62))</f>
        <v>5</v>
      </c>
      <c r="W62" s="4" t="str">
        <f ca="1">IF($K$24=0,Calc2!$C$8,VLOOKUP(B62,C58:N77,4,0))</f>
        <v>Eintracht Frankfurt</v>
      </c>
      <c r="X62" s="1">
        <f ca="1">INDEX(V31:V50,MATCH(W62,W31:W50,0))</f>
        <v>2</v>
      </c>
      <c r="Y62" s="1">
        <f t="shared" ca="1" si="14"/>
        <v>-1</v>
      </c>
    </row>
    <row r="63" spans="2:25" s="2" customFormat="1" x14ac:dyDescent="0.2">
      <c r="B63" s="1">
        <v>6</v>
      </c>
      <c r="C63" s="9">
        <f ca="1">RANK(D63,D58:D77,1)</f>
        <v>2</v>
      </c>
      <c r="D63" s="134">
        <f t="shared" ca="1" si="12"/>
        <v>2.0630000000000002</v>
      </c>
      <c r="E63" s="134">
        <f ca="1">RANK(T63,T58:T77,1)</f>
        <v>2</v>
      </c>
      <c r="F63" s="187" t="str">
        <f>Calc2!$C$9</f>
        <v>Borussia Dortmund</v>
      </c>
      <c r="G63" s="1">
        <f ca="1">SUMIFS(OFFSET(Calc2!$H$4,,,$F$26*B56,1),OFFSET(Calc2!$F$4,,,$F$26*B56,1),F63)+SUMIFS(OFFSET(Calc2!$I$4,,,$F$26*B56,1),OFFSET(Calc2!$G$4,,,$F$26*B56,1),F63)</f>
        <v>8</v>
      </c>
      <c r="H63" s="1">
        <f ca="1">SUMIFS(OFFSET(Calc2!$I$4,,,$F$26*B56,1),OFFSET(Calc2!$F$4,,,$F$26*B56,1),F63)+SUMIFS(OFFSET(Calc2!$H$4,,,$F$26*B56,1),OFFSET(Calc2!$G$4,,,$F$26*B56,1),F63)</f>
        <v>3</v>
      </c>
      <c r="I63" s="134">
        <f t="shared" ca="1" si="10"/>
        <v>5</v>
      </c>
      <c r="J63" s="12">
        <f ca="1">L63*Settings!$C$3+M63+O63</f>
        <v>7</v>
      </c>
      <c r="K63" s="1">
        <f t="shared" ca="1" si="13"/>
        <v>3</v>
      </c>
      <c r="L63" s="1">
        <f t="array" aca="1" ref="L63" ca="1">SUMPRODUCT((OFFSET(Calc2!$F$4,,,$F$26*B56,1)=F63)*(OFFSET(Calc2!$H$4,,,$F$26*B56,1)&gt;OFFSET(Calc2!$I$4,,,$F$26*B56,1)))+SUMPRODUCT((OFFSET(Calc2!$G$4,,,$F$26*B56,1)=F63)*(OFFSET(Calc2!$H$4,,,$F$26*B56,1)&lt;OFFSET(Calc2!$I$4,,,$F$26*B56,1)))</f>
        <v>2</v>
      </c>
      <c r="M63" s="1">
        <f t="array" aca="1" ref="M63" ca="1">SUMPRODUCT((OFFSET(Calc2!$F$4,,,$F$26*B56,2)=F63)*(OFFSET(Calc2!$H$4,,,$F$26*B56,1)=OFFSET(Calc2!$I$4,,,$F$26*B56,1))*(OFFSET(Calc2!$H$4,,,$F$26*B56,1)&lt;&gt;"")*(OFFSET(Calc2!$I$4,,,$F$26*B56,1)&lt;&gt;""))</f>
        <v>1</v>
      </c>
      <c r="N63" s="1">
        <f t="array" aca="1" ref="N63" ca="1">SUMPRODUCT((OFFSET(Calc2!$F$4,,,$F$26*B56,1)=F63)*(OFFSET(Calc2!$H$4,,,$F$26*B56,1)&lt;OFFSET(Calc2!$I$4,,,$F$26*B56,1)))+SUMPRODUCT((OFFSET(Calc2!$G$4,,,$F$26*B56,1)=F63)*(OFFSET(Calc2!$H$4,,,$F$26*B56,1)&gt;OFFSET(Calc2!$I$4,,,$F$26*B56,1)))</f>
        <v>0</v>
      </c>
      <c r="O63" s="132">
        <f ca="1">SUMPRODUCT((F63=OFFSET(Calc2!$F$4,,,$F$26*B56,1))*OFFSET(Calc2!$O$4,,,$F$26*B56,1))+SUMPRODUCT((F63=OFFSET(Calc2!$G$4,,,$F$26*B56,1))*OFFSET(Calc2!$P$4,,,$F$26*B56,1))</f>
        <v>0</v>
      </c>
      <c r="R63" s="13">
        <f t="shared" ca="1" si="11"/>
        <v>7500005008</v>
      </c>
      <c r="S63" s="134">
        <f>Tie_Break!$D$12</f>
        <v>0</v>
      </c>
      <c r="T63" s="9">
        <f ca="1">RANK(R63,R58:R77)+(9-S63)/10000+(F63="")*1000</f>
        <v>2.0009000000000001</v>
      </c>
      <c r="U63" s="134"/>
      <c r="V63" s="134">
        <f ca="1">IF($K$24=0,"",IF(VLOOKUP(B63,C58:E77,3,0)=MAX(V$4:V62),VLOOKUP(B63,C58:E77,3,0),B63))</f>
        <v>6</v>
      </c>
      <c r="W63" s="4" t="str">
        <f ca="1">IF($K$24=0,Calc2!$C$9,VLOOKUP(B63,C58:N77,4,0))</f>
        <v>TSG Hoffenheim</v>
      </c>
      <c r="X63" s="1">
        <f ca="1">INDEX(V31:V50,MATCH(W63,W31:W50,0))</f>
        <v>9</v>
      </c>
      <c r="Y63" s="1">
        <f t="shared" ca="1" si="14"/>
        <v>1</v>
      </c>
    </row>
    <row r="64" spans="2:25" s="2" customFormat="1" x14ac:dyDescent="0.2">
      <c r="B64" s="1">
        <v>7</v>
      </c>
      <c r="C64" s="9">
        <f ca="1">RANK(D64,D58:D77,1)</f>
        <v>16</v>
      </c>
      <c r="D64" s="134">
        <f t="shared" ca="1" si="12"/>
        <v>16.064</v>
      </c>
      <c r="E64" s="134">
        <f ca="1">RANK(T64,T58:T77,1)</f>
        <v>16</v>
      </c>
      <c r="F64" s="187" t="str">
        <f>Calc2!$C$10</f>
        <v>Borussia Mönchengladbach</v>
      </c>
      <c r="G64" s="1">
        <f ca="1">SUMIFS(OFFSET(Calc2!$H$4,,,$F$26*B56,1),OFFSET(Calc2!$F$4,,,$F$26*B56,1),F64)+SUMIFS(OFFSET(Calc2!$I$4,,,$F$26*B56,1),OFFSET(Calc2!$G$4,,,$F$26*B56,1),F64)</f>
        <v>0</v>
      </c>
      <c r="H64" s="1">
        <f ca="1">SUMIFS(OFFSET(Calc2!$I$4,,,$F$26*B56,1),OFFSET(Calc2!$F$4,,,$F$26*B56,1),F64)+SUMIFS(OFFSET(Calc2!$H$4,,,$F$26*B56,1),OFFSET(Calc2!$G$4,,,$F$26*B56,1),F64)</f>
        <v>5</v>
      </c>
      <c r="I64" s="134">
        <f t="shared" ca="1" si="10"/>
        <v>-5</v>
      </c>
      <c r="J64" s="12">
        <f ca="1">L64*Settings!$C$3+M64+O64</f>
        <v>1</v>
      </c>
      <c r="K64" s="1">
        <f t="shared" ca="1" si="13"/>
        <v>3</v>
      </c>
      <c r="L64" s="1">
        <f t="array" aca="1" ref="L64" ca="1">SUMPRODUCT((OFFSET(Calc2!$F$4,,,$F$26*B56,1)=F64)*(OFFSET(Calc2!$H$4,,,$F$26*B56,1)&gt;OFFSET(Calc2!$I$4,,,$F$26*B56,1)))+SUMPRODUCT((OFFSET(Calc2!$G$4,,,$F$26*B56,1)=F64)*(OFFSET(Calc2!$H$4,,,$F$26*B56,1)&lt;OFFSET(Calc2!$I$4,,,$F$26*B56,1)))</f>
        <v>0</v>
      </c>
      <c r="M64" s="1">
        <f t="array" aca="1" ref="M64" ca="1">SUMPRODUCT((OFFSET(Calc2!$F$4,,,$F$26*B56,2)=F64)*(OFFSET(Calc2!$H$4,,,$F$26*B56,1)=OFFSET(Calc2!$I$4,,,$F$26*B56,1))*(OFFSET(Calc2!$H$4,,,$F$26*B56,1)&lt;&gt;"")*(OFFSET(Calc2!$I$4,,,$F$26*B56,1)&lt;&gt;""))</f>
        <v>1</v>
      </c>
      <c r="N64" s="1">
        <f t="array" aca="1" ref="N64" ca="1">SUMPRODUCT((OFFSET(Calc2!$F$4,,,$F$26*B56,1)=F64)*(OFFSET(Calc2!$H$4,,,$F$26*B56,1)&lt;OFFSET(Calc2!$I$4,,,$F$26*B56,1)))+SUMPRODUCT((OFFSET(Calc2!$G$4,,,$F$26*B56,1)=F64)*(OFFSET(Calc2!$H$4,,,$F$26*B56,1)&gt;OFFSET(Calc2!$I$4,,,$F$26*B56,1)))</f>
        <v>2</v>
      </c>
      <c r="O64" s="132">
        <f ca="1">SUMPRODUCT((F64=OFFSET(Calc2!$F$4,,,$F$26*B56,1))*OFFSET(Calc2!$O$4,,,$F$26*B56,1))+SUMPRODUCT((F64=OFFSET(Calc2!$G$4,,,$F$26*B56,1))*OFFSET(Calc2!$P$4,,,$F$26*B56,1))</f>
        <v>0</v>
      </c>
      <c r="R64" s="13">
        <f t="shared" ca="1" si="11"/>
        <v>1499995000</v>
      </c>
      <c r="S64" s="134">
        <f>Tie_Break!$D$13</f>
        <v>0</v>
      </c>
      <c r="T64" s="9">
        <f ca="1">RANK(R64,R58:R77)+(9-S64)/10000+(F64="")*1000</f>
        <v>16.000900000000001</v>
      </c>
      <c r="U64" s="134"/>
      <c r="V64" s="134">
        <f ca="1">IF($K$24=0,"",IF(VLOOKUP(B64,C58:E77,3,0)=MAX(V$4:V63),VLOOKUP(B64,C58:E77,3,0),B64))</f>
        <v>7</v>
      </c>
      <c r="W64" s="4" t="str">
        <f ca="1">IF($K$24=0,Calc2!$C$10,VLOOKUP(B64,C58:N77,4,0))</f>
        <v>RB Leipzig</v>
      </c>
      <c r="X64" s="1">
        <f ca="1">INDEX(V31:V50,MATCH(W64,W31:W50,0))</f>
        <v>11</v>
      </c>
      <c r="Y64" s="1">
        <f t="shared" ca="1" si="14"/>
        <v>1</v>
      </c>
    </row>
    <row r="65" spans="2:25" s="2" customFormat="1" x14ac:dyDescent="0.2">
      <c r="B65" s="1">
        <v>8</v>
      </c>
      <c r="C65" s="9">
        <f ca="1">RANK(D65,D58:D77,1)</f>
        <v>5</v>
      </c>
      <c r="D65" s="134">
        <f t="shared" ca="1" si="12"/>
        <v>5.0650000000000004</v>
      </c>
      <c r="E65" s="134">
        <f ca="1">RANK(T65,T58:T77,1)</f>
        <v>5</v>
      </c>
      <c r="F65" s="187" t="str">
        <f>Calc2!$C$11</f>
        <v>Eintracht Frankfurt</v>
      </c>
      <c r="G65" s="1">
        <f ca="1">SUMIFS(OFFSET(Calc2!$H$4,,,$F$26*B56,1),OFFSET(Calc2!$F$4,,,$F$26*B56,1),F65)+SUMIFS(OFFSET(Calc2!$I$4,,,$F$26*B56,1),OFFSET(Calc2!$G$4,,,$F$26*B56,1),F65)</f>
        <v>8</v>
      </c>
      <c r="H65" s="1">
        <f ca="1">SUMIFS(OFFSET(Calc2!$I$4,,,$F$26*B56,1),OFFSET(Calc2!$F$4,,,$F$26*B56,1),F65)+SUMIFS(OFFSET(Calc2!$H$4,,,$F$26*B56,1),OFFSET(Calc2!$G$4,,,$F$26*B56,1),F65)</f>
        <v>5</v>
      </c>
      <c r="I65" s="134">
        <f t="shared" ca="1" si="10"/>
        <v>3</v>
      </c>
      <c r="J65" s="12">
        <f ca="1">L65*Settings!$C$3+M65+O65</f>
        <v>6</v>
      </c>
      <c r="K65" s="1">
        <f t="shared" ca="1" si="13"/>
        <v>3</v>
      </c>
      <c r="L65" s="1">
        <f t="array" aca="1" ref="L65" ca="1">SUMPRODUCT((OFFSET(Calc2!$F$4,,,$F$26*B56,1)=F65)*(OFFSET(Calc2!$H$4,,,$F$26*B56,1)&gt;OFFSET(Calc2!$I$4,,,$F$26*B56,1)))+SUMPRODUCT((OFFSET(Calc2!$G$4,,,$F$26*B56,1)=F65)*(OFFSET(Calc2!$H$4,,,$F$26*B56,1)&lt;OFFSET(Calc2!$I$4,,,$F$26*B56,1)))</f>
        <v>2</v>
      </c>
      <c r="M65" s="1">
        <f t="array" aca="1" ref="M65" ca="1">SUMPRODUCT((OFFSET(Calc2!$F$4,,,$F$26*B56,2)=F65)*(OFFSET(Calc2!$H$4,,,$F$26*B56,1)=OFFSET(Calc2!$I$4,,,$F$26*B56,1))*(OFFSET(Calc2!$H$4,,,$F$26*B56,1)&lt;&gt;"")*(OFFSET(Calc2!$I$4,,,$F$26*B56,1)&lt;&gt;""))</f>
        <v>0</v>
      </c>
      <c r="N65" s="1">
        <f t="array" aca="1" ref="N65" ca="1">SUMPRODUCT((OFFSET(Calc2!$F$4,,,$F$26*B56,1)=F65)*(OFFSET(Calc2!$H$4,,,$F$26*B56,1)&lt;OFFSET(Calc2!$I$4,,,$F$26*B56,1)))+SUMPRODUCT((OFFSET(Calc2!$G$4,,,$F$26*B56,1)=F65)*(OFFSET(Calc2!$H$4,,,$F$26*B56,1)&gt;OFFSET(Calc2!$I$4,,,$F$26*B56,1)))</f>
        <v>1</v>
      </c>
      <c r="O65" s="132">
        <f ca="1">SUMPRODUCT((F65=OFFSET(Calc2!$F$4,,,$F$26*B56,1))*OFFSET(Calc2!$O$4,,,$F$26*B56,1))+SUMPRODUCT((F65=OFFSET(Calc2!$G$4,,,$F$26*B56,1))*OFFSET(Calc2!$P$4,,,$F$26*B56,1))</f>
        <v>0</v>
      </c>
      <c r="R65" s="13">
        <f t="shared" ca="1" si="11"/>
        <v>6500003008</v>
      </c>
      <c r="S65" s="134">
        <f>Tie_Break!$D$14</f>
        <v>0</v>
      </c>
      <c r="T65" s="9">
        <f ca="1">RANK(R65,R58:R77)+(9-S65)/10000+(F65="")*1000</f>
        <v>5.0008999999999997</v>
      </c>
      <c r="U65" s="134"/>
      <c r="V65" s="134">
        <f ca="1">IF($K$24=0,"",IF(VLOOKUP(B65,C58:E77,3,0)=MAX(V$4:V64),VLOOKUP(B65,C58:E77,3,0),B65))</f>
        <v>8</v>
      </c>
      <c r="W65" s="4" t="str">
        <f ca="1">IF($K$24=0,Calc2!$C$11,VLOOKUP(B65,C58:N77,4,0))</f>
        <v>VfL Wolfsburg</v>
      </c>
      <c r="X65" s="1">
        <f ca="1">INDEX(V31:V50,MATCH(W65,W31:W50,0))</f>
        <v>6</v>
      </c>
      <c r="Y65" s="1">
        <f t="shared" ca="1" si="14"/>
        <v>-1</v>
      </c>
    </row>
    <row r="66" spans="2:25" s="2" customFormat="1" x14ac:dyDescent="0.2">
      <c r="B66" s="1">
        <v>9</v>
      </c>
      <c r="C66" s="9">
        <f ca="1">RANK(D66,D58:D77,1)</f>
        <v>11</v>
      </c>
      <c r="D66" s="134">
        <f t="shared" ca="1" si="12"/>
        <v>11.066000000000001</v>
      </c>
      <c r="E66" s="134">
        <f ca="1">RANK(T66,T58:T77,1)</f>
        <v>11</v>
      </c>
      <c r="F66" s="187" t="str">
        <f>Calc2!$C$12</f>
        <v>FC Augsburg</v>
      </c>
      <c r="G66" s="1">
        <f ca="1">SUMIFS(OFFSET(Calc2!$H$4,,,$F$26*B56,1),OFFSET(Calc2!$F$4,,,$F$26*B56,1),F66)+SUMIFS(OFFSET(Calc2!$I$4,,,$F$26*B56,1),OFFSET(Calc2!$G$4,,,$F$26*B56,1),F66)</f>
        <v>6</v>
      </c>
      <c r="H66" s="1">
        <f ca="1">SUMIFS(OFFSET(Calc2!$I$4,,,$F$26*B56,1),OFFSET(Calc2!$F$4,,,$F$26*B56,1),F66)+SUMIFS(OFFSET(Calc2!$H$4,,,$F$26*B56,1),OFFSET(Calc2!$G$4,,,$F$26*B56,1),F66)</f>
        <v>6</v>
      </c>
      <c r="I66" s="134">
        <f t="shared" ca="1" si="10"/>
        <v>0</v>
      </c>
      <c r="J66" s="12">
        <f ca="1">L66*Settings!$C$3+M66+O66</f>
        <v>3</v>
      </c>
      <c r="K66" s="1">
        <f t="shared" ca="1" si="13"/>
        <v>3</v>
      </c>
      <c r="L66" s="1">
        <f t="array" aca="1" ref="L66" ca="1">SUMPRODUCT((OFFSET(Calc2!$F$4,,,$F$26*B56,1)=F66)*(OFFSET(Calc2!$H$4,,,$F$26*B56,1)&gt;OFFSET(Calc2!$I$4,,,$F$26*B56,1)))+SUMPRODUCT((OFFSET(Calc2!$G$4,,,$F$26*B56,1)=F66)*(OFFSET(Calc2!$H$4,,,$F$26*B56,1)&lt;OFFSET(Calc2!$I$4,,,$F$26*B56,1)))</f>
        <v>1</v>
      </c>
      <c r="M66" s="1">
        <f t="array" aca="1" ref="M66" ca="1">SUMPRODUCT((OFFSET(Calc2!$F$4,,,$F$26*B56,2)=F66)*(OFFSET(Calc2!$H$4,,,$F$26*B56,1)=OFFSET(Calc2!$I$4,,,$F$26*B56,1))*(OFFSET(Calc2!$H$4,,,$F$26*B56,1)&lt;&gt;"")*(OFFSET(Calc2!$I$4,,,$F$26*B56,1)&lt;&gt;""))</f>
        <v>0</v>
      </c>
      <c r="N66" s="1">
        <f t="array" aca="1" ref="N66" ca="1">SUMPRODUCT((OFFSET(Calc2!$F$4,,,$F$26*B56,1)=F66)*(OFFSET(Calc2!$H$4,,,$F$26*B56,1)&lt;OFFSET(Calc2!$I$4,,,$F$26*B56,1)))+SUMPRODUCT((OFFSET(Calc2!$G$4,,,$F$26*B56,1)=F66)*(OFFSET(Calc2!$H$4,,,$F$26*B56,1)&gt;OFFSET(Calc2!$I$4,,,$F$26*B56,1)))</f>
        <v>2</v>
      </c>
      <c r="O66" s="132">
        <f ca="1">SUMPRODUCT((F66=OFFSET(Calc2!$F$4,,,$F$26*B56,1))*OFFSET(Calc2!$O$4,,,$F$26*B56,1))+SUMPRODUCT((F66=OFFSET(Calc2!$G$4,,,$F$26*B56,1))*OFFSET(Calc2!$P$4,,,$F$26*B56,1))</f>
        <v>0</v>
      </c>
      <c r="R66" s="13">
        <f t="shared" ca="1" si="11"/>
        <v>3500000006</v>
      </c>
      <c r="S66" s="134">
        <f>Tie_Break!$D$15</f>
        <v>0</v>
      </c>
      <c r="T66" s="9">
        <f ca="1">RANK(R66,R58:R77)+(9-S66)/10000+(F66="")*1000</f>
        <v>11.0009</v>
      </c>
      <c r="U66" s="134"/>
      <c r="V66" s="134">
        <f ca="1">IF($K$24=0,"",IF(VLOOKUP(B66,C58:E77,3,0)=MAX(V$4:V65),VLOOKUP(B66,C58:E77,3,0),B66))</f>
        <v>9</v>
      </c>
      <c r="W66" s="4" t="str">
        <f ca="1">IF($K$24=0,Calc2!$C$12,VLOOKUP(B66,C58:N77,4,0))</f>
        <v>SV Werder Bremen</v>
      </c>
      <c r="X66" s="1">
        <f ca="1">INDEX(V31:V50,MATCH(W66,W31:W50,0))</f>
        <v>16</v>
      </c>
      <c r="Y66" s="1">
        <f t="shared" ca="1" si="14"/>
        <v>1</v>
      </c>
    </row>
    <row r="67" spans="2:25" s="2" customFormat="1" x14ac:dyDescent="0.2">
      <c r="B67" s="1">
        <v>10</v>
      </c>
      <c r="C67" s="9">
        <f ca="1">RANK(D67,D58:D77,1)</f>
        <v>1</v>
      </c>
      <c r="D67" s="134">
        <f t="shared" ca="1" si="12"/>
        <v>1.0669999999999999</v>
      </c>
      <c r="E67" s="134">
        <f ca="1">RANK(T67,T58:T77,1)</f>
        <v>1</v>
      </c>
      <c r="F67" s="187" t="str">
        <f>Calc2!$C$13</f>
        <v>FC Bayern München</v>
      </c>
      <c r="G67" s="1">
        <f ca="1">SUMIFS(OFFSET(Calc2!$H$4,,,$F$26*B56,1),OFFSET(Calc2!$F$4,,,$F$26*B56,1),F67)+SUMIFS(OFFSET(Calc2!$I$4,,,$F$26*B56,1),OFFSET(Calc2!$G$4,,,$F$26*B56,1),F67)</f>
        <v>14</v>
      </c>
      <c r="H67" s="1">
        <f ca="1">SUMIFS(OFFSET(Calc2!$I$4,,,$F$26*B56,1),OFFSET(Calc2!$F$4,,,$F$26*B56,1),F67)+SUMIFS(OFFSET(Calc2!$H$4,,,$F$26*B56,1),OFFSET(Calc2!$G$4,,,$F$26*B56,1),F67)</f>
        <v>2</v>
      </c>
      <c r="I67" s="134">
        <f t="shared" ca="1" si="10"/>
        <v>12</v>
      </c>
      <c r="J67" s="12">
        <f ca="1">L67*Settings!$C$3+M67+O67</f>
        <v>9</v>
      </c>
      <c r="K67" s="1">
        <f t="shared" ca="1" si="13"/>
        <v>3</v>
      </c>
      <c r="L67" s="1">
        <f t="array" aca="1" ref="L67" ca="1">SUMPRODUCT((OFFSET(Calc2!$F$4,,,$F$26*B56,1)=F67)*(OFFSET(Calc2!$H$4,,,$F$26*B56,1)&gt;OFFSET(Calc2!$I$4,,,$F$26*B56,1)))+SUMPRODUCT((OFFSET(Calc2!$G$4,,,$F$26*B56,1)=F67)*(OFFSET(Calc2!$H$4,,,$F$26*B56,1)&lt;OFFSET(Calc2!$I$4,,,$F$26*B56,1)))</f>
        <v>3</v>
      </c>
      <c r="M67" s="1">
        <f t="array" aca="1" ref="M67" ca="1">SUMPRODUCT((OFFSET(Calc2!$F$4,,,$F$26*B56,2)=F67)*(OFFSET(Calc2!$H$4,,,$F$26*B56,1)=OFFSET(Calc2!$I$4,,,$F$26*B56,1))*(OFFSET(Calc2!$H$4,,,$F$26*B56,1)&lt;&gt;"")*(OFFSET(Calc2!$I$4,,,$F$26*B56,1)&lt;&gt;""))</f>
        <v>0</v>
      </c>
      <c r="N67" s="1">
        <f t="array" aca="1" ref="N67" ca="1">SUMPRODUCT((OFFSET(Calc2!$F$4,,,$F$26*B56,1)=F67)*(OFFSET(Calc2!$H$4,,,$F$26*B56,1)&lt;OFFSET(Calc2!$I$4,,,$F$26*B56,1)))+SUMPRODUCT((OFFSET(Calc2!$G$4,,,$F$26*B56,1)=F67)*(OFFSET(Calc2!$H$4,,,$F$26*B56,1)&gt;OFFSET(Calc2!$I$4,,,$F$26*B56,1)))</f>
        <v>0</v>
      </c>
      <c r="O67" s="132">
        <f ca="1">SUMPRODUCT((F67=OFFSET(Calc2!$F$4,,,$F$26*B56,1))*OFFSET(Calc2!$O$4,,,$F$26*B56,1))+SUMPRODUCT((F67=OFFSET(Calc2!$G$4,,,$F$26*B56,1))*OFFSET(Calc2!$P$4,,,$F$26*B56,1))</f>
        <v>0</v>
      </c>
      <c r="R67" s="13">
        <f t="shared" ca="1" si="11"/>
        <v>9500012014</v>
      </c>
      <c r="S67" s="134">
        <f>Tie_Break!$D$16</f>
        <v>0</v>
      </c>
      <c r="T67" s="9">
        <f ca="1">RANK(R67,R58:R77)+(9-S67)/10000+(F67="")*1000</f>
        <v>1.0008999999999999</v>
      </c>
      <c r="V67" s="134">
        <f ca="1">IF($K$24=0,"",IF(VLOOKUP(B67,C58:E77,3,0)=MAX(V$4:V66),VLOOKUP(B67,C58:E77,3,0),B67))</f>
        <v>10</v>
      </c>
      <c r="W67" s="4" t="str">
        <f ca="1">IF($K$24=0,Calc2!$C$13,VLOOKUP(B67,C58:N77,4,0))</f>
        <v>Bayer 04 Leverkusen</v>
      </c>
      <c r="X67" s="1">
        <f ca="1">INDEX(V31:V50,MATCH(W67,W31:W50,0))</f>
        <v>12</v>
      </c>
      <c r="Y67" s="1">
        <f t="shared" ca="1" si="14"/>
        <v>1</v>
      </c>
    </row>
    <row r="68" spans="2:25" s="2" customFormat="1" x14ac:dyDescent="0.2">
      <c r="B68" s="1">
        <v>11</v>
      </c>
      <c r="C68" s="9">
        <f ca="1">RANK(D68,D58:D77,1)</f>
        <v>4</v>
      </c>
      <c r="D68" s="134">
        <f t="shared" ca="1" si="12"/>
        <v>4.0679999999999996</v>
      </c>
      <c r="E68" s="134">
        <f ca="1">RANK(T68,T58:T77,1)</f>
        <v>4</v>
      </c>
      <c r="F68" s="187" t="str">
        <f>Calc2!$C$14</f>
        <v>FC St. Pauli</v>
      </c>
      <c r="G68" s="1">
        <f ca="1">SUMIFS(OFFSET(Calc2!$H$4,,,$F$26*B56,1),OFFSET(Calc2!$F$4,,,$F$26*B56,1),F68)+SUMIFS(OFFSET(Calc2!$I$4,,,$F$26*B56,1),OFFSET(Calc2!$G$4,,,$F$26*B56,1),F68)</f>
        <v>7</v>
      </c>
      <c r="H68" s="1">
        <f ca="1">SUMIFS(OFFSET(Calc2!$I$4,,,$F$26*B56,1),OFFSET(Calc2!$F$4,,,$F$26*B56,1),F68)+SUMIFS(OFFSET(Calc2!$H$4,,,$F$26*B56,1),OFFSET(Calc2!$G$4,,,$F$26*B56,1),F68)</f>
        <v>4</v>
      </c>
      <c r="I68" s="134">
        <f t="shared" ca="1" si="10"/>
        <v>3</v>
      </c>
      <c r="J68" s="12">
        <f ca="1">L68*Settings!$C$3+M68+O68</f>
        <v>7</v>
      </c>
      <c r="K68" s="1">
        <f t="shared" ca="1" si="13"/>
        <v>3</v>
      </c>
      <c r="L68" s="1">
        <f t="array" aca="1" ref="L68" ca="1">SUMPRODUCT((OFFSET(Calc2!$F$4,,,$F$26*B56,1)=F68)*(OFFSET(Calc2!$H$4,,,$F$26*B56,1)&gt;OFFSET(Calc2!$I$4,,,$F$26*B56,1)))+SUMPRODUCT((OFFSET(Calc2!$G$4,,,$F$26*B56,1)=F68)*(OFFSET(Calc2!$H$4,,,$F$26*B56,1)&lt;OFFSET(Calc2!$I$4,,,$F$26*B56,1)))</f>
        <v>2</v>
      </c>
      <c r="M68" s="1">
        <f t="array" aca="1" ref="M68" ca="1">SUMPRODUCT((OFFSET(Calc2!$F$4,,,$F$26*B56,2)=F68)*(OFFSET(Calc2!$H$4,,,$F$26*B56,1)=OFFSET(Calc2!$I$4,,,$F$26*B56,1))*(OFFSET(Calc2!$H$4,,,$F$26*B56,1)&lt;&gt;"")*(OFFSET(Calc2!$I$4,,,$F$26*B56,1)&lt;&gt;""))</f>
        <v>1</v>
      </c>
      <c r="N68" s="1">
        <f t="array" aca="1" ref="N68" ca="1">SUMPRODUCT((OFFSET(Calc2!$F$4,,,$F$26*B56,1)=F68)*(OFFSET(Calc2!$H$4,,,$F$26*B56,1)&lt;OFFSET(Calc2!$I$4,,,$F$26*B56,1)))+SUMPRODUCT((OFFSET(Calc2!$G$4,,,$F$26*B56,1)=F68)*(OFFSET(Calc2!$H$4,,,$F$26*B56,1)&gt;OFFSET(Calc2!$I$4,,,$F$26*B56,1)))</f>
        <v>0</v>
      </c>
      <c r="O68" s="132">
        <f ca="1">SUMPRODUCT((F68=OFFSET(Calc2!$F$4,,,$F$26*B56,1))*OFFSET(Calc2!$O$4,,,$F$26*B56,1))+SUMPRODUCT((F68=OFFSET(Calc2!$G$4,,,$F$26*B56,1))*OFFSET(Calc2!$P$4,,,$F$26*B56,1))</f>
        <v>0</v>
      </c>
      <c r="R68" s="13">
        <f t="shared" ca="1" si="11"/>
        <v>7500003007</v>
      </c>
      <c r="S68" s="134">
        <f>Tie_Break!$D$17</f>
        <v>0</v>
      </c>
      <c r="T68" s="9">
        <f ca="1">RANK(R68,R58:R77)+(9-S68)/10000+(F68="")*1000</f>
        <v>4.0008999999999997</v>
      </c>
      <c r="V68" s="134">
        <f ca="1">IF($K$24=0,"",IF(VLOOKUP(B68,C58:E77,3,0)=MAX(V$4:V67),VLOOKUP(B68,C58:E77,3,0),B68))</f>
        <v>11</v>
      </c>
      <c r="W68" s="4" t="str">
        <f ca="1">IF($K$24=0,Calc2!$C$14,VLOOKUP(B68,C58:N77,4,0))</f>
        <v>FC Augsburg</v>
      </c>
      <c r="X68" s="1">
        <f ca="1">INDEX(V31:V50,MATCH(W68,W31:W50,0))</f>
        <v>7</v>
      </c>
      <c r="Y68" s="1">
        <f t="shared" ca="1" si="14"/>
        <v>-1</v>
      </c>
    </row>
    <row r="69" spans="2:25" s="2" customFormat="1" x14ac:dyDescent="0.2">
      <c r="B69" s="1">
        <v>12</v>
      </c>
      <c r="C69" s="9">
        <f ca="1">RANK(D69,D58:D77,1)</f>
        <v>17</v>
      </c>
      <c r="D69" s="134">
        <f t="shared" ca="1" si="12"/>
        <v>17.068999999999999</v>
      </c>
      <c r="E69" s="134">
        <f ca="1">RANK(T69,T58:T77,1)</f>
        <v>17</v>
      </c>
      <c r="F69" s="187" t="str">
        <f>Calc2!$C$15</f>
        <v>Hamburger SV</v>
      </c>
      <c r="G69" s="1">
        <f ca="1">SUMIFS(OFFSET(Calc2!$H$4,,,$F$26*B56,1),OFFSET(Calc2!$F$4,,,$F$26*B56,1),F69)+SUMIFS(OFFSET(Calc2!$I$4,,,$F$26*B56,1),OFFSET(Calc2!$G$4,,,$F$26*B56,1),F69)</f>
        <v>0</v>
      </c>
      <c r="H69" s="1">
        <f ca="1">SUMIFS(OFFSET(Calc2!$I$4,,,$F$26*B56,1),OFFSET(Calc2!$F$4,,,$F$26*B56,1),F69)+SUMIFS(OFFSET(Calc2!$H$4,,,$F$26*B56,1),OFFSET(Calc2!$G$4,,,$F$26*B56,1),F69)</f>
        <v>7</v>
      </c>
      <c r="I69" s="134">
        <f t="shared" ca="1" si="10"/>
        <v>-7</v>
      </c>
      <c r="J69" s="12">
        <f ca="1">L69*Settings!$C$3+M69+O69</f>
        <v>1</v>
      </c>
      <c r="K69" s="1">
        <f t="shared" ca="1" si="13"/>
        <v>3</v>
      </c>
      <c r="L69" s="1">
        <f t="array" aca="1" ref="L69" ca="1">SUMPRODUCT((OFFSET(Calc2!$F$4,,,$F$26*B56,1)=F69)*(OFFSET(Calc2!$H$4,,,$F$26*B56,1)&gt;OFFSET(Calc2!$I$4,,,$F$26*B56,1)))+SUMPRODUCT((OFFSET(Calc2!$G$4,,,$F$26*B56,1)=F69)*(OFFSET(Calc2!$H$4,,,$F$26*B56,1)&lt;OFFSET(Calc2!$I$4,,,$F$26*B56,1)))</f>
        <v>0</v>
      </c>
      <c r="M69" s="1">
        <f t="array" aca="1" ref="M69" ca="1">SUMPRODUCT((OFFSET(Calc2!$F$4,,,$F$26*B56,2)=F69)*(OFFSET(Calc2!$H$4,,,$F$26*B56,1)=OFFSET(Calc2!$I$4,,,$F$26*B56,1))*(OFFSET(Calc2!$H$4,,,$F$26*B56,1)&lt;&gt;"")*(OFFSET(Calc2!$I$4,,,$F$26*B56,1)&lt;&gt;""))</f>
        <v>1</v>
      </c>
      <c r="N69" s="1">
        <f t="array" aca="1" ref="N69" ca="1">SUMPRODUCT((OFFSET(Calc2!$F$4,,,$F$26*B56,1)=F69)*(OFFSET(Calc2!$H$4,,,$F$26*B56,1)&lt;OFFSET(Calc2!$I$4,,,$F$26*B56,1)))+SUMPRODUCT((OFFSET(Calc2!$G$4,,,$F$26*B56,1)=F69)*(OFFSET(Calc2!$H$4,,,$F$26*B56,1)&gt;OFFSET(Calc2!$I$4,,,$F$26*B56,1)))</f>
        <v>2</v>
      </c>
      <c r="O69" s="132">
        <f ca="1">SUMPRODUCT((F69=OFFSET(Calc2!$F$4,,,$F$26*B56,1))*OFFSET(Calc2!$O$4,,,$F$26*B56,1))+SUMPRODUCT((F69=OFFSET(Calc2!$G$4,,,$F$26*B56,1))*OFFSET(Calc2!$P$4,,,$F$26*B56,1))</f>
        <v>0</v>
      </c>
      <c r="R69" s="13">
        <f t="shared" ca="1" si="11"/>
        <v>1499993000</v>
      </c>
      <c r="S69" s="134">
        <f>Tie_Break!$D$18</f>
        <v>0</v>
      </c>
      <c r="T69" s="9">
        <f ca="1">RANK(R69,R58:R77)+(9-S69)/10000+(F69="")*1000</f>
        <v>17.000900000000001</v>
      </c>
      <c r="V69" s="134">
        <f ca="1">IF($K$24=0,"",IF(VLOOKUP(B69,C58:E77,3,0)=MAX(V$4:V68),VLOOKUP(B69,C58:E77,3,0),B69))</f>
        <v>12</v>
      </c>
      <c r="W69" s="4" t="str">
        <f ca="1">IF($K$24=0,Calc2!$C$15,VLOOKUP(B69,C58:N77,4,0))</f>
        <v>VfB Stuttgart</v>
      </c>
      <c r="X69" s="1">
        <f ca="1">INDEX(V31:V50,MATCH(W69,W31:W50,0))</f>
        <v>8</v>
      </c>
      <c r="Y69" s="1">
        <f t="shared" ca="1" si="14"/>
        <v>-1</v>
      </c>
    </row>
    <row r="70" spans="2:25" s="2" customFormat="1" x14ac:dyDescent="0.2">
      <c r="B70" s="1">
        <v>13</v>
      </c>
      <c r="C70" s="9">
        <f ca="1">RANK(D70,D58:D77,1)</f>
        <v>7</v>
      </c>
      <c r="D70" s="134">
        <f t="shared" ca="1" si="12"/>
        <v>7.07</v>
      </c>
      <c r="E70" s="134">
        <f ca="1">RANK(T70,T58:T77,1)</f>
        <v>7</v>
      </c>
      <c r="F70" s="187" t="str">
        <f>Calc2!$C$16</f>
        <v>RB Leipzig</v>
      </c>
      <c r="G70" s="1">
        <f ca="1">SUMIFS(OFFSET(Calc2!$H$4,,,$F$26*B56,1),OFFSET(Calc2!$F$4,,,$F$26*B56,1),F70)+SUMIFS(OFFSET(Calc2!$I$4,,,$F$26*B56,1),OFFSET(Calc2!$G$4,,,$F$26*B56,1),F70)</f>
        <v>3</v>
      </c>
      <c r="H70" s="1">
        <f ca="1">SUMIFS(OFFSET(Calc2!$I$4,,,$F$26*B56,1),OFFSET(Calc2!$F$4,,,$F$26*B56,1),F70)+SUMIFS(OFFSET(Calc2!$H$4,,,$F$26*B56,1),OFFSET(Calc2!$G$4,,,$F$26*B56,1),F70)</f>
        <v>6</v>
      </c>
      <c r="I70" s="134">
        <f t="shared" ca="1" si="10"/>
        <v>-3</v>
      </c>
      <c r="J70" s="12">
        <f ca="1">L70*Settings!$C$3+M70+O70</f>
        <v>6</v>
      </c>
      <c r="K70" s="1">
        <f t="shared" ca="1" si="13"/>
        <v>3</v>
      </c>
      <c r="L70" s="1">
        <f t="array" aca="1" ref="L70" ca="1">SUMPRODUCT((OFFSET(Calc2!$F$4,,,$F$26*B56,1)=F70)*(OFFSET(Calc2!$H$4,,,$F$26*B56,1)&gt;OFFSET(Calc2!$I$4,,,$F$26*B56,1)))+SUMPRODUCT((OFFSET(Calc2!$G$4,,,$F$26*B56,1)=F70)*(OFFSET(Calc2!$H$4,,,$F$26*B56,1)&lt;OFFSET(Calc2!$I$4,,,$F$26*B56,1)))</f>
        <v>2</v>
      </c>
      <c r="M70" s="1">
        <f t="array" aca="1" ref="M70" ca="1">SUMPRODUCT((OFFSET(Calc2!$F$4,,,$F$26*B56,2)=F70)*(OFFSET(Calc2!$H$4,,,$F$26*B56,1)=OFFSET(Calc2!$I$4,,,$F$26*B56,1))*(OFFSET(Calc2!$H$4,,,$F$26*B56,1)&lt;&gt;"")*(OFFSET(Calc2!$I$4,,,$F$26*B56,1)&lt;&gt;""))</f>
        <v>0</v>
      </c>
      <c r="N70" s="1">
        <f t="array" aca="1" ref="N70" ca="1">SUMPRODUCT((OFFSET(Calc2!$F$4,,,$F$26*B56,1)=F70)*(OFFSET(Calc2!$H$4,,,$F$26*B56,1)&lt;OFFSET(Calc2!$I$4,,,$F$26*B56,1)))+SUMPRODUCT((OFFSET(Calc2!$G$4,,,$F$26*B56,1)=F70)*(OFFSET(Calc2!$H$4,,,$F$26*B56,1)&gt;OFFSET(Calc2!$I$4,,,$F$26*B56,1)))</f>
        <v>1</v>
      </c>
      <c r="O70" s="132">
        <f ca="1">SUMPRODUCT((F70=OFFSET(Calc2!$F$4,,,$F$26*B56,1))*OFFSET(Calc2!$O$4,,,$F$26*B56,1))+SUMPRODUCT((F70=OFFSET(Calc2!$G$4,,,$F$26*B56,1))*OFFSET(Calc2!$P$4,,,$F$26*B56,1))</f>
        <v>0</v>
      </c>
      <c r="R70" s="13">
        <f t="shared" ca="1" si="11"/>
        <v>6499997003</v>
      </c>
      <c r="S70" s="134">
        <f>Tie_Break!$D$19</f>
        <v>0</v>
      </c>
      <c r="T70" s="9">
        <f ca="1">RANK(R70,R58:R77)+(9-S70)/10000+(F70="")*1000</f>
        <v>7.0008999999999997</v>
      </c>
      <c r="U70" s="1"/>
      <c r="V70" s="134">
        <f ca="1">IF($K$24=0,"",IF(VLOOKUP(B70,C58:E77,3,0)=MAX(V$4:V69),VLOOKUP(B70,C58:E77,3,0),B70))</f>
        <v>13</v>
      </c>
      <c r="W70" s="4" t="str">
        <f ca="1">IF($K$24=0,Calc2!$C$16,VLOOKUP(B70,C58:N77,4,0))</f>
        <v>SC Freiburg</v>
      </c>
      <c r="X70" s="1">
        <f ca="1">INDEX(V31:V50,MATCH(W70,W31:W50,0))</f>
        <v>18</v>
      </c>
      <c r="Y70" s="1">
        <f t="shared" ca="1" si="14"/>
        <v>1</v>
      </c>
    </row>
    <row r="71" spans="2:25" s="2" customFormat="1" x14ac:dyDescent="0.2">
      <c r="B71" s="1">
        <v>14</v>
      </c>
      <c r="C71" s="9">
        <f ca="1">RANK(D71,D58:D77,1)</f>
        <v>13</v>
      </c>
      <c r="D71" s="134">
        <f t="shared" ca="1" si="12"/>
        <v>13.071</v>
      </c>
      <c r="E71" s="134">
        <f ca="1">RANK(T71,T58:T77,1)</f>
        <v>13</v>
      </c>
      <c r="F71" s="187" t="str">
        <f>Calc2!$C$17</f>
        <v>SC Freiburg</v>
      </c>
      <c r="G71" s="1">
        <f ca="1">SUMIFS(OFFSET(Calc2!$H$4,,,$F$26*B56,1),OFFSET(Calc2!$F$4,,,$F$26*B56,1),F71)+SUMIFS(OFFSET(Calc2!$I$4,,,$F$26*B56,1),OFFSET(Calc2!$G$4,,,$F$26*B56,1),F71)</f>
        <v>5</v>
      </c>
      <c r="H71" s="1">
        <f ca="1">SUMIFS(OFFSET(Calc2!$I$4,,,$F$26*B56,1),OFFSET(Calc2!$F$4,,,$F$26*B56,1),F71)+SUMIFS(OFFSET(Calc2!$H$4,,,$F$26*B56,1),OFFSET(Calc2!$G$4,,,$F$26*B56,1),F71)</f>
        <v>8</v>
      </c>
      <c r="I71" s="134">
        <f t="shared" ca="1" si="10"/>
        <v>-3</v>
      </c>
      <c r="J71" s="12">
        <f ca="1">L71*Settings!$C$3+M71+O71</f>
        <v>3</v>
      </c>
      <c r="K71" s="1">
        <f t="shared" ca="1" si="13"/>
        <v>3</v>
      </c>
      <c r="L71" s="1">
        <f t="array" aca="1" ref="L71" ca="1">SUMPRODUCT((OFFSET(Calc2!$F$4,,,$F$26*B56,1)=F71)*(OFFSET(Calc2!$H$4,,,$F$26*B56,1)&gt;OFFSET(Calc2!$I$4,,,$F$26*B56,1)))+SUMPRODUCT((OFFSET(Calc2!$G$4,,,$F$26*B56,1)=F71)*(OFFSET(Calc2!$H$4,,,$F$26*B56,1)&lt;OFFSET(Calc2!$I$4,,,$F$26*B56,1)))</f>
        <v>1</v>
      </c>
      <c r="M71" s="1">
        <f t="array" aca="1" ref="M71" ca="1">SUMPRODUCT((OFFSET(Calc2!$F$4,,,$F$26*B56,2)=F71)*(OFFSET(Calc2!$H$4,,,$F$26*B56,1)=OFFSET(Calc2!$I$4,,,$F$26*B56,1))*(OFFSET(Calc2!$H$4,,,$F$26*B56,1)&lt;&gt;"")*(OFFSET(Calc2!$I$4,,,$F$26*B56,1)&lt;&gt;""))</f>
        <v>0</v>
      </c>
      <c r="N71" s="1">
        <f t="array" aca="1" ref="N71" ca="1">SUMPRODUCT((OFFSET(Calc2!$F$4,,,$F$26*B56,1)=F71)*(OFFSET(Calc2!$H$4,,,$F$26*B56,1)&lt;OFFSET(Calc2!$I$4,,,$F$26*B56,1)))+SUMPRODUCT((OFFSET(Calc2!$G$4,,,$F$26*B56,1)=F71)*(OFFSET(Calc2!$H$4,,,$F$26*B56,1)&gt;OFFSET(Calc2!$I$4,,,$F$26*B56,1)))</f>
        <v>2</v>
      </c>
      <c r="O71" s="132">
        <f ca="1">SUMPRODUCT((F71=OFFSET(Calc2!$F$4,,,$F$26*B56,1))*OFFSET(Calc2!$O$4,,,$F$26*B56,1))+SUMPRODUCT((F71=OFFSET(Calc2!$G$4,,,$F$26*B56,1))*OFFSET(Calc2!$P$4,,,$F$26*B56,1))</f>
        <v>0</v>
      </c>
      <c r="R71" s="13">
        <f t="shared" ca="1" si="11"/>
        <v>3499997005</v>
      </c>
      <c r="S71" s="134">
        <f>Tie_Break!$D$20</f>
        <v>0</v>
      </c>
      <c r="T71" s="9">
        <f ca="1">RANK(R71,R58:R77)+(9-S71)/10000+(F71="")*1000</f>
        <v>13.0009</v>
      </c>
      <c r="V71" s="134">
        <f ca="1">IF($K$24=0,"",IF(VLOOKUP(B71,C58:E77,3,0)=MAX(V$4:V70),VLOOKUP(B71,C58:E77,3,0),B71))</f>
        <v>14</v>
      </c>
      <c r="W71" s="4" t="str">
        <f ca="1">IF($K$24=0,Calc2!$C$17,VLOOKUP(B71,C58:N77,4,0))</f>
        <v>1. FC Union Berlin</v>
      </c>
      <c r="X71" s="1">
        <f ca="1">INDEX(V31:V50,MATCH(W71,W31:W50,0))</f>
        <v>10</v>
      </c>
      <c r="Y71" s="1">
        <f t="shared" ca="1" si="14"/>
        <v>-1</v>
      </c>
    </row>
    <row r="72" spans="2:25" s="2" customFormat="1" x14ac:dyDescent="0.2">
      <c r="B72" s="1">
        <v>15</v>
      </c>
      <c r="C72" s="9">
        <f ca="1">RANK(D72,D58:D77,1)</f>
        <v>9</v>
      </c>
      <c r="D72" s="134">
        <f t="shared" ca="1" si="12"/>
        <v>9.0719999999999992</v>
      </c>
      <c r="E72" s="134">
        <f ca="1">RANK(T72,T58:T77,1)</f>
        <v>9</v>
      </c>
      <c r="F72" s="187" t="str">
        <f>Calc2!$C$18</f>
        <v>SV Werder Bremen</v>
      </c>
      <c r="G72" s="1">
        <f ca="1">SUMIFS(OFFSET(Calc2!$H$4,,,$F$26*B56,1),OFFSET(Calc2!$F$4,,,$F$26*B56,1),F72)+SUMIFS(OFFSET(Calc2!$I$4,,,$F$26*B56,1),OFFSET(Calc2!$G$4,,,$F$26*B56,1),F72)</f>
        <v>8</v>
      </c>
      <c r="H72" s="1">
        <f ca="1">SUMIFS(OFFSET(Calc2!$I$4,,,$F$26*B56,1),OFFSET(Calc2!$F$4,,,$F$26*B56,1),F72)+SUMIFS(OFFSET(Calc2!$H$4,,,$F$26*B56,1),OFFSET(Calc2!$G$4,,,$F$26*B56,1),F72)</f>
        <v>7</v>
      </c>
      <c r="I72" s="134">
        <f t="shared" ca="1" si="10"/>
        <v>1</v>
      </c>
      <c r="J72" s="12">
        <f ca="1">L72*Settings!$C$3+M72+O72</f>
        <v>4</v>
      </c>
      <c r="K72" s="1">
        <f t="shared" ca="1" si="13"/>
        <v>3</v>
      </c>
      <c r="L72" s="1">
        <f t="array" aca="1" ref="L72" ca="1">SUMPRODUCT((OFFSET(Calc2!$F$4,,,$F$26*B56,1)=F72)*(OFFSET(Calc2!$H$4,,,$F$26*B56,1)&gt;OFFSET(Calc2!$I$4,,,$F$26*B56,1)))+SUMPRODUCT((OFFSET(Calc2!$G$4,,,$F$26*B56,1)=F72)*(OFFSET(Calc2!$H$4,,,$F$26*B56,1)&lt;OFFSET(Calc2!$I$4,,,$F$26*B56,1)))</f>
        <v>1</v>
      </c>
      <c r="M72" s="1">
        <f t="array" aca="1" ref="M72" ca="1">SUMPRODUCT((OFFSET(Calc2!$F$4,,,$F$26*B56,2)=F72)*(OFFSET(Calc2!$H$4,,,$F$26*B56,1)=OFFSET(Calc2!$I$4,,,$F$26*B56,1))*(OFFSET(Calc2!$H$4,,,$F$26*B56,1)&lt;&gt;"")*(OFFSET(Calc2!$I$4,,,$F$26*B56,1)&lt;&gt;""))</f>
        <v>1</v>
      </c>
      <c r="N72" s="1">
        <f t="array" aca="1" ref="N72" ca="1">SUMPRODUCT((OFFSET(Calc2!$F$4,,,$F$26*B56,1)=F72)*(OFFSET(Calc2!$H$4,,,$F$26*B56,1)&lt;OFFSET(Calc2!$I$4,,,$F$26*B56,1)))+SUMPRODUCT((OFFSET(Calc2!$G$4,,,$F$26*B56,1)=F72)*(OFFSET(Calc2!$H$4,,,$F$26*B56,1)&gt;OFFSET(Calc2!$I$4,,,$F$26*B56,1)))</f>
        <v>1</v>
      </c>
      <c r="O72" s="132">
        <f ca="1">SUMPRODUCT((F72=OFFSET(Calc2!$F$4,,,$F$26*B56,1))*OFFSET(Calc2!$O$4,,,$F$26*B56,1))+SUMPRODUCT((F72=OFFSET(Calc2!$G$4,,,$F$26*B56,1))*OFFSET(Calc2!$P$4,,,$F$26*B56,1))</f>
        <v>0</v>
      </c>
      <c r="R72" s="13">
        <f t="shared" ca="1" si="11"/>
        <v>4500001008</v>
      </c>
      <c r="S72" s="134">
        <f>Tie_Break!$D$21</f>
        <v>0</v>
      </c>
      <c r="T72" s="9">
        <f ca="1">RANK(R72,R58:R77)+(9-S72)/10000+(F72="")*1000</f>
        <v>9.0008999999999997</v>
      </c>
      <c r="V72" s="134">
        <f ca="1">IF($K$24=0,"",IF(VLOOKUP(B72,C58:E77,3,0)=MAX(V$4:V71),VLOOKUP(B72,C58:E77,3,0),B72))</f>
        <v>15</v>
      </c>
      <c r="W72" s="4" t="str">
        <f ca="1">IF($K$24=0,Calc2!$C$18,VLOOKUP(B72,C58:N77,4,0))</f>
        <v>1. FSV Mainz 05</v>
      </c>
      <c r="X72" s="1">
        <f ca="1">INDEX(V31:V50,MATCH(W72,W31:W50,0))</f>
        <v>13</v>
      </c>
      <c r="Y72" s="1">
        <f t="shared" ca="1" si="14"/>
        <v>-1</v>
      </c>
    </row>
    <row r="73" spans="2:25" s="2" customFormat="1" x14ac:dyDescent="0.2">
      <c r="B73" s="1">
        <v>16</v>
      </c>
      <c r="C73" s="9">
        <f ca="1">RANK(D73,D58:D77,1)</f>
        <v>6</v>
      </c>
      <c r="D73" s="134">
        <f t="shared" ca="1" si="12"/>
        <v>6.0730000000000004</v>
      </c>
      <c r="E73" s="134">
        <f ca="1">RANK(T73,T58:T77,1)</f>
        <v>6</v>
      </c>
      <c r="F73" s="187" t="str">
        <f>Calc2!$C$19</f>
        <v>TSG Hoffenheim</v>
      </c>
      <c r="G73" s="1">
        <f ca="1">SUMIFS(OFFSET(Calc2!$H$4,,,$F$26*B56,1),OFFSET(Calc2!$F$4,,,$F$26*B56,1),F73)+SUMIFS(OFFSET(Calc2!$I$4,,,$F$26*B56,1),OFFSET(Calc2!$G$4,,,$F$26*B56,1),F73)</f>
        <v>7</v>
      </c>
      <c r="H73" s="1">
        <f ca="1">SUMIFS(OFFSET(Calc2!$I$4,,,$F$26*B56,1),OFFSET(Calc2!$F$4,,,$F$26*B56,1),F73)+SUMIFS(OFFSET(Calc2!$H$4,,,$F$26*B56,1),OFFSET(Calc2!$G$4,,,$F$26*B56,1),F73)</f>
        <v>6</v>
      </c>
      <c r="I73" s="134">
        <f t="shared" ca="1" si="10"/>
        <v>1</v>
      </c>
      <c r="J73" s="12">
        <f ca="1">L73*Settings!$C$3+M73+O73</f>
        <v>6</v>
      </c>
      <c r="K73" s="1">
        <f t="shared" ca="1" si="13"/>
        <v>3</v>
      </c>
      <c r="L73" s="1">
        <f t="array" aca="1" ref="L73" ca="1">SUMPRODUCT((OFFSET(Calc2!$F$4,,,$F$26*B56,1)=F73)*(OFFSET(Calc2!$H$4,,,$F$26*B56,1)&gt;OFFSET(Calc2!$I$4,,,$F$26*B56,1)))+SUMPRODUCT((OFFSET(Calc2!$G$4,,,$F$26*B56,1)=F73)*(OFFSET(Calc2!$H$4,,,$F$26*B56,1)&lt;OFFSET(Calc2!$I$4,,,$F$26*B56,1)))</f>
        <v>2</v>
      </c>
      <c r="M73" s="1">
        <f t="array" aca="1" ref="M73" ca="1">SUMPRODUCT((OFFSET(Calc2!$F$4,,,$F$26*B56,2)=F73)*(OFFSET(Calc2!$H$4,,,$F$26*B56,1)=OFFSET(Calc2!$I$4,,,$F$26*B56,1))*(OFFSET(Calc2!$H$4,,,$F$26*B56,1)&lt;&gt;"")*(OFFSET(Calc2!$I$4,,,$F$26*B56,1)&lt;&gt;""))</f>
        <v>0</v>
      </c>
      <c r="N73" s="1">
        <f t="array" aca="1" ref="N73" ca="1">SUMPRODUCT((OFFSET(Calc2!$F$4,,,$F$26*B56,1)=F73)*(OFFSET(Calc2!$H$4,,,$F$26*B56,1)&lt;OFFSET(Calc2!$I$4,,,$F$26*B56,1)))+SUMPRODUCT((OFFSET(Calc2!$G$4,,,$F$26*B56,1)=F73)*(OFFSET(Calc2!$H$4,,,$F$26*B56,1)&gt;OFFSET(Calc2!$I$4,,,$F$26*B56,1)))</f>
        <v>1</v>
      </c>
      <c r="O73" s="132">
        <f ca="1">SUMPRODUCT((F73=OFFSET(Calc2!$F$4,,,$F$26*B56,1))*OFFSET(Calc2!$O$4,,,$F$26*B56,1))+SUMPRODUCT((F73=OFFSET(Calc2!$G$4,,,$F$26*B56,1))*OFFSET(Calc2!$P$4,,,$F$26*B56,1))</f>
        <v>0</v>
      </c>
      <c r="R73" s="13">
        <f t="shared" ca="1" si="11"/>
        <v>6500001007</v>
      </c>
      <c r="S73" s="134">
        <f>Tie_Break!$D$22</f>
        <v>0</v>
      </c>
      <c r="T73" s="9">
        <f ca="1">RANK(R73,R58:R77)+(9-S73)/10000+(F73="")*1000</f>
        <v>6.0008999999999997</v>
      </c>
      <c r="V73" s="134">
        <f ca="1">IF($K$24=0,"",IF(VLOOKUP(B73,C58:E77,3,0)=MAX(V$4:V72),VLOOKUP(B73,C58:E77,3,0),B73))</f>
        <v>16</v>
      </c>
      <c r="W73" s="4" t="str">
        <f ca="1">IF($K$24=0,Calc2!$C$19,VLOOKUP(B73,C58:N77,4,0))</f>
        <v>Borussia Mönchengladbach</v>
      </c>
      <c r="X73" s="1">
        <f ca="1">INDEX(V31:V50,MATCH(W73,W31:W50,0))</f>
        <v>14</v>
      </c>
      <c r="Y73" s="1">
        <f t="shared" ca="1" si="14"/>
        <v>-1</v>
      </c>
    </row>
    <row r="74" spans="2:25" s="2" customFormat="1" x14ac:dyDescent="0.2">
      <c r="B74" s="1">
        <v>17</v>
      </c>
      <c r="C74" s="9">
        <f ca="1">RANK(D74,D58:D77,1)</f>
        <v>12</v>
      </c>
      <c r="D74" s="134">
        <f t="shared" ca="1" si="12"/>
        <v>12.074</v>
      </c>
      <c r="E74" s="134">
        <f ca="1">RANK(T74,T58:T77,1)</f>
        <v>12</v>
      </c>
      <c r="F74" s="187" t="str">
        <f>Calc2!$C$20</f>
        <v>VfB Stuttgart</v>
      </c>
      <c r="G74" s="1">
        <f ca="1">SUMIFS(OFFSET(Calc2!$H$4,,,$F$26*B56,1),OFFSET(Calc2!$F$4,,,$F$26*B56,1),F74)+SUMIFS(OFFSET(Calc2!$I$4,,,$F$26*B56,1),OFFSET(Calc2!$G$4,,,$F$26*B56,1),F74)</f>
        <v>3</v>
      </c>
      <c r="H74" s="1">
        <f ca="1">SUMIFS(OFFSET(Calc2!$I$4,,,$F$26*B56,1),OFFSET(Calc2!$F$4,,,$F$26*B56,1),F74)+SUMIFS(OFFSET(Calc2!$H$4,,,$F$26*B56,1),OFFSET(Calc2!$G$4,,,$F$26*B56,1),F74)</f>
        <v>5</v>
      </c>
      <c r="I74" s="134">
        <f t="shared" ca="1" si="10"/>
        <v>-2</v>
      </c>
      <c r="J74" s="12">
        <f ca="1">L74*Settings!$C$3+M74+O74</f>
        <v>3</v>
      </c>
      <c r="K74" s="1">
        <f t="shared" ca="1" si="13"/>
        <v>3</v>
      </c>
      <c r="L74" s="1">
        <f t="array" aca="1" ref="L74" ca="1">SUMPRODUCT((OFFSET(Calc2!$F$4,,,$F$26*B56,1)=F74)*(OFFSET(Calc2!$H$4,,,$F$26*B56,1)&gt;OFFSET(Calc2!$I$4,,,$F$26*B56,1)))+SUMPRODUCT((OFFSET(Calc2!$G$4,,,$F$26*B56,1)=F74)*(OFFSET(Calc2!$H$4,,,$F$26*B56,1)&lt;OFFSET(Calc2!$I$4,,,$F$26*B56,1)))</f>
        <v>1</v>
      </c>
      <c r="M74" s="1">
        <f t="array" aca="1" ref="M74" ca="1">SUMPRODUCT((OFFSET(Calc2!$F$4,,,$F$26*B56,2)=F74)*(OFFSET(Calc2!$H$4,,,$F$26*B56,1)=OFFSET(Calc2!$I$4,,,$F$26*B56,1))*(OFFSET(Calc2!$H$4,,,$F$26*B56,1)&lt;&gt;"")*(OFFSET(Calc2!$I$4,,,$F$26*B56,1)&lt;&gt;""))</f>
        <v>0</v>
      </c>
      <c r="N74" s="1">
        <f t="array" aca="1" ref="N74" ca="1">SUMPRODUCT((OFFSET(Calc2!$F$4,,,$F$26*B56,1)=F74)*(OFFSET(Calc2!$H$4,,,$F$26*B56,1)&lt;OFFSET(Calc2!$I$4,,,$F$26*B56,1)))+SUMPRODUCT((OFFSET(Calc2!$G$4,,,$F$26*B56,1)=F74)*(OFFSET(Calc2!$H$4,,,$F$26*B56,1)&gt;OFFSET(Calc2!$I$4,,,$F$26*B56,1)))</f>
        <v>2</v>
      </c>
      <c r="O74" s="132">
        <f ca="1">SUMPRODUCT((F74=OFFSET(Calc2!$F$4,,,$F$26*B56,1))*OFFSET(Calc2!$O$4,,,$F$26*B56,1))+SUMPRODUCT((F74=OFFSET(Calc2!$G$4,,,$F$26*B56,1))*OFFSET(Calc2!$P$4,,,$F$26*B56,1))</f>
        <v>0</v>
      </c>
      <c r="R74" s="13">
        <f t="shared" ca="1" si="11"/>
        <v>3499998003</v>
      </c>
      <c r="S74" s="134">
        <f>Tie_Break!$D$23</f>
        <v>0</v>
      </c>
      <c r="T74" s="9">
        <f ca="1">RANK(R74,R58:R77)+(9-S74)/10000+(F74="")*1000</f>
        <v>12.0009</v>
      </c>
      <c r="V74" s="134">
        <f ca="1">IF($K$24=0,"",IF(VLOOKUP(B74,C58:E77,3,0)=MAX(V$4:V73),VLOOKUP(B74,C58:E77,3,0),B74))</f>
        <v>17</v>
      </c>
      <c r="W74" s="4" t="str">
        <f ca="1">IF($K$24=0,Calc2!$C$20,VLOOKUP(B74,C58:N77,4,0))</f>
        <v>Hamburger SV</v>
      </c>
      <c r="X74" s="1">
        <f ca="1">INDEX(V31:V50,MATCH(W74,W31:W50,0))</f>
        <v>15</v>
      </c>
      <c r="Y74" s="1">
        <f t="shared" ca="1" si="14"/>
        <v>-1</v>
      </c>
    </row>
    <row r="75" spans="2:25" s="2" customFormat="1" x14ac:dyDescent="0.2">
      <c r="B75" s="1">
        <v>18</v>
      </c>
      <c r="C75" s="9">
        <f ca="1">RANK(D75,D58:D77,1)</f>
        <v>8</v>
      </c>
      <c r="D75" s="134">
        <f t="shared" ca="1" si="12"/>
        <v>8.0749999999999993</v>
      </c>
      <c r="E75" s="134">
        <f ca="1">RANK(T75,T58:T77,1)</f>
        <v>8</v>
      </c>
      <c r="F75" s="187" t="str">
        <f>Calc2!$C$21</f>
        <v>VfL Wolfsburg</v>
      </c>
      <c r="G75" s="1">
        <f ca="1">SUMIFS(OFFSET(Calc2!$H$4,,,$F$26*B56,1),OFFSET(Calc2!$F$4,,,$F$26*B56,1),F75)+SUMIFS(OFFSET(Calc2!$I$4,,,$F$26*B56,1),OFFSET(Calc2!$G$4,,,$F$26*B56,1),F75)</f>
        <v>7</v>
      </c>
      <c r="H75" s="1">
        <f ca="1">SUMIFS(OFFSET(Calc2!$I$4,,,$F$26*B56,1),OFFSET(Calc2!$F$4,,,$F$26*B56,1),F75)+SUMIFS(OFFSET(Calc2!$H$4,,,$F$26*B56,1),OFFSET(Calc2!$G$4,,,$F$26*B56,1),F75)</f>
        <v>5</v>
      </c>
      <c r="I75" s="134">
        <f t="shared" ca="1" si="10"/>
        <v>2</v>
      </c>
      <c r="J75" s="12">
        <f ca="1">L75*Settings!$C$3+M75+O75</f>
        <v>5</v>
      </c>
      <c r="K75" s="1">
        <f t="shared" ca="1" si="13"/>
        <v>3</v>
      </c>
      <c r="L75" s="1">
        <f t="array" aca="1" ref="L75" ca="1">SUMPRODUCT((OFFSET(Calc2!$F$4,,,$F$26*B56,1)=F75)*(OFFSET(Calc2!$H$4,,,$F$26*B56,1)&gt;OFFSET(Calc2!$I$4,,,$F$26*B56,1)))+SUMPRODUCT((OFFSET(Calc2!$G$4,,,$F$26*B56,1)=F75)*(OFFSET(Calc2!$H$4,,,$F$26*B56,1)&lt;OFFSET(Calc2!$I$4,,,$F$26*B56,1)))</f>
        <v>1</v>
      </c>
      <c r="M75" s="1">
        <f t="array" aca="1" ref="M75" ca="1">SUMPRODUCT((OFFSET(Calc2!$F$4,,,$F$26*B56,2)=F75)*(OFFSET(Calc2!$H$4,,,$F$26*B56,1)=OFFSET(Calc2!$I$4,,,$F$26*B56,1))*(OFFSET(Calc2!$H$4,,,$F$26*B56,1)&lt;&gt;"")*(OFFSET(Calc2!$I$4,,,$F$26*B56,1)&lt;&gt;""))</f>
        <v>2</v>
      </c>
      <c r="N75" s="1">
        <f t="array" aca="1" ref="N75" ca="1">SUMPRODUCT((OFFSET(Calc2!$F$4,,,$F$26*B56,1)=F75)*(OFFSET(Calc2!$H$4,,,$F$26*B56,1)&lt;OFFSET(Calc2!$I$4,,,$F$26*B56,1)))+SUMPRODUCT((OFFSET(Calc2!$G$4,,,$F$26*B56,1)=F75)*(OFFSET(Calc2!$H$4,,,$F$26*B56,1)&gt;OFFSET(Calc2!$I$4,,,$F$26*B56,1)))</f>
        <v>0</v>
      </c>
      <c r="O75" s="132">
        <f ca="1">SUMPRODUCT((F75=OFFSET(Calc2!$F$4,,,$F$26*B56,1))*OFFSET(Calc2!$O$4,,,$F$26*B56,1))+SUMPRODUCT((F75=OFFSET(Calc2!$G$4,,,$F$26*B56,1))*OFFSET(Calc2!$P$4,,,$F$26*B56,1))</f>
        <v>0</v>
      </c>
      <c r="R75" s="13">
        <f t="shared" ca="1" si="11"/>
        <v>5500002007</v>
      </c>
      <c r="S75" s="134">
        <f>Tie_Break!$D$24</f>
        <v>0</v>
      </c>
      <c r="T75" s="9">
        <f ca="1">RANK(R75,R58:R77)+(9-S75)/10000+(F75="")*1000</f>
        <v>8.0008999999999997</v>
      </c>
      <c r="V75" s="134">
        <f ca="1">IF($K$24=0,"",IF(VLOOKUP(B75,C58:E77,3,0)=MAX(V$4:V74),VLOOKUP(B75,C58:E77,3,0),B75))</f>
        <v>18</v>
      </c>
      <c r="W75" s="4" t="str">
        <f ca="1">IF($K$24=0,Calc2!$C$21,VLOOKUP(B75,C58:N77,4,0))</f>
        <v>1. FC Heidenheim 1846</v>
      </c>
      <c r="X75" s="1">
        <f ca="1">INDEX(V31:V50,MATCH(W75,W31:W50,0))</f>
        <v>17</v>
      </c>
      <c r="Y75" s="1">
        <f t="shared" ca="1" si="14"/>
        <v>-1</v>
      </c>
    </row>
    <row r="76" spans="2:25" s="2" customFormat="1" x14ac:dyDescent="0.2">
      <c r="B76" s="1">
        <v>19</v>
      </c>
      <c r="C76" s="9">
        <f ca="1">RANK(D76,D58:D77,1)</f>
        <v>19</v>
      </c>
      <c r="D76" s="134">
        <f t="shared" ca="1" si="12"/>
        <v>19.076000000000001</v>
      </c>
      <c r="E76" s="134">
        <f ca="1">RANK(T76,T58:T77,1)</f>
        <v>19</v>
      </c>
      <c r="F76" s="187" t="str">
        <f>Calc2!$C$22</f>
        <v/>
      </c>
      <c r="G76" s="1">
        <f ca="1">SUMIFS(OFFSET(Calc2!$H$4,,,$F$26*B56,1),OFFSET(Calc2!$F$4,,,$F$26*B56,1),F76)+SUMIFS(OFFSET(Calc2!$I$4,,,$F$26*B56,1),OFFSET(Calc2!$G$4,,,$F$26*B56,1),F76)</f>
        <v>0</v>
      </c>
      <c r="H76" s="1">
        <f ca="1">SUMIFS(OFFSET(Calc2!$I$4,,,$F$26*B56,1),OFFSET(Calc2!$F$4,,,$F$26*B56,1),F76)+SUMIFS(OFFSET(Calc2!$H$4,,,$F$26*B56,1),OFFSET(Calc2!$G$4,,,$F$26*B56,1),F76)</f>
        <v>0</v>
      </c>
      <c r="I76" s="134">
        <f t="shared" ca="1" si="10"/>
        <v>0</v>
      </c>
      <c r="J76" s="12">
        <f ca="1">L76*Settings!$C$3+M76+O76</f>
        <v>0</v>
      </c>
      <c r="K76" s="1">
        <f t="shared" ca="1" si="13"/>
        <v>0</v>
      </c>
      <c r="L76" s="1">
        <f t="array" aca="1" ref="L76" ca="1">SUMPRODUCT((OFFSET(Calc2!$F$4,,,$F$26*B56,1)=F76)*(OFFSET(Calc2!$H$4,,,$F$26*B56,1)&gt;OFFSET(Calc2!$I$4,,,$F$26*B56,1)))+SUMPRODUCT((OFFSET(Calc2!$G$4,,,$F$26*B56,1)=F76)*(OFFSET(Calc2!$H$4,,,$F$26*B56,1)&lt;OFFSET(Calc2!$I$4,,,$F$26*B56,1)))</f>
        <v>0</v>
      </c>
      <c r="M76" s="1">
        <f t="array" aca="1" ref="M76" ca="1">SUMPRODUCT((OFFSET(Calc2!$F$4,,,$F$26*B56,2)=F76)*(OFFSET(Calc2!$H$4,,,$F$26*B56,1)=OFFSET(Calc2!$I$4,,,$F$26*B56,1))*(OFFSET(Calc2!$H$4,,,$F$26*B56,1)&lt;&gt;"")*(OFFSET(Calc2!$I$4,,,$F$26*B56,1)&lt;&gt;""))</f>
        <v>0</v>
      </c>
      <c r="N76" s="1">
        <f t="array" aca="1" ref="N76" ca="1">SUMPRODUCT((OFFSET(Calc2!$F$4,,,$F$26*B56,1)=F76)*(OFFSET(Calc2!$H$4,,,$F$26*B56,1)&lt;OFFSET(Calc2!$I$4,,,$F$26*B56,1)))+SUMPRODUCT((OFFSET(Calc2!$G$4,,,$F$26*B56,1)=F76)*(OFFSET(Calc2!$H$4,,,$F$26*B56,1)&gt;OFFSET(Calc2!$I$4,,,$F$26*B56,1)))</f>
        <v>0</v>
      </c>
      <c r="O76" s="132">
        <f ca="1">SUMPRODUCT((F76=OFFSET(Calc2!$F$4,,,$F$26*B56,1))*OFFSET(Calc2!$O$4,,,$F$26*B56,1))+SUMPRODUCT((F76=OFFSET(Calc2!$G$4,,,$F$26*B56,1))*OFFSET(Calc2!$P$4,,,$F$26*B56,1))</f>
        <v>0</v>
      </c>
      <c r="R76" s="13">
        <f t="shared" ca="1" si="11"/>
        <v>500000000</v>
      </c>
      <c r="S76" s="134">
        <f>Tie_Break!$D$25</f>
        <v>0</v>
      </c>
      <c r="T76" s="9">
        <f ca="1">RANK(R76,R58:R77)+(9-S76)/10000+(F76="")*1000</f>
        <v>1018.0009</v>
      </c>
      <c r="V76" s="134">
        <f ca="1">IF($K$24=0,"",IF(VLOOKUP(B76,C58:E77,3,0)=MAX(V$4:V75),VLOOKUP(B76,C58:E77,3,0),B76))</f>
        <v>19</v>
      </c>
      <c r="W76" s="4" t="str">
        <f ca="1">IF($K$24=0,Calc2!$C$22,VLOOKUP(B76,C58:N77,4,0))</f>
        <v/>
      </c>
      <c r="X76" s="1">
        <f ca="1">INDEX(V31:V50,MATCH(W76,W31:W50,0))</f>
        <v>19</v>
      </c>
      <c r="Y76" s="1">
        <f t="shared" ca="1" si="14"/>
        <v>0</v>
      </c>
    </row>
    <row r="77" spans="2:25" s="2" customFormat="1" ht="12.75" thickBot="1" x14ac:dyDescent="0.25">
      <c r="B77" s="1">
        <v>20</v>
      </c>
      <c r="C77" s="10">
        <f ca="1">RANK(D77,D58:D77,1)</f>
        <v>20</v>
      </c>
      <c r="D77" s="134">
        <f t="shared" ca="1" si="12"/>
        <v>19.077000000000002</v>
      </c>
      <c r="E77" s="134">
        <f ca="1">RANK(T77,T58:T77,1)</f>
        <v>19</v>
      </c>
      <c r="F77" s="187" t="str">
        <f>Calc2!$C$23</f>
        <v/>
      </c>
      <c r="G77" s="1">
        <f ca="1">SUMIFS(OFFSET(Calc2!$H$4,,,$F$26*B56,1),OFFSET(Calc2!$F$4,,,$F$26*B56,1),F77)+SUMIFS(OFFSET(Calc2!$I$4,,,$F$26*B56,1),OFFSET(Calc2!$G$4,,,$F$26*B56,1),F77)</f>
        <v>0</v>
      </c>
      <c r="H77" s="1">
        <f ca="1">SUMIFS(OFFSET(Calc2!$I$4,,,$F$26*B56,1),OFFSET(Calc2!$F$4,,,$F$26*B56,1),F77)+SUMIFS(OFFSET(Calc2!$H$4,,,$F$26*B56,1),OFFSET(Calc2!$G$4,,,$F$26*B56,1),F77)</f>
        <v>0</v>
      </c>
      <c r="I77" s="134">
        <f t="shared" ca="1" si="10"/>
        <v>0</v>
      </c>
      <c r="J77" s="12">
        <f ca="1">L77*Settings!$C$3+M77+O77</f>
        <v>0</v>
      </c>
      <c r="K77" s="1">
        <f t="shared" ca="1" si="13"/>
        <v>0</v>
      </c>
      <c r="L77" s="1">
        <f t="array" aca="1" ref="L77" ca="1">SUMPRODUCT((OFFSET(Calc2!$F$4,,,$F$26*B56,1)=F77)*(OFFSET(Calc2!$H$4,,,$F$26*B56,1)&gt;OFFSET(Calc2!$I$4,,,$F$26*B56,1)))+SUMPRODUCT((OFFSET(Calc2!$G$4,,,$F$26*B56,1)=F77)*(OFFSET(Calc2!$H$4,,,$F$26*B56,1)&lt;OFFSET(Calc2!$I$4,,,$F$26*B56,1)))</f>
        <v>0</v>
      </c>
      <c r="M77" s="1">
        <f t="array" aca="1" ref="M77" ca="1">SUMPRODUCT((OFFSET(Calc2!$F$4,,,$F$26*B56,2)=F77)*(OFFSET(Calc2!$H$4,,,$F$26*B56,1)=OFFSET(Calc2!$I$4,,,$F$26*B56,1))*(OFFSET(Calc2!$H$4,,,$F$26*B56,1)&lt;&gt;"")*(OFFSET(Calc2!$I$4,,,$F$26*B56,1)&lt;&gt;""))</f>
        <v>0</v>
      </c>
      <c r="N77" s="1">
        <f t="array" aca="1" ref="N77" ca="1">SUMPRODUCT((OFFSET(Calc2!$F$4,,,$F$26*B56,1)=F77)*(OFFSET(Calc2!$H$4,,,$F$26*B56,1)&lt;OFFSET(Calc2!$I$4,,,$F$26*B56,1)))+SUMPRODUCT((OFFSET(Calc2!$G$4,,,$F$26*B56,1)=F77)*(OFFSET(Calc2!$H$4,,,$F$26*B56,1)&gt;OFFSET(Calc2!$I$4,,,$F$26*B56,1)))</f>
        <v>0</v>
      </c>
      <c r="O77" s="132">
        <f ca="1">SUMPRODUCT((F77=OFFSET(Calc2!$F$4,,,$F$26*B56,1))*OFFSET(Calc2!$O$4,,,$F$26*B56,1))+SUMPRODUCT((F77=OFFSET(Calc2!$G$4,,,$F$26*B56,1))*OFFSET(Calc2!$P$4,,,$F$26*B56,1))</f>
        <v>0</v>
      </c>
      <c r="R77" s="13">
        <f t="shared" ca="1" si="11"/>
        <v>500000000</v>
      </c>
      <c r="S77" s="134">
        <f>Tie_Break!$D$26</f>
        <v>0</v>
      </c>
      <c r="T77" s="10">
        <f ca="1">RANK(R77,R58:R77)+(9-S77)/10000+(F77="")*1000</f>
        <v>1018.0009</v>
      </c>
      <c r="V77" s="134">
        <f ca="1">IF($K$24=0,"",IF(VLOOKUP(B77,C58:E77,3,0)=MAX(V$4:V76),VLOOKUP(B77,C58:E77,3,0),B77))</f>
        <v>19</v>
      </c>
      <c r="W77" s="4" t="str">
        <f ca="1">IF($K$24=0,Calc2!$C$23,VLOOKUP(B77,C58:N77,4,0))</f>
        <v/>
      </c>
      <c r="X77" s="1">
        <f ca="1">INDEX(V31:V50,MATCH(W77,W31:W50,0))</f>
        <v>19</v>
      </c>
      <c r="Y77" s="1">
        <f t="shared" ca="1" si="14"/>
        <v>0</v>
      </c>
    </row>
    <row r="78" spans="2:25" s="2" customFormat="1" ht="12.75" thickTop="1" x14ac:dyDescent="0.2">
      <c r="B78" s="4"/>
      <c r="C78" s="4"/>
      <c r="D78" s="4"/>
      <c r="E78" s="4"/>
      <c r="F78" s="191"/>
      <c r="G78" s="134"/>
      <c r="H78" s="134"/>
      <c r="I78" s="134"/>
      <c r="J78" s="134"/>
      <c r="K78" s="134"/>
      <c r="L78" s="134"/>
      <c r="M78" s="134"/>
      <c r="X78" s="1"/>
      <c r="Y78" s="1"/>
    </row>
    <row r="79" spans="2:25" s="2" customFormat="1" x14ac:dyDescent="0.2">
      <c r="B79" s="4"/>
      <c r="C79" s="4"/>
      <c r="D79" s="4"/>
      <c r="E79" s="4"/>
      <c r="F79" s="191"/>
      <c r="G79" s="134"/>
      <c r="H79" s="134"/>
      <c r="I79" s="134"/>
      <c r="J79" s="134"/>
      <c r="K79" s="134"/>
      <c r="L79" s="134"/>
      <c r="M79" s="134"/>
      <c r="X79" s="1"/>
      <c r="Y79" s="1"/>
    </row>
    <row r="80" spans="2:25" s="2" customFormat="1" x14ac:dyDescent="0.2">
      <c r="B80" s="4"/>
      <c r="C80" s="4"/>
      <c r="D80" s="4"/>
      <c r="E80" s="4"/>
      <c r="F80" s="191"/>
      <c r="G80" s="134"/>
      <c r="H80" s="134"/>
      <c r="I80" s="134"/>
      <c r="J80" s="134"/>
      <c r="K80" s="134"/>
      <c r="L80" s="134"/>
      <c r="M80" s="134"/>
      <c r="X80" s="1"/>
      <c r="Y80" s="1"/>
    </row>
    <row r="81" spans="2:25" s="2" customFormat="1" x14ac:dyDescent="0.2">
      <c r="B81" s="4"/>
      <c r="C81" s="4"/>
      <c r="D81" s="4"/>
      <c r="E81" s="4"/>
      <c r="F81" s="191"/>
      <c r="G81" s="134"/>
      <c r="H81" s="134"/>
      <c r="I81" s="134"/>
      <c r="J81" s="134"/>
      <c r="K81" s="134"/>
      <c r="L81" s="134"/>
      <c r="M81" s="134"/>
      <c r="X81" s="1"/>
      <c r="Y81" s="1"/>
    </row>
    <row r="82" spans="2:25" s="2" customFormat="1" ht="12.75" thickBot="1" x14ac:dyDescent="0.25">
      <c r="B82" s="4"/>
      <c r="C82" s="4"/>
      <c r="D82" s="4"/>
      <c r="E82" s="4"/>
      <c r="F82" s="191"/>
      <c r="G82" s="134"/>
      <c r="H82" s="134"/>
      <c r="I82" s="134"/>
      <c r="J82" s="134"/>
      <c r="K82" s="134"/>
      <c r="L82" s="134"/>
      <c r="M82" s="134"/>
      <c r="X82" s="1"/>
      <c r="Y82" s="1"/>
    </row>
    <row r="83" spans="2:25" s="2" customFormat="1" ht="12.75" thickBot="1" x14ac:dyDescent="0.25">
      <c r="B83" s="410">
        <v>4</v>
      </c>
      <c r="C83" s="134"/>
      <c r="D83" s="134"/>
      <c r="E83" s="134"/>
      <c r="F83" s="187"/>
      <c r="G83" s="1"/>
      <c r="H83" s="1"/>
      <c r="I83" s="1"/>
      <c r="J83" s="1"/>
      <c r="K83" s="1"/>
      <c r="L83" s="1"/>
      <c r="M83" s="1"/>
      <c r="N83" s="134"/>
      <c r="O83" s="1"/>
      <c r="P83" s="1"/>
      <c r="Q83" s="1"/>
      <c r="X83" s="1"/>
      <c r="Y83" s="1"/>
    </row>
    <row r="84" spans="2:25" s="2" customFormat="1" ht="15.75" thickBot="1" x14ac:dyDescent="0.25">
      <c r="B84" s="1"/>
      <c r="C84" s="134"/>
      <c r="D84" s="134"/>
      <c r="E84" s="134"/>
      <c r="F84" s="11" t="s">
        <v>90</v>
      </c>
      <c r="G84" s="42" t="s">
        <v>95</v>
      </c>
      <c r="H84" s="42" t="s">
        <v>96</v>
      </c>
      <c r="I84" s="11" t="s">
        <v>97</v>
      </c>
      <c r="J84" s="11" t="s">
        <v>98</v>
      </c>
      <c r="K84" s="11" t="s">
        <v>91</v>
      </c>
      <c r="L84" s="12" t="s">
        <v>92</v>
      </c>
      <c r="M84" s="12" t="s">
        <v>93</v>
      </c>
      <c r="N84" s="12" t="s">
        <v>94</v>
      </c>
      <c r="O84" s="12" t="s">
        <v>534</v>
      </c>
      <c r="Q84" s="11"/>
      <c r="R84" s="133" t="s">
        <v>99</v>
      </c>
      <c r="S84" s="6" t="s">
        <v>483</v>
      </c>
      <c r="T84" s="120" t="s">
        <v>146</v>
      </c>
      <c r="U84" s="134"/>
      <c r="V84" s="134"/>
      <c r="W84" s="132"/>
      <c r="X84" s="120" t="s">
        <v>575</v>
      </c>
      <c r="Y84" s="1"/>
    </row>
    <row r="85" spans="2:25" s="2" customFormat="1" ht="12.75" thickTop="1" x14ac:dyDescent="0.2">
      <c r="B85" s="1">
        <v>1</v>
      </c>
      <c r="C85" s="8">
        <f ca="1">RANK(D85,D85:D104,1)</f>
        <v>18</v>
      </c>
      <c r="D85" s="134">
        <f ca="1">E85+ROW()/1000</f>
        <v>18.085000000000001</v>
      </c>
      <c r="E85" s="134">
        <f ca="1">RANK(T85,T85:T104,1)</f>
        <v>18</v>
      </c>
      <c r="F85" s="187" t="str">
        <f>Calc2!$C$4</f>
        <v>1. FC Heidenheim 1846</v>
      </c>
      <c r="G85" s="1">
        <f ca="1">SUMIFS(OFFSET(Calc2!$H$4,,,$F$26*B83,1),OFFSET(Calc2!$F$4,,,$F$26*B83,1),F85)+SUMIFS(OFFSET(Calc2!$I$4,,,$F$26*B83,1),OFFSET(Calc2!$G$4,,,$F$26*B83,1),F85)</f>
        <v>2</v>
      </c>
      <c r="H85" s="1">
        <f ca="1">SUMIFS(OFFSET(Calc2!$I$4,,,$F$26*B83,1),OFFSET(Calc2!$F$4,,,$F$26*B83,1),F85)+SUMIFS(OFFSET(Calc2!$H$4,,,$F$26*B83,1),OFFSET(Calc2!$G$4,,,$F$26*B83,1),F85)</f>
        <v>9</v>
      </c>
      <c r="I85" s="134">
        <f t="shared" ref="I85:I104" ca="1" si="15">G85-H85</f>
        <v>-7</v>
      </c>
      <c r="J85" s="12">
        <f ca="1">L85*Settings!$C$3+M85+O85</f>
        <v>0</v>
      </c>
      <c r="K85" s="1">
        <f ca="1">L85+M85+N85</f>
        <v>4</v>
      </c>
      <c r="L85" s="1">
        <f t="array" aca="1" ref="L85" ca="1">SUMPRODUCT((OFFSET(Calc2!$F$4,,,$F$26*B83,1)=F85)*(OFFSET(Calc2!$H$4,,,$F$26*B83,1)&gt;OFFSET(Calc2!$I$4,,,$F$26*B83,1)))+SUMPRODUCT((OFFSET(Calc2!$G$4,,,$F$26*B83,1)=F85)*(OFFSET(Calc2!$H$4,,,$F$26*B83,1)&lt;OFFSET(Calc2!$I$4,,,$F$26*B83,1)))</f>
        <v>0</v>
      </c>
      <c r="M85" s="1">
        <f t="array" aca="1" ref="M85" ca="1">SUMPRODUCT((OFFSET(Calc2!$F$4,,,$F$26*B83,2)=F85)*(OFFSET(Calc2!$H$4,,,$F$26*B83,1)=OFFSET(Calc2!$I$4,,,$F$26*B83,1))*(OFFSET(Calc2!$H$4,,,$F$26*B83,1)&lt;&gt;"")*(OFFSET(Calc2!$I$4,,,$F$26*B83,1)&lt;&gt;""))</f>
        <v>0</v>
      </c>
      <c r="N85" s="1">
        <f t="array" aca="1" ref="N85" ca="1">SUMPRODUCT((OFFSET(Calc2!$F$4,,,$F$26*B83,1)=F85)*(OFFSET(Calc2!$H$4,,,$F$26*B83,1)&lt;OFFSET(Calc2!$I$4,,,$F$26*B83,1)))+SUMPRODUCT((OFFSET(Calc2!$G$4,,,$F$26*B83,1)=F85)*(OFFSET(Calc2!$H$4,,,$F$26*B83,1)&gt;OFFSET(Calc2!$I$4,,,$F$26*B83,1)))</f>
        <v>4</v>
      </c>
      <c r="O85" s="132">
        <f ca="1">SUMPRODUCT((F85=OFFSET(Calc2!$F$4,,,$F$26*B83,1))*OFFSET(Calc2!$O$4,,,$F$26*B83,1))+SUMPRODUCT((F85=OFFSET(Calc2!$G$4,,,$F$26*B83,1))*OFFSET(Calc2!$P$4,,,$F$26*B83,1))</f>
        <v>0</v>
      </c>
      <c r="R85" s="13">
        <f t="shared" ref="R85:R104" ca="1" si="16">J85*FactorPts+(I85+GDzero)*FactorGD+G85*FactorGF</f>
        <v>499993002</v>
      </c>
      <c r="S85" s="134">
        <f>Tie_Break!$D$7</f>
        <v>0</v>
      </c>
      <c r="T85" s="8">
        <f ca="1">RANK(R85,R85:R104)+(9-S85)/10000+(F85="")*1000</f>
        <v>20.000900000000001</v>
      </c>
      <c r="U85" s="134"/>
      <c r="V85" s="134">
        <f ca="1">IF($K$24=0,"",1)</f>
        <v>1</v>
      </c>
      <c r="W85" s="4" t="str">
        <f ca="1">IF($K$24=0,Calc2!$C$4,VLOOKUP(B85,C85:N104,4,0))</f>
        <v>FC Bayern München</v>
      </c>
      <c r="X85" s="1">
        <f ca="1">INDEX(V58:V77,MATCH(W85,W58:W77,0))</f>
        <v>1</v>
      </c>
      <c r="Y85" s="1">
        <f ca="1">IF(X85&gt;V85,1,IF(X85&lt;V85,-1,0))</f>
        <v>0</v>
      </c>
    </row>
    <row r="86" spans="2:25" s="2" customFormat="1" x14ac:dyDescent="0.2">
      <c r="B86" s="1">
        <v>2</v>
      </c>
      <c r="C86" s="9">
        <f ca="1">RANK(D86,D85:D104,1)</f>
        <v>4</v>
      </c>
      <c r="D86" s="134">
        <f t="shared" ref="D86:D104" ca="1" si="17">E86+ROW()/1000</f>
        <v>4.0860000000000003</v>
      </c>
      <c r="E86" s="134">
        <f ca="1">RANK(T86,T85:T104,1)</f>
        <v>4</v>
      </c>
      <c r="F86" s="187" t="str">
        <f>Calc2!$C$5</f>
        <v>1. FC Köln</v>
      </c>
      <c r="G86" s="1">
        <f ca="1">SUMIFS(OFFSET(Calc2!$H$4,,,$F$26*B83,1),OFFSET(Calc2!$F$4,,,$F$26*B83,1),F86)+SUMIFS(OFFSET(Calc2!$I$4,,,$F$26*B83,1),OFFSET(Calc2!$G$4,,,$F$26*B83,1),F86)</f>
        <v>9</v>
      </c>
      <c r="H86" s="1">
        <f ca="1">SUMIFS(OFFSET(Calc2!$I$4,,,$F$26*B83,1),OFFSET(Calc2!$F$4,,,$F$26*B83,1),F86)+SUMIFS(OFFSET(Calc2!$H$4,,,$F$26*B83,1),OFFSET(Calc2!$G$4,,,$F$26*B83,1),F86)</f>
        <v>7</v>
      </c>
      <c r="I86" s="134">
        <f t="shared" ca="1" si="15"/>
        <v>2</v>
      </c>
      <c r="J86" s="12">
        <f ca="1">L86*Settings!$C$3+M86+O86</f>
        <v>7</v>
      </c>
      <c r="K86" s="1">
        <f t="shared" ref="K86:K104" ca="1" si="18">L86+M86+N86</f>
        <v>4</v>
      </c>
      <c r="L86" s="1">
        <f t="array" aca="1" ref="L86" ca="1">SUMPRODUCT((OFFSET(Calc2!$F$4,,,$F$26*B83,1)=F86)*(OFFSET(Calc2!$H$4,,,$F$26*B83,1)&gt;OFFSET(Calc2!$I$4,,,$F$26*B83,1)))+SUMPRODUCT((OFFSET(Calc2!$G$4,,,$F$26*B83,1)=F86)*(OFFSET(Calc2!$H$4,,,$F$26*B83,1)&lt;OFFSET(Calc2!$I$4,,,$F$26*B83,1)))</f>
        <v>2</v>
      </c>
      <c r="M86" s="1">
        <f t="array" aca="1" ref="M86" ca="1">SUMPRODUCT((OFFSET(Calc2!$F$4,,,$F$26*B83,2)=F86)*(OFFSET(Calc2!$H$4,,,$F$26*B83,1)=OFFSET(Calc2!$I$4,,,$F$26*B83,1))*(OFFSET(Calc2!$H$4,,,$F$26*B83,1)&lt;&gt;"")*(OFFSET(Calc2!$I$4,,,$F$26*B83,1)&lt;&gt;""))</f>
        <v>1</v>
      </c>
      <c r="N86" s="1">
        <f t="array" aca="1" ref="N86" ca="1">SUMPRODUCT((OFFSET(Calc2!$F$4,,,$F$26*B83,1)=F86)*(OFFSET(Calc2!$H$4,,,$F$26*B83,1)&lt;OFFSET(Calc2!$I$4,,,$F$26*B83,1)))+SUMPRODUCT((OFFSET(Calc2!$G$4,,,$F$26*B83,1)=F86)*(OFFSET(Calc2!$H$4,,,$F$26*B83,1)&gt;OFFSET(Calc2!$I$4,,,$F$26*B83,1)))</f>
        <v>1</v>
      </c>
      <c r="O86" s="132">
        <f ca="1">SUMPRODUCT((F86=OFFSET(Calc2!$F$4,,,$F$26*B83,1))*OFFSET(Calc2!$O$4,,,$F$26*B83,1))+SUMPRODUCT((F86=OFFSET(Calc2!$G$4,,,$F$26*B83,1))*OFFSET(Calc2!$P$4,,,$F$26*B83,1))</f>
        <v>0</v>
      </c>
      <c r="R86" s="13">
        <f t="shared" ca="1" si="16"/>
        <v>7500002009</v>
      </c>
      <c r="S86" s="134">
        <f>Tie_Break!$D$8</f>
        <v>0</v>
      </c>
      <c r="T86" s="9">
        <f ca="1">RANK(R86,R85:R104)+(9-S86)/10000+(F86="")*1000</f>
        <v>4.0008999999999997</v>
      </c>
      <c r="U86" s="134"/>
      <c r="V86" s="134">
        <f ca="1">IF($K$24=0,"",IF(VLOOKUP(B86,C85:E104,3,0)=MAX(V$4:V85),VLOOKUP(B86,C85:E104,3,0),B86))</f>
        <v>2</v>
      </c>
      <c r="W86" s="4" t="str">
        <f ca="1">IF($K$24=0,Calc2!$C$5,VLOOKUP(B86,C85:N104,4,0))</f>
        <v>Borussia Dortmund</v>
      </c>
      <c r="X86" s="1">
        <f ca="1">INDEX(V58:V77,MATCH(W86,W58:W77,0))</f>
        <v>2</v>
      </c>
      <c r="Y86" s="1">
        <f t="shared" ref="Y86:Y104" ca="1" si="19">IF(X86&gt;V86,1,IF(X86&lt;V86,-1,0))</f>
        <v>0</v>
      </c>
    </row>
    <row r="87" spans="2:25" s="2" customFormat="1" x14ac:dyDescent="0.2">
      <c r="B87" s="1">
        <v>3</v>
      </c>
      <c r="C87" s="9">
        <f ca="1">RANK(D87,D85:D104,1)</f>
        <v>10</v>
      </c>
      <c r="D87" s="134">
        <f t="shared" ca="1" si="17"/>
        <v>10.087</v>
      </c>
      <c r="E87" s="134">
        <f ca="1">RANK(T87,T85:T104,1)</f>
        <v>10</v>
      </c>
      <c r="F87" s="187" t="str">
        <f>Calc2!$C$6</f>
        <v>1. FC Union Berlin</v>
      </c>
      <c r="G87" s="1">
        <f ca="1">SUMIFS(OFFSET(Calc2!$H$4,,,$F$26*B83,1),OFFSET(Calc2!$F$4,,,$F$26*B83,1),F87)+SUMIFS(OFFSET(Calc2!$I$4,,,$F$26*B83,1),OFFSET(Calc2!$G$4,,,$F$26*B83,1),F87)</f>
        <v>8</v>
      </c>
      <c r="H87" s="1">
        <f ca="1">SUMIFS(OFFSET(Calc2!$I$4,,,$F$26*B83,1),OFFSET(Calc2!$F$4,,,$F$26*B83,1),F87)+SUMIFS(OFFSET(Calc2!$H$4,,,$F$26*B83,1),OFFSET(Calc2!$G$4,,,$F$26*B83,1),F87)</f>
        <v>11</v>
      </c>
      <c r="I87" s="134">
        <f t="shared" ca="1" si="15"/>
        <v>-3</v>
      </c>
      <c r="J87" s="12">
        <f ca="1">L87*Settings!$C$3+M87+O87</f>
        <v>6</v>
      </c>
      <c r="K87" s="1">
        <f t="shared" ca="1" si="18"/>
        <v>4</v>
      </c>
      <c r="L87" s="1">
        <f t="array" aca="1" ref="L87" ca="1">SUMPRODUCT((OFFSET(Calc2!$F$4,,,$F$26*B83,1)=F87)*(OFFSET(Calc2!$H$4,,,$F$26*B83,1)&gt;OFFSET(Calc2!$I$4,,,$F$26*B83,1)))+SUMPRODUCT((OFFSET(Calc2!$G$4,,,$F$26*B83,1)=F87)*(OFFSET(Calc2!$H$4,,,$F$26*B83,1)&lt;OFFSET(Calc2!$I$4,,,$F$26*B83,1)))</f>
        <v>2</v>
      </c>
      <c r="M87" s="1">
        <f t="array" aca="1" ref="M87" ca="1">SUMPRODUCT((OFFSET(Calc2!$F$4,,,$F$26*B83,2)=F87)*(OFFSET(Calc2!$H$4,,,$F$26*B83,1)=OFFSET(Calc2!$I$4,,,$F$26*B83,1))*(OFFSET(Calc2!$H$4,,,$F$26*B83,1)&lt;&gt;"")*(OFFSET(Calc2!$I$4,,,$F$26*B83,1)&lt;&gt;""))</f>
        <v>0</v>
      </c>
      <c r="N87" s="1">
        <f t="array" aca="1" ref="N87" ca="1">SUMPRODUCT((OFFSET(Calc2!$F$4,,,$F$26*B83,1)=F87)*(OFFSET(Calc2!$H$4,,,$F$26*B83,1)&lt;OFFSET(Calc2!$I$4,,,$F$26*B83,1)))+SUMPRODUCT((OFFSET(Calc2!$G$4,,,$F$26*B83,1)=F87)*(OFFSET(Calc2!$H$4,,,$F$26*B83,1)&gt;OFFSET(Calc2!$I$4,,,$F$26*B83,1)))</f>
        <v>2</v>
      </c>
      <c r="O87" s="132">
        <f ca="1">SUMPRODUCT((F87=OFFSET(Calc2!$F$4,,,$F$26*B83,1))*OFFSET(Calc2!$O$4,,,$F$26*B83,1))+SUMPRODUCT((F87=OFFSET(Calc2!$G$4,,,$F$26*B83,1))*OFFSET(Calc2!$P$4,,,$F$26*B83,1))</f>
        <v>0</v>
      </c>
      <c r="R87" s="13">
        <f t="shared" ca="1" si="16"/>
        <v>6499997008</v>
      </c>
      <c r="S87" s="134">
        <f>Tie_Break!$D$9</f>
        <v>0</v>
      </c>
      <c r="T87" s="9">
        <f ca="1">RANK(R87,R85:R104)+(9-S87)/10000+(F87="")*1000</f>
        <v>10.0009</v>
      </c>
      <c r="U87" s="134"/>
      <c r="V87" s="134">
        <f ca="1">IF($K$24=0,"",IF(VLOOKUP(B87,C85:E104,3,0)=MAX(V$4:V86),VLOOKUP(B87,C85:E104,3,0),B87))</f>
        <v>3</v>
      </c>
      <c r="W87" s="4" t="str">
        <f ca="1">IF($K$24=0,Calc2!$C$6,VLOOKUP(B87,C85:N104,4,0))</f>
        <v>RB Leipzig</v>
      </c>
      <c r="X87" s="1">
        <f ca="1">INDEX(V58:V77,MATCH(W87,W58:W77,0))</f>
        <v>7</v>
      </c>
      <c r="Y87" s="1">
        <f t="shared" ca="1" si="19"/>
        <v>1</v>
      </c>
    </row>
    <row r="88" spans="2:25" s="2" customFormat="1" x14ac:dyDescent="0.2">
      <c r="B88" s="1">
        <v>4</v>
      </c>
      <c r="C88" s="9">
        <f ca="1">RANK(D88,D85:D104,1)</f>
        <v>13</v>
      </c>
      <c r="D88" s="134">
        <f t="shared" ca="1" si="17"/>
        <v>13.087999999999999</v>
      </c>
      <c r="E88" s="134">
        <f ca="1">RANK(T88,T85:T104,1)</f>
        <v>13</v>
      </c>
      <c r="F88" s="187" t="str">
        <f>Calc2!$C$7</f>
        <v>1. FSV Mainz 05</v>
      </c>
      <c r="G88" s="1">
        <f ca="1">SUMIFS(OFFSET(Calc2!$H$4,,,$F$26*B83,1),OFFSET(Calc2!$F$4,,,$F$26*B83,1),F88)+SUMIFS(OFFSET(Calc2!$I$4,,,$F$26*B83,1),OFFSET(Calc2!$G$4,,,$F$26*B83,1),F88)</f>
        <v>5</v>
      </c>
      <c r="H88" s="1">
        <f ca="1">SUMIFS(OFFSET(Calc2!$I$4,,,$F$26*B83,1),OFFSET(Calc2!$F$4,,,$F$26*B83,1),F88)+SUMIFS(OFFSET(Calc2!$H$4,,,$F$26*B83,1),OFFSET(Calc2!$G$4,,,$F$26*B83,1),F88)</f>
        <v>4</v>
      </c>
      <c r="I88" s="134">
        <f t="shared" ca="1" si="15"/>
        <v>1</v>
      </c>
      <c r="J88" s="12">
        <f ca="1">L88*Settings!$C$3+M88+O88</f>
        <v>4</v>
      </c>
      <c r="K88" s="1">
        <f t="shared" ca="1" si="18"/>
        <v>4</v>
      </c>
      <c r="L88" s="1">
        <f t="array" aca="1" ref="L88" ca="1">SUMPRODUCT((OFFSET(Calc2!$F$4,,,$F$26*B83,1)=F88)*(OFFSET(Calc2!$H$4,,,$F$26*B83,1)&gt;OFFSET(Calc2!$I$4,,,$F$26*B83,1)))+SUMPRODUCT((OFFSET(Calc2!$G$4,,,$F$26*B83,1)=F88)*(OFFSET(Calc2!$H$4,,,$F$26*B83,1)&lt;OFFSET(Calc2!$I$4,,,$F$26*B83,1)))</f>
        <v>1</v>
      </c>
      <c r="M88" s="1">
        <f t="array" aca="1" ref="M88" ca="1">SUMPRODUCT((OFFSET(Calc2!$F$4,,,$F$26*B83,2)=F88)*(OFFSET(Calc2!$H$4,,,$F$26*B83,1)=OFFSET(Calc2!$I$4,,,$F$26*B83,1))*(OFFSET(Calc2!$H$4,,,$F$26*B83,1)&lt;&gt;"")*(OFFSET(Calc2!$I$4,,,$F$26*B83,1)&lt;&gt;""))</f>
        <v>1</v>
      </c>
      <c r="N88" s="1">
        <f t="array" aca="1" ref="N88" ca="1">SUMPRODUCT((OFFSET(Calc2!$F$4,,,$F$26*B83,1)=F88)*(OFFSET(Calc2!$H$4,,,$F$26*B83,1)&lt;OFFSET(Calc2!$I$4,,,$F$26*B83,1)))+SUMPRODUCT((OFFSET(Calc2!$G$4,,,$F$26*B83,1)=F88)*(OFFSET(Calc2!$H$4,,,$F$26*B83,1)&gt;OFFSET(Calc2!$I$4,,,$F$26*B83,1)))</f>
        <v>2</v>
      </c>
      <c r="O88" s="132">
        <f ca="1">SUMPRODUCT((F88=OFFSET(Calc2!$F$4,,,$F$26*B83,1))*OFFSET(Calc2!$O$4,,,$F$26*B83,1))+SUMPRODUCT((F88=OFFSET(Calc2!$G$4,,,$F$26*B83,1))*OFFSET(Calc2!$P$4,,,$F$26*B83,1))</f>
        <v>0</v>
      </c>
      <c r="R88" s="13">
        <f t="shared" ca="1" si="16"/>
        <v>4500001005</v>
      </c>
      <c r="S88" s="134">
        <f>Tie_Break!$D$10</f>
        <v>0</v>
      </c>
      <c r="T88" s="9">
        <f ca="1">RANK(R88,R85:R104)+(9-S88)/10000+(F88="")*1000</f>
        <v>13.0009</v>
      </c>
      <c r="U88" s="134"/>
      <c r="V88" s="134">
        <f ca="1">IF($K$24=0,"",IF(VLOOKUP(B88,C85:E104,3,0)=MAX(V$4:V87),VLOOKUP(B88,C85:E104,3,0),B88))</f>
        <v>4</v>
      </c>
      <c r="W88" s="4" t="str">
        <f ca="1">IF($K$24=0,Calc2!$C$7,VLOOKUP(B88,C85:N104,4,0))</f>
        <v>1. FC Köln</v>
      </c>
      <c r="X88" s="1">
        <f ca="1">INDEX(V58:V77,MATCH(W88,W58:W77,0))</f>
        <v>3</v>
      </c>
      <c r="Y88" s="1">
        <f t="shared" ca="1" si="19"/>
        <v>-1</v>
      </c>
    </row>
    <row r="89" spans="2:25" s="2" customFormat="1" x14ac:dyDescent="0.2">
      <c r="B89" s="1">
        <v>5</v>
      </c>
      <c r="C89" s="9">
        <f ca="1">RANK(D89,D85:D104,1)</f>
        <v>11</v>
      </c>
      <c r="D89" s="134">
        <f t="shared" ca="1" si="17"/>
        <v>11.089</v>
      </c>
      <c r="E89" s="134">
        <f ca="1">RANK(T89,T85:T104,1)</f>
        <v>11</v>
      </c>
      <c r="F89" s="187" t="str">
        <f>Calc2!$C$8</f>
        <v>Bayer 04 Leverkusen</v>
      </c>
      <c r="G89" s="1">
        <f ca="1">SUMIFS(OFFSET(Calc2!$H$4,,,$F$26*B83,1),OFFSET(Calc2!$F$4,,,$F$26*B83,1),F89)+SUMIFS(OFFSET(Calc2!$I$4,,,$F$26*B83,1),OFFSET(Calc2!$G$4,,,$F$26*B83,1),F89)</f>
        <v>8</v>
      </c>
      <c r="H89" s="1">
        <f ca="1">SUMIFS(OFFSET(Calc2!$I$4,,,$F$26*B83,1),OFFSET(Calc2!$F$4,,,$F$26*B83,1),F89)+SUMIFS(OFFSET(Calc2!$H$4,,,$F$26*B83,1),OFFSET(Calc2!$G$4,,,$F$26*B83,1),F89)</f>
        <v>7</v>
      </c>
      <c r="I89" s="134">
        <f t="shared" ca="1" si="15"/>
        <v>1</v>
      </c>
      <c r="J89" s="12">
        <f ca="1">L89*Settings!$C$3+M89+O89</f>
        <v>5</v>
      </c>
      <c r="K89" s="1">
        <f t="shared" ca="1" si="18"/>
        <v>4</v>
      </c>
      <c r="L89" s="1">
        <f t="array" aca="1" ref="L89" ca="1">SUMPRODUCT((OFFSET(Calc2!$F$4,,,$F$26*B83,1)=F89)*(OFFSET(Calc2!$H$4,,,$F$26*B83,1)&gt;OFFSET(Calc2!$I$4,,,$F$26*B83,1)))+SUMPRODUCT((OFFSET(Calc2!$G$4,,,$F$26*B83,1)=F89)*(OFFSET(Calc2!$H$4,,,$F$26*B83,1)&lt;OFFSET(Calc2!$I$4,,,$F$26*B83,1)))</f>
        <v>1</v>
      </c>
      <c r="M89" s="1">
        <f t="array" aca="1" ref="M89" ca="1">SUMPRODUCT((OFFSET(Calc2!$F$4,,,$F$26*B83,2)=F89)*(OFFSET(Calc2!$H$4,,,$F$26*B83,1)=OFFSET(Calc2!$I$4,,,$F$26*B83,1))*(OFFSET(Calc2!$H$4,,,$F$26*B83,1)&lt;&gt;"")*(OFFSET(Calc2!$I$4,,,$F$26*B83,1)&lt;&gt;""))</f>
        <v>2</v>
      </c>
      <c r="N89" s="1">
        <f t="array" aca="1" ref="N89" ca="1">SUMPRODUCT((OFFSET(Calc2!$F$4,,,$F$26*B83,1)=F89)*(OFFSET(Calc2!$H$4,,,$F$26*B83,1)&lt;OFFSET(Calc2!$I$4,,,$F$26*B83,1)))+SUMPRODUCT((OFFSET(Calc2!$G$4,,,$F$26*B83,1)=F89)*(OFFSET(Calc2!$H$4,,,$F$26*B83,1)&gt;OFFSET(Calc2!$I$4,,,$F$26*B83,1)))</f>
        <v>1</v>
      </c>
      <c r="O89" s="132">
        <f ca="1">SUMPRODUCT((F89=OFFSET(Calc2!$F$4,,,$F$26*B83,1))*OFFSET(Calc2!$O$4,,,$F$26*B83,1))+SUMPRODUCT((F89=OFFSET(Calc2!$G$4,,,$F$26*B83,1))*OFFSET(Calc2!$P$4,,,$F$26*B83,1))</f>
        <v>0</v>
      </c>
      <c r="R89" s="13">
        <f t="shared" ca="1" si="16"/>
        <v>5500001008</v>
      </c>
      <c r="S89" s="134">
        <f>Tie_Break!$D$11</f>
        <v>0</v>
      </c>
      <c r="T89" s="9">
        <f ca="1">RANK(R89,R85:R104)+(9-S89)/10000+(F89="")*1000</f>
        <v>11.0009</v>
      </c>
      <c r="U89" s="134"/>
      <c r="V89" s="134">
        <f ca="1">IF($K$24=0,"",IF(VLOOKUP(B89,C85:E104,3,0)=MAX(V$4:V88),VLOOKUP(B89,C85:E104,3,0),B89))</f>
        <v>5</v>
      </c>
      <c r="W89" s="4" t="str">
        <f ca="1">IF($K$24=0,Calc2!$C$8,VLOOKUP(B89,C85:N104,4,0))</f>
        <v>FC St. Pauli</v>
      </c>
      <c r="X89" s="1">
        <f ca="1">INDEX(V58:V77,MATCH(W89,W58:W77,0))</f>
        <v>4</v>
      </c>
      <c r="Y89" s="1">
        <f t="shared" ca="1" si="19"/>
        <v>-1</v>
      </c>
    </row>
    <row r="90" spans="2:25" s="2" customFormat="1" x14ac:dyDescent="0.2">
      <c r="B90" s="1">
        <v>6</v>
      </c>
      <c r="C90" s="9">
        <f ca="1">RANK(D90,D85:D104,1)</f>
        <v>2</v>
      </c>
      <c r="D90" s="134">
        <f t="shared" ca="1" si="17"/>
        <v>2.09</v>
      </c>
      <c r="E90" s="134">
        <f ca="1">RANK(T90,T85:T104,1)</f>
        <v>2</v>
      </c>
      <c r="F90" s="187" t="str">
        <f>Calc2!$C$9</f>
        <v>Borussia Dortmund</v>
      </c>
      <c r="G90" s="1">
        <f ca="1">SUMIFS(OFFSET(Calc2!$H$4,,,$F$26*B83,1),OFFSET(Calc2!$F$4,,,$F$26*B83,1),F90)+SUMIFS(OFFSET(Calc2!$I$4,,,$F$26*B83,1),OFFSET(Calc2!$G$4,,,$F$26*B83,1),F90)</f>
        <v>9</v>
      </c>
      <c r="H90" s="1">
        <f ca="1">SUMIFS(OFFSET(Calc2!$I$4,,,$F$26*B83,1),OFFSET(Calc2!$F$4,,,$F$26*B83,1),F90)+SUMIFS(OFFSET(Calc2!$H$4,,,$F$26*B83,1),OFFSET(Calc2!$G$4,,,$F$26*B83,1),F90)</f>
        <v>3</v>
      </c>
      <c r="I90" s="134">
        <f t="shared" ca="1" si="15"/>
        <v>6</v>
      </c>
      <c r="J90" s="12">
        <f ca="1">L90*Settings!$C$3+M90+O90</f>
        <v>10</v>
      </c>
      <c r="K90" s="1">
        <f t="shared" ca="1" si="18"/>
        <v>4</v>
      </c>
      <c r="L90" s="1">
        <f t="array" aca="1" ref="L90" ca="1">SUMPRODUCT((OFFSET(Calc2!$F$4,,,$F$26*B83,1)=F90)*(OFFSET(Calc2!$H$4,,,$F$26*B83,1)&gt;OFFSET(Calc2!$I$4,,,$F$26*B83,1)))+SUMPRODUCT((OFFSET(Calc2!$G$4,,,$F$26*B83,1)=F90)*(OFFSET(Calc2!$H$4,,,$F$26*B83,1)&lt;OFFSET(Calc2!$I$4,,,$F$26*B83,1)))</f>
        <v>3</v>
      </c>
      <c r="M90" s="1">
        <f t="array" aca="1" ref="M90" ca="1">SUMPRODUCT((OFFSET(Calc2!$F$4,,,$F$26*B83,2)=F90)*(OFFSET(Calc2!$H$4,,,$F$26*B83,1)=OFFSET(Calc2!$I$4,,,$F$26*B83,1))*(OFFSET(Calc2!$H$4,,,$F$26*B83,1)&lt;&gt;"")*(OFFSET(Calc2!$I$4,,,$F$26*B83,1)&lt;&gt;""))</f>
        <v>1</v>
      </c>
      <c r="N90" s="1">
        <f t="array" aca="1" ref="N90" ca="1">SUMPRODUCT((OFFSET(Calc2!$F$4,,,$F$26*B83,1)=F90)*(OFFSET(Calc2!$H$4,,,$F$26*B83,1)&lt;OFFSET(Calc2!$I$4,,,$F$26*B83,1)))+SUMPRODUCT((OFFSET(Calc2!$G$4,,,$F$26*B83,1)=F90)*(OFFSET(Calc2!$H$4,,,$F$26*B83,1)&gt;OFFSET(Calc2!$I$4,,,$F$26*B83,1)))</f>
        <v>0</v>
      </c>
      <c r="O90" s="132">
        <f ca="1">SUMPRODUCT((F90=OFFSET(Calc2!$F$4,,,$F$26*B83,1))*OFFSET(Calc2!$O$4,,,$F$26*B83,1))+SUMPRODUCT((F90=OFFSET(Calc2!$G$4,,,$F$26*B83,1))*OFFSET(Calc2!$P$4,,,$F$26*B83,1))</f>
        <v>0</v>
      </c>
      <c r="R90" s="13">
        <f t="shared" ca="1" si="16"/>
        <v>10500006009</v>
      </c>
      <c r="S90" s="134">
        <f>Tie_Break!$D$12</f>
        <v>0</v>
      </c>
      <c r="T90" s="9">
        <f ca="1">RANK(R90,R85:R104)+(9-S90)/10000+(F90="")*1000</f>
        <v>2.0009000000000001</v>
      </c>
      <c r="U90" s="134"/>
      <c r="V90" s="134">
        <f ca="1">IF($K$24=0,"",IF(VLOOKUP(B90,C85:E104,3,0)=MAX(V$4:V89),VLOOKUP(B90,C85:E104,3,0),B90))</f>
        <v>6</v>
      </c>
      <c r="W90" s="4" t="str">
        <f ca="1">IF($K$24=0,Calc2!$C$9,VLOOKUP(B90,C85:N104,4,0))</f>
        <v>Eintracht Frankfurt</v>
      </c>
      <c r="X90" s="1">
        <f ca="1">INDEX(V58:V77,MATCH(W90,W58:W77,0))</f>
        <v>5</v>
      </c>
      <c r="Y90" s="1">
        <f t="shared" ca="1" si="19"/>
        <v>-1</v>
      </c>
    </row>
    <row r="91" spans="2:25" s="2" customFormat="1" x14ac:dyDescent="0.2">
      <c r="B91" s="1">
        <v>7</v>
      </c>
      <c r="C91" s="9">
        <f ca="1">RANK(D91,D85:D104,1)</f>
        <v>17</v>
      </c>
      <c r="D91" s="134">
        <f t="shared" ca="1" si="17"/>
        <v>17.091000000000001</v>
      </c>
      <c r="E91" s="134">
        <f ca="1">RANK(T91,T85:T104,1)</f>
        <v>17</v>
      </c>
      <c r="F91" s="187" t="str">
        <f>Calc2!$C$10</f>
        <v>Borussia Mönchengladbach</v>
      </c>
      <c r="G91" s="1">
        <f ca="1">SUMIFS(OFFSET(Calc2!$H$4,,,$F$26*B83,1),OFFSET(Calc2!$F$4,,,$F$26*B83,1),F91)+SUMIFS(OFFSET(Calc2!$I$4,,,$F$26*B83,1),OFFSET(Calc2!$G$4,,,$F$26*B83,1),F91)</f>
        <v>1</v>
      </c>
      <c r="H91" s="1">
        <f ca="1">SUMIFS(OFFSET(Calc2!$I$4,,,$F$26*B83,1),OFFSET(Calc2!$F$4,,,$F$26*B83,1),F91)+SUMIFS(OFFSET(Calc2!$H$4,,,$F$26*B83,1),OFFSET(Calc2!$G$4,,,$F$26*B83,1),F91)</f>
        <v>6</v>
      </c>
      <c r="I91" s="134">
        <f t="shared" ca="1" si="15"/>
        <v>-5</v>
      </c>
      <c r="J91" s="12">
        <f ca="1">L91*Settings!$C$3+M91+O91</f>
        <v>2</v>
      </c>
      <c r="K91" s="1">
        <f t="shared" ca="1" si="18"/>
        <v>4</v>
      </c>
      <c r="L91" s="1">
        <f t="array" aca="1" ref="L91" ca="1">SUMPRODUCT((OFFSET(Calc2!$F$4,,,$F$26*B83,1)=F91)*(OFFSET(Calc2!$H$4,,,$F$26*B83,1)&gt;OFFSET(Calc2!$I$4,,,$F$26*B83,1)))+SUMPRODUCT((OFFSET(Calc2!$G$4,,,$F$26*B83,1)=F91)*(OFFSET(Calc2!$H$4,,,$F$26*B83,1)&lt;OFFSET(Calc2!$I$4,,,$F$26*B83,1)))</f>
        <v>0</v>
      </c>
      <c r="M91" s="1">
        <f t="array" aca="1" ref="M91" ca="1">SUMPRODUCT((OFFSET(Calc2!$F$4,,,$F$26*B83,2)=F91)*(OFFSET(Calc2!$H$4,,,$F$26*B83,1)=OFFSET(Calc2!$I$4,,,$F$26*B83,1))*(OFFSET(Calc2!$H$4,,,$F$26*B83,1)&lt;&gt;"")*(OFFSET(Calc2!$I$4,,,$F$26*B83,1)&lt;&gt;""))</f>
        <v>2</v>
      </c>
      <c r="N91" s="1">
        <f t="array" aca="1" ref="N91" ca="1">SUMPRODUCT((OFFSET(Calc2!$F$4,,,$F$26*B83,1)=F91)*(OFFSET(Calc2!$H$4,,,$F$26*B83,1)&lt;OFFSET(Calc2!$I$4,,,$F$26*B83,1)))+SUMPRODUCT((OFFSET(Calc2!$G$4,,,$F$26*B83,1)=F91)*(OFFSET(Calc2!$H$4,,,$F$26*B83,1)&gt;OFFSET(Calc2!$I$4,,,$F$26*B83,1)))</f>
        <v>2</v>
      </c>
      <c r="O91" s="132">
        <f ca="1">SUMPRODUCT((F91=OFFSET(Calc2!$F$4,,,$F$26*B83,1))*OFFSET(Calc2!$O$4,,,$F$26*B83,1))+SUMPRODUCT((F91=OFFSET(Calc2!$G$4,,,$F$26*B83,1))*OFFSET(Calc2!$P$4,,,$F$26*B83,1))</f>
        <v>0</v>
      </c>
      <c r="R91" s="13">
        <f t="shared" ca="1" si="16"/>
        <v>2499995001</v>
      </c>
      <c r="S91" s="134">
        <f>Tie_Break!$D$13</f>
        <v>0</v>
      </c>
      <c r="T91" s="9">
        <f ca="1">RANK(R91,R85:R104)+(9-S91)/10000+(F91="")*1000</f>
        <v>17.000900000000001</v>
      </c>
      <c r="U91" s="134"/>
      <c r="V91" s="134">
        <f ca="1">IF($K$24=0,"",IF(VLOOKUP(B91,C85:E104,3,0)=MAX(V$4:V90),VLOOKUP(B91,C85:E104,3,0),B91))</f>
        <v>7</v>
      </c>
      <c r="W91" s="4" t="str">
        <f ca="1">IF($K$24=0,Calc2!$C$10,VLOOKUP(B91,C85:N104,4,0))</f>
        <v>SC Freiburg</v>
      </c>
      <c r="X91" s="1">
        <f ca="1">INDEX(V58:V77,MATCH(W91,W58:W77,0))</f>
        <v>13</v>
      </c>
      <c r="Y91" s="1">
        <f t="shared" ca="1" si="19"/>
        <v>1</v>
      </c>
    </row>
    <row r="92" spans="2:25" s="2" customFormat="1" x14ac:dyDescent="0.2">
      <c r="B92" s="1">
        <v>8</v>
      </c>
      <c r="C92" s="9">
        <f ca="1">RANK(D92,D85:D104,1)</f>
        <v>6</v>
      </c>
      <c r="D92" s="134">
        <f t="shared" ca="1" si="17"/>
        <v>6.0919999999999996</v>
      </c>
      <c r="E92" s="134">
        <f ca="1">RANK(T92,T85:T104,1)</f>
        <v>6</v>
      </c>
      <c r="F92" s="187" t="str">
        <f>Calc2!$C$11</f>
        <v>Eintracht Frankfurt</v>
      </c>
      <c r="G92" s="1">
        <f ca="1">SUMIFS(OFFSET(Calc2!$H$4,,,$F$26*B83,1),OFFSET(Calc2!$F$4,,,$F$26*B83,1),F92)+SUMIFS(OFFSET(Calc2!$I$4,,,$F$26*B83,1),OFFSET(Calc2!$G$4,,,$F$26*B83,1),F92)</f>
        <v>11</v>
      </c>
      <c r="H92" s="1">
        <f ca="1">SUMIFS(OFFSET(Calc2!$I$4,,,$F$26*B83,1),OFFSET(Calc2!$F$4,,,$F$26*B83,1),F92)+SUMIFS(OFFSET(Calc2!$H$4,,,$F$26*B83,1),OFFSET(Calc2!$G$4,,,$F$26*B83,1),F92)</f>
        <v>9</v>
      </c>
      <c r="I92" s="134">
        <f t="shared" ca="1" si="15"/>
        <v>2</v>
      </c>
      <c r="J92" s="12">
        <f ca="1">L92*Settings!$C$3+M92+O92</f>
        <v>6</v>
      </c>
      <c r="K92" s="1">
        <f t="shared" ca="1" si="18"/>
        <v>4</v>
      </c>
      <c r="L92" s="1">
        <f t="array" aca="1" ref="L92" ca="1">SUMPRODUCT((OFFSET(Calc2!$F$4,,,$F$26*B83,1)=F92)*(OFFSET(Calc2!$H$4,,,$F$26*B83,1)&gt;OFFSET(Calc2!$I$4,,,$F$26*B83,1)))+SUMPRODUCT((OFFSET(Calc2!$G$4,,,$F$26*B83,1)=F92)*(OFFSET(Calc2!$H$4,,,$F$26*B83,1)&lt;OFFSET(Calc2!$I$4,,,$F$26*B83,1)))</f>
        <v>2</v>
      </c>
      <c r="M92" s="1">
        <f t="array" aca="1" ref="M92" ca="1">SUMPRODUCT((OFFSET(Calc2!$F$4,,,$F$26*B83,2)=F92)*(OFFSET(Calc2!$H$4,,,$F$26*B83,1)=OFFSET(Calc2!$I$4,,,$F$26*B83,1))*(OFFSET(Calc2!$H$4,,,$F$26*B83,1)&lt;&gt;"")*(OFFSET(Calc2!$I$4,,,$F$26*B83,1)&lt;&gt;""))</f>
        <v>0</v>
      </c>
      <c r="N92" s="1">
        <f t="array" aca="1" ref="N92" ca="1">SUMPRODUCT((OFFSET(Calc2!$F$4,,,$F$26*B83,1)=F92)*(OFFSET(Calc2!$H$4,,,$F$26*B83,1)&lt;OFFSET(Calc2!$I$4,,,$F$26*B83,1)))+SUMPRODUCT((OFFSET(Calc2!$G$4,,,$F$26*B83,1)=F92)*(OFFSET(Calc2!$H$4,,,$F$26*B83,1)&gt;OFFSET(Calc2!$I$4,,,$F$26*B83,1)))</f>
        <v>2</v>
      </c>
      <c r="O92" s="132">
        <f ca="1">SUMPRODUCT((F92=OFFSET(Calc2!$F$4,,,$F$26*B83,1))*OFFSET(Calc2!$O$4,,,$F$26*B83,1))+SUMPRODUCT((F92=OFFSET(Calc2!$G$4,,,$F$26*B83,1))*OFFSET(Calc2!$P$4,,,$F$26*B83,1))</f>
        <v>0</v>
      </c>
      <c r="R92" s="13">
        <f t="shared" ca="1" si="16"/>
        <v>6500002011</v>
      </c>
      <c r="S92" s="134">
        <f>Tie_Break!$D$14</f>
        <v>0</v>
      </c>
      <c r="T92" s="9">
        <f ca="1">RANK(R92,R85:R104)+(9-S92)/10000+(F92="")*1000</f>
        <v>6.0008999999999997</v>
      </c>
      <c r="U92" s="134"/>
      <c r="V92" s="134">
        <f ca="1">IF($K$24=0,"",IF(VLOOKUP(B92,C85:E104,3,0)=MAX(V$4:V91),VLOOKUP(B92,C85:E104,3,0),B92))</f>
        <v>8</v>
      </c>
      <c r="W92" s="4" t="str">
        <f ca="1">IF($K$24=0,Calc2!$C$11,VLOOKUP(B92,C85:N104,4,0))</f>
        <v>VfB Stuttgart</v>
      </c>
      <c r="X92" s="1">
        <f ca="1">INDEX(V58:V77,MATCH(W92,W58:W77,0))</f>
        <v>12</v>
      </c>
      <c r="Y92" s="1">
        <f t="shared" ca="1" si="19"/>
        <v>1</v>
      </c>
    </row>
    <row r="93" spans="2:25" s="2" customFormat="1" x14ac:dyDescent="0.2">
      <c r="B93" s="1">
        <v>9</v>
      </c>
      <c r="C93" s="9">
        <f ca="1">RANK(D93,D85:D104,1)</f>
        <v>16</v>
      </c>
      <c r="D93" s="134">
        <f t="shared" ca="1" si="17"/>
        <v>16.093</v>
      </c>
      <c r="E93" s="134">
        <f ca="1">RANK(T93,T85:T104,1)</f>
        <v>16</v>
      </c>
      <c r="F93" s="187" t="str">
        <f>Calc2!$C$12</f>
        <v>FC Augsburg</v>
      </c>
      <c r="G93" s="1">
        <f ca="1">SUMIFS(OFFSET(Calc2!$H$4,,,$F$26*B83,1),OFFSET(Calc2!$F$4,,,$F$26*B83,1),F93)+SUMIFS(OFFSET(Calc2!$I$4,,,$F$26*B83,1),OFFSET(Calc2!$G$4,,,$F$26*B83,1),F93)</f>
        <v>7</v>
      </c>
      <c r="H93" s="1">
        <f ca="1">SUMIFS(OFFSET(Calc2!$I$4,,,$F$26*B83,1),OFFSET(Calc2!$F$4,,,$F$26*B83,1),F93)+SUMIFS(OFFSET(Calc2!$H$4,,,$F$26*B83,1),OFFSET(Calc2!$G$4,,,$F$26*B83,1),F93)</f>
        <v>10</v>
      </c>
      <c r="I93" s="134">
        <f t="shared" ca="1" si="15"/>
        <v>-3</v>
      </c>
      <c r="J93" s="12">
        <f ca="1">L93*Settings!$C$3+M93+O93</f>
        <v>3</v>
      </c>
      <c r="K93" s="1">
        <f t="shared" ca="1" si="18"/>
        <v>4</v>
      </c>
      <c r="L93" s="1">
        <f t="array" aca="1" ref="L93" ca="1">SUMPRODUCT((OFFSET(Calc2!$F$4,,,$F$26*B83,1)=F93)*(OFFSET(Calc2!$H$4,,,$F$26*B83,1)&gt;OFFSET(Calc2!$I$4,,,$F$26*B83,1)))+SUMPRODUCT((OFFSET(Calc2!$G$4,,,$F$26*B83,1)=F93)*(OFFSET(Calc2!$H$4,,,$F$26*B83,1)&lt;OFFSET(Calc2!$I$4,,,$F$26*B83,1)))</f>
        <v>1</v>
      </c>
      <c r="M93" s="1">
        <f t="array" aca="1" ref="M93" ca="1">SUMPRODUCT((OFFSET(Calc2!$F$4,,,$F$26*B83,2)=F93)*(OFFSET(Calc2!$H$4,,,$F$26*B83,1)=OFFSET(Calc2!$I$4,,,$F$26*B83,1))*(OFFSET(Calc2!$H$4,,,$F$26*B83,1)&lt;&gt;"")*(OFFSET(Calc2!$I$4,,,$F$26*B83,1)&lt;&gt;""))</f>
        <v>0</v>
      </c>
      <c r="N93" s="1">
        <f t="array" aca="1" ref="N93" ca="1">SUMPRODUCT((OFFSET(Calc2!$F$4,,,$F$26*B83,1)=F93)*(OFFSET(Calc2!$H$4,,,$F$26*B83,1)&lt;OFFSET(Calc2!$I$4,,,$F$26*B83,1)))+SUMPRODUCT((OFFSET(Calc2!$G$4,,,$F$26*B83,1)=F93)*(OFFSET(Calc2!$H$4,,,$F$26*B83,1)&gt;OFFSET(Calc2!$I$4,,,$F$26*B83,1)))</f>
        <v>3</v>
      </c>
      <c r="O93" s="132">
        <f ca="1">SUMPRODUCT((F93=OFFSET(Calc2!$F$4,,,$F$26*B83,1))*OFFSET(Calc2!$O$4,,,$F$26*B83,1))+SUMPRODUCT((F93=OFFSET(Calc2!$G$4,,,$F$26*B83,1))*OFFSET(Calc2!$P$4,,,$F$26*B83,1))</f>
        <v>0</v>
      </c>
      <c r="R93" s="13">
        <f t="shared" ca="1" si="16"/>
        <v>3499997007</v>
      </c>
      <c r="S93" s="134">
        <f>Tie_Break!$D$15</f>
        <v>0</v>
      </c>
      <c r="T93" s="9">
        <f ca="1">RANK(R93,R85:R104)+(9-S93)/10000+(F93="")*1000</f>
        <v>16.000900000000001</v>
      </c>
      <c r="U93" s="134"/>
      <c r="V93" s="134">
        <f ca="1">IF($K$24=0,"",IF(VLOOKUP(B93,C85:E104,3,0)=MAX(V$4:V92),VLOOKUP(B93,C85:E104,3,0),B93))</f>
        <v>9</v>
      </c>
      <c r="W93" s="4" t="str">
        <f ca="1">IF($K$24=0,Calc2!$C$12,VLOOKUP(B93,C85:N104,4,0))</f>
        <v>TSG Hoffenheim</v>
      </c>
      <c r="X93" s="1">
        <f ca="1">INDEX(V58:V77,MATCH(W93,W58:W77,0))</f>
        <v>6</v>
      </c>
      <c r="Y93" s="1">
        <f t="shared" ca="1" si="19"/>
        <v>-1</v>
      </c>
    </row>
    <row r="94" spans="2:25" s="2" customFormat="1" x14ac:dyDescent="0.2">
      <c r="B94" s="1">
        <v>10</v>
      </c>
      <c r="C94" s="9">
        <f ca="1">RANK(D94,D85:D104,1)</f>
        <v>1</v>
      </c>
      <c r="D94" s="134">
        <f t="shared" ca="1" si="17"/>
        <v>1.0940000000000001</v>
      </c>
      <c r="E94" s="134">
        <f ca="1">RANK(T94,T85:T104,1)</f>
        <v>1</v>
      </c>
      <c r="F94" s="187" t="str">
        <f>Calc2!$C$13</f>
        <v>FC Bayern München</v>
      </c>
      <c r="G94" s="1">
        <f ca="1">SUMIFS(OFFSET(Calc2!$H$4,,,$F$26*B83,1),OFFSET(Calc2!$F$4,,,$F$26*B83,1),F94)+SUMIFS(OFFSET(Calc2!$I$4,,,$F$26*B83,1),OFFSET(Calc2!$G$4,,,$F$26*B83,1),F94)</f>
        <v>18</v>
      </c>
      <c r="H94" s="1">
        <f ca="1">SUMIFS(OFFSET(Calc2!$I$4,,,$F$26*B83,1),OFFSET(Calc2!$F$4,,,$F$26*B83,1),F94)+SUMIFS(OFFSET(Calc2!$H$4,,,$F$26*B83,1),OFFSET(Calc2!$G$4,,,$F$26*B83,1),F94)</f>
        <v>3</v>
      </c>
      <c r="I94" s="134">
        <f t="shared" ca="1" si="15"/>
        <v>15</v>
      </c>
      <c r="J94" s="12">
        <f ca="1">L94*Settings!$C$3+M94+O94</f>
        <v>12</v>
      </c>
      <c r="K94" s="1">
        <f t="shared" ca="1" si="18"/>
        <v>4</v>
      </c>
      <c r="L94" s="1">
        <f t="array" aca="1" ref="L94" ca="1">SUMPRODUCT((OFFSET(Calc2!$F$4,,,$F$26*B83,1)=F94)*(OFFSET(Calc2!$H$4,,,$F$26*B83,1)&gt;OFFSET(Calc2!$I$4,,,$F$26*B83,1)))+SUMPRODUCT((OFFSET(Calc2!$G$4,,,$F$26*B83,1)=F94)*(OFFSET(Calc2!$H$4,,,$F$26*B83,1)&lt;OFFSET(Calc2!$I$4,,,$F$26*B83,1)))</f>
        <v>4</v>
      </c>
      <c r="M94" s="1">
        <f t="array" aca="1" ref="M94" ca="1">SUMPRODUCT((OFFSET(Calc2!$F$4,,,$F$26*B83,2)=F94)*(OFFSET(Calc2!$H$4,,,$F$26*B83,1)=OFFSET(Calc2!$I$4,,,$F$26*B83,1))*(OFFSET(Calc2!$H$4,,,$F$26*B83,1)&lt;&gt;"")*(OFFSET(Calc2!$I$4,,,$F$26*B83,1)&lt;&gt;""))</f>
        <v>0</v>
      </c>
      <c r="N94" s="1">
        <f t="array" aca="1" ref="N94" ca="1">SUMPRODUCT((OFFSET(Calc2!$F$4,,,$F$26*B83,1)=F94)*(OFFSET(Calc2!$H$4,,,$F$26*B83,1)&lt;OFFSET(Calc2!$I$4,,,$F$26*B83,1)))+SUMPRODUCT((OFFSET(Calc2!$G$4,,,$F$26*B83,1)=F94)*(OFFSET(Calc2!$H$4,,,$F$26*B83,1)&gt;OFFSET(Calc2!$I$4,,,$F$26*B83,1)))</f>
        <v>0</v>
      </c>
      <c r="O94" s="132">
        <f ca="1">SUMPRODUCT((F94=OFFSET(Calc2!$F$4,,,$F$26*B83,1))*OFFSET(Calc2!$O$4,,,$F$26*B83,1))+SUMPRODUCT((F94=OFFSET(Calc2!$G$4,,,$F$26*B83,1))*OFFSET(Calc2!$P$4,,,$F$26*B83,1))</f>
        <v>0</v>
      </c>
      <c r="R94" s="13">
        <f t="shared" ca="1" si="16"/>
        <v>12500015018</v>
      </c>
      <c r="S94" s="134">
        <f>Tie_Break!$D$16</f>
        <v>0</v>
      </c>
      <c r="T94" s="9">
        <f ca="1">RANK(R94,R85:R104)+(9-S94)/10000+(F94="")*1000</f>
        <v>1.0008999999999999</v>
      </c>
      <c r="V94" s="134">
        <f ca="1">IF($K$24=0,"",IF(VLOOKUP(B94,C85:E104,3,0)=MAX(V$4:V93),VLOOKUP(B94,C85:E104,3,0),B94))</f>
        <v>10</v>
      </c>
      <c r="W94" s="4" t="str">
        <f ca="1">IF($K$24=0,Calc2!$C$13,VLOOKUP(B94,C85:N104,4,0))</f>
        <v>1. FC Union Berlin</v>
      </c>
      <c r="X94" s="1">
        <f ca="1">INDEX(V58:V77,MATCH(W94,W58:W77,0))</f>
        <v>14</v>
      </c>
      <c r="Y94" s="1">
        <f t="shared" ca="1" si="19"/>
        <v>1</v>
      </c>
    </row>
    <row r="95" spans="2:25" s="2" customFormat="1" x14ac:dyDescent="0.2">
      <c r="B95" s="1">
        <v>11</v>
      </c>
      <c r="C95" s="9">
        <f ca="1">RANK(D95,D85:D104,1)</f>
        <v>5</v>
      </c>
      <c r="D95" s="134">
        <f t="shared" ca="1" si="17"/>
        <v>5.0949999999999998</v>
      </c>
      <c r="E95" s="134">
        <f ca="1">RANK(T95,T85:T104,1)</f>
        <v>5</v>
      </c>
      <c r="F95" s="187" t="str">
        <f>Calc2!$C$14</f>
        <v>FC St. Pauli</v>
      </c>
      <c r="G95" s="1">
        <f ca="1">SUMIFS(OFFSET(Calc2!$H$4,,,$F$26*B83,1),OFFSET(Calc2!$F$4,,,$F$26*B83,1),F95)+SUMIFS(OFFSET(Calc2!$I$4,,,$F$26*B83,1),OFFSET(Calc2!$G$4,,,$F$26*B83,1),F95)</f>
        <v>7</v>
      </c>
      <c r="H95" s="1">
        <f ca="1">SUMIFS(OFFSET(Calc2!$I$4,,,$F$26*B83,1),OFFSET(Calc2!$F$4,,,$F$26*B83,1),F95)+SUMIFS(OFFSET(Calc2!$H$4,,,$F$26*B83,1),OFFSET(Calc2!$G$4,,,$F$26*B83,1),F95)</f>
        <v>6</v>
      </c>
      <c r="I95" s="134">
        <f t="shared" ca="1" si="15"/>
        <v>1</v>
      </c>
      <c r="J95" s="12">
        <f ca="1">L95*Settings!$C$3+M95+O95</f>
        <v>7</v>
      </c>
      <c r="K95" s="1">
        <f t="shared" ca="1" si="18"/>
        <v>4</v>
      </c>
      <c r="L95" s="1">
        <f t="array" aca="1" ref="L95" ca="1">SUMPRODUCT((OFFSET(Calc2!$F$4,,,$F$26*B83,1)=F95)*(OFFSET(Calc2!$H$4,,,$F$26*B83,1)&gt;OFFSET(Calc2!$I$4,,,$F$26*B83,1)))+SUMPRODUCT((OFFSET(Calc2!$G$4,,,$F$26*B83,1)=F95)*(OFFSET(Calc2!$H$4,,,$F$26*B83,1)&lt;OFFSET(Calc2!$I$4,,,$F$26*B83,1)))</f>
        <v>2</v>
      </c>
      <c r="M95" s="1">
        <f t="array" aca="1" ref="M95" ca="1">SUMPRODUCT((OFFSET(Calc2!$F$4,,,$F$26*B83,2)=F95)*(OFFSET(Calc2!$H$4,,,$F$26*B83,1)=OFFSET(Calc2!$I$4,,,$F$26*B83,1))*(OFFSET(Calc2!$H$4,,,$F$26*B83,1)&lt;&gt;"")*(OFFSET(Calc2!$I$4,,,$F$26*B83,1)&lt;&gt;""))</f>
        <v>1</v>
      </c>
      <c r="N95" s="1">
        <f t="array" aca="1" ref="N95" ca="1">SUMPRODUCT((OFFSET(Calc2!$F$4,,,$F$26*B83,1)=F95)*(OFFSET(Calc2!$H$4,,,$F$26*B83,1)&lt;OFFSET(Calc2!$I$4,,,$F$26*B83,1)))+SUMPRODUCT((OFFSET(Calc2!$G$4,,,$F$26*B83,1)=F95)*(OFFSET(Calc2!$H$4,,,$F$26*B83,1)&gt;OFFSET(Calc2!$I$4,,,$F$26*B83,1)))</f>
        <v>1</v>
      </c>
      <c r="O95" s="132">
        <f ca="1">SUMPRODUCT((F95=OFFSET(Calc2!$F$4,,,$F$26*B83,1))*OFFSET(Calc2!$O$4,,,$F$26*B83,1))+SUMPRODUCT((F95=OFFSET(Calc2!$G$4,,,$F$26*B83,1))*OFFSET(Calc2!$P$4,,,$F$26*B83,1))</f>
        <v>0</v>
      </c>
      <c r="R95" s="13">
        <f t="shared" ca="1" si="16"/>
        <v>7500001007</v>
      </c>
      <c r="S95" s="134">
        <f>Tie_Break!$D$17</f>
        <v>0</v>
      </c>
      <c r="T95" s="9">
        <f ca="1">RANK(R95,R85:R104)+(9-S95)/10000+(F95="")*1000</f>
        <v>5.0008999999999997</v>
      </c>
      <c r="V95" s="134">
        <f ca="1">IF($K$24=0,"",IF(VLOOKUP(B95,C85:E104,3,0)=MAX(V$4:V94),VLOOKUP(B95,C85:E104,3,0),B95))</f>
        <v>11</v>
      </c>
      <c r="W95" s="4" t="str">
        <f ca="1">IF($K$24=0,Calc2!$C$14,VLOOKUP(B95,C85:N104,4,0))</f>
        <v>Bayer 04 Leverkusen</v>
      </c>
      <c r="X95" s="1">
        <f ca="1">INDEX(V58:V77,MATCH(W95,W58:W77,0))</f>
        <v>10</v>
      </c>
      <c r="Y95" s="1">
        <f t="shared" ca="1" si="19"/>
        <v>-1</v>
      </c>
    </row>
    <row r="96" spans="2:25" s="2" customFormat="1" x14ac:dyDescent="0.2">
      <c r="B96" s="1">
        <v>12</v>
      </c>
      <c r="C96" s="9">
        <f ca="1">RANK(D96,D85:D104,1)</f>
        <v>15</v>
      </c>
      <c r="D96" s="134">
        <f t="shared" ca="1" si="17"/>
        <v>15.096</v>
      </c>
      <c r="E96" s="134">
        <f ca="1">RANK(T96,T85:T104,1)</f>
        <v>15</v>
      </c>
      <c r="F96" s="187" t="str">
        <f>Calc2!$C$15</f>
        <v>Hamburger SV</v>
      </c>
      <c r="G96" s="1">
        <f ca="1">SUMIFS(OFFSET(Calc2!$H$4,,,$F$26*B83,1),OFFSET(Calc2!$F$4,,,$F$26*B83,1),F96)+SUMIFS(OFFSET(Calc2!$I$4,,,$F$26*B83,1),OFFSET(Calc2!$G$4,,,$F$26*B83,1),F96)</f>
        <v>2</v>
      </c>
      <c r="H96" s="1">
        <f ca="1">SUMIFS(OFFSET(Calc2!$I$4,,,$F$26*B83,1),OFFSET(Calc2!$F$4,,,$F$26*B83,1),F96)+SUMIFS(OFFSET(Calc2!$H$4,,,$F$26*B83,1),OFFSET(Calc2!$G$4,,,$F$26*B83,1),F96)</f>
        <v>8</v>
      </c>
      <c r="I96" s="134">
        <f t="shared" ca="1" si="15"/>
        <v>-6</v>
      </c>
      <c r="J96" s="12">
        <f ca="1">L96*Settings!$C$3+M96+O96</f>
        <v>4</v>
      </c>
      <c r="K96" s="1">
        <f t="shared" ca="1" si="18"/>
        <v>4</v>
      </c>
      <c r="L96" s="1">
        <f t="array" aca="1" ref="L96" ca="1">SUMPRODUCT((OFFSET(Calc2!$F$4,,,$F$26*B83,1)=F96)*(OFFSET(Calc2!$H$4,,,$F$26*B83,1)&gt;OFFSET(Calc2!$I$4,,,$F$26*B83,1)))+SUMPRODUCT((OFFSET(Calc2!$G$4,,,$F$26*B83,1)=F96)*(OFFSET(Calc2!$H$4,,,$F$26*B83,1)&lt;OFFSET(Calc2!$I$4,,,$F$26*B83,1)))</f>
        <v>1</v>
      </c>
      <c r="M96" s="1">
        <f t="array" aca="1" ref="M96" ca="1">SUMPRODUCT((OFFSET(Calc2!$F$4,,,$F$26*B83,2)=F96)*(OFFSET(Calc2!$H$4,,,$F$26*B83,1)=OFFSET(Calc2!$I$4,,,$F$26*B83,1))*(OFFSET(Calc2!$H$4,,,$F$26*B83,1)&lt;&gt;"")*(OFFSET(Calc2!$I$4,,,$F$26*B83,1)&lt;&gt;""))</f>
        <v>1</v>
      </c>
      <c r="N96" s="1">
        <f t="array" aca="1" ref="N96" ca="1">SUMPRODUCT((OFFSET(Calc2!$F$4,,,$F$26*B83,1)=F96)*(OFFSET(Calc2!$H$4,,,$F$26*B83,1)&lt;OFFSET(Calc2!$I$4,,,$F$26*B83,1)))+SUMPRODUCT((OFFSET(Calc2!$G$4,,,$F$26*B83,1)=F96)*(OFFSET(Calc2!$H$4,,,$F$26*B83,1)&gt;OFFSET(Calc2!$I$4,,,$F$26*B83,1)))</f>
        <v>2</v>
      </c>
      <c r="O96" s="132">
        <f ca="1">SUMPRODUCT((F96=OFFSET(Calc2!$F$4,,,$F$26*B83,1))*OFFSET(Calc2!$O$4,,,$F$26*B83,1))+SUMPRODUCT((F96=OFFSET(Calc2!$G$4,,,$F$26*B83,1))*OFFSET(Calc2!$P$4,,,$F$26*B83,1))</f>
        <v>0</v>
      </c>
      <c r="R96" s="13">
        <f t="shared" ca="1" si="16"/>
        <v>4499994002</v>
      </c>
      <c r="S96" s="134">
        <f>Tie_Break!$D$18</f>
        <v>0</v>
      </c>
      <c r="T96" s="9">
        <f ca="1">RANK(R96,R85:R104)+(9-S96)/10000+(F96="")*1000</f>
        <v>15.0009</v>
      </c>
      <c r="V96" s="134">
        <f ca="1">IF($K$24=0,"",IF(VLOOKUP(B96,C85:E104,3,0)=MAX(V$4:V95),VLOOKUP(B96,C85:E104,3,0),B96))</f>
        <v>12</v>
      </c>
      <c r="W96" s="4" t="str">
        <f ca="1">IF($K$24=0,Calc2!$C$15,VLOOKUP(B96,C85:N104,4,0))</f>
        <v>VfL Wolfsburg</v>
      </c>
      <c r="X96" s="1">
        <f ca="1">INDEX(V58:V77,MATCH(W96,W58:W77,0))</f>
        <v>8</v>
      </c>
      <c r="Y96" s="1">
        <f t="shared" ca="1" si="19"/>
        <v>-1</v>
      </c>
    </row>
    <row r="97" spans="2:25" s="2" customFormat="1" x14ac:dyDescent="0.2">
      <c r="B97" s="1">
        <v>13</v>
      </c>
      <c r="C97" s="9">
        <f ca="1">RANK(D97,D85:D104,1)</f>
        <v>3</v>
      </c>
      <c r="D97" s="134">
        <f t="shared" ca="1" si="17"/>
        <v>3.097</v>
      </c>
      <c r="E97" s="134">
        <f ca="1">RANK(T97,T85:T104,1)</f>
        <v>3</v>
      </c>
      <c r="F97" s="187" t="str">
        <f>Calc2!$C$16</f>
        <v>RB Leipzig</v>
      </c>
      <c r="G97" s="1">
        <f ca="1">SUMIFS(OFFSET(Calc2!$H$4,,,$F$26*B83,1),OFFSET(Calc2!$F$4,,,$F$26*B83,1),F97)+SUMIFS(OFFSET(Calc2!$I$4,,,$F$26*B83,1),OFFSET(Calc2!$G$4,,,$F$26*B83,1),F97)</f>
        <v>6</v>
      </c>
      <c r="H97" s="1">
        <f ca="1">SUMIFS(OFFSET(Calc2!$I$4,,,$F$26*B83,1),OFFSET(Calc2!$F$4,,,$F$26*B83,1),F97)+SUMIFS(OFFSET(Calc2!$H$4,,,$F$26*B83,1),OFFSET(Calc2!$G$4,,,$F$26*B83,1),F97)</f>
        <v>7</v>
      </c>
      <c r="I97" s="134">
        <f t="shared" ca="1" si="15"/>
        <v>-1</v>
      </c>
      <c r="J97" s="12">
        <f ca="1">L97*Settings!$C$3+M97+O97</f>
        <v>9</v>
      </c>
      <c r="K97" s="1">
        <f t="shared" ca="1" si="18"/>
        <v>4</v>
      </c>
      <c r="L97" s="1">
        <f t="array" aca="1" ref="L97" ca="1">SUMPRODUCT((OFFSET(Calc2!$F$4,,,$F$26*B83,1)=F97)*(OFFSET(Calc2!$H$4,,,$F$26*B83,1)&gt;OFFSET(Calc2!$I$4,,,$F$26*B83,1)))+SUMPRODUCT((OFFSET(Calc2!$G$4,,,$F$26*B83,1)=F97)*(OFFSET(Calc2!$H$4,,,$F$26*B83,1)&lt;OFFSET(Calc2!$I$4,,,$F$26*B83,1)))</f>
        <v>3</v>
      </c>
      <c r="M97" s="1">
        <f t="array" aca="1" ref="M97" ca="1">SUMPRODUCT((OFFSET(Calc2!$F$4,,,$F$26*B83,2)=F97)*(OFFSET(Calc2!$H$4,,,$F$26*B83,1)=OFFSET(Calc2!$I$4,,,$F$26*B83,1))*(OFFSET(Calc2!$H$4,,,$F$26*B83,1)&lt;&gt;"")*(OFFSET(Calc2!$I$4,,,$F$26*B83,1)&lt;&gt;""))</f>
        <v>0</v>
      </c>
      <c r="N97" s="1">
        <f t="array" aca="1" ref="N97" ca="1">SUMPRODUCT((OFFSET(Calc2!$F$4,,,$F$26*B83,1)=F97)*(OFFSET(Calc2!$H$4,,,$F$26*B83,1)&lt;OFFSET(Calc2!$I$4,,,$F$26*B83,1)))+SUMPRODUCT((OFFSET(Calc2!$G$4,,,$F$26*B83,1)=F97)*(OFFSET(Calc2!$H$4,,,$F$26*B83,1)&gt;OFFSET(Calc2!$I$4,,,$F$26*B83,1)))</f>
        <v>1</v>
      </c>
      <c r="O97" s="132">
        <f ca="1">SUMPRODUCT((F97=OFFSET(Calc2!$F$4,,,$F$26*B83,1))*OFFSET(Calc2!$O$4,,,$F$26*B83,1))+SUMPRODUCT((F97=OFFSET(Calc2!$G$4,,,$F$26*B83,1))*OFFSET(Calc2!$P$4,,,$F$26*B83,1))</f>
        <v>0</v>
      </c>
      <c r="R97" s="13">
        <f t="shared" ca="1" si="16"/>
        <v>9499999006</v>
      </c>
      <c r="S97" s="134">
        <f>Tie_Break!$D$19</f>
        <v>0</v>
      </c>
      <c r="T97" s="9">
        <f ca="1">RANK(R97,R85:R104)+(9-S97)/10000+(F97="")*1000</f>
        <v>3.0009000000000001</v>
      </c>
      <c r="U97" s="1"/>
      <c r="V97" s="134">
        <f ca="1">IF($K$24=0,"",IF(VLOOKUP(B97,C85:E104,3,0)=MAX(V$4:V96),VLOOKUP(B97,C85:E104,3,0),B97))</f>
        <v>13</v>
      </c>
      <c r="W97" s="4" t="str">
        <f ca="1">IF($K$24=0,Calc2!$C$16,VLOOKUP(B97,C85:N104,4,0))</f>
        <v>1. FSV Mainz 05</v>
      </c>
      <c r="X97" s="1">
        <f ca="1">INDEX(V58:V77,MATCH(W97,W58:W77,0))</f>
        <v>15</v>
      </c>
      <c r="Y97" s="1">
        <f t="shared" ca="1" si="19"/>
        <v>1</v>
      </c>
    </row>
    <row r="98" spans="2:25" s="2" customFormat="1" x14ac:dyDescent="0.2">
      <c r="B98" s="1">
        <v>14</v>
      </c>
      <c r="C98" s="9">
        <f ca="1">RANK(D98,D85:D104,1)</f>
        <v>7</v>
      </c>
      <c r="D98" s="134">
        <f t="shared" ca="1" si="17"/>
        <v>7.0979999999999999</v>
      </c>
      <c r="E98" s="134">
        <f ca="1">RANK(T98,T85:T104,1)</f>
        <v>7</v>
      </c>
      <c r="F98" s="187" t="str">
        <f>Calc2!$C$17</f>
        <v>SC Freiburg</v>
      </c>
      <c r="G98" s="1">
        <f ca="1">SUMIFS(OFFSET(Calc2!$H$4,,,$F$26*B83,1),OFFSET(Calc2!$F$4,,,$F$26*B83,1),F98)+SUMIFS(OFFSET(Calc2!$I$4,,,$F$26*B83,1),OFFSET(Calc2!$G$4,,,$F$26*B83,1),F98)</f>
        <v>8</v>
      </c>
      <c r="H98" s="1">
        <f ca="1">SUMIFS(OFFSET(Calc2!$I$4,,,$F$26*B83,1),OFFSET(Calc2!$F$4,,,$F$26*B83,1),F98)+SUMIFS(OFFSET(Calc2!$H$4,,,$F$26*B83,1),OFFSET(Calc2!$G$4,,,$F$26*B83,1),F98)</f>
        <v>8</v>
      </c>
      <c r="I98" s="134">
        <f t="shared" ca="1" si="15"/>
        <v>0</v>
      </c>
      <c r="J98" s="12">
        <f ca="1">L98*Settings!$C$3+M98+O98</f>
        <v>6</v>
      </c>
      <c r="K98" s="1">
        <f t="shared" ca="1" si="18"/>
        <v>4</v>
      </c>
      <c r="L98" s="1">
        <f t="array" aca="1" ref="L98" ca="1">SUMPRODUCT((OFFSET(Calc2!$F$4,,,$F$26*B83,1)=F98)*(OFFSET(Calc2!$H$4,,,$F$26*B83,1)&gt;OFFSET(Calc2!$I$4,,,$F$26*B83,1)))+SUMPRODUCT((OFFSET(Calc2!$G$4,,,$F$26*B83,1)=F98)*(OFFSET(Calc2!$H$4,,,$F$26*B83,1)&lt;OFFSET(Calc2!$I$4,,,$F$26*B83,1)))</f>
        <v>2</v>
      </c>
      <c r="M98" s="1">
        <f t="array" aca="1" ref="M98" ca="1">SUMPRODUCT((OFFSET(Calc2!$F$4,,,$F$26*B83,2)=F98)*(OFFSET(Calc2!$H$4,,,$F$26*B83,1)=OFFSET(Calc2!$I$4,,,$F$26*B83,1))*(OFFSET(Calc2!$H$4,,,$F$26*B83,1)&lt;&gt;"")*(OFFSET(Calc2!$I$4,,,$F$26*B83,1)&lt;&gt;""))</f>
        <v>0</v>
      </c>
      <c r="N98" s="1">
        <f t="array" aca="1" ref="N98" ca="1">SUMPRODUCT((OFFSET(Calc2!$F$4,,,$F$26*B83,1)=F98)*(OFFSET(Calc2!$H$4,,,$F$26*B83,1)&lt;OFFSET(Calc2!$I$4,,,$F$26*B83,1)))+SUMPRODUCT((OFFSET(Calc2!$G$4,,,$F$26*B83,1)=F98)*(OFFSET(Calc2!$H$4,,,$F$26*B83,1)&gt;OFFSET(Calc2!$I$4,,,$F$26*B83,1)))</f>
        <v>2</v>
      </c>
      <c r="O98" s="132">
        <f ca="1">SUMPRODUCT((F98=OFFSET(Calc2!$F$4,,,$F$26*B83,1))*OFFSET(Calc2!$O$4,,,$F$26*B83,1))+SUMPRODUCT((F98=OFFSET(Calc2!$G$4,,,$F$26*B83,1))*OFFSET(Calc2!$P$4,,,$F$26*B83,1))</f>
        <v>0</v>
      </c>
      <c r="R98" s="13">
        <f t="shared" ca="1" si="16"/>
        <v>6500000008</v>
      </c>
      <c r="S98" s="134">
        <f>Tie_Break!$D$20</f>
        <v>0</v>
      </c>
      <c r="T98" s="9">
        <f ca="1">RANK(R98,R85:R104)+(9-S98)/10000+(F98="")*1000</f>
        <v>7.0008999999999997</v>
      </c>
      <c r="V98" s="134">
        <f ca="1">IF($K$24=0,"",IF(VLOOKUP(B98,C85:E104,3,0)=MAX(V$4:V97),VLOOKUP(B98,C85:E104,3,0),B98))</f>
        <v>14</v>
      </c>
      <c r="W98" s="4" t="str">
        <f ca="1">IF($K$24=0,Calc2!$C$17,VLOOKUP(B98,C85:N104,4,0))</f>
        <v>SV Werder Bremen</v>
      </c>
      <c r="X98" s="1">
        <f ca="1">INDEX(V58:V77,MATCH(W98,W58:W77,0))</f>
        <v>9</v>
      </c>
      <c r="Y98" s="1">
        <f t="shared" ca="1" si="19"/>
        <v>-1</v>
      </c>
    </row>
    <row r="99" spans="2:25" s="2" customFormat="1" x14ac:dyDescent="0.2">
      <c r="B99" s="1">
        <v>15</v>
      </c>
      <c r="C99" s="9">
        <f ca="1">RANK(D99,D85:D104,1)</f>
        <v>14</v>
      </c>
      <c r="D99" s="134">
        <f t="shared" ca="1" si="17"/>
        <v>14.099</v>
      </c>
      <c r="E99" s="134">
        <f ca="1">RANK(T99,T85:T104,1)</f>
        <v>14</v>
      </c>
      <c r="F99" s="187" t="str">
        <f>Calc2!$C$18</f>
        <v>SV Werder Bremen</v>
      </c>
      <c r="G99" s="1">
        <f ca="1">SUMIFS(OFFSET(Calc2!$H$4,,,$F$26*B83,1),OFFSET(Calc2!$F$4,,,$F$26*B83,1),F99)+SUMIFS(OFFSET(Calc2!$I$4,,,$F$26*B83,1),OFFSET(Calc2!$G$4,,,$F$26*B83,1),F99)</f>
        <v>8</v>
      </c>
      <c r="H99" s="1">
        <f ca="1">SUMIFS(OFFSET(Calc2!$I$4,,,$F$26*B83,1),OFFSET(Calc2!$F$4,,,$F$26*B83,1),F99)+SUMIFS(OFFSET(Calc2!$H$4,,,$F$26*B83,1),OFFSET(Calc2!$G$4,,,$F$26*B83,1),F99)</f>
        <v>10</v>
      </c>
      <c r="I99" s="134">
        <f t="shared" ca="1" si="15"/>
        <v>-2</v>
      </c>
      <c r="J99" s="12">
        <f ca="1">L99*Settings!$C$3+M99+O99</f>
        <v>4</v>
      </c>
      <c r="K99" s="1">
        <f t="shared" ca="1" si="18"/>
        <v>4</v>
      </c>
      <c r="L99" s="1">
        <f t="array" aca="1" ref="L99" ca="1">SUMPRODUCT((OFFSET(Calc2!$F$4,,,$F$26*B83,1)=F99)*(OFFSET(Calc2!$H$4,,,$F$26*B83,1)&gt;OFFSET(Calc2!$I$4,,,$F$26*B83,1)))+SUMPRODUCT((OFFSET(Calc2!$G$4,,,$F$26*B83,1)=F99)*(OFFSET(Calc2!$H$4,,,$F$26*B83,1)&lt;OFFSET(Calc2!$I$4,,,$F$26*B83,1)))</f>
        <v>1</v>
      </c>
      <c r="M99" s="1">
        <f t="array" aca="1" ref="M99" ca="1">SUMPRODUCT((OFFSET(Calc2!$F$4,,,$F$26*B83,2)=F99)*(OFFSET(Calc2!$H$4,,,$F$26*B83,1)=OFFSET(Calc2!$I$4,,,$F$26*B83,1))*(OFFSET(Calc2!$H$4,,,$F$26*B83,1)&lt;&gt;"")*(OFFSET(Calc2!$I$4,,,$F$26*B83,1)&lt;&gt;""))</f>
        <v>1</v>
      </c>
      <c r="N99" s="1">
        <f t="array" aca="1" ref="N99" ca="1">SUMPRODUCT((OFFSET(Calc2!$F$4,,,$F$26*B83,1)=F99)*(OFFSET(Calc2!$H$4,,,$F$26*B83,1)&lt;OFFSET(Calc2!$I$4,,,$F$26*B83,1)))+SUMPRODUCT((OFFSET(Calc2!$G$4,,,$F$26*B83,1)=F99)*(OFFSET(Calc2!$H$4,,,$F$26*B83,1)&gt;OFFSET(Calc2!$I$4,,,$F$26*B83,1)))</f>
        <v>2</v>
      </c>
      <c r="O99" s="132">
        <f ca="1">SUMPRODUCT((F99=OFFSET(Calc2!$F$4,,,$F$26*B83,1))*OFFSET(Calc2!$O$4,,,$F$26*B83,1))+SUMPRODUCT((F99=OFFSET(Calc2!$G$4,,,$F$26*B83,1))*OFFSET(Calc2!$P$4,,,$F$26*B83,1))</f>
        <v>0</v>
      </c>
      <c r="R99" s="13">
        <f t="shared" ca="1" si="16"/>
        <v>4499998008</v>
      </c>
      <c r="S99" s="134">
        <f>Tie_Break!$D$21</f>
        <v>0</v>
      </c>
      <c r="T99" s="9">
        <f ca="1">RANK(R99,R85:R104)+(9-S99)/10000+(F99="")*1000</f>
        <v>14.0009</v>
      </c>
      <c r="V99" s="134">
        <f ca="1">IF($K$24=0,"",IF(VLOOKUP(B99,C85:E104,3,0)=MAX(V$4:V98),VLOOKUP(B99,C85:E104,3,0),B99))</f>
        <v>15</v>
      </c>
      <c r="W99" s="4" t="str">
        <f ca="1">IF($K$24=0,Calc2!$C$18,VLOOKUP(B99,C85:N104,4,0))</f>
        <v>Hamburger SV</v>
      </c>
      <c r="X99" s="1">
        <f ca="1">INDEX(V58:V77,MATCH(W99,W58:W77,0))</f>
        <v>17</v>
      </c>
      <c r="Y99" s="1">
        <f t="shared" ca="1" si="19"/>
        <v>1</v>
      </c>
    </row>
    <row r="100" spans="2:25" s="2" customFormat="1" x14ac:dyDescent="0.2">
      <c r="B100" s="1">
        <v>16</v>
      </c>
      <c r="C100" s="9">
        <f ca="1">RANK(D100,D85:D104,1)</f>
        <v>9</v>
      </c>
      <c r="D100" s="134">
        <f t="shared" ca="1" si="17"/>
        <v>9.1</v>
      </c>
      <c r="E100" s="134">
        <f ca="1">RANK(T100,T85:T104,1)</f>
        <v>9</v>
      </c>
      <c r="F100" s="187" t="str">
        <f>Calc2!$C$19</f>
        <v>TSG Hoffenheim</v>
      </c>
      <c r="G100" s="1">
        <f ca="1">SUMIFS(OFFSET(Calc2!$H$4,,,$F$26*B83,1),OFFSET(Calc2!$F$4,,,$F$26*B83,1),F100)+SUMIFS(OFFSET(Calc2!$I$4,,,$F$26*B83,1),OFFSET(Calc2!$G$4,,,$F$26*B83,1),F100)</f>
        <v>8</v>
      </c>
      <c r="H100" s="1">
        <f ca="1">SUMIFS(OFFSET(Calc2!$I$4,,,$F$26*B83,1),OFFSET(Calc2!$F$4,,,$F$26*B83,1),F100)+SUMIFS(OFFSET(Calc2!$H$4,,,$F$26*B83,1),OFFSET(Calc2!$G$4,,,$F$26*B83,1),F100)</f>
        <v>10</v>
      </c>
      <c r="I100" s="134">
        <f t="shared" ca="1" si="15"/>
        <v>-2</v>
      </c>
      <c r="J100" s="12">
        <f ca="1">L100*Settings!$C$3+M100+O100</f>
        <v>6</v>
      </c>
      <c r="K100" s="1">
        <f t="shared" ca="1" si="18"/>
        <v>4</v>
      </c>
      <c r="L100" s="1">
        <f t="array" aca="1" ref="L100" ca="1">SUMPRODUCT((OFFSET(Calc2!$F$4,,,$F$26*B83,1)=F100)*(OFFSET(Calc2!$H$4,,,$F$26*B83,1)&gt;OFFSET(Calc2!$I$4,,,$F$26*B83,1)))+SUMPRODUCT((OFFSET(Calc2!$G$4,,,$F$26*B83,1)=F100)*(OFFSET(Calc2!$H$4,,,$F$26*B83,1)&lt;OFFSET(Calc2!$I$4,,,$F$26*B83,1)))</f>
        <v>2</v>
      </c>
      <c r="M100" s="1">
        <f t="array" aca="1" ref="M100" ca="1">SUMPRODUCT((OFFSET(Calc2!$F$4,,,$F$26*B83,2)=F100)*(OFFSET(Calc2!$H$4,,,$F$26*B83,1)=OFFSET(Calc2!$I$4,,,$F$26*B83,1))*(OFFSET(Calc2!$H$4,,,$F$26*B83,1)&lt;&gt;"")*(OFFSET(Calc2!$I$4,,,$F$26*B83,1)&lt;&gt;""))</f>
        <v>0</v>
      </c>
      <c r="N100" s="1">
        <f t="array" aca="1" ref="N100" ca="1">SUMPRODUCT((OFFSET(Calc2!$F$4,,,$F$26*B83,1)=F100)*(OFFSET(Calc2!$H$4,,,$F$26*B83,1)&lt;OFFSET(Calc2!$I$4,,,$F$26*B83,1)))+SUMPRODUCT((OFFSET(Calc2!$G$4,,,$F$26*B83,1)=F100)*(OFFSET(Calc2!$H$4,,,$F$26*B83,1)&gt;OFFSET(Calc2!$I$4,,,$F$26*B83,1)))</f>
        <v>2</v>
      </c>
      <c r="O100" s="132">
        <f ca="1">SUMPRODUCT((F100=OFFSET(Calc2!$F$4,,,$F$26*B83,1))*OFFSET(Calc2!$O$4,,,$F$26*B83,1))+SUMPRODUCT((F100=OFFSET(Calc2!$G$4,,,$F$26*B83,1))*OFFSET(Calc2!$P$4,,,$F$26*B83,1))</f>
        <v>0</v>
      </c>
      <c r="R100" s="13">
        <f t="shared" ca="1" si="16"/>
        <v>6499998008</v>
      </c>
      <c r="S100" s="134">
        <f>Tie_Break!$D$22</f>
        <v>0</v>
      </c>
      <c r="T100" s="9">
        <f ca="1">RANK(R100,R85:R104)+(9-S100)/10000+(F100="")*1000</f>
        <v>9.0008999999999997</v>
      </c>
      <c r="V100" s="134">
        <f ca="1">IF($K$24=0,"",IF(VLOOKUP(B100,C85:E104,3,0)=MAX(V$4:V99),VLOOKUP(B100,C85:E104,3,0),B100))</f>
        <v>16</v>
      </c>
      <c r="W100" s="4" t="str">
        <f ca="1">IF($K$24=0,Calc2!$C$19,VLOOKUP(B100,C85:N104,4,0))</f>
        <v>FC Augsburg</v>
      </c>
      <c r="X100" s="1">
        <f ca="1">INDEX(V58:V77,MATCH(W100,W58:W77,0))</f>
        <v>11</v>
      </c>
      <c r="Y100" s="1">
        <f t="shared" ca="1" si="19"/>
        <v>-1</v>
      </c>
    </row>
    <row r="101" spans="2:25" s="2" customFormat="1" x14ac:dyDescent="0.2">
      <c r="B101" s="1">
        <v>17</v>
      </c>
      <c r="C101" s="9">
        <f ca="1">RANK(D101,D85:D104,1)</f>
        <v>8</v>
      </c>
      <c r="D101" s="134">
        <f t="shared" ca="1" si="17"/>
        <v>8.1010000000000009</v>
      </c>
      <c r="E101" s="134">
        <f ca="1">RANK(T101,T85:T104,1)</f>
        <v>8</v>
      </c>
      <c r="F101" s="187" t="str">
        <f>Calc2!$C$20</f>
        <v>VfB Stuttgart</v>
      </c>
      <c r="G101" s="1">
        <f ca="1">SUMIFS(OFFSET(Calc2!$H$4,,,$F$26*B83,1),OFFSET(Calc2!$F$4,,,$F$26*B83,1),F101)+SUMIFS(OFFSET(Calc2!$I$4,,,$F$26*B83,1),OFFSET(Calc2!$G$4,,,$F$26*B83,1),F101)</f>
        <v>5</v>
      </c>
      <c r="H101" s="1">
        <f ca="1">SUMIFS(OFFSET(Calc2!$I$4,,,$F$26*B83,1),OFFSET(Calc2!$F$4,,,$F$26*B83,1),F101)+SUMIFS(OFFSET(Calc2!$H$4,,,$F$26*B83,1),OFFSET(Calc2!$G$4,,,$F$26*B83,1),F101)</f>
        <v>5</v>
      </c>
      <c r="I101" s="134">
        <f t="shared" ca="1" si="15"/>
        <v>0</v>
      </c>
      <c r="J101" s="12">
        <f ca="1">L101*Settings!$C$3+M101+O101</f>
        <v>6</v>
      </c>
      <c r="K101" s="1">
        <f t="shared" ca="1" si="18"/>
        <v>4</v>
      </c>
      <c r="L101" s="1">
        <f t="array" aca="1" ref="L101" ca="1">SUMPRODUCT((OFFSET(Calc2!$F$4,,,$F$26*B83,1)=F101)*(OFFSET(Calc2!$H$4,,,$F$26*B83,1)&gt;OFFSET(Calc2!$I$4,,,$F$26*B83,1)))+SUMPRODUCT((OFFSET(Calc2!$G$4,,,$F$26*B83,1)=F101)*(OFFSET(Calc2!$H$4,,,$F$26*B83,1)&lt;OFFSET(Calc2!$I$4,,,$F$26*B83,1)))</f>
        <v>2</v>
      </c>
      <c r="M101" s="1">
        <f t="array" aca="1" ref="M101" ca="1">SUMPRODUCT((OFFSET(Calc2!$F$4,,,$F$26*B83,2)=F101)*(OFFSET(Calc2!$H$4,,,$F$26*B83,1)=OFFSET(Calc2!$I$4,,,$F$26*B83,1))*(OFFSET(Calc2!$H$4,,,$F$26*B83,1)&lt;&gt;"")*(OFFSET(Calc2!$I$4,,,$F$26*B83,1)&lt;&gt;""))</f>
        <v>0</v>
      </c>
      <c r="N101" s="1">
        <f t="array" aca="1" ref="N101" ca="1">SUMPRODUCT((OFFSET(Calc2!$F$4,,,$F$26*B83,1)=F101)*(OFFSET(Calc2!$H$4,,,$F$26*B83,1)&lt;OFFSET(Calc2!$I$4,,,$F$26*B83,1)))+SUMPRODUCT((OFFSET(Calc2!$G$4,,,$F$26*B83,1)=F101)*(OFFSET(Calc2!$H$4,,,$F$26*B83,1)&gt;OFFSET(Calc2!$I$4,,,$F$26*B83,1)))</f>
        <v>2</v>
      </c>
      <c r="O101" s="132">
        <f ca="1">SUMPRODUCT((F101=OFFSET(Calc2!$F$4,,,$F$26*B83,1))*OFFSET(Calc2!$O$4,,,$F$26*B83,1))+SUMPRODUCT((F101=OFFSET(Calc2!$G$4,,,$F$26*B83,1))*OFFSET(Calc2!$P$4,,,$F$26*B83,1))</f>
        <v>0</v>
      </c>
      <c r="R101" s="13">
        <f t="shared" ca="1" si="16"/>
        <v>6500000005</v>
      </c>
      <c r="S101" s="134">
        <f>Tie_Break!$D$23</f>
        <v>0</v>
      </c>
      <c r="T101" s="9">
        <f ca="1">RANK(R101,R85:R104)+(9-S101)/10000+(F101="")*1000</f>
        <v>8.0008999999999997</v>
      </c>
      <c r="V101" s="134">
        <f ca="1">IF($K$24=0,"",IF(VLOOKUP(B101,C85:E104,3,0)=MAX(V$4:V100),VLOOKUP(B101,C85:E104,3,0),B101))</f>
        <v>17</v>
      </c>
      <c r="W101" s="4" t="str">
        <f ca="1">IF($K$24=0,Calc2!$C$20,VLOOKUP(B101,C85:N104,4,0))</f>
        <v>Borussia Mönchengladbach</v>
      </c>
      <c r="X101" s="1">
        <f ca="1">INDEX(V58:V77,MATCH(W101,W58:W77,0))</f>
        <v>16</v>
      </c>
      <c r="Y101" s="1">
        <f t="shared" ca="1" si="19"/>
        <v>-1</v>
      </c>
    </row>
    <row r="102" spans="2:25" x14ac:dyDescent="0.2">
      <c r="B102" s="1">
        <v>18</v>
      </c>
      <c r="C102" s="9">
        <f ca="1">RANK(D102,D85:D104,1)</f>
        <v>12</v>
      </c>
      <c r="D102" s="134">
        <f t="shared" ca="1" si="17"/>
        <v>12.102</v>
      </c>
      <c r="E102" s="134">
        <f ca="1">RANK(T102,T85:T104,1)</f>
        <v>12</v>
      </c>
      <c r="F102" s="187" t="str">
        <f>Calc2!$C$21</f>
        <v>VfL Wolfsburg</v>
      </c>
      <c r="G102" s="1">
        <f ca="1">SUMIFS(OFFSET(Calc2!$H$4,,,$F$26*B83,1),OFFSET(Calc2!$F$4,,,$F$26*B83,1),F102)+SUMIFS(OFFSET(Calc2!$I$4,,,$F$26*B83,1),OFFSET(Calc2!$G$4,,,$F$26*B83,1),F102)</f>
        <v>7</v>
      </c>
      <c r="H102" s="1">
        <f ca="1">SUMIFS(OFFSET(Calc2!$I$4,,,$F$26*B83,1),OFFSET(Calc2!$F$4,,,$F$26*B83,1),F102)+SUMIFS(OFFSET(Calc2!$H$4,,,$F$26*B83,1),OFFSET(Calc2!$G$4,,,$F$26*B83,1),F102)</f>
        <v>6</v>
      </c>
      <c r="I102" s="134">
        <f t="shared" ca="1" si="15"/>
        <v>1</v>
      </c>
      <c r="J102" s="12">
        <f ca="1">L102*Settings!$C$3+M102+O102</f>
        <v>5</v>
      </c>
      <c r="K102" s="1">
        <f t="shared" ca="1" si="18"/>
        <v>4</v>
      </c>
      <c r="L102" s="1">
        <f t="array" aca="1" ref="L102" ca="1">SUMPRODUCT((OFFSET(Calc2!$F$4,,,$F$26*B83,1)=F102)*(OFFSET(Calc2!$H$4,,,$F$26*B83,1)&gt;OFFSET(Calc2!$I$4,,,$F$26*B83,1)))+SUMPRODUCT((OFFSET(Calc2!$G$4,,,$F$26*B83,1)=F102)*(OFFSET(Calc2!$H$4,,,$F$26*B83,1)&lt;OFFSET(Calc2!$I$4,,,$F$26*B83,1)))</f>
        <v>1</v>
      </c>
      <c r="M102" s="1">
        <f t="array" aca="1" ref="M102" ca="1">SUMPRODUCT((OFFSET(Calc2!$F$4,,,$F$26*B83,2)=F102)*(OFFSET(Calc2!$H$4,,,$F$26*B83,1)=OFFSET(Calc2!$I$4,,,$F$26*B83,1))*(OFFSET(Calc2!$H$4,,,$F$26*B83,1)&lt;&gt;"")*(OFFSET(Calc2!$I$4,,,$F$26*B83,1)&lt;&gt;""))</f>
        <v>2</v>
      </c>
      <c r="N102" s="1">
        <f t="array" aca="1" ref="N102" ca="1">SUMPRODUCT((OFFSET(Calc2!$F$4,,,$F$26*B83,1)=F102)*(OFFSET(Calc2!$H$4,,,$F$26*B83,1)&lt;OFFSET(Calc2!$I$4,,,$F$26*B83,1)))+SUMPRODUCT((OFFSET(Calc2!$G$4,,,$F$26*B83,1)=F102)*(OFFSET(Calc2!$H$4,,,$F$26*B83,1)&gt;OFFSET(Calc2!$I$4,,,$F$26*B83,1)))</f>
        <v>1</v>
      </c>
      <c r="O102" s="132">
        <f ca="1">SUMPRODUCT((F102=OFFSET(Calc2!$F$4,,,$F$26*B83,1))*OFFSET(Calc2!$O$4,,,$F$26*B83,1))+SUMPRODUCT((F102=OFFSET(Calc2!$G$4,,,$F$26*B83,1))*OFFSET(Calc2!$P$4,,,$F$26*B83,1))</f>
        <v>0</v>
      </c>
      <c r="P102" s="2"/>
      <c r="Q102" s="2"/>
      <c r="R102" s="13">
        <f t="shared" ca="1" si="16"/>
        <v>5500001007</v>
      </c>
      <c r="S102" s="134">
        <f>Tie_Break!$D$24</f>
        <v>0</v>
      </c>
      <c r="T102" s="9">
        <f ca="1">RANK(R102,R85:R104)+(9-S102)/10000+(F102="")*1000</f>
        <v>12.0009</v>
      </c>
      <c r="U102" s="2"/>
      <c r="V102" s="134">
        <f ca="1">IF($K$24=0,"",IF(VLOOKUP(B102,C85:E104,3,0)=MAX(V$4:V101),VLOOKUP(B102,C85:E104,3,0),B102))</f>
        <v>18</v>
      </c>
      <c r="W102" s="4" t="str">
        <f ca="1">IF($K$24=0,Calc2!$C$21,VLOOKUP(B102,C85:N104,4,0))</f>
        <v>1. FC Heidenheim 1846</v>
      </c>
      <c r="X102" s="1">
        <f ca="1">INDEX(V58:V77,MATCH(W102,W58:W77,0))</f>
        <v>18</v>
      </c>
      <c r="Y102" s="1">
        <f t="shared" ca="1" si="19"/>
        <v>0</v>
      </c>
    </row>
    <row r="103" spans="2:25" x14ac:dyDescent="0.2">
      <c r="B103" s="1">
        <v>19</v>
      </c>
      <c r="C103" s="9">
        <f ca="1">RANK(D103,D85:D104,1)</f>
        <v>19</v>
      </c>
      <c r="D103" s="134">
        <f t="shared" ca="1" si="17"/>
        <v>19.103000000000002</v>
      </c>
      <c r="E103" s="134">
        <f ca="1">RANK(T103,T85:T104,1)</f>
        <v>19</v>
      </c>
      <c r="F103" s="187" t="str">
        <f>Calc2!$C$22</f>
        <v/>
      </c>
      <c r="G103" s="1">
        <f ca="1">SUMIFS(OFFSET(Calc2!$H$4,,,$F$26*B83,1),OFFSET(Calc2!$F$4,,,$F$26*B83,1),F103)+SUMIFS(OFFSET(Calc2!$I$4,,,$F$26*B83,1),OFFSET(Calc2!$G$4,,,$F$26*B83,1),F103)</f>
        <v>0</v>
      </c>
      <c r="H103" s="1">
        <f ca="1">SUMIFS(OFFSET(Calc2!$I$4,,,$F$26*B83,1),OFFSET(Calc2!$F$4,,,$F$26*B83,1),F103)+SUMIFS(OFFSET(Calc2!$H$4,,,$F$26*B83,1),OFFSET(Calc2!$G$4,,,$F$26*B83,1),F103)</f>
        <v>0</v>
      </c>
      <c r="I103" s="134">
        <f t="shared" ca="1" si="15"/>
        <v>0</v>
      </c>
      <c r="J103" s="12">
        <f ca="1">L103*Settings!$C$3+M103+O103</f>
        <v>0</v>
      </c>
      <c r="K103" s="1">
        <f t="shared" ca="1" si="18"/>
        <v>0</v>
      </c>
      <c r="L103" s="1">
        <f t="array" aca="1" ref="L103" ca="1">SUMPRODUCT((OFFSET(Calc2!$F$4,,,$F$26*B83,1)=F103)*(OFFSET(Calc2!$H$4,,,$F$26*B83,1)&gt;OFFSET(Calc2!$I$4,,,$F$26*B83,1)))+SUMPRODUCT((OFFSET(Calc2!$G$4,,,$F$26*B83,1)=F103)*(OFFSET(Calc2!$H$4,,,$F$26*B83,1)&lt;OFFSET(Calc2!$I$4,,,$F$26*B83,1)))</f>
        <v>0</v>
      </c>
      <c r="M103" s="1">
        <f t="array" aca="1" ref="M103" ca="1">SUMPRODUCT((OFFSET(Calc2!$F$4,,,$F$26*B83,2)=F103)*(OFFSET(Calc2!$H$4,,,$F$26*B83,1)=OFFSET(Calc2!$I$4,,,$F$26*B83,1))*(OFFSET(Calc2!$H$4,,,$F$26*B83,1)&lt;&gt;"")*(OFFSET(Calc2!$I$4,,,$F$26*B83,1)&lt;&gt;""))</f>
        <v>0</v>
      </c>
      <c r="N103" s="1">
        <f t="array" aca="1" ref="N103" ca="1">SUMPRODUCT((OFFSET(Calc2!$F$4,,,$F$26*B83,1)=F103)*(OFFSET(Calc2!$H$4,,,$F$26*B83,1)&lt;OFFSET(Calc2!$I$4,,,$F$26*B83,1)))+SUMPRODUCT((OFFSET(Calc2!$G$4,,,$F$26*B83,1)=F103)*(OFFSET(Calc2!$H$4,,,$F$26*B83,1)&gt;OFFSET(Calc2!$I$4,,,$F$26*B83,1)))</f>
        <v>0</v>
      </c>
      <c r="O103" s="132">
        <f ca="1">SUMPRODUCT((F103=OFFSET(Calc2!$F$4,,,$F$26*B83,1))*OFFSET(Calc2!$O$4,,,$F$26*B83,1))+SUMPRODUCT((F103=OFFSET(Calc2!$G$4,,,$F$26*B83,1))*OFFSET(Calc2!$P$4,,,$F$26*B83,1))</f>
        <v>0</v>
      </c>
      <c r="P103" s="2"/>
      <c r="Q103" s="2"/>
      <c r="R103" s="13">
        <f t="shared" ca="1" si="16"/>
        <v>500000000</v>
      </c>
      <c r="S103" s="134">
        <f>Tie_Break!$D$25</f>
        <v>0</v>
      </c>
      <c r="T103" s="9">
        <f ca="1">RANK(R103,R85:R104)+(9-S103)/10000+(F103="")*1000</f>
        <v>1018.0009</v>
      </c>
      <c r="U103" s="2"/>
      <c r="V103" s="134">
        <f ca="1">IF($K$24=0,"",IF(VLOOKUP(B103,C85:E104,3,0)=MAX(V$4:V102),VLOOKUP(B103,C85:E104,3,0),B103))</f>
        <v>19</v>
      </c>
      <c r="W103" s="4" t="str">
        <f ca="1">IF($K$24=0,Calc2!$C$22,VLOOKUP(B103,C85:N104,4,0))</f>
        <v/>
      </c>
      <c r="X103" s="1">
        <f ca="1">INDEX(V58:V77,MATCH(W103,W58:W77,0))</f>
        <v>19</v>
      </c>
      <c r="Y103" s="1">
        <f t="shared" ca="1" si="19"/>
        <v>0</v>
      </c>
    </row>
    <row r="104" spans="2:25" ht="12.75" thickBot="1" x14ac:dyDescent="0.25">
      <c r="B104" s="1">
        <v>20</v>
      </c>
      <c r="C104" s="10">
        <f ca="1">RANK(D104,D85:D104,1)</f>
        <v>20</v>
      </c>
      <c r="D104" s="134">
        <f t="shared" ca="1" si="17"/>
        <v>19.103999999999999</v>
      </c>
      <c r="E104" s="134">
        <f ca="1">RANK(T104,T85:T104,1)</f>
        <v>19</v>
      </c>
      <c r="F104" s="187" t="str">
        <f>Calc2!$C$23</f>
        <v/>
      </c>
      <c r="G104" s="1">
        <f ca="1">SUMIFS(OFFSET(Calc2!$H$4,,,$F$26*B83,1),OFFSET(Calc2!$F$4,,,$F$26*B83,1),F104)+SUMIFS(OFFSET(Calc2!$I$4,,,$F$26*B83,1),OFFSET(Calc2!$G$4,,,$F$26*B83,1),F104)</f>
        <v>0</v>
      </c>
      <c r="H104" s="1">
        <f ca="1">SUMIFS(OFFSET(Calc2!$I$4,,,$F$26*B83,1),OFFSET(Calc2!$F$4,,,$F$26*B83,1),F104)+SUMIFS(OFFSET(Calc2!$H$4,,,$F$26*B83,1),OFFSET(Calc2!$G$4,,,$F$26*B83,1),F104)</f>
        <v>0</v>
      </c>
      <c r="I104" s="134">
        <f t="shared" ca="1" si="15"/>
        <v>0</v>
      </c>
      <c r="J104" s="12">
        <f ca="1">L104*Settings!$C$3+M104+O104</f>
        <v>0</v>
      </c>
      <c r="K104" s="1">
        <f t="shared" ca="1" si="18"/>
        <v>0</v>
      </c>
      <c r="L104" s="1">
        <f t="array" aca="1" ref="L104" ca="1">SUMPRODUCT((OFFSET(Calc2!$F$4,,,$F$26*B83,1)=F104)*(OFFSET(Calc2!$H$4,,,$F$26*B83,1)&gt;OFFSET(Calc2!$I$4,,,$F$26*B83,1)))+SUMPRODUCT((OFFSET(Calc2!$G$4,,,$F$26*B83,1)=F104)*(OFFSET(Calc2!$H$4,,,$F$26*B83,1)&lt;OFFSET(Calc2!$I$4,,,$F$26*B83,1)))</f>
        <v>0</v>
      </c>
      <c r="M104" s="1">
        <f t="array" aca="1" ref="M104" ca="1">SUMPRODUCT((OFFSET(Calc2!$F$4,,,$F$26*B83,2)=F104)*(OFFSET(Calc2!$H$4,,,$F$26*B83,1)=OFFSET(Calc2!$I$4,,,$F$26*B83,1))*(OFFSET(Calc2!$H$4,,,$F$26*B83,1)&lt;&gt;"")*(OFFSET(Calc2!$I$4,,,$F$26*B83,1)&lt;&gt;""))</f>
        <v>0</v>
      </c>
      <c r="N104" s="1">
        <f t="array" aca="1" ref="N104" ca="1">SUMPRODUCT((OFFSET(Calc2!$F$4,,,$F$26*B83,1)=F104)*(OFFSET(Calc2!$H$4,,,$F$26*B83,1)&lt;OFFSET(Calc2!$I$4,,,$F$26*B83,1)))+SUMPRODUCT((OFFSET(Calc2!$G$4,,,$F$26*B83,1)=F104)*(OFFSET(Calc2!$H$4,,,$F$26*B83,1)&gt;OFFSET(Calc2!$I$4,,,$F$26*B83,1)))</f>
        <v>0</v>
      </c>
      <c r="O104" s="132">
        <f ca="1">SUMPRODUCT((F104=OFFSET(Calc2!$F$4,,,$F$26*B83,1))*OFFSET(Calc2!$O$4,,,$F$26*B83,1))+SUMPRODUCT((F104=OFFSET(Calc2!$G$4,,,$F$26*B83,1))*OFFSET(Calc2!$P$4,,,$F$26*B83,1))</f>
        <v>0</v>
      </c>
      <c r="P104" s="2"/>
      <c r="Q104" s="2"/>
      <c r="R104" s="13">
        <f t="shared" ca="1" si="16"/>
        <v>500000000</v>
      </c>
      <c r="S104" s="134">
        <f>Tie_Break!$D$26</f>
        <v>0</v>
      </c>
      <c r="T104" s="10">
        <f ca="1">RANK(R104,R85:R104)+(9-S104)/10000+(F104="")*1000</f>
        <v>1018.0009</v>
      </c>
      <c r="U104" s="2"/>
      <c r="V104" s="134">
        <f ca="1">IF($K$24=0,"",IF(VLOOKUP(B104,C85:E104,3,0)=MAX(V$4:V103),VLOOKUP(B104,C85:E104,3,0),B104))</f>
        <v>19</v>
      </c>
      <c r="W104" s="4" t="str">
        <f ca="1">IF($K$24=0,Calc2!$C$23,VLOOKUP(B104,C85:N104,4,0))</f>
        <v/>
      </c>
      <c r="X104" s="1">
        <f ca="1">INDEX(V58:V77,MATCH(W104,W58:W77,0))</f>
        <v>19</v>
      </c>
      <c r="Y104" s="1">
        <f t="shared" ca="1" si="19"/>
        <v>0</v>
      </c>
    </row>
    <row r="105" spans="2:25" ht="12.75" thickTop="1" x14ac:dyDescent="0.2"/>
    <row r="109" spans="2:25" ht="12.75" thickBot="1" x14ac:dyDescent="0.25"/>
    <row r="110" spans="2:25" ht="12.75" thickBot="1" x14ac:dyDescent="0.25">
      <c r="B110" s="410">
        <v>5</v>
      </c>
      <c r="C110" s="134"/>
      <c r="D110" s="134"/>
      <c r="E110" s="134"/>
      <c r="F110" s="187"/>
      <c r="G110" s="1"/>
      <c r="H110" s="1"/>
      <c r="I110" s="1"/>
      <c r="J110" s="1"/>
      <c r="K110" s="1"/>
      <c r="L110" s="1"/>
      <c r="M110" s="1"/>
      <c r="N110" s="134"/>
      <c r="O110" s="1"/>
      <c r="P110" s="1"/>
      <c r="Q110" s="1"/>
      <c r="R110" s="2"/>
      <c r="S110" s="2"/>
      <c r="T110" s="2"/>
      <c r="U110" s="2"/>
      <c r="V110" s="2"/>
      <c r="W110" s="2"/>
    </row>
    <row r="111" spans="2:25" ht="15.75" thickBot="1" x14ac:dyDescent="0.25">
      <c r="B111" s="1"/>
      <c r="C111" s="134"/>
      <c r="D111" s="134"/>
      <c r="E111" s="134"/>
      <c r="F111" s="11" t="s">
        <v>90</v>
      </c>
      <c r="G111" s="42" t="s">
        <v>95</v>
      </c>
      <c r="H111" s="42" t="s">
        <v>96</v>
      </c>
      <c r="I111" s="11" t="s">
        <v>97</v>
      </c>
      <c r="J111" s="11" t="s">
        <v>98</v>
      </c>
      <c r="K111" s="11" t="s">
        <v>91</v>
      </c>
      <c r="L111" s="12" t="s">
        <v>92</v>
      </c>
      <c r="M111" s="12" t="s">
        <v>93</v>
      </c>
      <c r="N111" s="12" t="s">
        <v>94</v>
      </c>
      <c r="O111" s="12" t="s">
        <v>534</v>
      </c>
      <c r="P111" s="2"/>
      <c r="Q111" s="11"/>
      <c r="R111" s="133" t="s">
        <v>99</v>
      </c>
      <c r="S111" s="6" t="s">
        <v>483</v>
      </c>
      <c r="T111" s="120" t="s">
        <v>146</v>
      </c>
      <c r="U111" s="134"/>
      <c r="V111" s="134"/>
      <c r="W111" s="132"/>
      <c r="X111" s="120" t="s">
        <v>575</v>
      </c>
      <c r="Y111" s="1"/>
    </row>
    <row r="112" spans="2:25" ht="12.75" thickTop="1" x14ac:dyDescent="0.2">
      <c r="B112" s="1">
        <v>1</v>
      </c>
      <c r="C112" s="8">
        <f ca="1">RANK(D112,D112:D131,1)</f>
        <v>17</v>
      </c>
      <c r="D112" s="134">
        <f ca="1">E112+ROW()/1000</f>
        <v>17.111999999999998</v>
      </c>
      <c r="E112" s="134">
        <f ca="1">RANK(T112,T112:T131,1)</f>
        <v>17</v>
      </c>
      <c r="F112" s="187" t="str">
        <f>Calc2!$C$4</f>
        <v>1. FC Heidenheim 1846</v>
      </c>
      <c r="G112" s="1">
        <f ca="1">SUMIFS(OFFSET(Calc2!$H$4,,,$F$26*B110,1),OFFSET(Calc2!$F$4,,,$F$26*B110,1),F112)+SUMIFS(OFFSET(Calc2!$I$4,,,$F$26*B110,1),OFFSET(Calc2!$G$4,,,$F$26*B110,1),F112)</f>
        <v>4</v>
      </c>
      <c r="H112" s="1">
        <f ca="1">SUMIFS(OFFSET(Calc2!$I$4,,,$F$26*B110,1),OFFSET(Calc2!$F$4,,,$F$26*B110,1),F112)+SUMIFS(OFFSET(Calc2!$H$4,,,$F$26*B110,1),OFFSET(Calc2!$G$4,,,$F$26*B110,1),F112)</f>
        <v>10</v>
      </c>
      <c r="I112" s="134">
        <f t="shared" ref="I112:I131" ca="1" si="20">G112-H112</f>
        <v>-6</v>
      </c>
      <c r="J112" s="12">
        <f ca="1">L112*Settings!$C$3+M112+O112</f>
        <v>3</v>
      </c>
      <c r="K112" s="1">
        <f ca="1">L112+M112+N112</f>
        <v>5</v>
      </c>
      <c r="L112" s="1">
        <f t="array" aca="1" ref="L112" ca="1">SUMPRODUCT((OFFSET(Calc2!$F$4,,,$F$26*B110,1)=F112)*(OFFSET(Calc2!$H$4,,,$F$26*B110,1)&gt;OFFSET(Calc2!$I$4,,,$F$26*B110,1)))+SUMPRODUCT((OFFSET(Calc2!$G$4,,,$F$26*B110,1)=F112)*(OFFSET(Calc2!$H$4,,,$F$26*B110,1)&lt;OFFSET(Calc2!$I$4,,,$F$26*B110,1)))</f>
        <v>1</v>
      </c>
      <c r="M112" s="1">
        <f t="array" aca="1" ref="M112" ca="1">SUMPRODUCT((OFFSET(Calc2!$F$4,,,$F$26*B110,2)=F112)*(OFFSET(Calc2!$H$4,,,$F$26*B110,1)=OFFSET(Calc2!$I$4,,,$F$26*B110,1))*(OFFSET(Calc2!$H$4,,,$F$26*B110,1)&lt;&gt;"")*(OFFSET(Calc2!$I$4,,,$F$26*B110,1)&lt;&gt;""))</f>
        <v>0</v>
      </c>
      <c r="N112" s="1">
        <f t="array" aca="1" ref="N112" ca="1">SUMPRODUCT((OFFSET(Calc2!$F$4,,,$F$26*B110,1)=F112)*(OFFSET(Calc2!$H$4,,,$F$26*B110,1)&lt;OFFSET(Calc2!$I$4,,,$F$26*B110,1)))+SUMPRODUCT((OFFSET(Calc2!$G$4,,,$F$26*B110,1)=F112)*(OFFSET(Calc2!$H$4,,,$F$26*B110,1)&gt;OFFSET(Calc2!$I$4,,,$F$26*B110,1)))</f>
        <v>4</v>
      </c>
      <c r="O112" s="132">
        <f ca="1">SUMPRODUCT((F112=OFFSET(Calc2!$F$4,,,$F$26*B110,1))*OFFSET(Calc2!$O$4,,,$F$26*B110,1))+SUMPRODUCT((F112=OFFSET(Calc2!$G$4,,,$F$26*B110,1))*OFFSET(Calc2!$P$4,,,$F$26*B110,1))</f>
        <v>0</v>
      </c>
      <c r="P112" s="2"/>
      <c r="Q112" s="2"/>
      <c r="R112" s="13">
        <f t="shared" ref="R112:R131" ca="1" si="21">J112*FactorPts+(I112+GDzero)*FactorGD+G112*FactorGF</f>
        <v>3499994004</v>
      </c>
      <c r="S112" s="134">
        <f>Tie_Break!$D$7</f>
        <v>0</v>
      </c>
      <c r="T112" s="8">
        <f ca="1">RANK(R112,R112:R131)+(9-S112)/10000+(F112="")*1000</f>
        <v>17.000900000000001</v>
      </c>
      <c r="U112" s="134"/>
      <c r="V112" s="134">
        <f ca="1">IF($K$24=0,"",1)</f>
        <v>1</v>
      </c>
      <c r="W112" s="4" t="str">
        <f ca="1">IF($K$24=0,Calc2!$C$4,VLOOKUP(B112,C112:N131,4,0))</f>
        <v>FC Bayern München</v>
      </c>
      <c r="X112" s="1">
        <f ca="1">INDEX(V85:V104,MATCH(W112,W85:W104,0))</f>
        <v>1</v>
      </c>
      <c r="Y112" s="1">
        <f ca="1">IF(X112&gt;V112,1,IF(X112&lt;V112,-1,0))</f>
        <v>0</v>
      </c>
    </row>
    <row r="113" spans="2:25" x14ac:dyDescent="0.2">
      <c r="B113" s="1">
        <v>2</v>
      </c>
      <c r="C113" s="9">
        <f ca="1">RANK(D113,D112:D131,1)</f>
        <v>7</v>
      </c>
      <c r="D113" s="134">
        <f t="shared" ref="D113:D131" ca="1" si="22">E113+ROW()/1000</f>
        <v>7.1130000000000004</v>
      </c>
      <c r="E113" s="134">
        <f ca="1">RANK(T113,T112:T131,1)</f>
        <v>7</v>
      </c>
      <c r="F113" s="187" t="str">
        <f>Calc2!$C$5</f>
        <v>1. FC Köln</v>
      </c>
      <c r="G113" s="1">
        <f ca="1">SUMIFS(OFFSET(Calc2!$H$4,,,$F$26*B110,1),OFFSET(Calc2!$F$4,,,$F$26*B110,1),F113)+SUMIFS(OFFSET(Calc2!$I$4,,,$F$26*B110,1),OFFSET(Calc2!$G$4,,,$F$26*B110,1),F113)</f>
        <v>10</v>
      </c>
      <c r="H113" s="1">
        <f ca="1">SUMIFS(OFFSET(Calc2!$I$4,,,$F$26*B110,1),OFFSET(Calc2!$F$4,,,$F$26*B110,1),F113)+SUMIFS(OFFSET(Calc2!$H$4,,,$F$26*B110,1),OFFSET(Calc2!$G$4,,,$F$26*B110,1),F113)</f>
        <v>9</v>
      </c>
      <c r="I113" s="134">
        <f t="shared" ca="1" si="20"/>
        <v>1</v>
      </c>
      <c r="J113" s="12">
        <f ca="1">L113*Settings!$C$3+M113+O113</f>
        <v>7</v>
      </c>
      <c r="K113" s="1">
        <f t="shared" ref="K113:K131" ca="1" si="23">L113+M113+N113</f>
        <v>5</v>
      </c>
      <c r="L113" s="1">
        <f t="array" aca="1" ref="L113" ca="1">SUMPRODUCT((OFFSET(Calc2!$F$4,,,$F$26*B110,1)=F113)*(OFFSET(Calc2!$H$4,,,$F$26*B110,1)&gt;OFFSET(Calc2!$I$4,,,$F$26*B110,1)))+SUMPRODUCT((OFFSET(Calc2!$G$4,,,$F$26*B110,1)=F113)*(OFFSET(Calc2!$H$4,,,$F$26*B110,1)&lt;OFFSET(Calc2!$I$4,,,$F$26*B110,1)))</f>
        <v>2</v>
      </c>
      <c r="M113" s="1">
        <f t="array" aca="1" ref="M113" ca="1">SUMPRODUCT((OFFSET(Calc2!$F$4,,,$F$26*B110,2)=F113)*(OFFSET(Calc2!$H$4,,,$F$26*B110,1)=OFFSET(Calc2!$I$4,,,$F$26*B110,1))*(OFFSET(Calc2!$H$4,,,$F$26*B110,1)&lt;&gt;"")*(OFFSET(Calc2!$I$4,,,$F$26*B110,1)&lt;&gt;""))</f>
        <v>1</v>
      </c>
      <c r="N113" s="1">
        <f t="array" aca="1" ref="N113" ca="1">SUMPRODUCT((OFFSET(Calc2!$F$4,,,$F$26*B110,1)=F113)*(OFFSET(Calc2!$H$4,,,$F$26*B110,1)&lt;OFFSET(Calc2!$I$4,,,$F$26*B110,1)))+SUMPRODUCT((OFFSET(Calc2!$G$4,,,$F$26*B110,1)=F113)*(OFFSET(Calc2!$H$4,,,$F$26*B110,1)&gt;OFFSET(Calc2!$I$4,,,$F$26*B110,1)))</f>
        <v>2</v>
      </c>
      <c r="O113" s="132">
        <f ca="1">SUMPRODUCT((F113=OFFSET(Calc2!$F$4,,,$F$26*B110,1))*OFFSET(Calc2!$O$4,,,$F$26*B110,1))+SUMPRODUCT((F113=OFFSET(Calc2!$G$4,,,$F$26*B110,1))*OFFSET(Calc2!$P$4,,,$F$26*B110,1))</f>
        <v>0</v>
      </c>
      <c r="P113" s="2"/>
      <c r="Q113" s="2"/>
      <c r="R113" s="13">
        <f t="shared" ca="1" si="21"/>
        <v>7500001010</v>
      </c>
      <c r="S113" s="134">
        <f>Tie_Break!$D$8</f>
        <v>0</v>
      </c>
      <c r="T113" s="9">
        <f ca="1">RANK(R113,R112:R131)+(9-S113)/10000+(F113="")*1000</f>
        <v>7.0008999999999997</v>
      </c>
      <c r="U113" s="134"/>
      <c r="V113" s="134">
        <f ca="1">IF($K$24=0,"",IF(VLOOKUP(B113,C112:E131,3,0)=MAX(V$4:V112),VLOOKUP(B113,C112:E131,3,0),B113))</f>
        <v>2</v>
      </c>
      <c r="W113" s="4" t="str">
        <f ca="1">IF($K$24=0,Calc2!$C$5,VLOOKUP(B113,C112:N131,4,0))</f>
        <v>Borussia Dortmund</v>
      </c>
      <c r="X113" s="1">
        <f ca="1">INDEX(V85:V104,MATCH(W113,W85:W104,0))</f>
        <v>2</v>
      </c>
      <c r="Y113" s="1">
        <f t="shared" ref="Y113:Y131" ca="1" si="24">IF(X113&gt;V113,1,IF(X113&lt;V113,-1,0))</f>
        <v>0</v>
      </c>
    </row>
    <row r="114" spans="2:25" x14ac:dyDescent="0.2">
      <c r="B114" s="1">
        <v>3</v>
      </c>
      <c r="C114" s="9">
        <f ca="1">RANK(D114,D112:D131,1)</f>
        <v>11</v>
      </c>
      <c r="D114" s="134">
        <f t="shared" ca="1" si="22"/>
        <v>11.114000000000001</v>
      </c>
      <c r="E114" s="134">
        <f ca="1">RANK(T114,T112:T131,1)</f>
        <v>11</v>
      </c>
      <c r="F114" s="187" t="str">
        <f>Calc2!$C$6</f>
        <v>1. FC Union Berlin</v>
      </c>
      <c r="G114" s="1">
        <f ca="1">SUMIFS(OFFSET(Calc2!$H$4,,,$F$26*B110,1),OFFSET(Calc2!$F$4,,,$F$26*B110,1),F114)+SUMIFS(OFFSET(Calc2!$I$4,,,$F$26*B110,1),OFFSET(Calc2!$G$4,,,$F$26*B110,1),F114)</f>
        <v>8</v>
      </c>
      <c r="H114" s="1">
        <f ca="1">SUMIFS(OFFSET(Calc2!$I$4,,,$F$26*B110,1),OFFSET(Calc2!$F$4,,,$F$26*B110,1),F114)+SUMIFS(OFFSET(Calc2!$H$4,,,$F$26*B110,1),OFFSET(Calc2!$G$4,,,$F$26*B110,1),F114)</f>
        <v>11</v>
      </c>
      <c r="I114" s="134">
        <f t="shared" ca="1" si="20"/>
        <v>-3</v>
      </c>
      <c r="J114" s="12">
        <f ca="1">L114*Settings!$C$3+M114+O114</f>
        <v>7</v>
      </c>
      <c r="K114" s="1">
        <f t="shared" ca="1" si="23"/>
        <v>5</v>
      </c>
      <c r="L114" s="1">
        <f t="array" aca="1" ref="L114" ca="1">SUMPRODUCT((OFFSET(Calc2!$F$4,,,$F$26*B110,1)=F114)*(OFFSET(Calc2!$H$4,,,$F$26*B110,1)&gt;OFFSET(Calc2!$I$4,,,$F$26*B110,1)))+SUMPRODUCT((OFFSET(Calc2!$G$4,,,$F$26*B110,1)=F114)*(OFFSET(Calc2!$H$4,,,$F$26*B110,1)&lt;OFFSET(Calc2!$I$4,,,$F$26*B110,1)))</f>
        <v>2</v>
      </c>
      <c r="M114" s="1">
        <f t="array" aca="1" ref="M114" ca="1">SUMPRODUCT((OFFSET(Calc2!$F$4,,,$F$26*B110,2)=F114)*(OFFSET(Calc2!$H$4,,,$F$26*B110,1)=OFFSET(Calc2!$I$4,,,$F$26*B110,1))*(OFFSET(Calc2!$H$4,,,$F$26*B110,1)&lt;&gt;"")*(OFFSET(Calc2!$I$4,,,$F$26*B110,1)&lt;&gt;""))</f>
        <v>1</v>
      </c>
      <c r="N114" s="1">
        <f t="array" aca="1" ref="N114" ca="1">SUMPRODUCT((OFFSET(Calc2!$F$4,,,$F$26*B110,1)=F114)*(OFFSET(Calc2!$H$4,,,$F$26*B110,1)&lt;OFFSET(Calc2!$I$4,,,$F$26*B110,1)))+SUMPRODUCT((OFFSET(Calc2!$G$4,,,$F$26*B110,1)=F114)*(OFFSET(Calc2!$H$4,,,$F$26*B110,1)&gt;OFFSET(Calc2!$I$4,,,$F$26*B110,1)))</f>
        <v>2</v>
      </c>
      <c r="O114" s="132">
        <f ca="1">SUMPRODUCT((F114=OFFSET(Calc2!$F$4,,,$F$26*B110,1))*OFFSET(Calc2!$O$4,,,$F$26*B110,1))+SUMPRODUCT((F114=OFFSET(Calc2!$G$4,,,$F$26*B110,1))*OFFSET(Calc2!$P$4,,,$F$26*B110,1))</f>
        <v>0</v>
      </c>
      <c r="P114" s="2"/>
      <c r="Q114" s="2"/>
      <c r="R114" s="13">
        <f t="shared" ca="1" si="21"/>
        <v>7499997008</v>
      </c>
      <c r="S114" s="134">
        <f>Tie_Break!$D$9</f>
        <v>0</v>
      </c>
      <c r="T114" s="9">
        <f ca="1">RANK(R114,R112:R131)+(9-S114)/10000+(F114="")*1000</f>
        <v>11.0009</v>
      </c>
      <c r="U114" s="134"/>
      <c r="V114" s="134">
        <f ca="1">IF($K$24=0,"",IF(VLOOKUP(B114,C112:E131,3,0)=MAX(V$4:V113),VLOOKUP(B114,C112:E131,3,0),B114))</f>
        <v>3</v>
      </c>
      <c r="W114" s="4" t="str">
        <f ca="1">IF($K$24=0,Calc2!$C$6,VLOOKUP(B114,C112:N131,4,0))</f>
        <v>RB Leipzig</v>
      </c>
      <c r="X114" s="1">
        <f ca="1">INDEX(V85:V104,MATCH(W114,W85:W104,0))</f>
        <v>3</v>
      </c>
      <c r="Y114" s="1">
        <f t="shared" ca="1" si="24"/>
        <v>0</v>
      </c>
    </row>
    <row r="115" spans="2:25" x14ac:dyDescent="0.2">
      <c r="B115" s="1">
        <v>4</v>
      </c>
      <c r="C115" s="9">
        <f ca="1">RANK(D115,D112:D131,1)</f>
        <v>14</v>
      </c>
      <c r="D115" s="134">
        <f t="shared" ca="1" si="22"/>
        <v>14.115</v>
      </c>
      <c r="E115" s="134">
        <f ca="1">RANK(T115,T112:T131,1)</f>
        <v>14</v>
      </c>
      <c r="F115" s="187" t="str">
        <f>Calc2!$C$7</f>
        <v>1. FSV Mainz 05</v>
      </c>
      <c r="G115" s="1">
        <f ca="1">SUMIFS(OFFSET(Calc2!$H$4,,,$F$26*B110,1),OFFSET(Calc2!$F$4,,,$F$26*B110,1),F115)+SUMIFS(OFFSET(Calc2!$I$4,,,$F$26*B110,1),OFFSET(Calc2!$G$4,,,$F$26*B110,1),F115)</f>
        <v>5</v>
      </c>
      <c r="H115" s="1">
        <f ca="1">SUMIFS(OFFSET(Calc2!$I$4,,,$F$26*B110,1),OFFSET(Calc2!$F$4,,,$F$26*B110,1),F115)+SUMIFS(OFFSET(Calc2!$H$4,,,$F$26*B110,1),OFFSET(Calc2!$G$4,,,$F$26*B110,1),F115)</f>
        <v>6</v>
      </c>
      <c r="I115" s="134">
        <f t="shared" ca="1" si="20"/>
        <v>-1</v>
      </c>
      <c r="J115" s="12">
        <f ca="1">L115*Settings!$C$3+M115+O115</f>
        <v>4</v>
      </c>
      <c r="K115" s="1">
        <f t="shared" ca="1" si="23"/>
        <v>5</v>
      </c>
      <c r="L115" s="1">
        <f t="array" aca="1" ref="L115" ca="1">SUMPRODUCT((OFFSET(Calc2!$F$4,,,$F$26*B110,1)=F115)*(OFFSET(Calc2!$H$4,,,$F$26*B110,1)&gt;OFFSET(Calc2!$I$4,,,$F$26*B110,1)))+SUMPRODUCT((OFFSET(Calc2!$G$4,,,$F$26*B110,1)=F115)*(OFFSET(Calc2!$H$4,,,$F$26*B110,1)&lt;OFFSET(Calc2!$I$4,,,$F$26*B110,1)))</f>
        <v>1</v>
      </c>
      <c r="M115" s="1">
        <f t="array" aca="1" ref="M115" ca="1">SUMPRODUCT((OFFSET(Calc2!$F$4,,,$F$26*B110,2)=F115)*(OFFSET(Calc2!$H$4,,,$F$26*B110,1)=OFFSET(Calc2!$I$4,,,$F$26*B110,1))*(OFFSET(Calc2!$H$4,,,$F$26*B110,1)&lt;&gt;"")*(OFFSET(Calc2!$I$4,,,$F$26*B110,1)&lt;&gt;""))</f>
        <v>1</v>
      </c>
      <c r="N115" s="1">
        <f t="array" aca="1" ref="N115" ca="1">SUMPRODUCT((OFFSET(Calc2!$F$4,,,$F$26*B110,1)=F115)*(OFFSET(Calc2!$H$4,,,$F$26*B110,1)&lt;OFFSET(Calc2!$I$4,,,$F$26*B110,1)))+SUMPRODUCT((OFFSET(Calc2!$G$4,,,$F$26*B110,1)=F115)*(OFFSET(Calc2!$H$4,,,$F$26*B110,1)&gt;OFFSET(Calc2!$I$4,,,$F$26*B110,1)))</f>
        <v>3</v>
      </c>
      <c r="O115" s="132">
        <f ca="1">SUMPRODUCT((F115=OFFSET(Calc2!$F$4,,,$F$26*B110,1))*OFFSET(Calc2!$O$4,,,$F$26*B110,1))+SUMPRODUCT((F115=OFFSET(Calc2!$G$4,,,$F$26*B110,1))*OFFSET(Calc2!$P$4,,,$F$26*B110,1))</f>
        <v>0</v>
      </c>
      <c r="P115" s="2"/>
      <c r="Q115" s="2"/>
      <c r="R115" s="13">
        <f t="shared" ca="1" si="21"/>
        <v>4499999005</v>
      </c>
      <c r="S115" s="134">
        <f>Tie_Break!$D$10</f>
        <v>0</v>
      </c>
      <c r="T115" s="9">
        <f ca="1">RANK(R115,R112:R131)+(9-S115)/10000+(F115="")*1000</f>
        <v>14.0009</v>
      </c>
      <c r="U115" s="134"/>
      <c r="V115" s="134">
        <f ca="1">IF($K$24=0,"",IF(VLOOKUP(B115,C112:E131,3,0)=MAX(V$4:V114),VLOOKUP(B115,C112:E131,3,0),B115))</f>
        <v>4</v>
      </c>
      <c r="W115" s="4" t="str">
        <f ca="1">IF($K$24=0,Calc2!$C$7,VLOOKUP(B115,C112:N131,4,0))</f>
        <v>Eintracht Frankfurt</v>
      </c>
      <c r="X115" s="1">
        <f ca="1">INDEX(V85:V104,MATCH(W115,W85:W104,0))</f>
        <v>6</v>
      </c>
      <c r="Y115" s="1">
        <f t="shared" ca="1" si="24"/>
        <v>1</v>
      </c>
    </row>
    <row r="116" spans="2:25" x14ac:dyDescent="0.2">
      <c r="B116" s="1">
        <v>5</v>
      </c>
      <c r="C116" s="9">
        <f ca="1">RANK(D116,D112:D131,1)</f>
        <v>6</v>
      </c>
      <c r="D116" s="134">
        <f t="shared" ca="1" si="22"/>
        <v>6.1159999999999997</v>
      </c>
      <c r="E116" s="134">
        <f ca="1">RANK(T116,T112:T131,1)</f>
        <v>6</v>
      </c>
      <c r="F116" s="187" t="str">
        <f>Calc2!$C$8</f>
        <v>Bayer 04 Leverkusen</v>
      </c>
      <c r="G116" s="1">
        <f ca="1">SUMIFS(OFFSET(Calc2!$H$4,,,$F$26*B110,1),OFFSET(Calc2!$F$4,,,$F$26*B110,1),F116)+SUMIFS(OFFSET(Calc2!$I$4,,,$F$26*B110,1),OFFSET(Calc2!$G$4,,,$F$26*B110,1),F116)</f>
        <v>10</v>
      </c>
      <c r="H116" s="1">
        <f ca="1">SUMIFS(OFFSET(Calc2!$I$4,,,$F$26*B110,1),OFFSET(Calc2!$F$4,,,$F$26*B110,1),F116)+SUMIFS(OFFSET(Calc2!$H$4,,,$F$26*B110,1),OFFSET(Calc2!$G$4,,,$F$26*B110,1),F116)</f>
        <v>8</v>
      </c>
      <c r="I116" s="134">
        <f t="shared" ca="1" si="20"/>
        <v>2</v>
      </c>
      <c r="J116" s="12">
        <f ca="1">L116*Settings!$C$3+M116+O116</f>
        <v>8</v>
      </c>
      <c r="K116" s="1">
        <f t="shared" ca="1" si="23"/>
        <v>5</v>
      </c>
      <c r="L116" s="1">
        <f t="array" aca="1" ref="L116" ca="1">SUMPRODUCT((OFFSET(Calc2!$F$4,,,$F$26*B110,1)=F116)*(OFFSET(Calc2!$H$4,,,$F$26*B110,1)&gt;OFFSET(Calc2!$I$4,,,$F$26*B110,1)))+SUMPRODUCT((OFFSET(Calc2!$G$4,,,$F$26*B110,1)=F116)*(OFFSET(Calc2!$H$4,,,$F$26*B110,1)&lt;OFFSET(Calc2!$I$4,,,$F$26*B110,1)))</f>
        <v>2</v>
      </c>
      <c r="M116" s="1">
        <f t="array" aca="1" ref="M116" ca="1">SUMPRODUCT((OFFSET(Calc2!$F$4,,,$F$26*B110,2)=F116)*(OFFSET(Calc2!$H$4,,,$F$26*B110,1)=OFFSET(Calc2!$I$4,,,$F$26*B110,1))*(OFFSET(Calc2!$H$4,,,$F$26*B110,1)&lt;&gt;"")*(OFFSET(Calc2!$I$4,,,$F$26*B110,1)&lt;&gt;""))</f>
        <v>2</v>
      </c>
      <c r="N116" s="1">
        <f t="array" aca="1" ref="N116" ca="1">SUMPRODUCT((OFFSET(Calc2!$F$4,,,$F$26*B110,1)=F116)*(OFFSET(Calc2!$H$4,,,$F$26*B110,1)&lt;OFFSET(Calc2!$I$4,,,$F$26*B110,1)))+SUMPRODUCT((OFFSET(Calc2!$G$4,,,$F$26*B110,1)=F116)*(OFFSET(Calc2!$H$4,,,$F$26*B110,1)&gt;OFFSET(Calc2!$I$4,,,$F$26*B110,1)))</f>
        <v>1</v>
      </c>
      <c r="O116" s="132">
        <f ca="1">SUMPRODUCT((F116=OFFSET(Calc2!$F$4,,,$F$26*B110,1))*OFFSET(Calc2!$O$4,,,$F$26*B110,1))+SUMPRODUCT((F116=OFFSET(Calc2!$G$4,,,$F$26*B110,1))*OFFSET(Calc2!$P$4,,,$F$26*B110,1))</f>
        <v>0</v>
      </c>
      <c r="P116" s="2"/>
      <c r="Q116" s="2"/>
      <c r="R116" s="13">
        <f t="shared" ca="1" si="21"/>
        <v>8500002010</v>
      </c>
      <c r="S116" s="134">
        <f>Tie_Break!$D$11</f>
        <v>0</v>
      </c>
      <c r="T116" s="9">
        <f ca="1">RANK(R116,R112:R131)+(9-S116)/10000+(F116="")*1000</f>
        <v>6.0008999999999997</v>
      </c>
      <c r="U116" s="134"/>
      <c r="V116" s="134">
        <f ca="1">IF($K$24=0,"",IF(VLOOKUP(B116,C112:E131,3,0)=MAX(V$4:V115),VLOOKUP(B116,C112:E131,3,0),B116))</f>
        <v>5</v>
      </c>
      <c r="W116" s="4" t="str">
        <f ca="1">IF($K$24=0,Calc2!$C$8,VLOOKUP(B116,C112:N131,4,0))</f>
        <v>VfB Stuttgart</v>
      </c>
      <c r="X116" s="1">
        <f ca="1">INDEX(V85:V104,MATCH(W116,W85:W104,0))</f>
        <v>8</v>
      </c>
      <c r="Y116" s="1">
        <f t="shared" ca="1" si="24"/>
        <v>1</v>
      </c>
    </row>
    <row r="117" spans="2:25" x14ac:dyDescent="0.2">
      <c r="B117" s="1">
        <v>6</v>
      </c>
      <c r="C117" s="9">
        <f ca="1">RANK(D117,D112:D131,1)</f>
        <v>2</v>
      </c>
      <c r="D117" s="134">
        <f t="shared" ca="1" si="22"/>
        <v>2.117</v>
      </c>
      <c r="E117" s="134">
        <f ca="1">RANK(T117,T112:T131,1)</f>
        <v>2</v>
      </c>
      <c r="F117" s="187" t="str">
        <f>Calc2!$C$9</f>
        <v>Borussia Dortmund</v>
      </c>
      <c r="G117" s="1">
        <f ca="1">SUMIFS(OFFSET(Calc2!$H$4,,,$F$26*B110,1),OFFSET(Calc2!$F$4,,,$F$26*B110,1),F117)+SUMIFS(OFFSET(Calc2!$I$4,,,$F$26*B110,1),OFFSET(Calc2!$G$4,,,$F$26*B110,1),F117)</f>
        <v>11</v>
      </c>
      <c r="H117" s="1">
        <f ca="1">SUMIFS(OFFSET(Calc2!$I$4,,,$F$26*B110,1),OFFSET(Calc2!$F$4,,,$F$26*B110,1),F117)+SUMIFS(OFFSET(Calc2!$H$4,,,$F$26*B110,1),OFFSET(Calc2!$G$4,,,$F$26*B110,1),F117)</f>
        <v>3</v>
      </c>
      <c r="I117" s="134">
        <f t="shared" ca="1" si="20"/>
        <v>8</v>
      </c>
      <c r="J117" s="12">
        <f ca="1">L117*Settings!$C$3+M117+O117</f>
        <v>13</v>
      </c>
      <c r="K117" s="1">
        <f t="shared" ca="1" si="23"/>
        <v>5</v>
      </c>
      <c r="L117" s="1">
        <f t="array" aca="1" ref="L117" ca="1">SUMPRODUCT((OFFSET(Calc2!$F$4,,,$F$26*B110,1)=F117)*(OFFSET(Calc2!$H$4,,,$F$26*B110,1)&gt;OFFSET(Calc2!$I$4,,,$F$26*B110,1)))+SUMPRODUCT((OFFSET(Calc2!$G$4,,,$F$26*B110,1)=F117)*(OFFSET(Calc2!$H$4,,,$F$26*B110,1)&lt;OFFSET(Calc2!$I$4,,,$F$26*B110,1)))</f>
        <v>4</v>
      </c>
      <c r="M117" s="1">
        <f t="array" aca="1" ref="M117" ca="1">SUMPRODUCT((OFFSET(Calc2!$F$4,,,$F$26*B110,2)=F117)*(OFFSET(Calc2!$H$4,,,$F$26*B110,1)=OFFSET(Calc2!$I$4,,,$F$26*B110,1))*(OFFSET(Calc2!$H$4,,,$F$26*B110,1)&lt;&gt;"")*(OFFSET(Calc2!$I$4,,,$F$26*B110,1)&lt;&gt;""))</f>
        <v>1</v>
      </c>
      <c r="N117" s="1">
        <f t="array" aca="1" ref="N117" ca="1">SUMPRODUCT((OFFSET(Calc2!$F$4,,,$F$26*B110,1)=F117)*(OFFSET(Calc2!$H$4,,,$F$26*B110,1)&lt;OFFSET(Calc2!$I$4,,,$F$26*B110,1)))+SUMPRODUCT((OFFSET(Calc2!$G$4,,,$F$26*B110,1)=F117)*(OFFSET(Calc2!$H$4,,,$F$26*B110,1)&gt;OFFSET(Calc2!$I$4,,,$F$26*B110,1)))</f>
        <v>0</v>
      </c>
      <c r="O117" s="132">
        <f ca="1">SUMPRODUCT((F117=OFFSET(Calc2!$F$4,,,$F$26*B110,1))*OFFSET(Calc2!$O$4,,,$F$26*B110,1))+SUMPRODUCT((F117=OFFSET(Calc2!$G$4,,,$F$26*B110,1))*OFFSET(Calc2!$P$4,,,$F$26*B110,1))</f>
        <v>0</v>
      </c>
      <c r="P117" s="2"/>
      <c r="Q117" s="2"/>
      <c r="R117" s="13">
        <f t="shared" ca="1" si="21"/>
        <v>13500008011</v>
      </c>
      <c r="S117" s="134">
        <f>Tie_Break!$D$12</f>
        <v>0</v>
      </c>
      <c r="T117" s="9">
        <f ca="1">RANK(R117,R112:R131)+(9-S117)/10000+(F117="")*1000</f>
        <v>2.0009000000000001</v>
      </c>
      <c r="U117" s="134"/>
      <c r="V117" s="134">
        <f ca="1">IF($K$24=0,"",IF(VLOOKUP(B117,C112:E131,3,0)=MAX(V$4:V116),VLOOKUP(B117,C112:E131,3,0),B117))</f>
        <v>6</v>
      </c>
      <c r="W117" s="4" t="str">
        <f ca="1">IF($K$24=0,Calc2!$C$9,VLOOKUP(B117,C112:N131,4,0))</f>
        <v>Bayer 04 Leverkusen</v>
      </c>
      <c r="X117" s="1">
        <f ca="1">INDEX(V85:V104,MATCH(W117,W85:W104,0))</f>
        <v>11</v>
      </c>
      <c r="Y117" s="1">
        <f t="shared" ca="1" si="24"/>
        <v>1</v>
      </c>
    </row>
    <row r="118" spans="2:25" x14ac:dyDescent="0.2">
      <c r="B118" s="1">
        <v>7</v>
      </c>
      <c r="C118" s="9">
        <f ca="1">RANK(D118,D112:D131,1)</f>
        <v>18</v>
      </c>
      <c r="D118" s="134">
        <f t="shared" ca="1" si="22"/>
        <v>18.117999999999999</v>
      </c>
      <c r="E118" s="134">
        <f ca="1">RANK(T118,T112:T131,1)</f>
        <v>18</v>
      </c>
      <c r="F118" s="187" t="str">
        <f>Calc2!$C$10</f>
        <v>Borussia Mönchengladbach</v>
      </c>
      <c r="G118" s="1">
        <f ca="1">SUMIFS(OFFSET(Calc2!$H$4,,,$F$26*B110,1),OFFSET(Calc2!$F$4,,,$F$26*B110,1),F118)+SUMIFS(OFFSET(Calc2!$I$4,,,$F$26*B110,1),OFFSET(Calc2!$G$4,,,$F$26*B110,1),F118)</f>
        <v>5</v>
      </c>
      <c r="H118" s="1">
        <f ca="1">SUMIFS(OFFSET(Calc2!$I$4,,,$F$26*B110,1),OFFSET(Calc2!$F$4,,,$F$26*B110,1),F118)+SUMIFS(OFFSET(Calc2!$H$4,,,$F$26*B110,1),OFFSET(Calc2!$G$4,,,$F$26*B110,1),F118)</f>
        <v>12</v>
      </c>
      <c r="I118" s="134">
        <f t="shared" ca="1" si="20"/>
        <v>-7</v>
      </c>
      <c r="J118" s="12">
        <f ca="1">L118*Settings!$C$3+M118+O118</f>
        <v>2</v>
      </c>
      <c r="K118" s="1">
        <f t="shared" ca="1" si="23"/>
        <v>5</v>
      </c>
      <c r="L118" s="1">
        <f t="array" aca="1" ref="L118" ca="1">SUMPRODUCT((OFFSET(Calc2!$F$4,,,$F$26*B110,1)=F118)*(OFFSET(Calc2!$H$4,,,$F$26*B110,1)&gt;OFFSET(Calc2!$I$4,,,$F$26*B110,1)))+SUMPRODUCT((OFFSET(Calc2!$G$4,,,$F$26*B110,1)=F118)*(OFFSET(Calc2!$H$4,,,$F$26*B110,1)&lt;OFFSET(Calc2!$I$4,,,$F$26*B110,1)))</f>
        <v>0</v>
      </c>
      <c r="M118" s="1">
        <f t="array" aca="1" ref="M118" ca="1">SUMPRODUCT((OFFSET(Calc2!$F$4,,,$F$26*B110,2)=F118)*(OFFSET(Calc2!$H$4,,,$F$26*B110,1)=OFFSET(Calc2!$I$4,,,$F$26*B110,1))*(OFFSET(Calc2!$H$4,,,$F$26*B110,1)&lt;&gt;"")*(OFFSET(Calc2!$I$4,,,$F$26*B110,1)&lt;&gt;""))</f>
        <v>2</v>
      </c>
      <c r="N118" s="1">
        <f t="array" aca="1" ref="N118" ca="1">SUMPRODUCT((OFFSET(Calc2!$F$4,,,$F$26*B110,1)=F118)*(OFFSET(Calc2!$H$4,,,$F$26*B110,1)&lt;OFFSET(Calc2!$I$4,,,$F$26*B110,1)))+SUMPRODUCT((OFFSET(Calc2!$G$4,,,$F$26*B110,1)=F118)*(OFFSET(Calc2!$H$4,,,$F$26*B110,1)&gt;OFFSET(Calc2!$I$4,,,$F$26*B110,1)))</f>
        <v>3</v>
      </c>
      <c r="O118" s="132">
        <f ca="1">SUMPRODUCT((F118=OFFSET(Calc2!$F$4,,,$F$26*B110,1))*OFFSET(Calc2!$O$4,,,$F$26*B110,1))+SUMPRODUCT((F118=OFFSET(Calc2!$G$4,,,$F$26*B110,1))*OFFSET(Calc2!$P$4,,,$F$26*B110,1))</f>
        <v>0</v>
      </c>
      <c r="P118" s="2"/>
      <c r="Q118" s="2"/>
      <c r="R118" s="13">
        <f t="shared" ca="1" si="21"/>
        <v>2499993005</v>
      </c>
      <c r="S118" s="134">
        <f>Tie_Break!$D$13</f>
        <v>0</v>
      </c>
      <c r="T118" s="9">
        <f ca="1">RANK(R118,R112:R131)+(9-S118)/10000+(F118="")*1000</f>
        <v>18.000900000000001</v>
      </c>
      <c r="U118" s="134"/>
      <c r="V118" s="134">
        <f ca="1">IF($K$24=0,"",IF(VLOOKUP(B118,C112:E131,3,0)=MAX(V$4:V117),VLOOKUP(B118,C112:E131,3,0),B118))</f>
        <v>7</v>
      </c>
      <c r="W118" s="4" t="str">
        <f ca="1">IF($K$24=0,Calc2!$C$10,VLOOKUP(B118,C112:N131,4,0))</f>
        <v>1. FC Köln</v>
      </c>
      <c r="X118" s="1">
        <f ca="1">INDEX(V85:V104,MATCH(W118,W85:W104,0))</f>
        <v>4</v>
      </c>
      <c r="Y118" s="1">
        <f t="shared" ca="1" si="24"/>
        <v>-1</v>
      </c>
    </row>
    <row r="119" spans="2:25" x14ac:dyDescent="0.2">
      <c r="B119" s="1">
        <v>8</v>
      </c>
      <c r="C119" s="9">
        <f ca="1">RANK(D119,D112:D131,1)</f>
        <v>4</v>
      </c>
      <c r="D119" s="134">
        <f t="shared" ca="1" si="22"/>
        <v>4.1189999999999998</v>
      </c>
      <c r="E119" s="134">
        <f ca="1">RANK(T119,T112:T131,1)</f>
        <v>4</v>
      </c>
      <c r="F119" s="187" t="str">
        <f>Calc2!$C$11</f>
        <v>Eintracht Frankfurt</v>
      </c>
      <c r="G119" s="1">
        <f ca="1">SUMIFS(OFFSET(Calc2!$H$4,,,$F$26*B110,1),OFFSET(Calc2!$F$4,,,$F$26*B110,1),F119)+SUMIFS(OFFSET(Calc2!$I$4,,,$F$26*B110,1),OFFSET(Calc2!$G$4,,,$F$26*B110,1),F119)</f>
        <v>17</v>
      </c>
      <c r="H119" s="1">
        <f ca="1">SUMIFS(OFFSET(Calc2!$I$4,,,$F$26*B110,1),OFFSET(Calc2!$F$4,,,$F$26*B110,1),F119)+SUMIFS(OFFSET(Calc2!$H$4,,,$F$26*B110,1),OFFSET(Calc2!$G$4,,,$F$26*B110,1),F119)</f>
        <v>13</v>
      </c>
      <c r="I119" s="134">
        <f t="shared" ca="1" si="20"/>
        <v>4</v>
      </c>
      <c r="J119" s="12">
        <f ca="1">L119*Settings!$C$3+M119+O119</f>
        <v>9</v>
      </c>
      <c r="K119" s="1">
        <f t="shared" ca="1" si="23"/>
        <v>5</v>
      </c>
      <c r="L119" s="1">
        <f t="array" aca="1" ref="L119" ca="1">SUMPRODUCT((OFFSET(Calc2!$F$4,,,$F$26*B110,1)=F119)*(OFFSET(Calc2!$H$4,,,$F$26*B110,1)&gt;OFFSET(Calc2!$I$4,,,$F$26*B110,1)))+SUMPRODUCT((OFFSET(Calc2!$G$4,,,$F$26*B110,1)=F119)*(OFFSET(Calc2!$H$4,,,$F$26*B110,1)&lt;OFFSET(Calc2!$I$4,,,$F$26*B110,1)))</f>
        <v>3</v>
      </c>
      <c r="M119" s="1">
        <f t="array" aca="1" ref="M119" ca="1">SUMPRODUCT((OFFSET(Calc2!$F$4,,,$F$26*B110,2)=F119)*(OFFSET(Calc2!$H$4,,,$F$26*B110,1)=OFFSET(Calc2!$I$4,,,$F$26*B110,1))*(OFFSET(Calc2!$H$4,,,$F$26*B110,1)&lt;&gt;"")*(OFFSET(Calc2!$I$4,,,$F$26*B110,1)&lt;&gt;""))</f>
        <v>0</v>
      </c>
      <c r="N119" s="1">
        <f t="array" aca="1" ref="N119" ca="1">SUMPRODUCT((OFFSET(Calc2!$F$4,,,$F$26*B110,1)=F119)*(OFFSET(Calc2!$H$4,,,$F$26*B110,1)&lt;OFFSET(Calc2!$I$4,,,$F$26*B110,1)))+SUMPRODUCT((OFFSET(Calc2!$G$4,,,$F$26*B110,1)=F119)*(OFFSET(Calc2!$H$4,,,$F$26*B110,1)&gt;OFFSET(Calc2!$I$4,,,$F$26*B110,1)))</f>
        <v>2</v>
      </c>
      <c r="O119" s="132">
        <f ca="1">SUMPRODUCT((F119=OFFSET(Calc2!$F$4,,,$F$26*B110,1))*OFFSET(Calc2!$O$4,,,$F$26*B110,1))+SUMPRODUCT((F119=OFFSET(Calc2!$G$4,,,$F$26*B110,1))*OFFSET(Calc2!$P$4,,,$F$26*B110,1))</f>
        <v>0</v>
      </c>
      <c r="P119" s="2"/>
      <c r="Q119" s="2"/>
      <c r="R119" s="13">
        <f t="shared" ca="1" si="21"/>
        <v>9500004017</v>
      </c>
      <c r="S119" s="134">
        <f>Tie_Break!$D$14</f>
        <v>0</v>
      </c>
      <c r="T119" s="9">
        <f ca="1">RANK(R119,R112:R131)+(9-S119)/10000+(F119="")*1000</f>
        <v>4.0008999999999997</v>
      </c>
      <c r="U119" s="134"/>
      <c r="V119" s="134">
        <f ca="1">IF($K$24=0,"",IF(VLOOKUP(B119,C112:E131,3,0)=MAX(V$4:V118),VLOOKUP(B119,C112:E131,3,0),B119))</f>
        <v>8</v>
      </c>
      <c r="W119" s="4" t="str">
        <f ca="1">IF($K$24=0,Calc2!$C$11,VLOOKUP(B119,C112:N131,4,0))</f>
        <v>SC Freiburg</v>
      </c>
      <c r="X119" s="1">
        <f ca="1">INDEX(V85:V104,MATCH(W119,W85:W104,0))</f>
        <v>7</v>
      </c>
      <c r="Y119" s="1">
        <f t="shared" ca="1" si="24"/>
        <v>-1</v>
      </c>
    </row>
    <row r="120" spans="2:25" x14ac:dyDescent="0.2">
      <c r="B120" s="1">
        <v>9</v>
      </c>
      <c r="C120" s="9">
        <f ca="1">RANK(D120,D112:D131,1)</f>
        <v>16</v>
      </c>
      <c r="D120" s="134">
        <f t="shared" ca="1" si="22"/>
        <v>16.12</v>
      </c>
      <c r="E120" s="134">
        <f ca="1">RANK(T120,T112:T131,1)</f>
        <v>16</v>
      </c>
      <c r="F120" s="187" t="str">
        <f>Calc2!$C$12</f>
        <v>FC Augsburg</v>
      </c>
      <c r="G120" s="1">
        <f ca="1">SUMIFS(OFFSET(Calc2!$H$4,,,$F$26*B110,1),OFFSET(Calc2!$F$4,,,$F$26*B110,1),F120)+SUMIFS(OFFSET(Calc2!$I$4,,,$F$26*B110,1),OFFSET(Calc2!$G$4,,,$F$26*B110,1),F120)</f>
        <v>8</v>
      </c>
      <c r="H120" s="1">
        <f ca="1">SUMIFS(OFFSET(Calc2!$I$4,,,$F$26*B110,1),OFFSET(Calc2!$F$4,,,$F$26*B110,1),F120)+SUMIFS(OFFSET(Calc2!$H$4,,,$F$26*B110,1),OFFSET(Calc2!$G$4,,,$F$26*B110,1),F120)</f>
        <v>12</v>
      </c>
      <c r="I120" s="134">
        <f t="shared" ca="1" si="20"/>
        <v>-4</v>
      </c>
      <c r="J120" s="12">
        <f ca="1">L120*Settings!$C$3+M120+O120</f>
        <v>3</v>
      </c>
      <c r="K120" s="1">
        <f t="shared" ca="1" si="23"/>
        <v>5</v>
      </c>
      <c r="L120" s="1">
        <f t="array" aca="1" ref="L120" ca="1">SUMPRODUCT((OFFSET(Calc2!$F$4,,,$F$26*B110,1)=F120)*(OFFSET(Calc2!$H$4,,,$F$26*B110,1)&gt;OFFSET(Calc2!$I$4,,,$F$26*B110,1)))+SUMPRODUCT((OFFSET(Calc2!$G$4,,,$F$26*B110,1)=F120)*(OFFSET(Calc2!$H$4,,,$F$26*B110,1)&lt;OFFSET(Calc2!$I$4,,,$F$26*B110,1)))</f>
        <v>1</v>
      </c>
      <c r="M120" s="1">
        <f t="array" aca="1" ref="M120" ca="1">SUMPRODUCT((OFFSET(Calc2!$F$4,,,$F$26*B110,2)=F120)*(OFFSET(Calc2!$H$4,,,$F$26*B110,1)=OFFSET(Calc2!$I$4,,,$F$26*B110,1))*(OFFSET(Calc2!$H$4,,,$F$26*B110,1)&lt;&gt;"")*(OFFSET(Calc2!$I$4,,,$F$26*B110,1)&lt;&gt;""))</f>
        <v>0</v>
      </c>
      <c r="N120" s="1">
        <f t="array" aca="1" ref="N120" ca="1">SUMPRODUCT((OFFSET(Calc2!$F$4,,,$F$26*B110,1)=F120)*(OFFSET(Calc2!$H$4,,,$F$26*B110,1)&lt;OFFSET(Calc2!$I$4,,,$F$26*B110,1)))+SUMPRODUCT((OFFSET(Calc2!$G$4,,,$F$26*B110,1)=F120)*(OFFSET(Calc2!$H$4,,,$F$26*B110,1)&gt;OFFSET(Calc2!$I$4,,,$F$26*B110,1)))</f>
        <v>4</v>
      </c>
      <c r="O120" s="132">
        <f ca="1">SUMPRODUCT((F120=OFFSET(Calc2!$F$4,,,$F$26*B110,1))*OFFSET(Calc2!$O$4,,,$F$26*B110,1))+SUMPRODUCT((F120=OFFSET(Calc2!$G$4,,,$F$26*B110,1))*OFFSET(Calc2!$P$4,,,$F$26*B110,1))</f>
        <v>0</v>
      </c>
      <c r="P120" s="2"/>
      <c r="Q120" s="2"/>
      <c r="R120" s="13">
        <f t="shared" ca="1" si="21"/>
        <v>3499996008</v>
      </c>
      <c r="S120" s="134">
        <f>Tie_Break!$D$15</f>
        <v>0</v>
      </c>
      <c r="T120" s="9">
        <f ca="1">RANK(R120,R112:R131)+(9-S120)/10000+(F120="")*1000</f>
        <v>16.000900000000001</v>
      </c>
      <c r="U120" s="134"/>
      <c r="V120" s="134">
        <f ca="1">IF($K$24=0,"",IF(VLOOKUP(B120,C112:E131,3,0)=MAX(V$4:V119),VLOOKUP(B120,C112:E131,3,0),B120))</f>
        <v>9</v>
      </c>
      <c r="W120" s="4" t="str">
        <f ca="1">IF($K$24=0,Calc2!$C$12,VLOOKUP(B120,C112:N131,4,0))</f>
        <v>FC St. Pauli</v>
      </c>
      <c r="X120" s="1">
        <f ca="1">INDEX(V85:V104,MATCH(W120,W85:W104,0))</f>
        <v>5</v>
      </c>
      <c r="Y120" s="1">
        <f t="shared" ca="1" si="24"/>
        <v>-1</v>
      </c>
    </row>
    <row r="121" spans="2:25" x14ac:dyDescent="0.2">
      <c r="B121" s="1">
        <v>10</v>
      </c>
      <c r="C121" s="9">
        <f ca="1">RANK(D121,D112:D131,1)</f>
        <v>1</v>
      </c>
      <c r="D121" s="134">
        <f t="shared" ca="1" si="22"/>
        <v>1.121</v>
      </c>
      <c r="E121" s="134">
        <f ca="1">RANK(T121,T112:T131,1)</f>
        <v>1</v>
      </c>
      <c r="F121" s="187" t="str">
        <f>Calc2!$C$13</f>
        <v>FC Bayern München</v>
      </c>
      <c r="G121" s="1">
        <f ca="1">SUMIFS(OFFSET(Calc2!$H$4,,,$F$26*B110,1),OFFSET(Calc2!$F$4,,,$F$26*B110,1),F121)+SUMIFS(OFFSET(Calc2!$I$4,,,$F$26*B110,1),OFFSET(Calc2!$G$4,,,$F$26*B110,1),F121)</f>
        <v>22</v>
      </c>
      <c r="H121" s="1">
        <f ca="1">SUMIFS(OFFSET(Calc2!$I$4,,,$F$26*B110,1),OFFSET(Calc2!$F$4,,,$F$26*B110,1),F121)+SUMIFS(OFFSET(Calc2!$H$4,,,$F$26*B110,1),OFFSET(Calc2!$G$4,,,$F$26*B110,1),F121)</f>
        <v>3</v>
      </c>
      <c r="I121" s="134">
        <f t="shared" ca="1" si="20"/>
        <v>19</v>
      </c>
      <c r="J121" s="12">
        <f ca="1">L121*Settings!$C$3+M121+O121</f>
        <v>15</v>
      </c>
      <c r="K121" s="1">
        <f t="shared" ca="1" si="23"/>
        <v>5</v>
      </c>
      <c r="L121" s="1">
        <f t="array" aca="1" ref="L121" ca="1">SUMPRODUCT((OFFSET(Calc2!$F$4,,,$F$26*B110,1)=F121)*(OFFSET(Calc2!$H$4,,,$F$26*B110,1)&gt;OFFSET(Calc2!$I$4,,,$F$26*B110,1)))+SUMPRODUCT((OFFSET(Calc2!$G$4,,,$F$26*B110,1)=F121)*(OFFSET(Calc2!$H$4,,,$F$26*B110,1)&lt;OFFSET(Calc2!$I$4,,,$F$26*B110,1)))</f>
        <v>5</v>
      </c>
      <c r="M121" s="1">
        <f t="array" aca="1" ref="M121" ca="1">SUMPRODUCT((OFFSET(Calc2!$F$4,,,$F$26*B110,2)=F121)*(OFFSET(Calc2!$H$4,,,$F$26*B110,1)=OFFSET(Calc2!$I$4,,,$F$26*B110,1))*(OFFSET(Calc2!$H$4,,,$F$26*B110,1)&lt;&gt;"")*(OFFSET(Calc2!$I$4,,,$F$26*B110,1)&lt;&gt;""))</f>
        <v>0</v>
      </c>
      <c r="N121" s="1">
        <f t="array" aca="1" ref="N121" ca="1">SUMPRODUCT((OFFSET(Calc2!$F$4,,,$F$26*B110,1)=F121)*(OFFSET(Calc2!$H$4,,,$F$26*B110,1)&lt;OFFSET(Calc2!$I$4,,,$F$26*B110,1)))+SUMPRODUCT((OFFSET(Calc2!$G$4,,,$F$26*B110,1)=F121)*(OFFSET(Calc2!$H$4,,,$F$26*B110,1)&gt;OFFSET(Calc2!$I$4,,,$F$26*B110,1)))</f>
        <v>0</v>
      </c>
      <c r="O121" s="132">
        <f ca="1">SUMPRODUCT((F121=OFFSET(Calc2!$F$4,,,$F$26*B110,1))*OFFSET(Calc2!$O$4,,,$F$26*B110,1))+SUMPRODUCT((F121=OFFSET(Calc2!$G$4,,,$F$26*B110,1))*OFFSET(Calc2!$P$4,,,$F$26*B110,1))</f>
        <v>0</v>
      </c>
      <c r="P121" s="2"/>
      <c r="Q121" s="2"/>
      <c r="R121" s="13">
        <f t="shared" ca="1" si="21"/>
        <v>15500019022</v>
      </c>
      <c r="S121" s="134">
        <f>Tie_Break!$D$16</f>
        <v>0</v>
      </c>
      <c r="T121" s="9">
        <f ca="1">RANK(R121,R112:R131)+(9-S121)/10000+(F121="")*1000</f>
        <v>1.0008999999999999</v>
      </c>
      <c r="U121" s="2"/>
      <c r="V121" s="134">
        <f ca="1">IF($K$24=0,"",IF(VLOOKUP(B121,C112:E131,3,0)=MAX(V$4:V120),VLOOKUP(B121,C112:E131,3,0),B121))</f>
        <v>10</v>
      </c>
      <c r="W121" s="4" t="str">
        <f ca="1">IF($K$24=0,Calc2!$C$13,VLOOKUP(B121,C112:N131,4,0))</f>
        <v>TSG Hoffenheim</v>
      </c>
      <c r="X121" s="1">
        <f ca="1">INDEX(V85:V104,MATCH(W121,W85:W104,0))</f>
        <v>9</v>
      </c>
      <c r="Y121" s="1">
        <f t="shared" ca="1" si="24"/>
        <v>-1</v>
      </c>
    </row>
    <row r="122" spans="2:25" x14ac:dyDescent="0.2">
      <c r="B122" s="1">
        <v>11</v>
      </c>
      <c r="C122" s="9">
        <f ca="1">RANK(D122,D112:D131,1)</f>
        <v>9</v>
      </c>
      <c r="D122" s="134">
        <f t="shared" ca="1" si="22"/>
        <v>9.1219999999999999</v>
      </c>
      <c r="E122" s="134">
        <f ca="1">RANK(T122,T112:T131,1)</f>
        <v>9</v>
      </c>
      <c r="F122" s="187" t="str">
        <f>Calc2!$C$14</f>
        <v>FC St. Pauli</v>
      </c>
      <c r="G122" s="1">
        <f ca="1">SUMIFS(OFFSET(Calc2!$H$4,,,$F$26*B110,1),OFFSET(Calc2!$F$4,,,$F$26*B110,1),F122)+SUMIFS(OFFSET(Calc2!$I$4,,,$F$26*B110,1),OFFSET(Calc2!$G$4,,,$F$26*B110,1),F122)</f>
        <v>8</v>
      </c>
      <c r="H122" s="1">
        <f ca="1">SUMIFS(OFFSET(Calc2!$I$4,,,$F$26*B110,1),OFFSET(Calc2!$F$4,,,$F$26*B110,1),F122)+SUMIFS(OFFSET(Calc2!$H$4,,,$F$26*B110,1),OFFSET(Calc2!$G$4,,,$F$26*B110,1),F122)</f>
        <v>8</v>
      </c>
      <c r="I122" s="134">
        <f t="shared" ca="1" si="20"/>
        <v>0</v>
      </c>
      <c r="J122" s="12">
        <f ca="1">L122*Settings!$C$3+M122+O122</f>
        <v>7</v>
      </c>
      <c r="K122" s="1">
        <f t="shared" ca="1" si="23"/>
        <v>5</v>
      </c>
      <c r="L122" s="1">
        <f t="array" aca="1" ref="L122" ca="1">SUMPRODUCT((OFFSET(Calc2!$F$4,,,$F$26*B110,1)=F122)*(OFFSET(Calc2!$H$4,,,$F$26*B110,1)&gt;OFFSET(Calc2!$I$4,,,$F$26*B110,1)))+SUMPRODUCT((OFFSET(Calc2!$G$4,,,$F$26*B110,1)=F122)*(OFFSET(Calc2!$H$4,,,$F$26*B110,1)&lt;OFFSET(Calc2!$I$4,,,$F$26*B110,1)))</f>
        <v>2</v>
      </c>
      <c r="M122" s="1">
        <f t="array" aca="1" ref="M122" ca="1">SUMPRODUCT((OFFSET(Calc2!$F$4,,,$F$26*B110,2)=F122)*(OFFSET(Calc2!$H$4,,,$F$26*B110,1)=OFFSET(Calc2!$I$4,,,$F$26*B110,1))*(OFFSET(Calc2!$H$4,,,$F$26*B110,1)&lt;&gt;"")*(OFFSET(Calc2!$I$4,,,$F$26*B110,1)&lt;&gt;""))</f>
        <v>1</v>
      </c>
      <c r="N122" s="1">
        <f t="array" aca="1" ref="N122" ca="1">SUMPRODUCT((OFFSET(Calc2!$F$4,,,$F$26*B110,1)=F122)*(OFFSET(Calc2!$H$4,,,$F$26*B110,1)&lt;OFFSET(Calc2!$I$4,,,$F$26*B110,1)))+SUMPRODUCT((OFFSET(Calc2!$G$4,,,$F$26*B110,1)=F122)*(OFFSET(Calc2!$H$4,,,$F$26*B110,1)&gt;OFFSET(Calc2!$I$4,,,$F$26*B110,1)))</f>
        <v>2</v>
      </c>
      <c r="O122" s="132">
        <f ca="1">SUMPRODUCT((F122=OFFSET(Calc2!$F$4,,,$F$26*B110,1))*OFFSET(Calc2!$O$4,,,$F$26*B110,1))+SUMPRODUCT((F122=OFFSET(Calc2!$G$4,,,$F$26*B110,1))*OFFSET(Calc2!$P$4,,,$F$26*B110,1))</f>
        <v>0</v>
      </c>
      <c r="P122" s="2"/>
      <c r="Q122" s="2"/>
      <c r="R122" s="13">
        <f t="shared" ca="1" si="21"/>
        <v>7500000008</v>
      </c>
      <c r="S122" s="134">
        <f>Tie_Break!$D$17</f>
        <v>0</v>
      </c>
      <c r="T122" s="9">
        <f ca="1">RANK(R122,R112:R131)+(9-S122)/10000+(F122="")*1000</f>
        <v>9.0008999999999997</v>
      </c>
      <c r="U122" s="2"/>
      <c r="V122" s="134">
        <f ca="1">IF($K$24=0,"",IF(VLOOKUP(B122,C112:E131,3,0)=MAX(V$4:V121),VLOOKUP(B122,C112:E131,3,0),B122))</f>
        <v>11</v>
      </c>
      <c r="W122" s="4" t="str">
        <f ca="1">IF($K$24=0,Calc2!$C$14,VLOOKUP(B122,C112:N131,4,0))</f>
        <v>1. FC Union Berlin</v>
      </c>
      <c r="X122" s="1">
        <f ca="1">INDEX(V85:V104,MATCH(W122,W85:W104,0))</f>
        <v>10</v>
      </c>
      <c r="Y122" s="1">
        <f t="shared" ca="1" si="24"/>
        <v>-1</v>
      </c>
    </row>
    <row r="123" spans="2:25" x14ac:dyDescent="0.2">
      <c r="B123" s="1">
        <v>12</v>
      </c>
      <c r="C123" s="9">
        <f ca="1">RANK(D123,D112:D131,1)</f>
        <v>13</v>
      </c>
      <c r="D123" s="134">
        <f t="shared" ca="1" si="22"/>
        <v>13.122999999999999</v>
      </c>
      <c r="E123" s="134">
        <f ca="1">RANK(T123,T112:T131,1)</f>
        <v>13</v>
      </c>
      <c r="F123" s="187" t="str">
        <f>Calc2!$C$15</f>
        <v>Hamburger SV</v>
      </c>
      <c r="G123" s="1">
        <f ca="1">SUMIFS(OFFSET(Calc2!$H$4,,,$F$26*B110,1),OFFSET(Calc2!$F$4,,,$F$26*B110,1),F123)+SUMIFS(OFFSET(Calc2!$I$4,,,$F$26*B110,1),OFFSET(Calc2!$G$4,,,$F$26*B110,1),F123)</f>
        <v>2</v>
      </c>
      <c r="H123" s="1">
        <f ca="1">SUMIFS(OFFSET(Calc2!$I$4,,,$F$26*B110,1),OFFSET(Calc2!$F$4,,,$F$26*B110,1),F123)+SUMIFS(OFFSET(Calc2!$H$4,,,$F$26*B110,1),OFFSET(Calc2!$G$4,,,$F$26*B110,1),F123)</f>
        <v>8</v>
      </c>
      <c r="I123" s="134">
        <f t="shared" ca="1" si="20"/>
        <v>-6</v>
      </c>
      <c r="J123" s="12">
        <f ca="1">L123*Settings!$C$3+M123+O123</f>
        <v>5</v>
      </c>
      <c r="K123" s="1">
        <f t="shared" ca="1" si="23"/>
        <v>5</v>
      </c>
      <c r="L123" s="1">
        <f t="array" aca="1" ref="L123" ca="1">SUMPRODUCT((OFFSET(Calc2!$F$4,,,$F$26*B110,1)=F123)*(OFFSET(Calc2!$H$4,,,$F$26*B110,1)&gt;OFFSET(Calc2!$I$4,,,$F$26*B110,1)))+SUMPRODUCT((OFFSET(Calc2!$G$4,,,$F$26*B110,1)=F123)*(OFFSET(Calc2!$H$4,,,$F$26*B110,1)&lt;OFFSET(Calc2!$I$4,,,$F$26*B110,1)))</f>
        <v>1</v>
      </c>
      <c r="M123" s="1">
        <f t="array" aca="1" ref="M123" ca="1">SUMPRODUCT((OFFSET(Calc2!$F$4,,,$F$26*B110,2)=F123)*(OFFSET(Calc2!$H$4,,,$F$26*B110,1)=OFFSET(Calc2!$I$4,,,$F$26*B110,1))*(OFFSET(Calc2!$H$4,,,$F$26*B110,1)&lt;&gt;"")*(OFFSET(Calc2!$I$4,,,$F$26*B110,1)&lt;&gt;""))</f>
        <v>2</v>
      </c>
      <c r="N123" s="1">
        <f t="array" aca="1" ref="N123" ca="1">SUMPRODUCT((OFFSET(Calc2!$F$4,,,$F$26*B110,1)=F123)*(OFFSET(Calc2!$H$4,,,$F$26*B110,1)&lt;OFFSET(Calc2!$I$4,,,$F$26*B110,1)))+SUMPRODUCT((OFFSET(Calc2!$G$4,,,$F$26*B110,1)=F123)*(OFFSET(Calc2!$H$4,,,$F$26*B110,1)&gt;OFFSET(Calc2!$I$4,,,$F$26*B110,1)))</f>
        <v>2</v>
      </c>
      <c r="O123" s="132">
        <f ca="1">SUMPRODUCT((F123=OFFSET(Calc2!$F$4,,,$F$26*B110,1))*OFFSET(Calc2!$O$4,,,$F$26*B110,1))+SUMPRODUCT((F123=OFFSET(Calc2!$G$4,,,$F$26*B110,1))*OFFSET(Calc2!$P$4,,,$F$26*B110,1))</f>
        <v>0</v>
      </c>
      <c r="P123" s="2"/>
      <c r="Q123" s="2"/>
      <c r="R123" s="13">
        <f t="shared" ca="1" si="21"/>
        <v>5499994002</v>
      </c>
      <c r="S123" s="134">
        <f>Tie_Break!$D$18</f>
        <v>0</v>
      </c>
      <c r="T123" s="9">
        <f ca="1">RANK(R123,R112:R131)+(9-S123)/10000+(F123="")*1000</f>
        <v>13.0009</v>
      </c>
      <c r="U123" s="2"/>
      <c r="V123" s="134">
        <f ca="1">IF($K$24=0,"",IF(VLOOKUP(B123,C112:E131,3,0)=MAX(V$4:V122),VLOOKUP(B123,C112:E131,3,0),B123))</f>
        <v>12</v>
      </c>
      <c r="W123" s="4" t="str">
        <f ca="1">IF($K$24=0,Calc2!$C$15,VLOOKUP(B123,C112:N131,4,0))</f>
        <v>VfL Wolfsburg</v>
      </c>
      <c r="X123" s="1">
        <f ca="1">INDEX(V85:V104,MATCH(W123,W85:W104,0))</f>
        <v>12</v>
      </c>
      <c r="Y123" s="1">
        <f t="shared" ca="1" si="24"/>
        <v>0</v>
      </c>
    </row>
    <row r="124" spans="2:25" x14ac:dyDescent="0.2">
      <c r="B124" s="1">
        <v>13</v>
      </c>
      <c r="C124" s="9">
        <f ca="1">RANK(D124,D112:D131,1)</f>
        <v>3</v>
      </c>
      <c r="D124" s="134">
        <f t="shared" ca="1" si="22"/>
        <v>3.1240000000000001</v>
      </c>
      <c r="E124" s="134">
        <f ca="1">RANK(T124,T112:T131,1)</f>
        <v>3</v>
      </c>
      <c r="F124" s="187" t="str">
        <f>Calc2!$C$16</f>
        <v>RB Leipzig</v>
      </c>
      <c r="G124" s="1">
        <f ca="1">SUMIFS(OFFSET(Calc2!$H$4,,,$F$26*B110,1),OFFSET(Calc2!$F$4,,,$F$26*B110,1),F124)+SUMIFS(OFFSET(Calc2!$I$4,,,$F$26*B110,1),OFFSET(Calc2!$G$4,,,$F$26*B110,1),F124)</f>
        <v>7</v>
      </c>
      <c r="H124" s="1">
        <f ca="1">SUMIFS(OFFSET(Calc2!$I$4,,,$F$26*B110,1),OFFSET(Calc2!$F$4,,,$F$26*B110,1),F124)+SUMIFS(OFFSET(Calc2!$H$4,,,$F$26*B110,1),OFFSET(Calc2!$G$4,,,$F$26*B110,1),F124)</f>
        <v>7</v>
      </c>
      <c r="I124" s="134">
        <f t="shared" ca="1" si="20"/>
        <v>0</v>
      </c>
      <c r="J124" s="12">
        <f ca="1">L124*Settings!$C$3+M124+O124</f>
        <v>12</v>
      </c>
      <c r="K124" s="1">
        <f t="shared" ca="1" si="23"/>
        <v>5</v>
      </c>
      <c r="L124" s="1">
        <f t="array" aca="1" ref="L124" ca="1">SUMPRODUCT((OFFSET(Calc2!$F$4,,,$F$26*B110,1)=F124)*(OFFSET(Calc2!$H$4,,,$F$26*B110,1)&gt;OFFSET(Calc2!$I$4,,,$F$26*B110,1)))+SUMPRODUCT((OFFSET(Calc2!$G$4,,,$F$26*B110,1)=F124)*(OFFSET(Calc2!$H$4,,,$F$26*B110,1)&lt;OFFSET(Calc2!$I$4,,,$F$26*B110,1)))</f>
        <v>4</v>
      </c>
      <c r="M124" s="1">
        <f t="array" aca="1" ref="M124" ca="1">SUMPRODUCT((OFFSET(Calc2!$F$4,,,$F$26*B110,2)=F124)*(OFFSET(Calc2!$H$4,,,$F$26*B110,1)=OFFSET(Calc2!$I$4,,,$F$26*B110,1))*(OFFSET(Calc2!$H$4,,,$F$26*B110,1)&lt;&gt;"")*(OFFSET(Calc2!$I$4,,,$F$26*B110,1)&lt;&gt;""))</f>
        <v>0</v>
      </c>
      <c r="N124" s="1">
        <f t="array" aca="1" ref="N124" ca="1">SUMPRODUCT((OFFSET(Calc2!$F$4,,,$F$26*B110,1)=F124)*(OFFSET(Calc2!$H$4,,,$F$26*B110,1)&lt;OFFSET(Calc2!$I$4,,,$F$26*B110,1)))+SUMPRODUCT((OFFSET(Calc2!$G$4,,,$F$26*B110,1)=F124)*(OFFSET(Calc2!$H$4,,,$F$26*B110,1)&gt;OFFSET(Calc2!$I$4,,,$F$26*B110,1)))</f>
        <v>1</v>
      </c>
      <c r="O124" s="132">
        <f ca="1">SUMPRODUCT((F124=OFFSET(Calc2!$F$4,,,$F$26*B110,1))*OFFSET(Calc2!$O$4,,,$F$26*B110,1))+SUMPRODUCT((F124=OFFSET(Calc2!$G$4,,,$F$26*B110,1))*OFFSET(Calc2!$P$4,,,$F$26*B110,1))</f>
        <v>0</v>
      </c>
      <c r="P124" s="2"/>
      <c r="Q124" s="2"/>
      <c r="R124" s="13">
        <f t="shared" ca="1" si="21"/>
        <v>12500000007</v>
      </c>
      <c r="S124" s="134">
        <f>Tie_Break!$D$19</f>
        <v>0</v>
      </c>
      <c r="T124" s="9">
        <f ca="1">RANK(R124,R112:R131)+(9-S124)/10000+(F124="")*1000</f>
        <v>3.0009000000000001</v>
      </c>
      <c r="U124" s="1"/>
      <c r="V124" s="134">
        <f ca="1">IF($K$24=0,"",IF(VLOOKUP(B124,C112:E131,3,0)=MAX(V$4:V123),VLOOKUP(B124,C112:E131,3,0),B124))</f>
        <v>13</v>
      </c>
      <c r="W124" s="4" t="str">
        <f ca="1">IF($K$24=0,Calc2!$C$16,VLOOKUP(B124,C112:N131,4,0))</f>
        <v>Hamburger SV</v>
      </c>
      <c r="X124" s="1">
        <f ca="1">INDEX(V85:V104,MATCH(W124,W85:W104,0))</f>
        <v>15</v>
      </c>
      <c r="Y124" s="1">
        <f t="shared" ca="1" si="24"/>
        <v>1</v>
      </c>
    </row>
    <row r="125" spans="2:25" x14ac:dyDescent="0.2">
      <c r="B125" s="1">
        <v>14</v>
      </c>
      <c r="C125" s="9">
        <f ca="1">RANK(D125,D112:D131,1)</f>
        <v>8</v>
      </c>
      <c r="D125" s="134">
        <f t="shared" ca="1" si="22"/>
        <v>8.125</v>
      </c>
      <c r="E125" s="134">
        <f ca="1">RANK(T125,T112:T131,1)</f>
        <v>8</v>
      </c>
      <c r="F125" s="187" t="str">
        <f>Calc2!$C$17</f>
        <v>SC Freiburg</v>
      </c>
      <c r="G125" s="1">
        <f ca="1">SUMIFS(OFFSET(Calc2!$H$4,,,$F$26*B110,1),OFFSET(Calc2!$F$4,,,$F$26*B110,1),F125)+SUMIFS(OFFSET(Calc2!$I$4,,,$F$26*B110,1),OFFSET(Calc2!$G$4,,,$F$26*B110,1),F125)</f>
        <v>9</v>
      </c>
      <c r="H125" s="1">
        <f ca="1">SUMIFS(OFFSET(Calc2!$I$4,,,$F$26*B110,1),OFFSET(Calc2!$F$4,,,$F$26*B110,1),F125)+SUMIFS(OFFSET(Calc2!$H$4,,,$F$26*B110,1),OFFSET(Calc2!$G$4,,,$F$26*B110,1),F125)</f>
        <v>9</v>
      </c>
      <c r="I125" s="134">
        <f t="shared" ca="1" si="20"/>
        <v>0</v>
      </c>
      <c r="J125" s="12">
        <f ca="1">L125*Settings!$C$3+M125+O125</f>
        <v>7</v>
      </c>
      <c r="K125" s="1">
        <f t="shared" ca="1" si="23"/>
        <v>5</v>
      </c>
      <c r="L125" s="1">
        <f t="array" aca="1" ref="L125" ca="1">SUMPRODUCT((OFFSET(Calc2!$F$4,,,$F$26*B110,1)=F125)*(OFFSET(Calc2!$H$4,,,$F$26*B110,1)&gt;OFFSET(Calc2!$I$4,,,$F$26*B110,1)))+SUMPRODUCT((OFFSET(Calc2!$G$4,,,$F$26*B110,1)=F125)*(OFFSET(Calc2!$H$4,,,$F$26*B110,1)&lt;OFFSET(Calc2!$I$4,,,$F$26*B110,1)))</f>
        <v>2</v>
      </c>
      <c r="M125" s="1">
        <f t="array" aca="1" ref="M125" ca="1">SUMPRODUCT((OFFSET(Calc2!$F$4,,,$F$26*B110,2)=F125)*(OFFSET(Calc2!$H$4,,,$F$26*B110,1)=OFFSET(Calc2!$I$4,,,$F$26*B110,1))*(OFFSET(Calc2!$H$4,,,$F$26*B110,1)&lt;&gt;"")*(OFFSET(Calc2!$I$4,,,$F$26*B110,1)&lt;&gt;""))</f>
        <v>1</v>
      </c>
      <c r="N125" s="1">
        <f t="array" aca="1" ref="N125" ca="1">SUMPRODUCT((OFFSET(Calc2!$F$4,,,$F$26*B110,1)=F125)*(OFFSET(Calc2!$H$4,,,$F$26*B110,1)&lt;OFFSET(Calc2!$I$4,,,$F$26*B110,1)))+SUMPRODUCT((OFFSET(Calc2!$G$4,,,$F$26*B110,1)=F125)*(OFFSET(Calc2!$H$4,,,$F$26*B110,1)&gt;OFFSET(Calc2!$I$4,,,$F$26*B110,1)))</f>
        <v>2</v>
      </c>
      <c r="O125" s="132">
        <f ca="1">SUMPRODUCT((F125=OFFSET(Calc2!$F$4,,,$F$26*B110,1))*OFFSET(Calc2!$O$4,,,$F$26*B110,1))+SUMPRODUCT((F125=OFFSET(Calc2!$G$4,,,$F$26*B110,1))*OFFSET(Calc2!$P$4,,,$F$26*B110,1))</f>
        <v>0</v>
      </c>
      <c r="P125" s="2"/>
      <c r="Q125" s="2"/>
      <c r="R125" s="13">
        <f t="shared" ca="1" si="21"/>
        <v>7500000009</v>
      </c>
      <c r="S125" s="134">
        <f>Tie_Break!$D$20</f>
        <v>0</v>
      </c>
      <c r="T125" s="9">
        <f ca="1">RANK(R125,R112:R131)+(9-S125)/10000+(F125="")*1000</f>
        <v>8.0008999999999997</v>
      </c>
      <c r="U125" s="2"/>
      <c r="V125" s="134">
        <f ca="1">IF($K$24=0,"",IF(VLOOKUP(B125,C112:E131,3,0)=MAX(V$4:V124),VLOOKUP(B125,C112:E131,3,0),B125))</f>
        <v>14</v>
      </c>
      <c r="W125" s="4" t="str">
        <f ca="1">IF($K$24=0,Calc2!$C$17,VLOOKUP(B125,C112:N131,4,0))</f>
        <v>1. FSV Mainz 05</v>
      </c>
      <c r="X125" s="1">
        <f ca="1">INDEX(V85:V104,MATCH(W125,W85:W104,0))</f>
        <v>13</v>
      </c>
      <c r="Y125" s="1">
        <f t="shared" ca="1" si="24"/>
        <v>-1</v>
      </c>
    </row>
    <row r="126" spans="2:25" x14ac:dyDescent="0.2">
      <c r="B126" s="1">
        <v>15</v>
      </c>
      <c r="C126" s="9">
        <f ca="1">RANK(D126,D112:D131,1)</f>
        <v>15</v>
      </c>
      <c r="D126" s="134">
        <f t="shared" ca="1" si="22"/>
        <v>15.125999999999999</v>
      </c>
      <c r="E126" s="134">
        <f ca="1">RANK(T126,T112:T131,1)</f>
        <v>15</v>
      </c>
      <c r="F126" s="187" t="str">
        <f>Calc2!$C$18</f>
        <v>SV Werder Bremen</v>
      </c>
      <c r="G126" s="1">
        <f ca="1">SUMIFS(OFFSET(Calc2!$H$4,,,$F$26*B110,1),OFFSET(Calc2!$F$4,,,$F$26*B110,1),F126)+SUMIFS(OFFSET(Calc2!$I$4,,,$F$26*B110,1),OFFSET(Calc2!$G$4,,,$F$26*B110,1),F126)</f>
        <v>8</v>
      </c>
      <c r="H126" s="1">
        <f ca="1">SUMIFS(OFFSET(Calc2!$I$4,,,$F$26*B110,1),OFFSET(Calc2!$F$4,,,$F$26*B110,1),F126)+SUMIFS(OFFSET(Calc2!$H$4,,,$F$26*B110,1),OFFSET(Calc2!$G$4,,,$F$26*B110,1),F126)</f>
        <v>14</v>
      </c>
      <c r="I126" s="134">
        <f t="shared" ca="1" si="20"/>
        <v>-6</v>
      </c>
      <c r="J126" s="12">
        <f ca="1">L126*Settings!$C$3+M126+O126</f>
        <v>4</v>
      </c>
      <c r="K126" s="1">
        <f t="shared" ca="1" si="23"/>
        <v>5</v>
      </c>
      <c r="L126" s="1">
        <f t="array" aca="1" ref="L126" ca="1">SUMPRODUCT((OFFSET(Calc2!$F$4,,,$F$26*B110,1)=F126)*(OFFSET(Calc2!$H$4,,,$F$26*B110,1)&gt;OFFSET(Calc2!$I$4,,,$F$26*B110,1)))+SUMPRODUCT((OFFSET(Calc2!$G$4,,,$F$26*B110,1)=F126)*(OFFSET(Calc2!$H$4,,,$F$26*B110,1)&lt;OFFSET(Calc2!$I$4,,,$F$26*B110,1)))</f>
        <v>1</v>
      </c>
      <c r="M126" s="1">
        <f t="array" aca="1" ref="M126" ca="1">SUMPRODUCT((OFFSET(Calc2!$F$4,,,$F$26*B110,2)=F126)*(OFFSET(Calc2!$H$4,,,$F$26*B110,1)=OFFSET(Calc2!$I$4,,,$F$26*B110,1))*(OFFSET(Calc2!$H$4,,,$F$26*B110,1)&lt;&gt;"")*(OFFSET(Calc2!$I$4,,,$F$26*B110,1)&lt;&gt;""))</f>
        <v>1</v>
      </c>
      <c r="N126" s="1">
        <f t="array" aca="1" ref="N126" ca="1">SUMPRODUCT((OFFSET(Calc2!$F$4,,,$F$26*B110,1)=F126)*(OFFSET(Calc2!$H$4,,,$F$26*B110,1)&lt;OFFSET(Calc2!$I$4,,,$F$26*B110,1)))+SUMPRODUCT((OFFSET(Calc2!$G$4,,,$F$26*B110,1)=F126)*(OFFSET(Calc2!$H$4,,,$F$26*B110,1)&gt;OFFSET(Calc2!$I$4,,,$F$26*B110,1)))</f>
        <v>3</v>
      </c>
      <c r="O126" s="132">
        <f ca="1">SUMPRODUCT((F126=OFFSET(Calc2!$F$4,,,$F$26*B110,1))*OFFSET(Calc2!$O$4,,,$F$26*B110,1))+SUMPRODUCT((F126=OFFSET(Calc2!$G$4,,,$F$26*B110,1))*OFFSET(Calc2!$P$4,,,$F$26*B110,1))</f>
        <v>0</v>
      </c>
      <c r="P126" s="2"/>
      <c r="Q126" s="2"/>
      <c r="R126" s="13">
        <f t="shared" ca="1" si="21"/>
        <v>4499994008</v>
      </c>
      <c r="S126" s="134">
        <f>Tie_Break!$D$21</f>
        <v>0</v>
      </c>
      <c r="T126" s="9">
        <f ca="1">RANK(R126,R112:R131)+(9-S126)/10000+(F126="")*1000</f>
        <v>15.0009</v>
      </c>
      <c r="U126" s="2"/>
      <c r="V126" s="134">
        <f ca="1">IF($K$24=0,"",IF(VLOOKUP(B126,C112:E131,3,0)=MAX(V$4:V125),VLOOKUP(B126,C112:E131,3,0),B126))</f>
        <v>15</v>
      </c>
      <c r="W126" s="4" t="str">
        <f ca="1">IF($K$24=0,Calc2!$C$18,VLOOKUP(B126,C112:N131,4,0))</f>
        <v>SV Werder Bremen</v>
      </c>
      <c r="X126" s="1">
        <f ca="1">INDEX(V85:V104,MATCH(W126,W85:W104,0))</f>
        <v>14</v>
      </c>
      <c r="Y126" s="1">
        <f t="shared" ca="1" si="24"/>
        <v>-1</v>
      </c>
    </row>
    <row r="127" spans="2:25" x14ac:dyDescent="0.2">
      <c r="B127" s="1">
        <v>16</v>
      </c>
      <c r="C127" s="9">
        <f ca="1">RANK(D127,D112:D131,1)</f>
        <v>10</v>
      </c>
      <c r="D127" s="134">
        <f t="shared" ca="1" si="22"/>
        <v>10.127000000000001</v>
      </c>
      <c r="E127" s="134">
        <f ca="1">RANK(T127,T112:T131,1)</f>
        <v>10</v>
      </c>
      <c r="F127" s="187" t="str">
        <f>Calc2!$C$19</f>
        <v>TSG Hoffenheim</v>
      </c>
      <c r="G127" s="1">
        <f ca="1">SUMIFS(OFFSET(Calc2!$H$4,,,$F$26*B110,1),OFFSET(Calc2!$F$4,,,$F$26*B110,1),F127)+SUMIFS(OFFSET(Calc2!$I$4,,,$F$26*B110,1),OFFSET(Calc2!$G$4,,,$F$26*B110,1),F127)</f>
        <v>9</v>
      </c>
      <c r="H127" s="1">
        <f ca="1">SUMIFS(OFFSET(Calc2!$I$4,,,$F$26*B110,1),OFFSET(Calc2!$F$4,,,$F$26*B110,1),F127)+SUMIFS(OFFSET(Calc2!$H$4,,,$F$26*B110,1),OFFSET(Calc2!$G$4,,,$F$26*B110,1),F127)</f>
        <v>11</v>
      </c>
      <c r="I127" s="134">
        <f t="shared" ca="1" si="20"/>
        <v>-2</v>
      </c>
      <c r="J127" s="12">
        <f ca="1">L127*Settings!$C$3+M127+O127</f>
        <v>7</v>
      </c>
      <c r="K127" s="1">
        <f t="shared" ca="1" si="23"/>
        <v>5</v>
      </c>
      <c r="L127" s="1">
        <f t="array" aca="1" ref="L127" ca="1">SUMPRODUCT((OFFSET(Calc2!$F$4,,,$F$26*B110,1)=F127)*(OFFSET(Calc2!$H$4,,,$F$26*B110,1)&gt;OFFSET(Calc2!$I$4,,,$F$26*B110,1)))+SUMPRODUCT((OFFSET(Calc2!$G$4,,,$F$26*B110,1)=F127)*(OFFSET(Calc2!$H$4,,,$F$26*B110,1)&lt;OFFSET(Calc2!$I$4,,,$F$26*B110,1)))</f>
        <v>2</v>
      </c>
      <c r="M127" s="1">
        <f t="array" aca="1" ref="M127" ca="1">SUMPRODUCT((OFFSET(Calc2!$F$4,,,$F$26*B110,2)=F127)*(OFFSET(Calc2!$H$4,,,$F$26*B110,1)=OFFSET(Calc2!$I$4,,,$F$26*B110,1))*(OFFSET(Calc2!$H$4,,,$F$26*B110,1)&lt;&gt;"")*(OFFSET(Calc2!$I$4,,,$F$26*B110,1)&lt;&gt;""))</f>
        <v>1</v>
      </c>
      <c r="N127" s="1">
        <f t="array" aca="1" ref="N127" ca="1">SUMPRODUCT((OFFSET(Calc2!$F$4,,,$F$26*B110,1)=F127)*(OFFSET(Calc2!$H$4,,,$F$26*B110,1)&lt;OFFSET(Calc2!$I$4,,,$F$26*B110,1)))+SUMPRODUCT((OFFSET(Calc2!$G$4,,,$F$26*B110,1)=F127)*(OFFSET(Calc2!$H$4,,,$F$26*B110,1)&gt;OFFSET(Calc2!$I$4,,,$F$26*B110,1)))</f>
        <v>2</v>
      </c>
      <c r="O127" s="132">
        <f ca="1">SUMPRODUCT((F127=OFFSET(Calc2!$F$4,,,$F$26*B110,1))*OFFSET(Calc2!$O$4,,,$F$26*B110,1))+SUMPRODUCT((F127=OFFSET(Calc2!$G$4,,,$F$26*B110,1))*OFFSET(Calc2!$P$4,,,$F$26*B110,1))</f>
        <v>0</v>
      </c>
      <c r="P127" s="2"/>
      <c r="Q127" s="2"/>
      <c r="R127" s="13">
        <f t="shared" ca="1" si="21"/>
        <v>7499998009</v>
      </c>
      <c r="S127" s="134">
        <f>Tie_Break!$D$22</f>
        <v>0</v>
      </c>
      <c r="T127" s="9">
        <f ca="1">RANK(R127,R112:R131)+(9-S127)/10000+(F127="")*1000</f>
        <v>10.0009</v>
      </c>
      <c r="U127" s="2"/>
      <c r="V127" s="134">
        <f ca="1">IF($K$24=0,"",IF(VLOOKUP(B127,C112:E131,3,0)=MAX(V$4:V126),VLOOKUP(B127,C112:E131,3,0),B127))</f>
        <v>16</v>
      </c>
      <c r="W127" s="4" t="str">
        <f ca="1">IF($K$24=0,Calc2!$C$19,VLOOKUP(B127,C112:N131,4,0))</f>
        <v>FC Augsburg</v>
      </c>
      <c r="X127" s="1">
        <f ca="1">INDEX(V85:V104,MATCH(W127,W85:W104,0))</f>
        <v>16</v>
      </c>
      <c r="Y127" s="1">
        <f t="shared" ca="1" si="24"/>
        <v>0</v>
      </c>
    </row>
    <row r="128" spans="2:25" x14ac:dyDescent="0.2">
      <c r="B128" s="1">
        <v>17</v>
      </c>
      <c r="C128" s="9">
        <f ca="1">RANK(D128,D112:D131,1)</f>
        <v>5</v>
      </c>
      <c r="D128" s="134">
        <f t="shared" ca="1" si="22"/>
        <v>5.1280000000000001</v>
      </c>
      <c r="E128" s="134">
        <f ca="1">RANK(T128,T112:T131,1)</f>
        <v>5</v>
      </c>
      <c r="F128" s="187" t="str">
        <f>Calc2!$C$20</f>
        <v>VfB Stuttgart</v>
      </c>
      <c r="G128" s="1">
        <f ca="1">SUMIFS(OFFSET(Calc2!$H$4,,,$F$26*B110,1),OFFSET(Calc2!$F$4,,,$F$26*B110,1),F128)+SUMIFS(OFFSET(Calc2!$I$4,,,$F$26*B110,1),OFFSET(Calc2!$G$4,,,$F$26*B110,1),F128)</f>
        <v>7</v>
      </c>
      <c r="H128" s="1">
        <f ca="1">SUMIFS(OFFSET(Calc2!$I$4,,,$F$26*B110,1),OFFSET(Calc2!$F$4,,,$F$26*B110,1),F128)+SUMIFS(OFFSET(Calc2!$H$4,,,$F$26*B110,1),OFFSET(Calc2!$G$4,,,$F$26*B110,1),F128)</f>
        <v>6</v>
      </c>
      <c r="I128" s="134">
        <f t="shared" ca="1" si="20"/>
        <v>1</v>
      </c>
      <c r="J128" s="12">
        <f ca="1">L128*Settings!$C$3+M128+O128</f>
        <v>9</v>
      </c>
      <c r="K128" s="1">
        <f t="shared" ca="1" si="23"/>
        <v>5</v>
      </c>
      <c r="L128" s="1">
        <f t="array" aca="1" ref="L128" ca="1">SUMPRODUCT((OFFSET(Calc2!$F$4,,,$F$26*B110,1)=F128)*(OFFSET(Calc2!$H$4,,,$F$26*B110,1)&gt;OFFSET(Calc2!$I$4,,,$F$26*B110,1)))+SUMPRODUCT((OFFSET(Calc2!$G$4,,,$F$26*B110,1)=F128)*(OFFSET(Calc2!$H$4,,,$F$26*B110,1)&lt;OFFSET(Calc2!$I$4,,,$F$26*B110,1)))</f>
        <v>3</v>
      </c>
      <c r="M128" s="1">
        <f t="array" aca="1" ref="M128" ca="1">SUMPRODUCT((OFFSET(Calc2!$F$4,,,$F$26*B110,2)=F128)*(OFFSET(Calc2!$H$4,,,$F$26*B110,1)=OFFSET(Calc2!$I$4,,,$F$26*B110,1))*(OFFSET(Calc2!$H$4,,,$F$26*B110,1)&lt;&gt;"")*(OFFSET(Calc2!$I$4,,,$F$26*B110,1)&lt;&gt;""))</f>
        <v>0</v>
      </c>
      <c r="N128" s="1">
        <f t="array" aca="1" ref="N128" ca="1">SUMPRODUCT((OFFSET(Calc2!$F$4,,,$F$26*B110,1)=F128)*(OFFSET(Calc2!$H$4,,,$F$26*B110,1)&lt;OFFSET(Calc2!$I$4,,,$F$26*B110,1)))+SUMPRODUCT((OFFSET(Calc2!$G$4,,,$F$26*B110,1)=F128)*(OFFSET(Calc2!$H$4,,,$F$26*B110,1)&gt;OFFSET(Calc2!$I$4,,,$F$26*B110,1)))</f>
        <v>2</v>
      </c>
      <c r="O128" s="132">
        <f ca="1">SUMPRODUCT((F128=OFFSET(Calc2!$F$4,,,$F$26*B110,1))*OFFSET(Calc2!$O$4,,,$F$26*B110,1))+SUMPRODUCT((F128=OFFSET(Calc2!$G$4,,,$F$26*B110,1))*OFFSET(Calc2!$P$4,,,$F$26*B110,1))</f>
        <v>0</v>
      </c>
      <c r="P128" s="2"/>
      <c r="Q128" s="2"/>
      <c r="R128" s="13">
        <f t="shared" ca="1" si="21"/>
        <v>9500001007</v>
      </c>
      <c r="S128" s="134">
        <f>Tie_Break!$D$23</f>
        <v>0</v>
      </c>
      <c r="T128" s="9">
        <f ca="1">RANK(R128,R112:R131)+(9-S128)/10000+(F128="")*1000</f>
        <v>5.0008999999999997</v>
      </c>
      <c r="U128" s="2"/>
      <c r="V128" s="134">
        <f ca="1">IF($K$24=0,"",IF(VLOOKUP(B128,C112:E131,3,0)=MAX(V$4:V127),VLOOKUP(B128,C112:E131,3,0),B128))</f>
        <v>17</v>
      </c>
      <c r="W128" s="4" t="str">
        <f ca="1">IF($K$24=0,Calc2!$C$20,VLOOKUP(B128,C112:N131,4,0))</f>
        <v>1. FC Heidenheim 1846</v>
      </c>
      <c r="X128" s="1">
        <f ca="1">INDEX(V85:V104,MATCH(W128,W85:W104,0))</f>
        <v>18</v>
      </c>
      <c r="Y128" s="1">
        <f t="shared" ca="1" si="24"/>
        <v>1</v>
      </c>
    </row>
    <row r="129" spans="2:25" x14ac:dyDescent="0.2">
      <c r="B129" s="1">
        <v>18</v>
      </c>
      <c r="C129" s="9">
        <f ca="1">RANK(D129,D112:D131,1)</f>
        <v>12</v>
      </c>
      <c r="D129" s="134">
        <f t="shared" ca="1" si="22"/>
        <v>12.129</v>
      </c>
      <c r="E129" s="134">
        <f ca="1">RANK(T129,T112:T131,1)</f>
        <v>12</v>
      </c>
      <c r="F129" s="187" t="str">
        <f>Calc2!$C$21</f>
        <v>VfL Wolfsburg</v>
      </c>
      <c r="G129" s="1">
        <f ca="1">SUMIFS(OFFSET(Calc2!$H$4,,,$F$26*B110,1),OFFSET(Calc2!$F$4,,,$F$26*B110,1),F129)+SUMIFS(OFFSET(Calc2!$I$4,,,$F$26*B110,1),OFFSET(Calc2!$G$4,,,$F$26*B110,1),F129)</f>
        <v>7</v>
      </c>
      <c r="H129" s="1">
        <f ca="1">SUMIFS(OFFSET(Calc2!$I$4,,,$F$26*B110,1),OFFSET(Calc2!$F$4,,,$F$26*B110,1),F129)+SUMIFS(OFFSET(Calc2!$H$4,,,$F$26*B110,1),OFFSET(Calc2!$G$4,,,$F$26*B110,1),F129)</f>
        <v>7</v>
      </c>
      <c r="I129" s="134">
        <f t="shared" ca="1" si="20"/>
        <v>0</v>
      </c>
      <c r="J129" s="12">
        <f ca="1">L129*Settings!$C$3+M129+O129</f>
        <v>5</v>
      </c>
      <c r="K129" s="1">
        <f t="shared" ca="1" si="23"/>
        <v>5</v>
      </c>
      <c r="L129" s="1">
        <f t="array" aca="1" ref="L129" ca="1">SUMPRODUCT((OFFSET(Calc2!$F$4,,,$F$26*B110,1)=F129)*(OFFSET(Calc2!$H$4,,,$F$26*B110,1)&gt;OFFSET(Calc2!$I$4,,,$F$26*B110,1)))+SUMPRODUCT((OFFSET(Calc2!$G$4,,,$F$26*B110,1)=F129)*(OFFSET(Calc2!$H$4,,,$F$26*B110,1)&lt;OFFSET(Calc2!$I$4,,,$F$26*B110,1)))</f>
        <v>1</v>
      </c>
      <c r="M129" s="1">
        <f t="array" aca="1" ref="M129" ca="1">SUMPRODUCT((OFFSET(Calc2!$F$4,,,$F$26*B110,2)=F129)*(OFFSET(Calc2!$H$4,,,$F$26*B110,1)=OFFSET(Calc2!$I$4,,,$F$26*B110,1))*(OFFSET(Calc2!$H$4,,,$F$26*B110,1)&lt;&gt;"")*(OFFSET(Calc2!$I$4,,,$F$26*B110,1)&lt;&gt;""))</f>
        <v>2</v>
      </c>
      <c r="N129" s="1">
        <f t="array" aca="1" ref="N129" ca="1">SUMPRODUCT((OFFSET(Calc2!$F$4,,,$F$26*B110,1)=F129)*(OFFSET(Calc2!$H$4,,,$F$26*B110,1)&lt;OFFSET(Calc2!$I$4,,,$F$26*B110,1)))+SUMPRODUCT((OFFSET(Calc2!$G$4,,,$F$26*B110,1)=F129)*(OFFSET(Calc2!$H$4,,,$F$26*B110,1)&gt;OFFSET(Calc2!$I$4,,,$F$26*B110,1)))</f>
        <v>2</v>
      </c>
      <c r="O129" s="132">
        <f ca="1">SUMPRODUCT((F129=OFFSET(Calc2!$F$4,,,$F$26*B110,1))*OFFSET(Calc2!$O$4,,,$F$26*B110,1))+SUMPRODUCT((F129=OFFSET(Calc2!$G$4,,,$F$26*B110,1))*OFFSET(Calc2!$P$4,,,$F$26*B110,1))</f>
        <v>0</v>
      </c>
      <c r="P129" s="2"/>
      <c r="Q129" s="2"/>
      <c r="R129" s="13">
        <f t="shared" ca="1" si="21"/>
        <v>5500000007</v>
      </c>
      <c r="S129" s="134">
        <f>Tie_Break!$D$24</f>
        <v>0</v>
      </c>
      <c r="T129" s="9">
        <f ca="1">RANK(R129,R112:R131)+(9-S129)/10000+(F129="")*1000</f>
        <v>12.0009</v>
      </c>
      <c r="U129" s="2"/>
      <c r="V129" s="134">
        <f ca="1">IF($K$24=0,"",IF(VLOOKUP(B129,C112:E131,3,0)=MAX(V$4:V128),VLOOKUP(B129,C112:E131,3,0),B129))</f>
        <v>18</v>
      </c>
      <c r="W129" s="4" t="str">
        <f ca="1">IF($K$24=0,Calc2!$C$21,VLOOKUP(B129,C112:N131,4,0))</f>
        <v>Borussia Mönchengladbach</v>
      </c>
      <c r="X129" s="1">
        <f ca="1">INDEX(V85:V104,MATCH(W129,W85:W104,0))</f>
        <v>17</v>
      </c>
      <c r="Y129" s="1">
        <f t="shared" ca="1" si="24"/>
        <v>-1</v>
      </c>
    </row>
    <row r="130" spans="2:25" x14ac:dyDescent="0.2">
      <c r="B130" s="1">
        <v>19</v>
      </c>
      <c r="C130" s="9">
        <f ca="1">RANK(D130,D112:D131,1)</f>
        <v>19</v>
      </c>
      <c r="D130" s="134">
        <f t="shared" ca="1" si="22"/>
        <v>19.13</v>
      </c>
      <c r="E130" s="134">
        <f ca="1">RANK(T130,T112:T131,1)</f>
        <v>19</v>
      </c>
      <c r="F130" s="187" t="str">
        <f>Calc2!$C$22</f>
        <v/>
      </c>
      <c r="G130" s="1">
        <f ca="1">SUMIFS(OFFSET(Calc2!$H$4,,,$F$26*B110,1),OFFSET(Calc2!$F$4,,,$F$26*B110,1),F130)+SUMIFS(OFFSET(Calc2!$I$4,,,$F$26*B110,1),OFFSET(Calc2!$G$4,,,$F$26*B110,1),F130)</f>
        <v>0</v>
      </c>
      <c r="H130" s="1">
        <f ca="1">SUMIFS(OFFSET(Calc2!$I$4,,,$F$26*B110,1),OFFSET(Calc2!$F$4,,,$F$26*B110,1),F130)+SUMIFS(OFFSET(Calc2!$H$4,,,$F$26*B110,1),OFFSET(Calc2!$G$4,,,$F$26*B110,1),F130)</f>
        <v>0</v>
      </c>
      <c r="I130" s="134">
        <f t="shared" ca="1" si="20"/>
        <v>0</v>
      </c>
      <c r="J130" s="12">
        <f ca="1">L130*Settings!$C$3+M130+O130</f>
        <v>0</v>
      </c>
      <c r="K130" s="1">
        <f t="shared" ca="1" si="23"/>
        <v>0</v>
      </c>
      <c r="L130" s="1">
        <f t="array" aca="1" ref="L130" ca="1">SUMPRODUCT((OFFSET(Calc2!$F$4,,,$F$26*B110,1)=F130)*(OFFSET(Calc2!$H$4,,,$F$26*B110,1)&gt;OFFSET(Calc2!$I$4,,,$F$26*B110,1)))+SUMPRODUCT((OFFSET(Calc2!$G$4,,,$F$26*B110,1)=F130)*(OFFSET(Calc2!$H$4,,,$F$26*B110,1)&lt;OFFSET(Calc2!$I$4,,,$F$26*B110,1)))</f>
        <v>0</v>
      </c>
      <c r="M130" s="1">
        <f t="array" aca="1" ref="M130" ca="1">SUMPRODUCT((OFFSET(Calc2!$F$4,,,$F$26*B110,2)=F130)*(OFFSET(Calc2!$H$4,,,$F$26*B110,1)=OFFSET(Calc2!$I$4,,,$F$26*B110,1))*(OFFSET(Calc2!$H$4,,,$F$26*B110,1)&lt;&gt;"")*(OFFSET(Calc2!$I$4,,,$F$26*B110,1)&lt;&gt;""))</f>
        <v>0</v>
      </c>
      <c r="N130" s="1">
        <f t="array" aca="1" ref="N130" ca="1">SUMPRODUCT((OFFSET(Calc2!$F$4,,,$F$26*B110,1)=F130)*(OFFSET(Calc2!$H$4,,,$F$26*B110,1)&lt;OFFSET(Calc2!$I$4,,,$F$26*B110,1)))+SUMPRODUCT((OFFSET(Calc2!$G$4,,,$F$26*B110,1)=F130)*(OFFSET(Calc2!$H$4,,,$F$26*B110,1)&gt;OFFSET(Calc2!$I$4,,,$F$26*B110,1)))</f>
        <v>0</v>
      </c>
      <c r="O130" s="132">
        <f ca="1">SUMPRODUCT((F130=OFFSET(Calc2!$F$4,,,$F$26*B110,1))*OFFSET(Calc2!$O$4,,,$F$26*B110,1))+SUMPRODUCT((F130=OFFSET(Calc2!$G$4,,,$F$26*B110,1))*OFFSET(Calc2!$P$4,,,$F$26*B110,1))</f>
        <v>0</v>
      </c>
      <c r="P130" s="2"/>
      <c r="Q130" s="2"/>
      <c r="R130" s="13">
        <f t="shared" ca="1" si="21"/>
        <v>500000000</v>
      </c>
      <c r="S130" s="134">
        <f>Tie_Break!$D$25</f>
        <v>0</v>
      </c>
      <c r="T130" s="9">
        <f ca="1">RANK(R130,R112:R131)+(9-S130)/10000+(F130="")*1000</f>
        <v>1019.0009</v>
      </c>
      <c r="U130" s="2"/>
      <c r="V130" s="134">
        <f ca="1">IF($K$24=0,"",IF(VLOOKUP(B130,C112:E131,3,0)=MAX(V$4:V129),VLOOKUP(B130,C112:E131,3,0),B130))</f>
        <v>19</v>
      </c>
      <c r="W130" s="4" t="str">
        <f ca="1">IF($K$24=0,Calc2!$C$22,VLOOKUP(B130,C112:N131,4,0))</f>
        <v/>
      </c>
      <c r="X130" s="1">
        <f ca="1">INDEX(V85:V104,MATCH(W130,W85:W104,0))</f>
        <v>19</v>
      </c>
      <c r="Y130" s="1">
        <f t="shared" ca="1" si="24"/>
        <v>0</v>
      </c>
    </row>
    <row r="131" spans="2:25" ht="12.75" thickBot="1" x14ac:dyDescent="0.25">
      <c r="B131" s="1">
        <v>20</v>
      </c>
      <c r="C131" s="10">
        <f ca="1">RANK(D131,D112:D131,1)</f>
        <v>20</v>
      </c>
      <c r="D131" s="134">
        <f t="shared" ca="1" si="22"/>
        <v>19.131</v>
      </c>
      <c r="E131" s="134">
        <f ca="1">RANK(T131,T112:T131,1)</f>
        <v>19</v>
      </c>
      <c r="F131" s="187" t="str">
        <f>Calc2!$C$23</f>
        <v/>
      </c>
      <c r="G131" s="1">
        <f ca="1">SUMIFS(OFFSET(Calc2!$H$4,,,$F$26*B110,1),OFFSET(Calc2!$F$4,,,$F$26*B110,1),F131)+SUMIFS(OFFSET(Calc2!$I$4,,,$F$26*B110,1),OFFSET(Calc2!$G$4,,,$F$26*B110,1),F131)</f>
        <v>0</v>
      </c>
      <c r="H131" s="1">
        <f ca="1">SUMIFS(OFFSET(Calc2!$I$4,,,$F$26*B110,1),OFFSET(Calc2!$F$4,,,$F$26*B110,1),F131)+SUMIFS(OFFSET(Calc2!$H$4,,,$F$26*B110,1),OFFSET(Calc2!$G$4,,,$F$26*B110,1),F131)</f>
        <v>0</v>
      </c>
      <c r="I131" s="134">
        <f t="shared" ca="1" si="20"/>
        <v>0</v>
      </c>
      <c r="J131" s="12">
        <f ca="1">L131*Settings!$C$3+M131+O131</f>
        <v>0</v>
      </c>
      <c r="K131" s="1">
        <f t="shared" ca="1" si="23"/>
        <v>0</v>
      </c>
      <c r="L131" s="1">
        <f t="array" aca="1" ref="L131" ca="1">SUMPRODUCT((OFFSET(Calc2!$F$4,,,$F$26*B110,1)=F131)*(OFFSET(Calc2!$H$4,,,$F$26*B110,1)&gt;OFFSET(Calc2!$I$4,,,$F$26*B110,1)))+SUMPRODUCT((OFFSET(Calc2!$G$4,,,$F$26*B110,1)=F131)*(OFFSET(Calc2!$H$4,,,$F$26*B110,1)&lt;OFFSET(Calc2!$I$4,,,$F$26*B110,1)))</f>
        <v>0</v>
      </c>
      <c r="M131" s="1">
        <f t="array" aca="1" ref="M131" ca="1">SUMPRODUCT((OFFSET(Calc2!$F$4,,,$F$26*B110,2)=F131)*(OFFSET(Calc2!$H$4,,,$F$26*B110,1)=OFFSET(Calc2!$I$4,,,$F$26*B110,1))*(OFFSET(Calc2!$H$4,,,$F$26*B110,1)&lt;&gt;"")*(OFFSET(Calc2!$I$4,,,$F$26*B110,1)&lt;&gt;""))</f>
        <v>0</v>
      </c>
      <c r="N131" s="1">
        <f t="array" aca="1" ref="N131" ca="1">SUMPRODUCT((OFFSET(Calc2!$F$4,,,$F$26*B110,1)=F131)*(OFFSET(Calc2!$H$4,,,$F$26*B110,1)&lt;OFFSET(Calc2!$I$4,,,$F$26*B110,1)))+SUMPRODUCT((OFFSET(Calc2!$G$4,,,$F$26*B110,1)=F131)*(OFFSET(Calc2!$H$4,,,$F$26*B110,1)&gt;OFFSET(Calc2!$I$4,,,$F$26*B110,1)))</f>
        <v>0</v>
      </c>
      <c r="O131" s="132">
        <f ca="1">SUMPRODUCT((F131=OFFSET(Calc2!$F$4,,,$F$26*B110,1))*OFFSET(Calc2!$O$4,,,$F$26*B110,1))+SUMPRODUCT((F131=OFFSET(Calc2!$G$4,,,$F$26*B110,1))*OFFSET(Calc2!$P$4,,,$F$26*B110,1))</f>
        <v>0</v>
      </c>
      <c r="P131" s="2"/>
      <c r="Q131" s="2"/>
      <c r="R131" s="13">
        <f t="shared" ca="1" si="21"/>
        <v>500000000</v>
      </c>
      <c r="S131" s="134">
        <f>Tie_Break!$D$26</f>
        <v>0</v>
      </c>
      <c r="T131" s="10">
        <f ca="1">RANK(R131,R112:R131)+(9-S131)/10000+(F131="")*1000</f>
        <v>1019.0009</v>
      </c>
      <c r="U131" s="2"/>
      <c r="V131" s="134">
        <f ca="1">IF($K$24=0,"",IF(VLOOKUP(B131,C112:E131,3,0)=MAX(V$4:V130),VLOOKUP(B131,C112:E131,3,0),B131))</f>
        <v>19</v>
      </c>
      <c r="W131" s="4" t="str">
        <f ca="1">IF($K$24=0,Calc2!$C$23,VLOOKUP(B131,C112:N131,4,0))</f>
        <v/>
      </c>
      <c r="X131" s="1">
        <f ca="1">INDEX(V85:V104,MATCH(W131,W85:W104,0))</f>
        <v>19</v>
      </c>
      <c r="Y131" s="1">
        <f t="shared" ca="1" si="24"/>
        <v>0</v>
      </c>
    </row>
    <row r="132" spans="2:25" ht="12.75" thickTop="1" x14ac:dyDescent="0.2"/>
    <row r="136" spans="2:25" ht="12.75" thickBot="1" x14ac:dyDescent="0.25"/>
    <row r="137" spans="2:25" ht="12.75" thickBot="1" x14ac:dyDescent="0.25">
      <c r="B137" s="410">
        <v>6</v>
      </c>
      <c r="C137" s="134"/>
      <c r="D137" s="134"/>
      <c r="E137" s="134"/>
      <c r="F137" s="187"/>
      <c r="G137" s="1"/>
      <c r="H137" s="1"/>
      <c r="I137" s="1"/>
      <c r="J137" s="1"/>
      <c r="K137" s="1"/>
      <c r="L137" s="1"/>
      <c r="M137" s="1"/>
      <c r="N137" s="134"/>
      <c r="O137" s="1"/>
      <c r="P137" s="1"/>
      <c r="Q137" s="1"/>
      <c r="R137" s="2"/>
      <c r="S137" s="2"/>
      <c r="T137" s="2"/>
      <c r="U137" s="2"/>
      <c r="V137" s="2"/>
      <c r="W137" s="2"/>
    </row>
    <row r="138" spans="2:25" ht="15.75" thickBot="1" x14ac:dyDescent="0.25">
      <c r="B138" s="1"/>
      <c r="C138" s="134"/>
      <c r="D138" s="134"/>
      <c r="E138" s="134"/>
      <c r="F138" s="11" t="s">
        <v>90</v>
      </c>
      <c r="G138" s="42" t="s">
        <v>95</v>
      </c>
      <c r="H138" s="42" t="s">
        <v>96</v>
      </c>
      <c r="I138" s="11" t="s">
        <v>97</v>
      </c>
      <c r="J138" s="11" t="s">
        <v>98</v>
      </c>
      <c r="K138" s="11" t="s">
        <v>91</v>
      </c>
      <c r="L138" s="12" t="s">
        <v>92</v>
      </c>
      <c r="M138" s="12" t="s">
        <v>93</v>
      </c>
      <c r="N138" s="12" t="s">
        <v>94</v>
      </c>
      <c r="O138" s="12" t="s">
        <v>534</v>
      </c>
      <c r="P138" s="2"/>
      <c r="Q138" s="11"/>
      <c r="R138" s="133" t="s">
        <v>99</v>
      </c>
      <c r="S138" s="6" t="s">
        <v>483</v>
      </c>
      <c r="T138" s="120" t="s">
        <v>146</v>
      </c>
      <c r="U138" s="134"/>
      <c r="V138" s="134"/>
      <c r="W138" s="132"/>
      <c r="X138" s="120" t="s">
        <v>575</v>
      </c>
      <c r="Y138" s="1"/>
    </row>
    <row r="139" spans="2:25" ht="12.75" thickTop="1" x14ac:dyDescent="0.2">
      <c r="B139" s="1">
        <v>1</v>
      </c>
      <c r="C139" s="8">
        <f ca="1">RANK(D139,D139:D158,1)</f>
        <v>18</v>
      </c>
      <c r="D139" s="134">
        <f ca="1">E139+ROW()/1000</f>
        <v>18.138999999999999</v>
      </c>
      <c r="E139" s="134">
        <f ca="1">RANK(T139,T139:T158,1)</f>
        <v>18</v>
      </c>
      <c r="F139" s="187" t="str">
        <f>Calc2!$C$4</f>
        <v>1. FC Heidenheim 1846</v>
      </c>
      <c r="G139" s="1">
        <f ca="1">SUMIFS(OFFSET(Calc2!$H$4,,,$F$26*B137,1),OFFSET(Calc2!$F$4,,,$F$26*B137,1),F139)+SUMIFS(OFFSET(Calc2!$I$4,,,$F$26*B137,1),OFFSET(Calc2!$G$4,,,$F$26*B137,1),F139)</f>
        <v>4</v>
      </c>
      <c r="H139" s="1">
        <f ca="1">SUMIFS(OFFSET(Calc2!$I$4,,,$F$26*B137,1),OFFSET(Calc2!$F$4,,,$F$26*B137,1),F139)+SUMIFS(OFFSET(Calc2!$H$4,,,$F$26*B137,1),OFFSET(Calc2!$G$4,,,$F$26*B137,1),F139)</f>
        <v>11</v>
      </c>
      <c r="I139" s="134">
        <f t="shared" ref="I139:I158" ca="1" si="25">G139-H139</f>
        <v>-7</v>
      </c>
      <c r="J139" s="12">
        <f ca="1">L139*Settings!$C$3+M139+O139</f>
        <v>3</v>
      </c>
      <c r="K139" s="1">
        <f ca="1">L139+M139+N139</f>
        <v>6</v>
      </c>
      <c r="L139" s="1">
        <f t="array" aca="1" ref="L139" ca="1">SUMPRODUCT((OFFSET(Calc2!$F$4,,,$F$26*B137,1)=F139)*(OFFSET(Calc2!$H$4,,,$F$26*B137,1)&gt;OFFSET(Calc2!$I$4,,,$F$26*B137,1)))+SUMPRODUCT((OFFSET(Calc2!$G$4,,,$F$26*B137,1)=F139)*(OFFSET(Calc2!$H$4,,,$F$26*B137,1)&lt;OFFSET(Calc2!$I$4,,,$F$26*B137,1)))</f>
        <v>1</v>
      </c>
      <c r="M139" s="1">
        <f t="array" aca="1" ref="M139" ca="1">SUMPRODUCT((OFFSET(Calc2!$F$4,,,$F$26*B137,2)=F139)*(OFFSET(Calc2!$H$4,,,$F$26*B137,1)=OFFSET(Calc2!$I$4,,,$F$26*B137,1))*(OFFSET(Calc2!$H$4,,,$F$26*B137,1)&lt;&gt;"")*(OFFSET(Calc2!$I$4,,,$F$26*B137,1)&lt;&gt;""))</f>
        <v>0</v>
      </c>
      <c r="N139" s="1">
        <f t="array" aca="1" ref="N139" ca="1">SUMPRODUCT((OFFSET(Calc2!$F$4,,,$F$26*B137,1)=F139)*(OFFSET(Calc2!$H$4,,,$F$26*B137,1)&lt;OFFSET(Calc2!$I$4,,,$F$26*B137,1)))+SUMPRODUCT((OFFSET(Calc2!$G$4,,,$F$26*B137,1)=F139)*(OFFSET(Calc2!$H$4,,,$F$26*B137,1)&gt;OFFSET(Calc2!$I$4,,,$F$26*B137,1)))</f>
        <v>5</v>
      </c>
      <c r="O139" s="132">
        <f ca="1">SUMPRODUCT((F139=OFFSET(Calc2!$F$4,,,$F$26*B137,1))*OFFSET(Calc2!$O$4,,,$F$26*B137,1))+SUMPRODUCT((F139=OFFSET(Calc2!$G$4,,,$F$26*B137,1))*OFFSET(Calc2!$P$4,,,$F$26*B137,1))</f>
        <v>0</v>
      </c>
      <c r="P139" s="2"/>
      <c r="Q139" s="2"/>
      <c r="R139" s="13">
        <f t="shared" ref="R139:R158" ca="1" si="26">J139*FactorPts+(I139+GDzero)*FactorGD+G139*FactorGF</f>
        <v>3499993004</v>
      </c>
      <c r="S139" s="134">
        <f>Tie_Break!$D$7</f>
        <v>0</v>
      </c>
      <c r="T139" s="8">
        <f ca="1">RANK(R139,R139:R158)+(9-S139)/10000+(F139="")*1000</f>
        <v>18.000900000000001</v>
      </c>
      <c r="U139" s="134"/>
      <c r="V139" s="134">
        <f ca="1">IF($K$24=0,"",1)</f>
        <v>1</v>
      </c>
      <c r="W139" s="4" t="str">
        <f ca="1">IF($K$24=0,Calc2!$C$4,VLOOKUP(B139,C139:N158,4,0))</f>
        <v>FC Bayern München</v>
      </c>
      <c r="X139" s="1">
        <f ca="1">INDEX(V112:V131,MATCH(W139,W112:W131,0))</f>
        <v>1</v>
      </c>
      <c r="Y139" s="1">
        <f ca="1">IF(X139&gt;V139,1,IF(X139&lt;V139,-1,0))</f>
        <v>0</v>
      </c>
    </row>
    <row r="140" spans="2:25" x14ac:dyDescent="0.2">
      <c r="B140" s="1">
        <v>2</v>
      </c>
      <c r="C140" s="9">
        <f ca="1">RANK(D140,D139:D158,1)</f>
        <v>6</v>
      </c>
      <c r="D140" s="134">
        <f t="shared" ref="D140:D158" ca="1" si="27">E140+ROW()/1000</f>
        <v>6.14</v>
      </c>
      <c r="E140" s="134">
        <f ca="1">RANK(T140,T139:T158,1)</f>
        <v>6</v>
      </c>
      <c r="F140" s="187" t="str">
        <f>Calc2!$C$5</f>
        <v>1. FC Köln</v>
      </c>
      <c r="G140" s="1">
        <f ca="1">SUMIFS(OFFSET(Calc2!$H$4,,,$F$26*B137,1),OFFSET(Calc2!$F$4,,,$F$26*B137,1),F140)+SUMIFS(OFFSET(Calc2!$I$4,,,$F$26*B137,1),OFFSET(Calc2!$G$4,,,$F$26*B137,1),F140)</f>
        <v>11</v>
      </c>
      <c r="H140" s="1">
        <f ca="1">SUMIFS(OFFSET(Calc2!$I$4,,,$F$26*B137,1),OFFSET(Calc2!$F$4,,,$F$26*B137,1),F140)+SUMIFS(OFFSET(Calc2!$H$4,,,$F$26*B137,1),OFFSET(Calc2!$G$4,,,$F$26*B137,1),F140)</f>
        <v>9</v>
      </c>
      <c r="I140" s="134">
        <f t="shared" ca="1" si="25"/>
        <v>2</v>
      </c>
      <c r="J140" s="12">
        <f ca="1">L140*Settings!$C$3+M140+O140</f>
        <v>10</v>
      </c>
      <c r="K140" s="1">
        <f t="shared" ref="K140:K158" ca="1" si="28">L140+M140+N140</f>
        <v>6</v>
      </c>
      <c r="L140" s="1">
        <f t="array" aca="1" ref="L140" ca="1">SUMPRODUCT((OFFSET(Calc2!$F$4,,,$F$26*B137,1)=F140)*(OFFSET(Calc2!$H$4,,,$F$26*B137,1)&gt;OFFSET(Calc2!$I$4,,,$F$26*B137,1)))+SUMPRODUCT((OFFSET(Calc2!$G$4,,,$F$26*B137,1)=F140)*(OFFSET(Calc2!$H$4,,,$F$26*B137,1)&lt;OFFSET(Calc2!$I$4,,,$F$26*B137,1)))</f>
        <v>3</v>
      </c>
      <c r="M140" s="1">
        <f t="array" aca="1" ref="M140" ca="1">SUMPRODUCT((OFFSET(Calc2!$F$4,,,$F$26*B137,2)=F140)*(OFFSET(Calc2!$H$4,,,$F$26*B137,1)=OFFSET(Calc2!$I$4,,,$F$26*B137,1))*(OFFSET(Calc2!$H$4,,,$F$26*B137,1)&lt;&gt;"")*(OFFSET(Calc2!$I$4,,,$F$26*B137,1)&lt;&gt;""))</f>
        <v>1</v>
      </c>
      <c r="N140" s="1">
        <f t="array" aca="1" ref="N140" ca="1">SUMPRODUCT((OFFSET(Calc2!$F$4,,,$F$26*B137,1)=F140)*(OFFSET(Calc2!$H$4,,,$F$26*B137,1)&lt;OFFSET(Calc2!$I$4,,,$F$26*B137,1)))+SUMPRODUCT((OFFSET(Calc2!$G$4,,,$F$26*B137,1)=F140)*(OFFSET(Calc2!$H$4,,,$F$26*B137,1)&gt;OFFSET(Calc2!$I$4,,,$F$26*B137,1)))</f>
        <v>2</v>
      </c>
      <c r="O140" s="132">
        <f ca="1">SUMPRODUCT((F140=OFFSET(Calc2!$F$4,,,$F$26*B137,1))*OFFSET(Calc2!$O$4,,,$F$26*B137,1))+SUMPRODUCT((F140=OFFSET(Calc2!$G$4,,,$F$26*B137,1))*OFFSET(Calc2!$P$4,,,$F$26*B137,1))</f>
        <v>0</v>
      </c>
      <c r="P140" s="2"/>
      <c r="Q140" s="2"/>
      <c r="R140" s="13">
        <f t="shared" ca="1" si="26"/>
        <v>10500002011</v>
      </c>
      <c r="S140" s="134">
        <f>Tie_Break!$D$8</f>
        <v>0</v>
      </c>
      <c r="T140" s="9">
        <f ca="1">RANK(R140,R139:R158)+(9-S140)/10000+(F140="")*1000</f>
        <v>6.0008999999999997</v>
      </c>
      <c r="U140" s="134"/>
      <c r="V140" s="134">
        <f ca="1">IF($K$24=0,"",IF(VLOOKUP(B140,C139:E158,3,0)=MAX(V$4:V139),VLOOKUP(B140,C139:E158,3,0),B140))</f>
        <v>2</v>
      </c>
      <c r="W140" s="4" t="str">
        <f ca="1">IF($K$24=0,Calc2!$C$5,VLOOKUP(B140,C139:N158,4,0))</f>
        <v>Borussia Dortmund</v>
      </c>
      <c r="X140" s="1">
        <f ca="1">INDEX(V112:V131,MATCH(W140,W112:W131,0))</f>
        <v>2</v>
      </c>
      <c r="Y140" s="1">
        <f t="shared" ref="Y140:Y158" ca="1" si="29">IF(X140&gt;V140,1,IF(X140&lt;V140,-1,0))</f>
        <v>0</v>
      </c>
    </row>
    <row r="141" spans="2:25" x14ac:dyDescent="0.2">
      <c r="B141" s="1">
        <v>3</v>
      </c>
      <c r="C141" s="9">
        <f ca="1">RANK(D141,D139:D158,1)</f>
        <v>13</v>
      </c>
      <c r="D141" s="134">
        <f t="shared" ca="1" si="27"/>
        <v>13.141</v>
      </c>
      <c r="E141" s="134">
        <f ca="1">RANK(T141,T139:T158,1)</f>
        <v>13</v>
      </c>
      <c r="F141" s="187" t="str">
        <f>Calc2!$C$6</f>
        <v>1. FC Union Berlin</v>
      </c>
      <c r="G141" s="1">
        <f ca="1">SUMIFS(OFFSET(Calc2!$H$4,,,$F$26*B137,1),OFFSET(Calc2!$F$4,,,$F$26*B137,1),F141)+SUMIFS(OFFSET(Calc2!$I$4,,,$F$26*B137,1),OFFSET(Calc2!$G$4,,,$F$26*B137,1),F141)</f>
        <v>8</v>
      </c>
      <c r="H141" s="1">
        <f ca="1">SUMIFS(OFFSET(Calc2!$I$4,,,$F$26*B137,1),OFFSET(Calc2!$F$4,,,$F$26*B137,1),F141)+SUMIFS(OFFSET(Calc2!$H$4,,,$F$26*B137,1),OFFSET(Calc2!$G$4,,,$F$26*B137,1),F141)</f>
        <v>13</v>
      </c>
      <c r="I141" s="134">
        <f t="shared" ca="1" si="25"/>
        <v>-5</v>
      </c>
      <c r="J141" s="12">
        <f ca="1">L141*Settings!$C$3+M141+O141</f>
        <v>7</v>
      </c>
      <c r="K141" s="1">
        <f t="shared" ca="1" si="28"/>
        <v>6</v>
      </c>
      <c r="L141" s="1">
        <f t="array" aca="1" ref="L141" ca="1">SUMPRODUCT((OFFSET(Calc2!$F$4,,,$F$26*B137,1)=F141)*(OFFSET(Calc2!$H$4,,,$F$26*B137,1)&gt;OFFSET(Calc2!$I$4,,,$F$26*B137,1)))+SUMPRODUCT((OFFSET(Calc2!$G$4,,,$F$26*B137,1)=F141)*(OFFSET(Calc2!$H$4,,,$F$26*B137,1)&lt;OFFSET(Calc2!$I$4,,,$F$26*B137,1)))</f>
        <v>2</v>
      </c>
      <c r="M141" s="1">
        <f t="array" aca="1" ref="M141" ca="1">SUMPRODUCT((OFFSET(Calc2!$F$4,,,$F$26*B137,2)=F141)*(OFFSET(Calc2!$H$4,,,$F$26*B137,1)=OFFSET(Calc2!$I$4,,,$F$26*B137,1))*(OFFSET(Calc2!$H$4,,,$F$26*B137,1)&lt;&gt;"")*(OFFSET(Calc2!$I$4,,,$F$26*B137,1)&lt;&gt;""))</f>
        <v>1</v>
      </c>
      <c r="N141" s="1">
        <f t="array" aca="1" ref="N141" ca="1">SUMPRODUCT((OFFSET(Calc2!$F$4,,,$F$26*B137,1)=F141)*(OFFSET(Calc2!$H$4,,,$F$26*B137,1)&lt;OFFSET(Calc2!$I$4,,,$F$26*B137,1)))+SUMPRODUCT((OFFSET(Calc2!$G$4,,,$F$26*B137,1)=F141)*(OFFSET(Calc2!$H$4,,,$F$26*B137,1)&gt;OFFSET(Calc2!$I$4,,,$F$26*B137,1)))</f>
        <v>3</v>
      </c>
      <c r="O141" s="132">
        <f ca="1">SUMPRODUCT((F141=OFFSET(Calc2!$F$4,,,$F$26*B137,1))*OFFSET(Calc2!$O$4,,,$F$26*B137,1))+SUMPRODUCT((F141=OFFSET(Calc2!$G$4,,,$F$26*B137,1))*OFFSET(Calc2!$P$4,,,$F$26*B137,1))</f>
        <v>0</v>
      </c>
      <c r="P141" s="2"/>
      <c r="Q141" s="2"/>
      <c r="R141" s="13">
        <f t="shared" ca="1" si="26"/>
        <v>7499995008</v>
      </c>
      <c r="S141" s="134">
        <f>Tie_Break!$D$9</f>
        <v>0</v>
      </c>
      <c r="T141" s="9">
        <f ca="1">RANK(R141,R139:R158)+(9-S141)/10000+(F141="")*1000</f>
        <v>13.0009</v>
      </c>
      <c r="U141" s="134"/>
      <c r="V141" s="134">
        <f ca="1">IF($K$24=0,"",IF(VLOOKUP(B141,C139:E158,3,0)=MAX(V$4:V140),VLOOKUP(B141,C139:E158,3,0),B141))</f>
        <v>3</v>
      </c>
      <c r="W141" s="4" t="str">
        <f ca="1">IF($K$24=0,Calc2!$C$6,VLOOKUP(B141,C139:N158,4,0))</f>
        <v>RB Leipzig</v>
      </c>
      <c r="X141" s="1">
        <f ca="1">INDEX(V112:V131,MATCH(W141,W112:W131,0))</f>
        <v>3</v>
      </c>
      <c r="Y141" s="1">
        <f t="shared" ca="1" si="29"/>
        <v>0</v>
      </c>
    </row>
    <row r="142" spans="2:25" x14ac:dyDescent="0.2">
      <c r="B142" s="1">
        <v>4</v>
      </c>
      <c r="C142" s="9">
        <f ca="1">RANK(D142,D139:D158,1)</f>
        <v>16</v>
      </c>
      <c r="D142" s="134">
        <f t="shared" ca="1" si="27"/>
        <v>16.141999999999999</v>
      </c>
      <c r="E142" s="134">
        <f ca="1">RANK(T142,T139:T158,1)</f>
        <v>16</v>
      </c>
      <c r="F142" s="187" t="str">
        <f>Calc2!$C$7</f>
        <v>1. FSV Mainz 05</v>
      </c>
      <c r="G142" s="1">
        <f ca="1">SUMIFS(OFFSET(Calc2!$H$4,,,$F$26*B137,1),OFFSET(Calc2!$F$4,,,$F$26*B137,1),F142)+SUMIFS(OFFSET(Calc2!$I$4,,,$F$26*B137,1),OFFSET(Calc2!$G$4,,,$F$26*B137,1),F142)</f>
        <v>5</v>
      </c>
      <c r="H142" s="1">
        <f ca="1">SUMIFS(OFFSET(Calc2!$I$4,,,$F$26*B137,1),OFFSET(Calc2!$F$4,,,$F$26*B137,1),F142)+SUMIFS(OFFSET(Calc2!$H$4,,,$F$26*B137,1),OFFSET(Calc2!$G$4,,,$F$26*B137,1),F142)</f>
        <v>10</v>
      </c>
      <c r="I142" s="134">
        <f t="shared" ca="1" si="25"/>
        <v>-5</v>
      </c>
      <c r="J142" s="12">
        <f ca="1">L142*Settings!$C$3+M142+O142</f>
        <v>4</v>
      </c>
      <c r="K142" s="1">
        <f t="shared" ca="1" si="28"/>
        <v>6</v>
      </c>
      <c r="L142" s="1">
        <f t="array" aca="1" ref="L142" ca="1">SUMPRODUCT((OFFSET(Calc2!$F$4,,,$F$26*B137,1)=F142)*(OFFSET(Calc2!$H$4,,,$F$26*B137,1)&gt;OFFSET(Calc2!$I$4,,,$F$26*B137,1)))+SUMPRODUCT((OFFSET(Calc2!$G$4,,,$F$26*B137,1)=F142)*(OFFSET(Calc2!$H$4,,,$F$26*B137,1)&lt;OFFSET(Calc2!$I$4,,,$F$26*B137,1)))</f>
        <v>1</v>
      </c>
      <c r="M142" s="1">
        <f t="array" aca="1" ref="M142" ca="1">SUMPRODUCT((OFFSET(Calc2!$F$4,,,$F$26*B137,2)=F142)*(OFFSET(Calc2!$H$4,,,$F$26*B137,1)=OFFSET(Calc2!$I$4,,,$F$26*B137,1))*(OFFSET(Calc2!$H$4,,,$F$26*B137,1)&lt;&gt;"")*(OFFSET(Calc2!$I$4,,,$F$26*B137,1)&lt;&gt;""))</f>
        <v>1</v>
      </c>
      <c r="N142" s="1">
        <f t="array" aca="1" ref="N142" ca="1">SUMPRODUCT((OFFSET(Calc2!$F$4,,,$F$26*B137,1)=F142)*(OFFSET(Calc2!$H$4,,,$F$26*B137,1)&lt;OFFSET(Calc2!$I$4,,,$F$26*B137,1)))+SUMPRODUCT((OFFSET(Calc2!$G$4,,,$F$26*B137,1)=F142)*(OFFSET(Calc2!$H$4,,,$F$26*B137,1)&gt;OFFSET(Calc2!$I$4,,,$F$26*B137,1)))</f>
        <v>4</v>
      </c>
      <c r="O142" s="132">
        <f ca="1">SUMPRODUCT((F142=OFFSET(Calc2!$F$4,,,$F$26*B137,1))*OFFSET(Calc2!$O$4,,,$F$26*B137,1))+SUMPRODUCT((F142=OFFSET(Calc2!$G$4,,,$F$26*B137,1))*OFFSET(Calc2!$P$4,,,$F$26*B137,1))</f>
        <v>0</v>
      </c>
      <c r="P142" s="2"/>
      <c r="Q142" s="2"/>
      <c r="R142" s="13">
        <f t="shared" ca="1" si="26"/>
        <v>4499995005</v>
      </c>
      <c r="S142" s="134">
        <f>Tie_Break!$D$10</f>
        <v>0</v>
      </c>
      <c r="T142" s="9">
        <f ca="1">RANK(R142,R139:R158)+(9-S142)/10000+(F142="")*1000</f>
        <v>16.000900000000001</v>
      </c>
      <c r="U142" s="134"/>
      <c r="V142" s="134">
        <f ca="1">IF($K$24=0,"",IF(VLOOKUP(B142,C139:E158,3,0)=MAX(V$4:V141),VLOOKUP(B142,C139:E158,3,0),B142))</f>
        <v>4</v>
      </c>
      <c r="W142" s="4" t="str">
        <f ca="1">IF($K$24=0,Calc2!$C$7,VLOOKUP(B142,C139:N158,4,0))</f>
        <v>VfB Stuttgart</v>
      </c>
      <c r="X142" s="1">
        <f ca="1">INDEX(V112:V131,MATCH(W142,W112:W131,0))</f>
        <v>5</v>
      </c>
      <c r="Y142" s="1">
        <f t="shared" ca="1" si="29"/>
        <v>1</v>
      </c>
    </row>
    <row r="143" spans="2:25" x14ac:dyDescent="0.2">
      <c r="B143" s="1">
        <v>5</v>
      </c>
      <c r="C143" s="9">
        <f ca="1">RANK(D143,D139:D158,1)</f>
        <v>5</v>
      </c>
      <c r="D143" s="134">
        <f t="shared" ca="1" si="27"/>
        <v>5.1429999999999998</v>
      </c>
      <c r="E143" s="134">
        <f ca="1">RANK(T143,T139:T158,1)</f>
        <v>5</v>
      </c>
      <c r="F143" s="187" t="str">
        <f>Calc2!$C$8</f>
        <v>Bayer 04 Leverkusen</v>
      </c>
      <c r="G143" s="1">
        <f ca="1">SUMIFS(OFFSET(Calc2!$H$4,,,$F$26*B137,1),OFFSET(Calc2!$F$4,,,$F$26*B137,1),F143)+SUMIFS(OFFSET(Calc2!$I$4,,,$F$26*B137,1),OFFSET(Calc2!$G$4,,,$F$26*B137,1),F143)</f>
        <v>12</v>
      </c>
      <c r="H143" s="1">
        <f ca="1">SUMIFS(OFFSET(Calc2!$I$4,,,$F$26*B137,1),OFFSET(Calc2!$F$4,,,$F$26*B137,1),F143)+SUMIFS(OFFSET(Calc2!$H$4,,,$F$26*B137,1),OFFSET(Calc2!$G$4,,,$F$26*B137,1),F143)</f>
        <v>8</v>
      </c>
      <c r="I143" s="134">
        <f t="shared" ca="1" si="25"/>
        <v>4</v>
      </c>
      <c r="J143" s="12">
        <f ca="1">L143*Settings!$C$3+M143+O143</f>
        <v>11</v>
      </c>
      <c r="K143" s="1">
        <f t="shared" ca="1" si="28"/>
        <v>6</v>
      </c>
      <c r="L143" s="1">
        <f t="array" aca="1" ref="L143" ca="1">SUMPRODUCT((OFFSET(Calc2!$F$4,,,$F$26*B137,1)=F143)*(OFFSET(Calc2!$H$4,,,$F$26*B137,1)&gt;OFFSET(Calc2!$I$4,,,$F$26*B137,1)))+SUMPRODUCT((OFFSET(Calc2!$G$4,,,$F$26*B137,1)=F143)*(OFFSET(Calc2!$H$4,,,$F$26*B137,1)&lt;OFFSET(Calc2!$I$4,,,$F$26*B137,1)))</f>
        <v>3</v>
      </c>
      <c r="M143" s="1">
        <f t="array" aca="1" ref="M143" ca="1">SUMPRODUCT((OFFSET(Calc2!$F$4,,,$F$26*B137,2)=F143)*(OFFSET(Calc2!$H$4,,,$F$26*B137,1)=OFFSET(Calc2!$I$4,,,$F$26*B137,1))*(OFFSET(Calc2!$H$4,,,$F$26*B137,1)&lt;&gt;"")*(OFFSET(Calc2!$I$4,,,$F$26*B137,1)&lt;&gt;""))</f>
        <v>2</v>
      </c>
      <c r="N143" s="1">
        <f t="array" aca="1" ref="N143" ca="1">SUMPRODUCT((OFFSET(Calc2!$F$4,,,$F$26*B137,1)=F143)*(OFFSET(Calc2!$H$4,,,$F$26*B137,1)&lt;OFFSET(Calc2!$I$4,,,$F$26*B137,1)))+SUMPRODUCT((OFFSET(Calc2!$G$4,,,$F$26*B137,1)=F143)*(OFFSET(Calc2!$H$4,,,$F$26*B137,1)&gt;OFFSET(Calc2!$I$4,,,$F$26*B137,1)))</f>
        <v>1</v>
      </c>
      <c r="O143" s="132">
        <f ca="1">SUMPRODUCT((F143=OFFSET(Calc2!$F$4,,,$F$26*B137,1))*OFFSET(Calc2!$O$4,,,$F$26*B137,1))+SUMPRODUCT((F143=OFFSET(Calc2!$G$4,,,$F$26*B137,1))*OFFSET(Calc2!$P$4,,,$F$26*B137,1))</f>
        <v>0</v>
      </c>
      <c r="P143" s="2"/>
      <c r="Q143" s="2"/>
      <c r="R143" s="13">
        <f t="shared" ca="1" si="26"/>
        <v>11500004012</v>
      </c>
      <c r="S143" s="134">
        <f>Tie_Break!$D$11</f>
        <v>0</v>
      </c>
      <c r="T143" s="9">
        <f ca="1">RANK(R143,R139:R158)+(9-S143)/10000+(F143="")*1000</f>
        <v>5.0008999999999997</v>
      </c>
      <c r="U143" s="134"/>
      <c r="V143" s="134">
        <f ca="1">IF($K$24=0,"",IF(VLOOKUP(B143,C139:E158,3,0)=MAX(V$4:V142),VLOOKUP(B143,C139:E158,3,0),B143))</f>
        <v>5</v>
      </c>
      <c r="W143" s="4" t="str">
        <f ca="1">IF($K$24=0,Calc2!$C$8,VLOOKUP(B143,C139:N158,4,0))</f>
        <v>Bayer 04 Leverkusen</v>
      </c>
      <c r="X143" s="1">
        <f ca="1">INDEX(V112:V131,MATCH(W143,W112:W131,0))</f>
        <v>6</v>
      </c>
      <c r="Y143" s="1">
        <f t="shared" ca="1" si="29"/>
        <v>1</v>
      </c>
    </row>
    <row r="144" spans="2:25" x14ac:dyDescent="0.2">
      <c r="B144" s="1">
        <v>6</v>
      </c>
      <c r="C144" s="9">
        <f ca="1">RANK(D144,D139:D158,1)</f>
        <v>2</v>
      </c>
      <c r="D144" s="134">
        <f t="shared" ca="1" si="27"/>
        <v>2.1440000000000001</v>
      </c>
      <c r="E144" s="134">
        <f ca="1">RANK(T144,T139:T158,1)</f>
        <v>2</v>
      </c>
      <c r="F144" s="187" t="str">
        <f>Calc2!$C$9</f>
        <v>Borussia Dortmund</v>
      </c>
      <c r="G144" s="1">
        <f ca="1">SUMIFS(OFFSET(Calc2!$H$4,,,$F$26*B137,1),OFFSET(Calc2!$F$4,,,$F$26*B137,1),F144)+SUMIFS(OFFSET(Calc2!$I$4,,,$F$26*B137,1),OFFSET(Calc2!$G$4,,,$F$26*B137,1),F144)</f>
        <v>12</v>
      </c>
      <c r="H144" s="1">
        <f ca="1">SUMIFS(OFFSET(Calc2!$I$4,,,$F$26*B137,1),OFFSET(Calc2!$F$4,,,$F$26*B137,1),F144)+SUMIFS(OFFSET(Calc2!$H$4,,,$F$26*B137,1),OFFSET(Calc2!$G$4,,,$F$26*B137,1),F144)</f>
        <v>4</v>
      </c>
      <c r="I144" s="134">
        <f t="shared" ca="1" si="25"/>
        <v>8</v>
      </c>
      <c r="J144" s="12">
        <f ca="1">L144*Settings!$C$3+M144+O144</f>
        <v>14</v>
      </c>
      <c r="K144" s="1">
        <f t="shared" ca="1" si="28"/>
        <v>6</v>
      </c>
      <c r="L144" s="1">
        <f t="array" aca="1" ref="L144" ca="1">SUMPRODUCT((OFFSET(Calc2!$F$4,,,$F$26*B137,1)=F144)*(OFFSET(Calc2!$H$4,,,$F$26*B137,1)&gt;OFFSET(Calc2!$I$4,,,$F$26*B137,1)))+SUMPRODUCT((OFFSET(Calc2!$G$4,,,$F$26*B137,1)=F144)*(OFFSET(Calc2!$H$4,,,$F$26*B137,1)&lt;OFFSET(Calc2!$I$4,,,$F$26*B137,1)))</f>
        <v>4</v>
      </c>
      <c r="M144" s="1">
        <f t="array" aca="1" ref="M144" ca="1">SUMPRODUCT((OFFSET(Calc2!$F$4,,,$F$26*B137,2)=F144)*(OFFSET(Calc2!$H$4,,,$F$26*B137,1)=OFFSET(Calc2!$I$4,,,$F$26*B137,1))*(OFFSET(Calc2!$H$4,,,$F$26*B137,1)&lt;&gt;"")*(OFFSET(Calc2!$I$4,,,$F$26*B137,1)&lt;&gt;""))</f>
        <v>2</v>
      </c>
      <c r="N144" s="1">
        <f t="array" aca="1" ref="N144" ca="1">SUMPRODUCT((OFFSET(Calc2!$F$4,,,$F$26*B137,1)=F144)*(OFFSET(Calc2!$H$4,,,$F$26*B137,1)&lt;OFFSET(Calc2!$I$4,,,$F$26*B137,1)))+SUMPRODUCT((OFFSET(Calc2!$G$4,,,$F$26*B137,1)=F144)*(OFFSET(Calc2!$H$4,,,$F$26*B137,1)&gt;OFFSET(Calc2!$I$4,,,$F$26*B137,1)))</f>
        <v>0</v>
      </c>
      <c r="O144" s="132">
        <f ca="1">SUMPRODUCT((F144=OFFSET(Calc2!$F$4,,,$F$26*B137,1))*OFFSET(Calc2!$O$4,,,$F$26*B137,1))+SUMPRODUCT((F144=OFFSET(Calc2!$G$4,,,$F$26*B137,1))*OFFSET(Calc2!$P$4,,,$F$26*B137,1))</f>
        <v>0</v>
      </c>
      <c r="P144" s="2"/>
      <c r="Q144" s="2"/>
      <c r="R144" s="13">
        <f t="shared" ca="1" si="26"/>
        <v>14500008012</v>
      </c>
      <c r="S144" s="134">
        <f>Tie_Break!$D$12</f>
        <v>0</v>
      </c>
      <c r="T144" s="9">
        <f ca="1">RANK(R144,R139:R158)+(9-S144)/10000+(F144="")*1000</f>
        <v>2.0009000000000001</v>
      </c>
      <c r="U144" s="134"/>
      <c r="V144" s="134">
        <f ca="1">IF($K$24=0,"",IF(VLOOKUP(B144,C139:E158,3,0)=MAX(V$4:V143),VLOOKUP(B144,C139:E158,3,0),B144))</f>
        <v>6</v>
      </c>
      <c r="W144" s="4" t="str">
        <f ca="1">IF($K$24=0,Calc2!$C$9,VLOOKUP(B144,C139:N158,4,0))</f>
        <v>1. FC Köln</v>
      </c>
      <c r="X144" s="1">
        <f ca="1">INDEX(V112:V131,MATCH(W144,W112:W131,0))</f>
        <v>7</v>
      </c>
      <c r="Y144" s="1">
        <f t="shared" ca="1" si="29"/>
        <v>1</v>
      </c>
    </row>
    <row r="145" spans="2:25" x14ac:dyDescent="0.2">
      <c r="B145" s="1">
        <v>7</v>
      </c>
      <c r="C145" s="9">
        <f ca="1">RANK(D145,D139:D158,1)</f>
        <v>17</v>
      </c>
      <c r="D145" s="134">
        <f t="shared" ca="1" si="27"/>
        <v>17.145</v>
      </c>
      <c r="E145" s="134">
        <f ca="1">RANK(T145,T139:T158,1)</f>
        <v>17</v>
      </c>
      <c r="F145" s="187" t="str">
        <f>Calc2!$C$10</f>
        <v>Borussia Mönchengladbach</v>
      </c>
      <c r="G145" s="1">
        <f ca="1">SUMIFS(OFFSET(Calc2!$H$4,,,$F$26*B137,1),OFFSET(Calc2!$F$4,,,$F$26*B137,1),F145)+SUMIFS(OFFSET(Calc2!$I$4,,,$F$26*B137,1),OFFSET(Calc2!$G$4,,,$F$26*B137,1),F145)</f>
        <v>5</v>
      </c>
      <c r="H145" s="1">
        <f ca="1">SUMIFS(OFFSET(Calc2!$I$4,,,$F$26*B137,1),OFFSET(Calc2!$F$4,,,$F$26*B137,1),F145)+SUMIFS(OFFSET(Calc2!$H$4,,,$F$26*B137,1),OFFSET(Calc2!$G$4,,,$F$26*B137,1),F145)</f>
        <v>12</v>
      </c>
      <c r="I145" s="134">
        <f t="shared" ca="1" si="25"/>
        <v>-7</v>
      </c>
      <c r="J145" s="12">
        <f ca="1">L145*Settings!$C$3+M145+O145</f>
        <v>3</v>
      </c>
      <c r="K145" s="1">
        <f t="shared" ca="1" si="28"/>
        <v>6</v>
      </c>
      <c r="L145" s="1">
        <f t="array" aca="1" ref="L145" ca="1">SUMPRODUCT((OFFSET(Calc2!$F$4,,,$F$26*B137,1)=F145)*(OFFSET(Calc2!$H$4,,,$F$26*B137,1)&gt;OFFSET(Calc2!$I$4,,,$F$26*B137,1)))+SUMPRODUCT((OFFSET(Calc2!$G$4,,,$F$26*B137,1)=F145)*(OFFSET(Calc2!$H$4,,,$F$26*B137,1)&lt;OFFSET(Calc2!$I$4,,,$F$26*B137,1)))</f>
        <v>0</v>
      </c>
      <c r="M145" s="1">
        <f t="array" aca="1" ref="M145" ca="1">SUMPRODUCT((OFFSET(Calc2!$F$4,,,$F$26*B137,2)=F145)*(OFFSET(Calc2!$H$4,,,$F$26*B137,1)=OFFSET(Calc2!$I$4,,,$F$26*B137,1))*(OFFSET(Calc2!$H$4,,,$F$26*B137,1)&lt;&gt;"")*(OFFSET(Calc2!$I$4,,,$F$26*B137,1)&lt;&gt;""))</f>
        <v>3</v>
      </c>
      <c r="N145" s="1">
        <f t="array" aca="1" ref="N145" ca="1">SUMPRODUCT((OFFSET(Calc2!$F$4,,,$F$26*B137,1)=F145)*(OFFSET(Calc2!$H$4,,,$F$26*B137,1)&lt;OFFSET(Calc2!$I$4,,,$F$26*B137,1)))+SUMPRODUCT((OFFSET(Calc2!$G$4,,,$F$26*B137,1)=F145)*(OFFSET(Calc2!$H$4,,,$F$26*B137,1)&gt;OFFSET(Calc2!$I$4,,,$F$26*B137,1)))</f>
        <v>3</v>
      </c>
      <c r="O145" s="132">
        <f ca="1">SUMPRODUCT((F145=OFFSET(Calc2!$F$4,,,$F$26*B137,1))*OFFSET(Calc2!$O$4,,,$F$26*B137,1))+SUMPRODUCT((F145=OFFSET(Calc2!$G$4,,,$F$26*B137,1))*OFFSET(Calc2!$P$4,,,$F$26*B137,1))</f>
        <v>0</v>
      </c>
      <c r="P145" s="2"/>
      <c r="Q145" s="2"/>
      <c r="R145" s="13">
        <f t="shared" ca="1" si="26"/>
        <v>3499993005</v>
      </c>
      <c r="S145" s="134">
        <f>Tie_Break!$D$13</f>
        <v>0</v>
      </c>
      <c r="T145" s="9">
        <f ca="1">RANK(R145,R139:R158)+(9-S145)/10000+(F145="")*1000</f>
        <v>17.000900000000001</v>
      </c>
      <c r="U145" s="134"/>
      <c r="V145" s="134">
        <f ca="1">IF($K$24=0,"",IF(VLOOKUP(B145,C139:E158,3,0)=MAX(V$4:V144),VLOOKUP(B145,C139:E158,3,0),B145))</f>
        <v>7</v>
      </c>
      <c r="W145" s="4" t="str">
        <f ca="1">IF($K$24=0,Calc2!$C$10,VLOOKUP(B145,C139:N158,4,0))</f>
        <v>Eintracht Frankfurt</v>
      </c>
      <c r="X145" s="1">
        <f ca="1">INDEX(V112:V131,MATCH(W145,W112:W131,0))</f>
        <v>4</v>
      </c>
      <c r="Y145" s="1">
        <f t="shared" ca="1" si="29"/>
        <v>-1</v>
      </c>
    </row>
    <row r="146" spans="2:25" x14ac:dyDescent="0.2">
      <c r="B146" s="1">
        <v>8</v>
      </c>
      <c r="C146" s="9">
        <f ca="1">RANK(D146,D139:D158,1)</f>
        <v>7</v>
      </c>
      <c r="D146" s="134">
        <f t="shared" ca="1" si="27"/>
        <v>7.1459999999999999</v>
      </c>
      <c r="E146" s="134">
        <f ca="1">RANK(T146,T139:T158,1)</f>
        <v>7</v>
      </c>
      <c r="F146" s="187" t="str">
        <f>Calc2!$C$11</f>
        <v>Eintracht Frankfurt</v>
      </c>
      <c r="G146" s="1">
        <f ca="1">SUMIFS(OFFSET(Calc2!$H$4,,,$F$26*B137,1),OFFSET(Calc2!$F$4,,,$F$26*B137,1),F146)+SUMIFS(OFFSET(Calc2!$I$4,,,$F$26*B137,1),OFFSET(Calc2!$G$4,,,$F$26*B137,1),F146)</f>
        <v>17</v>
      </c>
      <c r="H146" s="1">
        <f ca="1">SUMIFS(OFFSET(Calc2!$I$4,,,$F$26*B137,1),OFFSET(Calc2!$F$4,,,$F$26*B137,1),F146)+SUMIFS(OFFSET(Calc2!$H$4,,,$F$26*B137,1),OFFSET(Calc2!$G$4,,,$F$26*B137,1),F146)</f>
        <v>16</v>
      </c>
      <c r="I146" s="134">
        <f t="shared" ca="1" si="25"/>
        <v>1</v>
      </c>
      <c r="J146" s="12">
        <f ca="1">L146*Settings!$C$3+M146+O146</f>
        <v>9</v>
      </c>
      <c r="K146" s="1">
        <f t="shared" ca="1" si="28"/>
        <v>6</v>
      </c>
      <c r="L146" s="1">
        <f t="array" aca="1" ref="L146" ca="1">SUMPRODUCT((OFFSET(Calc2!$F$4,,,$F$26*B137,1)=F146)*(OFFSET(Calc2!$H$4,,,$F$26*B137,1)&gt;OFFSET(Calc2!$I$4,,,$F$26*B137,1)))+SUMPRODUCT((OFFSET(Calc2!$G$4,,,$F$26*B137,1)=F146)*(OFFSET(Calc2!$H$4,,,$F$26*B137,1)&lt;OFFSET(Calc2!$I$4,,,$F$26*B137,1)))</f>
        <v>3</v>
      </c>
      <c r="M146" s="1">
        <f t="array" aca="1" ref="M146" ca="1">SUMPRODUCT((OFFSET(Calc2!$F$4,,,$F$26*B137,2)=F146)*(OFFSET(Calc2!$H$4,,,$F$26*B137,1)=OFFSET(Calc2!$I$4,,,$F$26*B137,1))*(OFFSET(Calc2!$H$4,,,$F$26*B137,1)&lt;&gt;"")*(OFFSET(Calc2!$I$4,,,$F$26*B137,1)&lt;&gt;""))</f>
        <v>0</v>
      </c>
      <c r="N146" s="1">
        <f t="array" aca="1" ref="N146" ca="1">SUMPRODUCT((OFFSET(Calc2!$F$4,,,$F$26*B137,1)=F146)*(OFFSET(Calc2!$H$4,,,$F$26*B137,1)&lt;OFFSET(Calc2!$I$4,,,$F$26*B137,1)))+SUMPRODUCT((OFFSET(Calc2!$G$4,,,$F$26*B137,1)=F146)*(OFFSET(Calc2!$H$4,,,$F$26*B137,1)&gt;OFFSET(Calc2!$I$4,,,$F$26*B137,1)))</f>
        <v>3</v>
      </c>
      <c r="O146" s="132">
        <f ca="1">SUMPRODUCT((F146=OFFSET(Calc2!$F$4,,,$F$26*B137,1))*OFFSET(Calc2!$O$4,,,$F$26*B137,1))+SUMPRODUCT((F146=OFFSET(Calc2!$G$4,,,$F$26*B137,1))*OFFSET(Calc2!$P$4,,,$F$26*B137,1))</f>
        <v>0</v>
      </c>
      <c r="P146" s="2"/>
      <c r="Q146" s="2"/>
      <c r="R146" s="13">
        <f t="shared" ca="1" si="26"/>
        <v>9500001017</v>
      </c>
      <c r="S146" s="134">
        <f>Tie_Break!$D$14</f>
        <v>0</v>
      </c>
      <c r="T146" s="9">
        <f ca="1">RANK(R146,R139:R158)+(9-S146)/10000+(F146="")*1000</f>
        <v>7.0008999999999997</v>
      </c>
      <c r="U146" s="134"/>
      <c r="V146" s="134">
        <f ca="1">IF($K$24=0,"",IF(VLOOKUP(B146,C139:E158,3,0)=MAX(V$4:V145),VLOOKUP(B146,C139:E158,3,0),B146))</f>
        <v>8</v>
      </c>
      <c r="W146" s="4" t="str">
        <f ca="1">IF($K$24=0,Calc2!$C$11,VLOOKUP(B146,C139:N158,4,0))</f>
        <v>SC Freiburg</v>
      </c>
      <c r="X146" s="1">
        <f ca="1">INDEX(V112:V131,MATCH(W146,W112:W131,0))</f>
        <v>8</v>
      </c>
      <c r="Y146" s="1">
        <f t="shared" ca="1" si="29"/>
        <v>0</v>
      </c>
    </row>
    <row r="147" spans="2:25" x14ac:dyDescent="0.2">
      <c r="B147" s="1">
        <v>9</v>
      </c>
      <c r="C147" s="9">
        <f ca="1">RANK(D147,D139:D158,1)</f>
        <v>14</v>
      </c>
      <c r="D147" s="134">
        <f t="shared" ca="1" si="27"/>
        <v>14.147</v>
      </c>
      <c r="E147" s="134">
        <f ca="1">RANK(T147,T139:T158,1)</f>
        <v>14</v>
      </c>
      <c r="F147" s="187" t="str">
        <f>Calc2!$C$12</f>
        <v>FC Augsburg</v>
      </c>
      <c r="G147" s="1">
        <f ca="1">SUMIFS(OFFSET(Calc2!$H$4,,,$F$26*B137,1),OFFSET(Calc2!$F$4,,,$F$26*B137,1),F147)+SUMIFS(OFFSET(Calc2!$I$4,,,$F$26*B137,1),OFFSET(Calc2!$G$4,,,$F$26*B137,1),F147)</f>
        <v>11</v>
      </c>
      <c r="H147" s="1">
        <f ca="1">SUMIFS(OFFSET(Calc2!$I$4,,,$F$26*B137,1),OFFSET(Calc2!$F$4,,,$F$26*B137,1),F147)+SUMIFS(OFFSET(Calc2!$H$4,,,$F$26*B137,1),OFFSET(Calc2!$G$4,,,$F$26*B137,1),F147)</f>
        <v>13</v>
      </c>
      <c r="I147" s="134">
        <f t="shared" ca="1" si="25"/>
        <v>-2</v>
      </c>
      <c r="J147" s="12">
        <f ca="1">L147*Settings!$C$3+M147+O147</f>
        <v>6</v>
      </c>
      <c r="K147" s="1">
        <f t="shared" ca="1" si="28"/>
        <v>6</v>
      </c>
      <c r="L147" s="1">
        <f t="array" aca="1" ref="L147" ca="1">SUMPRODUCT((OFFSET(Calc2!$F$4,,,$F$26*B137,1)=F147)*(OFFSET(Calc2!$H$4,,,$F$26*B137,1)&gt;OFFSET(Calc2!$I$4,,,$F$26*B137,1)))+SUMPRODUCT((OFFSET(Calc2!$G$4,,,$F$26*B137,1)=F147)*(OFFSET(Calc2!$H$4,,,$F$26*B137,1)&lt;OFFSET(Calc2!$I$4,,,$F$26*B137,1)))</f>
        <v>2</v>
      </c>
      <c r="M147" s="1">
        <f t="array" aca="1" ref="M147" ca="1">SUMPRODUCT((OFFSET(Calc2!$F$4,,,$F$26*B137,2)=F147)*(OFFSET(Calc2!$H$4,,,$F$26*B137,1)=OFFSET(Calc2!$I$4,,,$F$26*B137,1))*(OFFSET(Calc2!$H$4,,,$F$26*B137,1)&lt;&gt;"")*(OFFSET(Calc2!$I$4,,,$F$26*B137,1)&lt;&gt;""))</f>
        <v>0</v>
      </c>
      <c r="N147" s="1">
        <f t="array" aca="1" ref="N147" ca="1">SUMPRODUCT((OFFSET(Calc2!$F$4,,,$F$26*B137,1)=F147)*(OFFSET(Calc2!$H$4,,,$F$26*B137,1)&lt;OFFSET(Calc2!$I$4,,,$F$26*B137,1)))+SUMPRODUCT((OFFSET(Calc2!$G$4,,,$F$26*B137,1)=F147)*(OFFSET(Calc2!$H$4,,,$F$26*B137,1)&gt;OFFSET(Calc2!$I$4,,,$F$26*B137,1)))</f>
        <v>4</v>
      </c>
      <c r="O147" s="132">
        <f ca="1">SUMPRODUCT((F147=OFFSET(Calc2!$F$4,,,$F$26*B137,1))*OFFSET(Calc2!$O$4,,,$F$26*B137,1))+SUMPRODUCT((F147=OFFSET(Calc2!$G$4,,,$F$26*B137,1))*OFFSET(Calc2!$P$4,,,$F$26*B137,1))</f>
        <v>0</v>
      </c>
      <c r="P147" s="2"/>
      <c r="Q147" s="2"/>
      <c r="R147" s="13">
        <f t="shared" ca="1" si="26"/>
        <v>6499998011</v>
      </c>
      <c r="S147" s="134">
        <f>Tie_Break!$D$15</f>
        <v>0</v>
      </c>
      <c r="T147" s="9">
        <f ca="1">RANK(R147,R139:R158)+(9-S147)/10000+(F147="")*1000</f>
        <v>14.0009</v>
      </c>
      <c r="U147" s="134"/>
      <c r="V147" s="134">
        <f ca="1">IF($K$24=0,"",IF(VLOOKUP(B147,C139:E158,3,0)=MAX(V$4:V146),VLOOKUP(B147,C139:E158,3,0),B147))</f>
        <v>9</v>
      </c>
      <c r="W147" s="4" t="str">
        <f ca="1">IF($K$24=0,Calc2!$C$12,VLOOKUP(B147,C139:N158,4,0))</f>
        <v>Hamburger SV</v>
      </c>
      <c r="X147" s="1">
        <f ca="1">INDEX(V112:V131,MATCH(W147,W112:W131,0))</f>
        <v>13</v>
      </c>
      <c r="Y147" s="1">
        <f t="shared" ca="1" si="29"/>
        <v>1</v>
      </c>
    </row>
    <row r="148" spans="2:25" x14ac:dyDescent="0.2">
      <c r="B148" s="1">
        <v>10</v>
      </c>
      <c r="C148" s="9">
        <f ca="1">RANK(D148,D139:D158,1)</f>
        <v>1</v>
      </c>
      <c r="D148" s="134">
        <f t="shared" ca="1" si="27"/>
        <v>1.1479999999999999</v>
      </c>
      <c r="E148" s="134">
        <f ca="1">RANK(T148,T139:T158,1)</f>
        <v>1</v>
      </c>
      <c r="F148" s="187" t="str">
        <f>Calc2!$C$13</f>
        <v>FC Bayern München</v>
      </c>
      <c r="G148" s="1">
        <f ca="1">SUMIFS(OFFSET(Calc2!$H$4,,,$F$26*B137,1),OFFSET(Calc2!$F$4,,,$F$26*B137,1),F148)+SUMIFS(OFFSET(Calc2!$I$4,,,$F$26*B137,1),OFFSET(Calc2!$G$4,,,$F$26*B137,1),F148)</f>
        <v>25</v>
      </c>
      <c r="H148" s="1">
        <f ca="1">SUMIFS(OFFSET(Calc2!$I$4,,,$F$26*B137,1),OFFSET(Calc2!$F$4,,,$F$26*B137,1),F148)+SUMIFS(OFFSET(Calc2!$H$4,,,$F$26*B137,1),OFFSET(Calc2!$G$4,,,$F$26*B137,1),F148)</f>
        <v>3</v>
      </c>
      <c r="I148" s="134">
        <f t="shared" ca="1" si="25"/>
        <v>22</v>
      </c>
      <c r="J148" s="12">
        <f ca="1">L148*Settings!$C$3+M148+O148</f>
        <v>18</v>
      </c>
      <c r="K148" s="1">
        <f t="shared" ca="1" si="28"/>
        <v>6</v>
      </c>
      <c r="L148" s="1">
        <f t="array" aca="1" ref="L148" ca="1">SUMPRODUCT((OFFSET(Calc2!$F$4,,,$F$26*B137,1)=F148)*(OFFSET(Calc2!$H$4,,,$F$26*B137,1)&gt;OFFSET(Calc2!$I$4,,,$F$26*B137,1)))+SUMPRODUCT((OFFSET(Calc2!$G$4,,,$F$26*B137,1)=F148)*(OFFSET(Calc2!$H$4,,,$F$26*B137,1)&lt;OFFSET(Calc2!$I$4,,,$F$26*B137,1)))</f>
        <v>6</v>
      </c>
      <c r="M148" s="1">
        <f t="array" aca="1" ref="M148" ca="1">SUMPRODUCT((OFFSET(Calc2!$F$4,,,$F$26*B137,2)=F148)*(OFFSET(Calc2!$H$4,,,$F$26*B137,1)=OFFSET(Calc2!$I$4,,,$F$26*B137,1))*(OFFSET(Calc2!$H$4,,,$F$26*B137,1)&lt;&gt;"")*(OFFSET(Calc2!$I$4,,,$F$26*B137,1)&lt;&gt;""))</f>
        <v>0</v>
      </c>
      <c r="N148" s="1">
        <f t="array" aca="1" ref="N148" ca="1">SUMPRODUCT((OFFSET(Calc2!$F$4,,,$F$26*B137,1)=F148)*(OFFSET(Calc2!$H$4,,,$F$26*B137,1)&lt;OFFSET(Calc2!$I$4,,,$F$26*B137,1)))+SUMPRODUCT((OFFSET(Calc2!$G$4,,,$F$26*B137,1)=F148)*(OFFSET(Calc2!$H$4,,,$F$26*B137,1)&gt;OFFSET(Calc2!$I$4,,,$F$26*B137,1)))</f>
        <v>0</v>
      </c>
      <c r="O148" s="132">
        <f ca="1">SUMPRODUCT((F148=OFFSET(Calc2!$F$4,,,$F$26*B137,1))*OFFSET(Calc2!$O$4,,,$F$26*B137,1))+SUMPRODUCT((F148=OFFSET(Calc2!$G$4,,,$F$26*B137,1))*OFFSET(Calc2!$P$4,,,$F$26*B137,1))</f>
        <v>0</v>
      </c>
      <c r="P148" s="2"/>
      <c r="Q148" s="2"/>
      <c r="R148" s="13">
        <f t="shared" ca="1" si="26"/>
        <v>18500022025</v>
      </c>
      <c r="S148" s="134">
        <f>Tie_Break!$D$16</f>
        <v>0</v>
      </c>
      <c r="T148" s="9">
        <f ca="1">RANK(R148,R139:R158)+(9-S148)/10000+(F148="")*1000</f>
        <v>1.0008999999999999</v>
      </c>
      <c r="U148" s="2"/>
      <c r="V148" s="134">
        <f ca="1">IF($K$24=0,"",IF(VLOOKUP(B148,C139:E158,3,0)=MAX(V$4:V147),VLOOKUP(B148,C139:E158,3,0),B148))</f>
        <v>10</v>
      </c>
      <c r="W148" s="4" t="str">
        <f ca="1">IF($K$24=0,Calc2!$C$13,VLOOKUP(B148,C139:N158,4,0))</f>
        <v>FC St. Pauli</v>
      </c>
      <c r="X148" s="1">
        <f ca="1">INDEX(V112:V131,MATCH(W148,W112:W131,0))</f>
        <v>9</v>
      </c>
      <c r="Y148" s="1">
        <f t="shared" ca="1" si="29"/>
        <v>-1</v>
      </c>
    </row>
    <row r="149" spans="2:25" x14ac:dyDescent="0.2">
      <c r="B149" s="1">
        <v>11</v>
      </c>
      <c r="C149" s="9">
        <f ca="1">RANK(D149,D139:D158,1)</f>
        <v>10</v>
      </c>
      <c r="D149" s="134">
        <f t="shared" ca="1" si="27"/>
        <v>10.148999999999999</v>
      </c>
      <c r="E149" s="134">
        <f ca="1">RANK(T149,T139:T158,1)</f>
        <v>10</v>
      </c>
      <c r="F149" s="187" t="str">
        <f>Calc2!$C$14</f>
        <v>FC St. Pauli</v>
      </c>
      <c r="G149" s="1">
        <f ca="1">SUMIFS(OFFSET(Calc2!$H$4,,,$F$26*B137,1),OFFSET(Calc2!$F$4,,,$F$26*B137,1),F149)+SUMIFS(OFFSET(Calc2!$I$4,,,$F$26*B137,1),OFFSET(Calc2!$G$4,,,$F$26*B137,1),F149)</f>
        <v>8</v>
      </c>
      <c r="H149" s="1">
        <f ca="1">SUMIFS(OFFSET(Calc2!$I$4,,,$F$26*B137,1),OFFSET(Calc2!$F$4,,,$F$26*B137,1),F149)+SUMIFS(OFFSET(Calc2!$H$4,,,$F$26*B137,1),OFFSET(Calc2!$G$4,,,$F$26*B137,1),F149)</f>
        <v>9</v>
      </c>
      <c r="I149" s="134">
        <f t="shared" ca="1" si="25"/>
        <v>-1</v>
      </c>
      <c r="J149" s="12">
        <f ca="1">L149*Settings!$C$3+M149+O149</f>
        <v>7</v>
      </c>
      <c r="K149" s="1">
        <f t="shared" ca="1" si="28"/>
        <v>6</v>
      </c>
      <c r="L149" s="1">
        <f t="array" aca="1" ref="L149" ca="1">SUMPRODUCT((OFFSET(Calc2!$F$4,,,$F$26*B137,1)=F149)*(OFFSET(Calc2!$H$4,,,$F$26*B137,1)&gt;OFFSET(Calc2!$I$4,,,$F$26*B137,1)))+SUMPRODUCT((OFFSET(Calc2!$G$4,,,$F$26*B137,1)=F149)*(OFFSET(Calc2!$H$4,,,$F$26*B137,1)&lt;OFFSET(Calc2!$I$4,,,$F$26*B137,1)))</f>
        <v>2</v>
      </c>
      <c r="M149" s="1">
        <f t="array" aca="1" ref="M149" ca="1">SUMPRODUCT((OFFSET(Calc2!$F$4,,,$F$26*B137,2)=F149)*(OFFSET(Calc2!$H$4,,,$F$26*B137,1)=OFFSET(Calc2!$I$4,,,$F$26*B137,1))*(OFFSET(Calc2!$H$4,,,$F$26*B137,1)&lt;&gt;"")*(OFFSET(Calc2!$I$4,,,$F$26*B137,1)&lt;&gt;""))</f>
        <v>1</v>
      </c>
      <c r="N149" s="1">
        <f t="array" aca="1" ref="N149" ca="1">SUMPRODUCT((OFFSET(Calc2!$F$4,,,$F$26*B137,1)=F149)*(OFFSET(Calc2!$H$4,,,$F$26*B137,1)&lt;OFFSET(Calc2!$I$4,,,$F$26*B137,1)))+SUMPRODUCT((OFFSET(Calc2!$G$4,,,$F$26*B137,1)=F149)*(OFFSET(Calc2!$H$4,,,$F$26*B137,1)&gt;OFFSET(Calc2!$I$4,,,$F$26*B137,1)))</f>
        <v>3</v>
      </c>
      <c r="O149" s="132">
        <f ca="1">SUMPRODUCT((F149=OFFSET(Calc2!$F$4,,,$F$26*B137,1))*OFFSET(Calc2!$O$4,,,$F$26*B137,1))+SUMPRODUCT((F149=OFFSET(Calc2!$G$4,,,$F$26*B137,1))*OFFSET(Calc2!$P$4,,,$F$26*B137,1))</f>
        <v>0</v>
      </c>
      <c r="P149" s="2"/>
      <c r="Q149" s="2"/>
      <c r="R149" s="13">
        <f t="shared" ca="1" si="26"/>
        <v>7499999008</v>
      </c>
      <c r="S149" s="134">
        <f>Tie_Break!$D$17</f>
        <v>0</v>
      </c>
      <c r="T149" s="9">
        <f ca="1">RANK(R149,R139:R158)+(9-S149)/10000+(F149="")*1000</f>
        <v>10.0009</v>
      </c>
      <c r="U149" s="2"/>
      <c r="V149" s="134">
        <f ca="1">IF($K$24=0,"",IF(VLOOKUP(B149,C139:E158,3,0)=MAX(V$4:V148),VLOOKUP(B149,C139:E158,3,0),B149))</f>
        <v>11</v>
      </c>
      <c r="W149" s="4" t="str">
        <f ca="1">IF($K$24=0,Calc2!$C$14,VLOOKUP(B149,C139:N158,4,0))</f>
        <v>TSG Hoffenheim</v>
      </c>
      <c r="X149" s="1">
        <f ca="1">INDEX(V112:V131,MATCH(W149,W112:W131,0))</f>
        <v>10</v>
      </c>
      <c r="Y149" s="1">
        <f t="shared" ca="1" si="29"/>
        <v>-1</v>
      </c>
    </row>
    <row r="150" spans="2:25" x14ac:dyDescent="0.2">
      <c r="B150" s="1">
        <v>12</v>
      </c>
      <c r="C150" s="9">
        <f ca="1">RANK(D150,D139:D158,1)</f>
        <v>9</v>
      </c>
      <c r="D150" s="134">
        <f t="shared" ca="1" si="27"/>
        <v>9.15</v>
      </c>
      <c r="E150" s="134">
        <f ca="1">RANK(T150,T139:T158,1)</f>
        <v>9</v>
      </c>
      <c r="F150" s="187" t="str">
        <f>Calc2!$C$15</f>
        <v>Hamburger SV</v>
      </c>
      <c r="G150" s="1">
        <f ca="1">SUMIFS(OFFSET(Calc2!$H$4,,,$F$26*B137,1),OFFSET(Calc2!$F$4,,,$F$26*B137,1),F150)+SUMIFS(OFFSET(Calc2!$I$4,,,$F$26*B137,1),OFFSET(Calc2!$G$4,,,$F$26*B137,1),F150)</f>
        <v>6</v>
      </c>
      <c r="H150" s="1">
        <f ca="1">SUMIFS(OFFSET(Calc2!$I$4,,,$F$26*B137,1),OFFSET(Calc2!$F$4,,,$F$26*B137,1),F150)+SUMIFS(OFFSET(Calc2!$H$4,,,$F$26*B137,1),OFFSET(Calc2!$G$4,,,$F$26*B137,1),F150)</f>
        <v>8</v>
      </c>
      <c r="I150" s="134">
        <f t="shared" ca="1" si="25"/>
        <v>-2</v>
      </c>
      <c r="J150" s="12">
        <f ca="1">L150*Settings!$C$3+M150+O150</f>
        <v>8</v>
      </c>
      <c r="K150" s="1">
        <f t="shared" ca="1" si="28"/>
        <v>6</v>
      </c>
      <c r="L150" s="1">
        <f t="array" aca="1" ref="L150" ca="1">SUMPRODUCT((OFFSET(Calc2!$F$4,,,$F$26*B137,1)=F150)*(OFFSET(Calc2!$H$4,,,$F$26*B137,1)&gt;OFFSET(Calc2!$I$4,,,$F$26*B137,1)))+SUMPRODUCT((OFFSET(Calc2!$G$4,,,$F$26*B137,1)=F150)*(OFFSET(Calc2!$H$4,,,$F$26*B137,1)&lt;OFFSET(Calc2!$I$4,,,$F$26*B137,1)))</f>
        <v>2</v>
      </c>
      <c r="M150" s="1">
        <f t="array" aca="1" ref="M150" ca="1">SUMPRODUCT((OFFSET(Calc2!$F$4,,,$F$26*B137,2)=F150)*(OFFSET(Calc2!$H$4,,,$F$26*B137,1)=OFFSET(Calc2!$I$4,,,$F$26*B137,1))*(OFFSET(Calc2!$H$4,,,$F$26*B137,1)&lt;&gt;"")*(OFFSET(Calc2!$I$4,,,$F$26*B137,1)&lt;&gt;""))</f>
        <v>2</v>
      </c>
      <c r="N150" s="1">
        <f t="array" aca="1" ref="N150" ca="1">SUMPRODUCT((OFFSET(Calc2!$F$4,,,$F$26*B137,1)=F150)*(OFFSET(Calc2!$H$4,,,$F$26*B137,1)&lt;OFFSET(Calc2!$I$4,,,$F$26*B137,1)))+SUMPRODUCT((OFFSET(Calc2!$G$4,,,$F$26*B137,1)=F150)*(OFFSET(Calc2!$H$4,,,$F$26*B137,1)&gt;OFFSET(Calc2!$I$4,,,$F$26*B137,1)))</f>
        <v>2</v>
      </c>
      <c r="O150" s="132">
        <f ca="1">SUMPRODUCT((F150=OFFSET(Calc2!$F$4,,,$F$26*B137,1))*OFFSET(Calc2!$O$4,,,$F$26*B137,1))+SUMPRODUCT((F150=OFFSET(Calc2!$G$4,,,$F$26*B137,1))*OFFSET(Calc2!$P$4,,,$F$26*B137,1))</f>
        <v>0</v>
      </c>
      <c r="P150" s="2"/>
      <c r="Q150" s="2"/>
      <c r="R150" s="13">
        <f t="shared" ca="1" si="26"/>
        <v>8499998006</v>
      </c>
      <c r="S150" s="134">
        <f>Tie_Break!$D$18</f>
        <v>0</v>
      </c>
      <c r="T150" s="9">
        <f ca="1">RANK(R150,R139:R158)+(9-S150)/10000+(F150="")*1000</f>
        <v>9.0008999999999997</v>
      </c>
      <c r="U150" s="2"/>
      <c r="V150" s="134">
        <f ca="1">IF($K$24=0,"",IF(VLOOKUP(B150,C139:E158,3,0)=MAX(V$4:V149),VLOOKUP(B150,C139:E158,3,0),B150))</f>
        <v>12</v>
      </c>
      <c r="W150" s="4" t="str">
        <f ca="1">IF($K$24=0,Calc2!$C$15,VLOOKUP(B150,C139:N158,4,0))</f>
        <v>SV Werder Bremen</v>
      </c>
      <c r="X150" s="1">
        <f ca="1">INDEX(V112:V131,MATCH(W150,W112:W131,0))</f>
        <v>15</v>
      </c>
      <c r="Y150" s="1">
        <f t="shared" ca="1" si="29"/>
        <v>1</v>
      </c>
    </row>
    <row r="151" spans="2:25" x14ac:dyDescent="0.2">
      <c r="B151" s="1">
        <v>13</v>
      </c>
      <c r="C151" s="9">
        <f ca="1">RANK(D151,D139:D158,1)</f>
        <v>3</v>
      </c>
      <c r="D151" s="134">
        <f t="shared" ca="1" si="27"/>
        <v>3.1509999999999998</v>
      </c>
      <c r="E151" s="134">
        <f ca="1">RANK(T151,T139:T158,1)</f>
        <v>3</v>
      </c>
      <c r="F151" s="187" t="str">
        <f>Calc2!$C$16</f>
        <v>RB Leipzig</v>
      </c>
      <c r="G151" s="1">
        <f ca="1">SUMIFS(OFFSET(Calc2!$H$4,,,$F$26*B137,1),OFFSET(Calc2!$F$4,,,$F$26*B137,1),F151)+SUMIFS(OFFSET(Calc2!$I$4,,,$F$26*B137,1),OFFSET(Calc2!$G$4,,,$F$26*B137,1),F151)</f>
        <v>8</v>
      </c>
      <c r="H151" s="1">
        <f ca="1">SUMIFS(OFFSET(Calc2!$I$4,,,$F$26*B137,1),OFFSET(Calc2!$F$4,,,$F$26*B137,1),F151)+SUMIFS(OFFSET(Calc2!$H$4,,,$F$26*B137,1),OFFSET(Calc2!$G$4,,,$F$26*B137,1),F151)</f>
        <v>8</v>
      </c>
      <c r="I151" s="134">
        <f t="shared" ca="1" si="25"/>
        <v>0</v>
      </c>
      <c r="J151" s="12">
        <f ca="1">L151*Settings!$C$3+M151+O151</f>
        <v>13</v>
      </c>
      <c r="K151" s="1">
        <f t="shared" ca="1" si="28"/>
        <v>6</v>
      </c>
      <c r="L151" s="1">
        <f t="array" aca="1" ref="L151" ca="1">SUMPRODUCT((OFFSET(Calc2!$F$4,,,$F$26*B137,1)=F151)*(OFFSET(Calc2!$H$4,,,$F$26*B137,1)&gt;OFFSET(Calc2!$I$4,,,$F$26*B137,1)))+SUMPRODUCT((OFFSET(Calc2!$G$4,,,$F$26*B137,1)=F151)*(OFFSET(Calc2!$H$4,,,$F$26*B137,1)&lt;OFFSET(Calc2!$I$4,,,$F$26*B137,1)))</f>
        <v>4</v>
      </c>
      <c r="M151" s="1">
        <f t="array" aca="1" ref="M151" ca="1">SUMPRODUCT((OFFSET(Calc2!$F$4,,,$F$26*B137,2)=F151)*(OFFSET(Calc2!$H$4,,,$F$26*B137,1)=OFFSET(Calc2!$I$4,,,$F$26*B137,1))*(OFFSET(Calc2!$H$4,,,$F$26*B137,1)&lt;&gt;"")*(OFFSET(Calc2!$I$4,,,$F$26*B137,1)&lt;&gt;""))</f>
        <v>1</v>
      </c>
      <c r="N151" s="1">
        <f t="array" aca="1" ref="N151" ca="1">SUMPRODUCT((OFFSET(Calc2!$F$4,,,$F$26*B137,1)=F151)*(OFFSET(Calc2!$H$4,,,$F$26*B137,1)&lt;OFFSET(Calc2!$I$4,,,$F$26*B137,1)))+SUMPRODUCT((OFFSET(Calc2!$G$4,,,$F$26*B137,1)=F151)*(OFFSET(Calc2!$H$4,,,$F$26*B137,1)&gt;OFFSET(Calc2!$I$4,,,$F$26*B137,1)))</f>
        <v>1</v>
      </c>
      <c r="O151" s="132">
        <f ca="1">SUMPRODUCT((F151=OFFSET(Calc2!$F$4,,,$F$26*B137,1))*OFFSET(Calc2!$O$4,,,$F$26*B137,1))+SUMPRODUCT((F151=OFFSET(Calc2!$G$4,,,$F$26*B137,1))*OFFSET(Calc2!$P$4,,,$F$26*B137,1))</f>
        <v>0</v>
      </c>
      <c r="P151" s="2"/>
      <c r="Q151" s="2"/>
      <c r="R151" s="13">
        <f t="shared" ca="1" si="26"/>
        <v>13500000008</v>
      </c>
      <c r="S151" s="134">
        <f>Tie_Break!$D$19</f>
        <v>0</v>
      </c>
      <c r="T151" s="9">
        <f ca="1">RANK(R151,R139:R158)+(9-S151)/10000+(F151="")*1000</f>
        <v>3.0009000000000001</v>
      </c>
      <c r="U151" s="1"/>
      <c r="V151" s="134">
        <f ca="1">IF($K$24=0,"",IF(VLOOKUP(B151,C139:E158,3,0)=MAX(V$4:V150),VLOOKUP(B151,C139:E158,3,0),B151))</f>
        <v>13</v>
      </c>
      <c r="W151" s="4" t="str">
        <f ca="1">IF($K$24=0,Calc2!$C$16,VLOOKUP(B151,C139:N158,4,0))</f>
        <v>1. FC Union Berlin</v>
      </c>
      <c r="X151" s="1">
        <f ca="1">INDEX(V112:V131,MATCH(W151,W112:W131,0))</f>
        <v>11</v>
      </c>
      <c r="Y151" s="1">
        <f t="shared" ca="1" si="29"/>
        <v>-1</v>
      </c>
    </row>
    <row r="152" spans="2:25" x14ac:dyDescent="0.2">
      <c r="B152" s="1">
        <v>14</v>
      </c>
      <c r="C152" s="9">
        <f ca="1">RANK(D152,D139:D158,1)</f>
        <v>8</v>
      </c>
      <c r="D152" s="134">
        <f t="shared" ca="1" si="27"/>
        <v>8.1519999999999992</v>
      </c>
      <c r="E152" s="134">
        <f ca="1">RANK(T152,T139:T158,1)</f>
        <v>8</v>
      </c>
      <c r="F152" s="187" t="str">
        <f>Calc2!$C$17</f>
        <v>SC Freiburg</v>
      </c>
      <c r="G152" s="1">
        <f ca="1">SUMIFS(OFFSET(Calc2!$H$4,,,$F$26*B137,1),OFFSET(Calc2!$F$4,,,$F$26*B137,1),F152)+SUMIFS(OFFSET(Calc2!$I$4,,,$F$26*B137,1),OFFSET(Calc2!$G$4,,,$F$26*B137,1),F152)</f>
        <v>9</v>
      </c>
      <c r="H152" s="1">
        <f ca="1">SUMIFS(OFFSET(Calc2!$I$4,,,$F$26*B137,1),OFFSET(Calc2!$F$4,,,$F$26*B137,1),F152)+SUMIFS(OFFSET(Calc2!$H$4,,,$F$26*B137,1),OFFSET(Calc2!$G$4,,,$F$26*B137,1),F152)</f>
        <v>9</v>
      </c>
      <c r="I152" s="134">
        <f t="shared" ca="1" si="25"/>
        <v>0</v>
      </c>
      <c r="J152" s="12">
        <f ca="1">L152*Settings!$C$3+M152+O152</f>
        <v>8</v>
      </c>
      <c r="K152" s="1">
        <f t="shared" ca="1" si="28"/>
        <v>6</v>
      </c>
      <c r="L152" s="1">
        <f t="array" aca="1" ref="L152" ca="1">SUMPRODUCT((OFFSET(Calc2!$F$4,,,$F$26*B137,1)=F152)*(OFFSET(Calc2!$H$4,,,$F$26*B137,1)&gt;OFFSET(Calc2!$I$4,,,$F$26*B137,1)))+SUMPRODUCT((OFFSET(Calc2!$G$4,,,$F$26*B137,1)=F152)*(OFFSET(Calc2!$H$4,,,$F$26*B137,1)&lt;OFFSET(Calc2!$I$4,,,$F$26*B137,1)))</f>
        <v>2</v>
      </c>
      <c r="M152" s="1">
        <f t="array" aca="1" ref="M152" ca="1">SUMPRODUCT((OFFSET(Calc2!$F$4,,,$F$26*B137,2)=F152)*(OFFSET(Calc2!$H$4,,,$F$26*B137,1)=OFFSET(Calc2!$I$4,,,$F$26*B137,1))*(OFFSET(Calc2!$H$4,,,$F$26*B137,1)&lt;&gt;"")*(OFFSET(Calc2!$I$4,,,$F$26*B137,1)&lt;&gt;""))</f>
        <v>2</v>
      </c>
      <c r="N152" s="1">
        <f t="array" aca="1" ref="N152" ca="1">SUMPRODUCT((OFFSET(Calc2!$F$4,,,$F$26*B137,1)=F152)*(OFFSET(Calc2!$H$4,,,$F$26*B137,1)&lt;OFFSET(Calc2!$I$4,,,$F$26*B137,1)))+SUMPRODUCT((OFFSET(Calc2!$G$4,,,$F$26*B137,1)=F152)*(OFFSET(Calc2!$H$4,,,$F$26*B137,1)&gt;OFFSET(Calc2!$I$4,,,$F$26*B137,1)))</f>
        <v>2</v>
      </c>
      <c r="O152" s="132">
        <f ca="1">SUMPRODUCT((F152=OFFSET(Calc2!$F$4,,,$F$26*B137,1))*OFFSET(Calc2!$O$4,,,$F$26*B137,1))+SUMPRODUCT((F152=OFFSET(Calc2!$G$4,,,$F$26*B137,1))*OFFSET(Calc2!$P$4,,,$F$26*B137,1))</f>
        <v>0</v>
      </c>
      <c r="P152" s="2"/>
      <c r="Q152" s="2"/>
      <c r="R152" s="13">
        <f t="shared" ca="1" si="26"/>
        <v>8500000009</v>
      </c>
      <c r="S152" s="134">
        <f>Tie_Break!$D$20</f>
        <v>0</v>
      </c>
      <c r="T152" s="9">
        <f ca="1">RANK(R152,R139:R158)+(9-S152)/10000+(F152="")*1000</f>
        <v>8.0008999999999997</v>
      </c>
      <c r="U152" s="2"/>
      <c r="V152" s="134">
        <f ca="1">IF($K$24=0,"",IF(VLOOKUP(B152,C139:E158,3,0)=MAX(V$4:V151),VLOOKUP(B152,C139:E158,3,0),B152))</f>
        <v>14</v>
      </c>
      <c r="W152" s="4" t="str">
        <f ca="1">IF($K$24=0,Calc2!$C$17,VLOOKUP(B152,C139:N158,4,0))</f>
        <v>FC Augsburg</v>
      </c>
      <c r="X152" s="1">
        <f ca="1">INDEX(V112:V131,MATCH(W152,W112:W131,0))</f>
        <v>16</v>
      </c>
      <c r="Y152" s="1">
        <f t="shared" ca="1" si="29"/>
        <v>1</v>
      </c>
    </row>
    <row r="153" spans="2:25" x14ac:dyDescent="0.2">
      <c r="B153" s="1">
        <v>15</v>
      </c>
      <c r="C153" s="9">
        <f ca="1">RANK(D153,D139:D158,1)</f>
        <v>12</v>
      </c>
      <c r="D153" s="134">
        <f t="shared" ca="1" si="27"/>
        <v>12.153</v>
      </c>
      <c r="E153" s="134">
        <f ca="1">RANK(T153,T139:T158,1)</f>
        <v>12</v>
      </c>
      <c r="F153" s="187" t="str">
        <f>Calc2!$C$18</f>
        <v>SV Werder Bremen</v>
      </c>
      <c r="G153" s="1">
        <f ca="1">SUMIFS(OFFSET(Calc2!$H$4,,,$F$26*B137,1),OFFSET(Calc2!$F$4,,,$F$26*B137,1),F153)+SUMIFS(OFFSET(Calc2!$I$4,,,$F$26*B137,1),OFFSET(Calc2!$G$4,,,$F$26*B137,1),F153)</f>
        <v>9</v>
      </c>
      <c r="H153" s="1">
        <f ca="1">SUMIFS(OFFSET(Calc2!$I$4,,,$F$26*B137,1),OFFSET(Calc2!$F$4,,,$F$26*B137,1),F153)+SUMIFS(OFFSET(Calc2!$H$4,,,$F$26*B137,1),OFFSET(Calc2!$G$4,,,$F$26*B137,1),F153)</f>
        <v>14</v>
      </c>
      <c r="I153" s="134">
        <f t="shared" ca="1" si="25"/>
        <v>-5</v>
      </c>
      <c r="J153" s="12">
        <f ca="1">L153*Settings!$C$3+M153+O153</f>
        <v>7</v>
      </c>
      <c r="K153" s="1">
        <f t="shared" ca="1" si="28"/>
        <v>6</v>
      </c>
      <c r="L153" s="1">
        <f t="array" aca="1" ref="L153" ca="1">SUMPRODUCT((OFFSET(Calc2!$F$4,,,$F$26*B137,1)=F153)*(OFFSET(Calc2!$H$4,,,$F$26*B137,1)&gt;OFFSET(Calc2!$I$4,,,$F$26*B137,1)))+SUMPRODUCT((OFFSET(Calc2!$G$4,,,$F$26*B137,1)=F153)*(OFFSET(Calc2!$H$4,,,$F$26*B137,1)&lt;OFFSET(Calc2!$I$4,,,$F$26*B137,1)))</f>
        <v>2</v>
      </c>
      <c r="M153" s="1">
        <f t="array" aca="1" ref="M153" ca="1">SUMPRODUCT((OFFSET(Calc2!$F$4,,,$F$26*B137,2)=F153)*(OFFSET(Calc2!$H$4,,,$F$26*B137,1)=OFFSET(Calc2!$I$4,,,$F$26*B137,1))*(OFFSET(Calc2!$H$4,,,$F$26*B137,1)&lt;&gt;"")*(OFFSET(Calc2!$I$4,,,$F$26*B137,1)&lt;&gt;""))</f>
        <v>1</v>
      </c>
      <c r="N153" s="1">
        <f t="array" aca="1" ref="N153" ca="1">SUMPRODUCT((OFFSET(Calc2!$F$4,,,$F$26*B137,1)=F153)*(OFFSET(Calc2!$H$4,,,$F$26*B137,1)&lt;OFFSET(Calc2!$I$4,,,$F$26*B137,1)))+SUMPRODUCT((OFFSET(Calc2!$G$4,,,$F$26*B137,1)=F153)*(OFFSET(Calc2!$H$4,,,$F$26*B137,1)&gt;OFFSET(Calc2!$I$4,,,$F$26*B137,1)))</f>
        <v>3</v>
      </c>
      <c r="O153" s="132">
        <f ca="1">SUMPRODUCT((F153=OFFSET(Calc2!$F$4,,,$F$26*B137,1))*OFFSET(Calc2!$O$4,,,$F$26*B137,1))+SUMPRODUCT((F153=OFFSET(Calc2!$G$4,,,$F$26*B137,1))*OFFSET(Calc2!$P$4,,,$F$26*B137,1))</f>
        <v>0</v>
      </c>
      <c r="P153" s="2"/>
      <c r="Q153" s="2"/>
      <c r="R153" s="13">
        <f t="shared" ca="1" si="26"/>
        <v>7499995009</v>
      </c>
      <c r="S153" s="134">
        <f>Tie_Break!$D$21</f>
        <v>0</v>
      </c>
      <c r="T153" s="9">
        <f ca="1">RANK(R153,R139:R158)+(9-S153)/10000+(F153="")*1000</f>
        <v>12.0009</v>
      </c>
      <c r="U153" s="2"/>
      <c r="V153" s="134">
        <f ca="1">IF($K$24=0,"",IF(VLOOKUP(B153,C139:E158,3,0)=MAX(V$4:V152),VLOOKUP(B153,C139:E158,3,0),B153))</f>
        <v>15</v>
      </c>
      <c r="W153" s="4" t="str">
        <f ca="1">IF($K$24=0,Calc2!$C$18,VLOOKUP(B153,C139:N158,4,0))</f>
        <v>VfL Wolfsburg</v>
      </c>
      <c r="X153" s="1">
        <f ca="1">INDEX(V112:V131,MATCH(W153,W112:W131,0))</f>
        <v>12</v>
      </c>
      <c r="Y153" s="1">
        <f t="shared" ca="1" si="29"/>
        <v>-1</v>
      </c>
    </row>
    <row r="154" spans="2:25" x14ac:dyDescent="0.2">
      <c r="B154" s="1">
        <v>16</v>
      </c>
      <c r="C154" s="9">
        <f ca="1">RANK(D154,D139:D158,1)</f>
        <v>11</v>
      </c>
      <c r="D154" s="134">
        <f t="shared" ca="1" si="27"/>
        <v>11.154</v>
      </c>
      <c r="E154" s="134">
        <f ca="1">RANK(T154,T139:T158,1)</f>
        <v>11</v>
      </c>
      <c r="F154" s="187" t="str">
        <f>Calc2!$C$19</f>
        <v>TSG Hoffenheim</v>
      </c>
      <c r="G154" s="1">
        <f ca="1">SUMIFS(OFFSET(Calc2!$H$4,,,$F$26*B137,1),OFFSET(Calc2!$F$4,,,$F$26*B137,1),F154)+SUMIFS(OFFSET(Calc2!$I$4,,,$F$26*B137,1),OFFSET(Calc2!$G$4,,,$F$26*B137,1),F154)</f>
        <v>9</v>
      </c>
      <c r="H154" s="1">
        <f ca="1">SUMIFS(OFFSET(Calc2!$I$4,,,$F$26*B137,1),OFFSET(Calc2!$F$4,,,$F$26*B137,1),F154)+SUMIFS(OFFSET(Calc2!$H$4,,,$F$26*B137,1),OFFSET(Calc2!$G$4,,,$F$26*B137,1),F154)</f>
        <v>12</v>
      </c>
      <c r="I154" s="134">
        <f t="shared" ca="1" si="25"/>
        <v>-3</v>
      </c>
      <c r="J154" s="12">
        <f ca="1">L154*Settings!$C$3+M154+O154</f>
        <v>7</v>
      </c>
      <c r="K154" s="1">
        <f t="shared" ca="1" si="28"/>
        <v>6</v>
      </c>
      <c r="L154" s="1">
        <f t="array" aca="1" ref="L154" ca="1">SUMPRODUCT((OFFSET(Calc2!$F$4,,,$F$26*B137,1)=F154)*(OFFSET(Calc2!$H$4,,,$F$26*B137,1)&gt;OFFSET(Calc2!$I$4,,,$F$26*B137,1)))+SUMPRODUCT((OFFSET(Calc2!$G$4,,,$F$26*B137,1)=F154)*(OFFSET(Calc2!$H$4,,,$F$26*B137,1)&lt;OFFSET(Calc2!$I$4,,,$F$26*B137,1)))</f>
        <v>2</v>
      </c>
      <c r="M154" s="1">
        <f t="array" aca="1" ref="M154" ca="1">SUMPRODUCT((OFFSET(Calc2!$F$4,,,$F$26*B137,2)=F154)*(OFFSET(Calc2!$H$4,,,$F$26*B137,1)=OFFSET(Calc2!$I$4,,,$F$26*B137,1))*(OFFSET(Calc2!$H$4,,,$F$26*B137,1)&lt;&gt;"")*(OFFSET(Calc2!$I$4,,,$F$26*B137,1)&lt;&gt;""))</f>
        <v>1</v>
      </c>
      <c r="N154" s="1">
        <f t="array" aca="1" ref="N154" ca="1">SUMPRODUCT((OFFSET(Calc2!$F$4,,,$F$26*B137,1)=F154)*(OFFSET(Calc2!$H$4,,,$F$26*B137,1)&lt;OFFSET(Calc2!$I$4,,,$F$26*B137,1)))+SUMPRODUCT((OFFSET(Calc2!$G$4,,,$F$26*B137,1)=F154)*(OFFSET(Calc2!$H$4,,,$F$26*B137,1)&gt;OFFSET(Calc2!$I$4,,,$F$26*B137,1)))</f>
        <v>3</v>
      </c>
      <c r="O154" s="132">
        <f ca="1">SUMPRODUCT((F154=OFFSET(Calc2!$F$4,,,$F$26*B137,1))*OFFSET(Calc2!$O$4,,,$F$26*B137,1))+SUMPRODUCT((F154=OFFSET(Calc2!$G$4,,,$F$26*B137,1))*OFFSET(Calc2!$P$4,,,$F$26*B137,1))</f>
        <v>0</v>
      </c>
      <c r="P154" s="2"/>
      <c r="Q154" s="2"/>
      <c r="R154" s="13">
        <f t="shared" ca="1" si="26"/>
        <v>7499997009</v>
      </c>
      <c r="S154" s="134">
        <f>Tie_Break!$D$22</f>
        <v>0</v>
      </c>
      <c r="T154" s="9">
        <f ca="1">RANK(R154,R139:R158)+(9-S154)/10000+(F154="")*1000</f>
        <v>11.0009</v>
      </c>
      <c r="U154" s="2"/>
      <c r="V154" s="134">
        <f ca="1">IF($K$24=0,"",IF(VLOOKUP(B154,C139:E158,3,0)=MAX(V$4:V153),VLOOKUP(B154,C139:E158,3,0),B154))</f>
        <v>16</v>
      </c>
      <c r="W154" s="4" t="str">
        <f ca="1">IF($K$24=0,Calc2!$C$19,VLOOKUP(B154,C139:N158,4,0))</f>
        <v>1. FSV Mainz 05</v>
      </c>
      <c r="X154" s="1">
        <f ca="1">INDEX(V112:V131,MATCH(W154,W112:W131,0))</f>
        <v>14</v>
      </c>
      <c r="Y154" s="1">
        <f t="shared" ca="1" si="29"/>
        <v>-1</v>
      </c>
    </row>
    <row r="155" spans="2:25" x14ac:dyDescent="0.2">
      <c r="B155" s="1">
        <v>17</v>
      </c>
      <c r="C155" s="9">
        <f ca="1">RANK(D155,D139:D158,1)</f>
        <v>4</v>
      </c>
      <c r="D155" s="134">
        <f t="shared" ca="1" si="27"/>
        <v>4.1550000000000002</v>
      </c>
      <c r="E155" s="134">
        <f ca="1">RANK(T155,T139:T158,1)</f>
        <v>4</v>
      </c>
      <c r="F155" s="187" t="str">
        <f>Calc2!$C$20</f>
        <v>VfB Stuttgart</v>
      </c>
      <c r="G155" s="1">
        <f ca="1">SUMIFS(OFFSET(Calc2!$H$4,,,$F$26*B137,1),OFFSET(Calc2!$F$4,,,$F$26*B137,1),F155)+SUMIFS(OFFSET(Calc2!$I$4,,,$F$26*B137,1),OFFSET(Calc2!$G$4,,,$F$26*B137,1),F155)</f>
        <v>8</v>
      </c>
      <c r="H155" s="1">
        <f ca="1">SUMIFS(OFFSET(Calc2!$I$4,,,$F$26*B137,1),OFFSET(Calc2!$F$4,,,$F$26*B137,1),F155)+SUMIFS(OFFSET(Calc2!$H$4,,,$F$26*B137,1),OFFSET(Calc2!$G$4,,,$F$26*B137,1),F155)</f>
        <v>6</v>
      </c>
      <c r="I155" s="134">
        <f t="shared" ca="1" si="25"/>
        <v>2</v>
      </c>
      <c r="J155" s="12">
        <f ca="1">L155*Settings!$C$3+M155+O155</f>
        <v>12</v>
      </c>
      <c r="K155" s="1">
        <f t="shared" ca="1" si="28"/>
        <v>6</v>
      </c>
      <c r="L155" s="1">
        <f t="array" aca="1" ref="L155" ca="1">SUMPRODUCT((OFFSET(Calc2!$F$4,,,$F$26*B137,1)=F155)*(OFFSET(Calc2!$H$4,,,$F$26*B137,1)&gt;OFFSET(Calc2!$I$4,,,$F$26*B137,1)))+SUMPRODUCT((OFFSET(Calc2!$G$4,,,$F$26*B137,1)=F155)*(OFFSET(Calc2!$H$4,,,$F$26*B137,1)&lt;OFFSET(Calc2!$I$4,,,$F$26*B137,1)))</f>
        <v>4</v>
      </c>
      <c r="M155" s="1">
        <f t="array" aca="1" ref="M155" ca="1">SUMPRODUCT((OFFSET(Calc2!$F$4,,,$F$26*B137,2)=F155)*(OFFSET(Calc2!$H$4,,,$F$26*B137,1)=OFFSET(Calc2!$I$4,,,$F$26*B137,1))*(OFFSET(Calc2!$H$4,,,$F$26*B137,1)&lt;&gt;"")*(OFFSET(Calc2!$I$4,,,$F$26*B137,1)&lt;&gt;""))</f>
        <v>0</v>
      </c>
      <c r="N155" s="1">
        <f t="array" aca="1" ref="N155" ca="1">SUMPRODUCT((OFFSET(Calc2!$F$4,,,$F$26*B137,1)=F155)*(OFFSET(Calc2!$H$4,,,$F$26*B137,1)&lt;OFFSET(Calc2!$I$4,,,$F$26*B137,1)))+SUMPRODUCT((OFFSET(Calc2!$G$4,,,$F$26*B137,1)=F155)*(OFFSET(Calc2!$H$4,,,$F$26*B137,1)&gt;OFFSET(Calc2!$I$4,,,$F$26*B137,1)))</f>
        <v>2</v>
      </c>
      <c r="O155" s="132">
        <f ca="1">SUMPRODUCT((F155=OFFSET(Calc2!$F$4,,,$F$26*B137,1))*OFFSET(Calc2!$O$4,,,$F$26*B137,1))+SUMPRODUCT((F155=OFFSET(Calc2!$G$4,,,$F$26*B137,1))*OFFSET(Calc2!$P$4,,,$F$26*B137,1))</f>
        <v>0</v>
      </c>
      <c r="P155" s="2"/>
      <c r="Q155" s="2"/>
      <c r="R155" s="13">
        <f t="shared" ca="1" si="26"/>
        <v>12500002008</v>
      </c>
      <c r="S155" s="134">
        <f>Tie_Break!$D$23</f>
        <v>0</v>
      </c>
      <c r="T155" s="9">
        <f ca="1">RANK(R155,R139:R158)+(9-S155)/10000+(F155="")*1000</f>
        <v>4.0008999999999997</v>
      </c>
      <c r="U155" s="2"/>
      <c r="V155" s="134">
        <f ca="1">IF($K$24=0,"",IF(VLOOKUP(B155,C139:E158,3,0)=MAX(V$4:V154),VLOOKUP(B155,C139:E158,3,0),B155))</f>
        <v>17</v>
      </c>
      <c r="W155" s="4" t="str">
        <f ca="1">IF($K$24=0,Calc2!$C$20,VLOOKUP(B155,C139:N158,4,0))</f>
        <v>Borussia Mönchengladbach</v>
      </c>
      <c r="X155" s="1">
        <f ca="1">INDEX(V112:V131,MATCH(W155,W112:W131,0))</f>
        <v>18</v>
      </c>
      <c r="Y155" s="1">
        <f t="shared" ca="1" si="29"/>
        <v>1</v>
      </c>
    </row>
    <row r="156" spans="2:25" x14ac:dyDescent="0.2">
      <c r="B156" s="1">
        <v>18</v>
      </c>
      <c r="C156" s="9">
        <f ca="1">RANK(D156,D139:D158,1)</f>
        <v>15</v>
      </c>
      <c r="D156" s="134">
        <f t="shared" ca="1" si="27"/>
        <v>15.156000000000001</v>
      </c>
      <c r="E156" s="134">
        <f ca="1">RANK(T156,T139:T158,1)</f>
        <v>15</v>
      </c>
      <c r="F156" s="187" t="str">
        <f>Calc2!$C$21</f>
        <v>VfL Wolfsburg</v>
      </c>
      <c r="G156" s="1">
        <f ca="1">SUMIFS(OFFSET(Calc2!$H$4,,,$F$26*B137,1),OFFSET(Calc2!$F$4,,,$F$26*B137,1),F156)+SUMIFS(OFFSET(Calc2!$I$4,,,$F$26*B137,1),OFFSET(Calc2!$G$4,,,$F$26*B137,1),F156)</f>
        <v>8</v>
      </c>
      <c r="H156" s="1">
        <f ca="1">SUMIFS(OFFSET(Calc2!$I$4,,,$F$26*B137,1),OFFSET(Calc2!$F$4,,,$F$26*B137,1),F156)+SUMIFS(OFFSET(Calc2!$H$4,,,$F$26*B137,1),OFFSET(Calc2!$G$4,,,$F$26*B137,1),F156)</f>
        <v>10</v>
      </c>
      <c r="I156" s="134">
        <f t="shared" ca="1" si="25"/>
        <v>-2</v>
      </c>
      <c r="J156" s="12">
        <f ca="1">L156*Settings!$C$3+M156+O156</f>
        <v>5</v>
      </c>
      <c r="K156" s="1">
        <f t="shared" ca="1" si="28"/>
        <v>6</v>
      </c>
      <c r="L156" s="1">
        <f t="array" aca="1" ref="L156" ca="1">SUMPRODUCT((OFFSET(Calc2!$F$4,,,$F$26*B137,1)=F156)*(OFFSET(Calc2!$H$4,,,$F$26*B137,1)&gt;OFFSET(Calc2!$I$4,,,$F$26*B137,1)))+SUMPRODUCT((OFFSET(Calc2!$G$4,,,$F$26*B137,1)=F156)*(OFFSET(Calc2!$H$4,,,$F$26*B137,1)&lt;OFFSET(Calc2!$I$4,,,$F$26*B137,1)))</f>
        <v>1</v>
      </c>
      <c r="M156" s="1">
        <f t="array" aca="1" ref="M156" ca="1">SUMPRODUCT((OFFSET(Calc2!$F$4,,,$F$26*B137,2)=F156)*(OFFSET(Calc2!$H$4,,,$F$26*B137,1)=OFFSET(Calc2!$I$4,,,$F$26*B137,1))*(OFFSET(Calc2!$H$4,,,$F$26*B137,1)&lt;&gt;"")*(OFFSET(Calc2!$I$4,,,$F$26*B137,1)&lt;&gt;""))</f>
        <v>2</v>
      </c>
      <c r="N156" s="1">
        <f t="array" aca="1" ref="N156" ca="1">SUMPRODUCT((OFFSET(Calc2!$F$4,,,$F$26*B137,1)=F156)*(OFFSET(Calc2!$H$4,,,$F$26*B137,1)&lt;OFFSET(Calc2!$I$4,,,$F$26*B137,1)))+SUMPRODUCT((OFFSET(Calc2!$G$4,,,$F$26*B137,1)=F156)*(OFFSET(Calc2!$H$4,,,$F$26*B137,1)&gt;OFFSET(Calc2!$I$4,,,$F$26*B137,1)))</f>
        <v>3</v>
      </c>
      <c r="O156" s="132">
        <f ca="1">SUMPRODUCT((F156=OFFSET(Calc2!$F$4,,,$F$26*B137,1))*OFFSET(Calc2!$O$4,,,$F$26*B137,1))+SUMPRODUCT((F156=OFFSET(Calc2!$G$4,,,$F$26*B137,1))*OFFSET(Calc2!$P$4,,,$F$26*B137,1))</f>
        <v>0</v>
      </c>
      <c r="P156" s="2"/>
      <c r="Q156" s="2"/>
      <c r="R156" s="13">
        <f t="shared" ca="1" si="26"/>
        <v>5499998008</v>
      </c>
      <c r="S156" s="134">
        <f>Tie_Break!$D$24</f>
        <v>0</v>
      </c>
      <c r="T156" s="9">
        <f ca="1">RANK(R156,R139:R158)+(9-S156)/10000+(F156="")*1000</f>
        <v>15.0009</v>
      </c>
      <c r="U156" s="2"/>
      <c r="V156" s="134">
        <f ca="1">IF($K$24=0,"",IF(VLOOKUP(B156,C139:E158,3,0)=MAX(V$4:V155),VLOOKUP(B156,C139:E158,3,0),B156))</f>
        <v>18</v>
      </c>
      <c r="W156" s="4" t="str">
        <f ca="1">IF($K$24=0,Calc2!$C$21,VLOOKUP(B156,C139:N158,4,0))</f>
        <v>1. FC Heidenheim 1846</v>
      </c>
      <c r="X156" s="1">
        <f ca="1">INDEX(V112:V131,MATCH(W156,W112:W131,0))</f>
        <v>17</v>
      </c>
      <c r="Y156" s="1">
        <f t="shared" ca="1" si="29"/>
        <v>-1</v>
      </c>
    </row>
    <row r="157" spans="2:25" x14ac:dyDescent="0.2">
      <c r="B157" s="1">
        <v>19</v>
      </c>
      <c r="C157" s="9">
        <f ca="1">RANK(D157,D139:D158,1)</f>
        <v>19</v>
      </c>
      <c r="D157" s="134">
        <f t="shared" ca="1" si="27"/>
        <v>19.157</v>
      </c>
      <c r="E157" s="134">
        <f ca="1">RANK(T157,T139:T158,1)</f>
        <v>19</v>
      </c>
      <c r="F157" s="187" t="str">
        <f>Calc2!$C$22</f>
        <v/>
      </c>
      <c r="G157" s="1">
        <f ca="1">SUMIFS(OFFSET(Calc2!$H$4,,,$F$26*B137,1),OFFSET(Calc2!$F$4,,,$F$26*B137,1),F157)+SUMIFS(OFFSET(Calc2!$I$4,,,$F$26*B137,1),OFFSET(Calc2!$G$4,,,$F$26*B137,1),F157)</f>
        <v>0</v>
      </c>
      <c r="H157" s="1">
        <f ca="1">SUMIFS(OFFSET(Calc2!$I$4,,,$F$26*B137,1),OFFSET(Calc2!$F$4,,,$F$26*B137,1),F157)+SUMIFS(OFFSET(Calc2!$H$4,,,$F$26*B137,1),OFFSET(Calc2!$G$4,,,$F$26*B137,1),F157)</f>
        <v>0</v>
      </c>
      <c r="I157" s="134">
        <f t="shared" ca="1" si="25"/>
        <v>0</v>
      </c>
      <c r="J157" s="12">
        <f ca="1">L157*Settings!$C$3+M157+O157</f>
        <v>0</v>
      </c>
      <c r="K157" s="1">
        <f t="shared" ca="1" si="28"/>
        <v>0</v>
      </c>
      <c r="L157" s="1">
        <f t="array" aca="1" ref="L157" ca="1">SUMPRODUCT((OFFSET(Calc2!$F$4,,,$F$26*B137,1)=F157)*(OFFSET(Calc2!$H$4,,,$F$26*B137,1)&gt;OFFSET(Calc2!$I$4,,,$F$26*B137,1)))+SUMPRODUCT((OFFSET(Calc2!$G$4,,,$F$26*B137,1)=F157)*(OFFSET(Calc2!$H$4,,,$F$26*B137,1)&lt;OFFSET(Calc2!$I$4,,,$F$26*B137,1)))</f>
        <v>0</v>
      </c>
      <c r="M157" s="1">
        <f t="array" aca="1" ref="M157" ca="1">SUMPRODUCT((OFFSET(Calc2!$F$4,,,$F$26*B137,2)=F157)*(OFFSET(Calc2!$H$4,,,$F$26*B137,1)=OFFSET(Calc2!$I$4,,,$F$26*B137,1))*(OFFSET(Calc2!$H$4,,,$F$26*B137,1)&lt;&gt;"")*(OFFSET(Calc2!$I$4,,,$F$26*B137,1)&lt;&gt;""))</f>
        <v>0</v>
      </c>
      <c r="N157" s="1">
        <f t="array" aca="1" ref="N157" ca="1">SUMPRODUCT((OFFSET(Calc2!$F$4,,,$F$26*B137,1)=F157)*(OFFSET(Calc2!$H$4,,,$F$26*B137,1)&lt;OFFSET(Calc2!$I$4,,,$F$26*B137,1)))+SUMPRODUCT((OFFSET(Calc2!$G$4,,,$F$26*B137,1)=F157)*(OFFSET(Calc2!$H$4,,,$F$26*B137,1)&gt;OFFSET(Calc2!$I$4,,,$F$26*B137,1)))</f>
        <v>0</v>
      </c>
      <c r="O157" s="132">
        <f ca="1">SUMPRODUCT((F157=OFFSET(Calc2!$F$4,,,$F$26*B137,1))*OFFSET(Calc2!$O$4,,,$F$26*B137,1))+SUMPRODUCT((F157=OFFSET(Calc2!$G$4,,,$F$26*B137,1))*OFFSET(Calc2!$P$4,,,$F$26*B137,1))</f>
        <v>0</v>
      </c>
      <c r="P157" s="2"/>
      <c r="Q157" s="2"/>
      <c r="R157" s="13">
        <f t="shared" ca="1" si="26"/>
        <v>500000000</v>
      </c>
      <c r="S157" s="134">
        <f>Tie_Break!$D$25</f>
        <v>0</v>
      </c>
      <c r="T157" s="9">
        <f ca="1">RANK(R157,R139:R158)+(9-S157)/10000+(F157="")*1000</f>
        <v>1019.0009</v>
      </c>
      <c r="U157" s="2"/>
      <c r="V157" s="134">
        <f ca="1">IF($K$24=0,"",IF(VLOOKUP(B157,C139:E158,3,0)=MAX(V$4:V156),VLOOKUP(B157,C139:E158,3,0),B157))</f>
        <v>19</v>
      </c>
      <c r="W157" s="4" t="str">
        <f ca="1">IF($K$24=0,Calc2!$C$22,VLOOKUP(B157,C139:N158,4,0))</f>
        <v/>
      </c>
      <c r="X157" s="1">
        <f ca="1">INDEX(V112:V131,MATCH(W157,W112:W131,0))</f>
        <v>19</v>
      </c>
      <c r="Y157" s="1">
        <f t="shared" ca="1" si="29"/>
        <v>0</v>
      </c>
    </row>
    <row r="158" spans="2:25" ht="12.75" thickBot="1" x14ac:dyDescent="0.25">
      <c r="B158" s="1">
        <v>20</v>
      </c>
      <c r="C158" s="10">
        <f ca="1">RANK(D158,D139:D158,1)</f>
        <v>20</v>
      </c>
      <c r="D158" s="134">
        <f t="shared" ca="1" si="27"/>
        <v>19.158000000000001</v>
      </c>
      <c r="E158" s="134">
        <f ca="1">RANK(T158,T139:T158,1)</f>
        <v>19</v>
      </c>
      <c r="F158" s="187" t="str">
        <f>Calc2!$C$23</f>
        <v/>
      </c>
      <c r="G158" s="1">
        <f ca="1">SUMIFS(OFFSET(Calc2!$H$4,,,$F$26*B137,1),OFFSET(Calc2!$F$4,,,$F$26*B137,1),F158)+SUMIFS(OFFSET(Calc2!$I$4,,,$F$26*B137,1),OFFSET(Calc2!$G$4,,,$F$26*B137,1),F158)</f>
        <v>0</v>
      </c>
      <c r="H158" s="1">
        <f ca="1">SUMIFS(OFFSET(Calc2!$I$4,,,$F$26*B137,1),OFFSET(Calc2!$F$4,,,$F$26*B137,1),F158)+SUMIFS(OFFSET(Calc2!$H$4,,,$F$26*B137,1),OFFSET(Calc2!$G$4,,,$F$26*B137,1),F158)</f>
        <v>0</v>
      </c>
      <c r="I158" s="134">
        <f t="shared" ca="1" si="25"/>
        <v>0</v>
      </c>
      <c r="J158" s="12">
        <f ca="1">L158*Settings!$C$3+M158+O158</f>
        <v>0</v>
      </c>
      <c r="K158" s="1">
        <f t="shared" ca="1" si="28"/>
        <v>0</v>
      </c>
      <c r="L158" s="1">
        <f t="array" aca="1" ref="L158" ca="1">SUMPRODUCT((OFFSET(Calc2!$F$4,,,$F$26*B137,1)=F158)*(OFFSET(Calc2!$H$4,,,$F$26*B137,1)&gt;OFFSET(Calc2!$I$4,,,$F$26*B137,1)))+SUMPRODUCT((OFFSET(Calc2!$G$4,,,$F$26*B137,1)=F158)*(OFFSET(Calc2!$H$4,,,$F$26*B137,1)&lt;OFFSET(Calc2!$I$4,,,$F$26*B137,1)))</f>
        <v>0</v>
      </c>
      <c r="M158" s="1">
        <f t="array" aca="1" ref="M158" ca="1">SUMPRODUCT((OFFSET(Calc2!$F$4,,,$F$26*B137,2)=F158)*(OFFSET(Calc2!$H$4,,,$F$26*B137,1)=OFFSET(Calc2!$I$4,,,$F$26*B137,1))*(OFFSET(Calc2!$H$4,,,$F$26*B137,1)&lt;&gt;"")*(OFFSET(Calc2!$I$4,,,$F$26*B137,1)&lt;&gt;""))</f>
        <v>0</v>
      </c>
      <c r="N158" s="1">
        <f t="array" aca="1" ref="N158" ca="1">SUMPRODUCT((OFFSET(Calc2!$F$4,,,$F$26*B137,1)=F158)*(OFFSET(Calc2!$H$4,,,$F$26*B137,1)&lt;OFFSET(Calc2!$I$4,,,$F$26*B137,1)))+SUMPRODUCT((OFFSET(Calc2!$G$4,,,$F$26*B137,1)=F158)*(OFFSET(Calc2!$H$4,,,$F$26*B137,1)&gt;OFFSET(Calc2!$I$4,,,$F$26*B137,1)))</f>
        <v>0</v>
      </c>
      <c r="O158" s="132">
        <f ca="1">SUMPRODUCT((F158=OFFSET(Calc2!$F$4,,,$F$26*B137,1))*OFFSET(Calc2!$O$4,,,$F$26*B137,1))+SUMPRODUCT((F158=OFFSET(Calc2!$G$4,,,$F$26*B137,1))*OFFSET(Calc2!$P$4,,,$F$26*B137,1))</f>
        <v>0</v>
      </c>
      <c r="P158" s="2"/>
      <c r="Q158" s="2"/>
      <c r="R158" s="13">
        <f t="shared" ca="1" si="26"/>
        <v>500000000</v>
      </c>
      <c r="S158" s="134">
        <f>Tie_Break!$D$26</f>
        <v>0</v>
      </c>
      <c r="T158" s="10">
        <f ca="1">RANK(R158,R139:R158)+(9-S158)/10000+(F158="")*1000</f>
        <v>1019.0009</v>
      </c>
      <c r="U158" s="2"/>
      <c r="V158" s="134">
        <f ca="1">IF($K$24=0,"",IF(VLOOKUP(B158,C139:E158,3,0)=MAX(V$4:V157),VLOOKUP(B158,C139:E158,3,0),B158))</f>
        <v>19</v>
      </c>
      <c r="W158" s="4" t="str">
        <f ca="1">IF($K$24=0,Calc2!$C$23,VLOOKUP(B158,C139:N158,4,0))</f>
        <v/>
      </c>
      <c r="X158" s="1">
        <f ca="1">INDEX(V112:V131,MATCH(W158,W112:W131,0))</f>
        <v>19</v>
      </c>
      <c r="Y158" s="1">
        <f t="shared" ca="1" si="29"/>
        <v>0</v>
      </c>
    </row>
    <row r="159" spans="2:25" ht="12.75" thickTop="1" x14ac:dyDescent="0.2"/>
    <row r="163" spans="2:25" ht="12.75" thickBot="1" x14ac:dyDescent="0.25"/>
    <row r="164" spans="2:25" ht="12.75" thickBot="1" x14ac:dyDescent="0.25">
      <c r="B164" s="410">
        <v>7</v>
      </c>
      <c r="C164" s="134"/>
      <c r="D164" s="134"/>
      <c r="E164" s="134"/>
      <c r="F164" s="187"/>
      <c r="G164" s="1"/>
      <c r="H164" s="1"/>
      <c r="I164" s="1"/>
      <c r="J164" s="1"/>
      <c r="K164" s="1"/>
      <c r="L164" s="1"/>
      <c r="M164" s="1"/>
      <c r="N164" s="134"/>
      <c r="O164" s="1"/>
      <c r="P164" s="1"/>
      <c r="Q164" s="1"/>
      <c r="R164" s="2"/>
      <c r="S164" s="2"/>
      <c r="T164" s="2"/>
      <c r="U164" s="2"/>
      <c r="V164" s="2"/>
      <c r="W164" s="2"/>
    </row>
    <row r="165" spans="2:25" ht="15.75" thickBot="1" x14ac:dyDescent="0.25">
      <c r="B165" s="1"/>
      <c r="C165" s="134"/>
      <c r="D165" s="134"/>
      <c r="E165" s="134"/>
      <c r="F165" s="11" t="s">
        <v>90</v>
      </c>
      <c r="G165" s="42" t="s">
        <v>95</v>
      </c>
      <c r="H165" s="42" t="s">
        <v>96</v>
      </c>
      <c r="I165" s="11" t="s">
        <v>97</v>
      </c>
      <c r="J165" s="11" t="s">
        <v>98</v>
      </c>
      <c r="K165" s="11" t="s">
        <v>91</v>
      </c>
      <c r="L165" s="12" t="s">
        <v>92</v>
      </c>
      <c r="M165" s="12" t="s">
        <v>93</v>
      </c>
      <c r="N165" s="12" t="s">
        <v>94</v>
      </c>
      <c r="O165" s="12" t="s">
        <v>534</v>
      </c>
      <c r="P165" s="2"/>
      <c r="Q165" s="11"/>
      <c r="R165" s="133" t="s">
        <v>99</v>
      </c>
      <c r="S165" s="6" t="s">
        <v>483</v>
      </c>
      <c r="T165" s="120" t="s">
        <v>146</v>
      </c>
      <c r="U165" s="134"/>
      <c r="V165" s="134"/>
      <c r="W165" s="132"/>
      <c r="X165" s="120" t="s">
        <v>575</v>
      </c>
      <c r="Y165" s="1"/>
    </row>
    <row r="166" spans="2:25" ht="12.75" thickTop="1" x14ac:dyDescent="0.2">
      <c r="B166" s="1">
        <v>1</v>
      </c>
      <c r="C166" s="8">
        <f ca="1">RANK(D166,D166:D185,1)</f>
        <v>17</v>
      </c>
      <c r="D166" s="134">
        <f ca="1">E166+ROW()/1000</f>
        <v>17.166</v>
      </c>
      <c r="E166" s="134">
        <f ca="1">RANK(T166,T166:T185,1)</f>
        <v>17</v>
      </c>
      <c r="F166" s="187" t="str">
        <f>Calc2!$C$4</f>
        <v>1. FC Heidenheim 1846</v>
      </c>
      <c r="G166" s="1">
        <f ca="1">SUMIFS(OFFSET(Calc2!$H$4,,,$F$26*B164,1),OFFSET(Calc2!$F$4,,,$F$26*B164,1),F166)+SUMIFS(OFFSET(Calc2!$I$4,,,$F$26*B164,1),OFFSET(Calc2!$G$4,,,$F$26*B164,1),F166)</f>
        <v>6</v>
      </c>
      <c r="H166" s="1">
        <f ca="1">SUMIFS(OFFSET(Calc2!$I$4,,,$F$26*B164,1),OFFSET(Calc2!$F$4,,,$F$26*B164,1),F166)+SUMIFS(OFFSET(Calc2!$H$4,,,$F$26*B164,1),OFFSET(Calc2!$G$4,,,$F$26*B164,1),F166)</f>
        <v>13</v>
      </c>
      <c r="I166" s="134">
        <f t="shared" ref="I166:I185" ca="1" si="30">G166-H166</f>
        <v>-7</v>
      </c>
      <c r="J166" s="12">
        <f ca="1">L166*Settings!$C$3+M166+O166</f>
        <v>4</v>
      </c>
      <c r="K166" s="1">
        <f ca="1">L166+M166+N166</f>
        <v>7</v>
      </c>
      <c r="L166" s="1">
        <f t="array" aca="1" ref="L166" ca="1">SUMPRODUCT((OFFSET(Calc2!$F$4,,,$F$26*B164,1)=F166)*(OFFSET(Calc2!$H$4,,,$F$26*B164,1)&gt;OFFSET(Calc2!$I$4,,,$F$26*B164,1)))+SUMPRODUCT((OFFSET(Calc2!$G$4,,,$F$26*B164,1)=F166)*(OFFSET(Calc2!$H$4,,,$F$26*B164,1)&lt;OFFSET(Calc2!$I$4,,,$F$26*B164,1)))</f>
        <v>1</v>
      </c>
      <c r="M166" s="1">
        <f t="array" aca="1" ref="M166" ca="1">SUMPRODUCT((OFFSET(Calc2!$F$4,,,$F$26*B164,2)=F166)*(OFFSET(Calc2!$H$4,,,$F$26*B164,1)=OFFSET(Calc2!$I$4,,,$F$26*B164,1))*(OFFSET(Calc2!$H$4,,,$F$26*B164,1)&lt;&gt;"")*(OFFSET(Calc2!$I$4,,,$F$26*B164,1)&lt;&gt;""))</f>
        <v>1</v>
      </c>
      <c r="N166" s="1">
        <f t="array" aca="1" ref="N166" ca="1">SUMPRODUCT((OFFSET(Calc2!$F$4,,,$F$26*B164,1)=F166)*(OFFSET(Calc2!$H$4,,,$F$26*B164,1)&lt;OFFSET(Calc2!$I$4,,,$F$26*B164,1)))+SUMPRODUCT((OFFSET(Calc2!$G$4,,,$F$26*B164,1)=F166)*(OFFSET(Calc2!$H$4,,,$F$26*B164,1)&gt;OFFSET(Calc2!$I$4,,,$F$26*B164,1)))</f>
        <v>5</v>
      </c>
      <c r="O166" s="132">
        <f ca="1">SUMPRODUCT((F166=OFFSET(Calc2!$F$4,,,$F$26*B164,1))*OFFSET(Calc2!$O$4,,,$F$26*B164,1))+SUMPRODUCT((F166=OFFSET(Calc2!$G$4,,,$F$26*B164,1))*OFFSET(Calc2!$P$4,,,$F$26*B164,1))</f>
        <v>0</v>
      </c>
      <c r="P166" s="2"/>
      <c r="Q166" s="2"/>
      <c r="R166" s="13">
        <f t="shared" ref="R166:R185" ca="1" si="31">J166*FactorPts+(I166+GDzero)*FactorGD+G166*FactorGF</f>
        <v>4499993006</v>
      </c>
      <c r="S166" s="134">
        <f>Tie_Break!$D$7</f>
        <v>0</v>
      </c>
      <c r="T166" s="8">
        <f ca="1">RANK(R166,R166:R185)+(9-S166)/10000+(F166="")*1000</f>
        <v>17.000900000000001</v>
      </c>
      <c r="U166" s="134"/>
      <c r="V166" s="134">
        <f ca="1">IF($K$24=0,"",1)</f>
        <v>1</v>
      </c>
      <c r="W166" s="4" t="str">
        <f ca="1">IF($K$24=0,Calc2!$C$4,VLOOKUP(B166,C166:N185,4,0))</f>
        <v>FC Bayern München</v>
      </c>
      <c r="X166" s="1">
        <f ca="1">INDEX(V139:V158,MATCH(W166,W139:W158,0))</f>
        <v>1</v>
      </c>
      <c r="Y166" s="1">
        <f ca="1">IF(X166&gt;V166,1,IF(X166&lt;V166,-1,0))</f>
        <v>0</v>
      </c>
    </row>
    <row r="167" spans="2:25" x14ac:dyDescent="0.2">
      <c r="B167" s="1">
        <v>2</v>
      </c>
      <c r="C167" s="9">
        <f ca="1">RANK(D167,D166:D185,1)</f>
        <v>6</v>
      </c>
      <c r="D167" s="134">
        <f t="shared" ref="D167:D185" ca="1" si="32">E167+ROW()/1000</f>
        <v>6.1669999999999998</v>
      </c>
      <c r="E167" s="134">
        <f ca="1">RANK(T167,T166:T185,1)</f>
        <v>6</v>
      </c>
      <c r="F167" s="187" t="str">
        <f>Calc2!$C$5</f>
        <v>1. FC Köln</v>
      </c>
      <c r="G167" s="1">
        <f ca="1">SUMIFS(OFFSET(Calc2!$H$4,,,$F$26*B164,1),OFFSET(Calc2!$F$4,,,$F$26*B164,1),F167)+SUMIFS(OFFSET(Calc2!$I$4,,,$F$26*B164,1),OFFSET(Calc2!$G$4,,,$F$26*B164,1),F167)</f>
        <v>12</v>
      </c>
      <c r="H167" s="1">
        <f ca="1">SUMIFS(OFFSET(Calc2!$I$4,,,$F$26*B164,1),OFFSET(Calc2!$F$4,,,$F$26*B164,1),F167)+SUMIFS(OFFSET(Calc2!$H$4,,,$F$26*B164,1),OFFSET(Calc2!$G$4,,,$F$26*B164,1),F167)</f>
        <v>10</v>
      </c>
      <c r="I167" s="134">
        <f t="shared" ca="1" si="30"/>
        <v>2</v>
      </c>
      <c r="J167" s="12">
        <f ca="1">L167*Settings!$C$3+M167+O167</f>
        <v>11</v>
      </c>
      <c r="K167" s="1">
        <f t="shared" ref="K167:K185" ca="1" si="33">L167+M167+N167</f>
        <v>7</v>
      </c>
      <c r="L167" s="1">
        <f t="array" aca="1" ref="L167" ca="1">SUMPRODUCT((OFFSET(Calc2!$F$4,,,$F$26*B164,1)=F167)*(OFFSET(Calc2!$H$4,,,$F$26*B164,1)&gt;OFFSET(Calc2!$I$4,,,$F$26*B164,1)))+SUMPRODUCT((OFFSET(Calc2!$G$4,,,$F$26*B164,1)=F167)*(OFFSET(Calc2!$H$4,,,$F$26*B164,1)&lt;OFFSET(Calc2!$I$4,,,$F$26*B164,1)))</f>
        <v>3</v>
      </c>
      <c r="M167" s="1">
        <f t="array" aca="1" ref="M167" ca="1">SUMPRODUCT((OFFSET(Calc2!$F$4,,,$F$26*B164,2)=F167)*(OFFSET(Calc2!$H$4,,,$F$26*B164,1)=OFFSET(Calc2!$I$4,,,$F$26*B164,1))*(OFFSET(Calc2!$H$4,,,$F$26*B164,1)&lt;&gt;"")*(OFFSET(Calc2!$I$4,,,$F$26*B164,1)&lt;&gt;""))</f>
        <v>2</v>
      </c>
      <c r="N167" s="1">
        <f t="array" aca="1" ref="N167" ca="1">SUMPRODUCT((OFFSET(Calc2!$F$4,,,$F$26*B164,1)=F167)*(OFFSET(Calc2!$H$4,,,$F$26*B164,1)&lt;OFFSET(Calc2!$I$4,,,$F$26*B164,1)))+SUMPRODUCT((OFFSET(Calc2!$G$4,,,$F$26*B164,1)=F167)*(OFFSET(Calc2!$H$4,,,$F$26*B164,1)&gt;OFFSET(Calc2!$I$4,,,$F$26*B164,1)))</f>
        <v>2</v>
      </c>
      <c r="O167" s="132">
        <f ca="1">SUMPRODUCT((F167=OFFSET(Calc2!$F$4,,,$F$26*B164,1))*OFFSET(Calc2!$O$4,,,$F$26*B164,1))+SUMPRODUCT((F167=OFFSET(Calc2!$G$4,,,$F$26*B164,1))*OFFSET(Calc2!$P$4,,,$F$26*B164,1))</f>
        <v>0</v>
      </c>
      <c r="P167" s="2"/>
      <c r="Q167" s="2"/>
      <c r="R167" s="13">
        <f t="shared" ca="1" si="31"/>
        <v>11500002012</v>
      </c>
      <c r="S167" s="134">
        <f>Tie_Break!$D$8</f>
        <v>0</v>
      </c>
      <c r="T167" s="9">
        <f ca="1">RANK(R167,R166:R185)+(9-S167)/10000+(F167="")*1000</f>
        <v>6.0008999999999997</v>
      </c>
      <c r="U167" s="134"/>
      <c r="V167" s="134">
        <f ca="1">IF($K$24=0,"",IF(VLOOKUP(B167,C166:E185,3,0)=MAX(V$4:V166),VLOOKUP(B167,C166:E185,3,0),B167))</f>
        <v>2</v>
      </c>
      <c r="W167" s="4" t="str">
        <f ca="1">IF($K$24=0,Calc2!$C$5,VLOOKUP(B167,C166:N185,4,0))</f>
        <v>RB Leipzig</v>
      </c>
      <c r="X167" s="1">
        <f ca="1">INDEX(V139:V158,MATCH(W167,W139:W158,0))</f>
        <v>3</v>
      </c>
      <c r="Y167" s="1">
        <f t="shared" ref="Y167:Y185" ca="1" si="34">IF(X167&gt;V167,1,IF(X167&lt;V167,-1,0))</f>
        <v>1</v>
      </c>
    </row>
    <row r="168" spans="2:25" x14ac:dyDescent="0.2">
      <c r="B168" s="1">
        <v>3</v>
      </c>
      <c r="C168" s="9">
        <f ca="1">RANK(D168,D166:D185,1)</f>
        <v>9</v>
      </c>
      <c r="D168" s="134">
        <f t="shared" ca="1" si="32"/>
        <v>9.1679999999999993</v>
      </c>
      <c r="E168" s="134">
        <f ca="1">RANK(T168,T166:T185,1)</f>
        <v>9</v>
      </c>
      <c r="F168" s="187" t="str">
        <f>Calc2!$C$6</f>
        <v>1. FC Union Berlin</v>
      </c>
      <c r="G168" s="1">
        <f ca="1">SUMIFS(OFFSET(Calc2!$H$4,,,$F$26*B164,1),OFFSET(Calc2!$F$4,,,$F$26*B164,1),F168)+SUMIFS(OFFSET(Calc2!$I$4,,,$F$26*B164,1),OFFSET(Calc2!$G$4,,,$F$26*B164,1),F168)</f>
        <v>11</v>
      </c>
      <c r="H168" s="1">
        <f ca="1">SUMIFS(OFFSET(Calc2!$I$4,,,$F$26*B164,1),OFFSET(Calc2!$F$4,,,$F$26*B164,1),F168)+SUMIFS(OFFSET(Calc2!$H$4,,,$F$26*B164,1),OFFSET(Calc2!$G$4,,,$F$26*B164,1),F168)</f>
        <v>14</v>
      </c>
      <c r="I168" s="134">
        <f t="shared" ca="1" si="30"/>
        <v>-3</v>
      </c>
      <c r="J168" s="12">
        <f ca="1">L168*Settings!$C$3+M168+O168</f>
        <v>10</v>
      </c>
      <c r="K168" s="1">
        <f t="shared" ca="1" si="33"/>
        <v>7</v>
      </c>
      <c r="L168" s="1">
        <f t="array" aca="1" ref="L168" ca="1">SUMPRODUCT((OFFSET(Calc2!$F$4,,,$F$26*B164,1)=F168)*(OFFSET(Calc2!$H$4,,,$F$26*B164,1)&gt;OFFSET(Calc2!$I$4,,,$F$26*B164,1)))+SUMPRODUCT((OFFSET(Calc2!$G$4,,,$F$26*B164,1)=F168)*(OFFSET(Calc2!$H$4,,,$F$26*B164,1)&lt;OFFSET(Calc2!$I$4,,,$F$26*B164,1)))</f>
        <v>3</v>
      </c>
      <c r="M168" s="1">
        <f t="array" aca="1" ref="M168" ca="1">SUMPRODUCT((OFFSET(Calc2!$F$4,,,$F$26*B164,2)=F168)*(OFFSET(Calc2!$H$4,,,$F$26*B164,1)=OFFSET(Calc2!$I$4,,,$F$26*B164,1))*(OFFSET(Calc2!$H$4,,,$F$26*B164,1)&lt;&gt;"")*(OFFSET(Calc2!$I$4,,,$F$26*B164,1)&lt;&gt;""))</f>
        <v>1</v>
      </c>
      <c r="N168" s="1">
        <f t="array" aca="1" ref="N168" ca="1">SUMPRODUCT((OFFSET(Calc2!$F$4,,,$F$26*B164,1)=F168)*(OFFSET(Calc2!$H$4,,,$F$26*B164,1)&lt;OFFSET(Calc2!$I$4,,,$F$26*B164,1)))+SUMPRODUCT((OFFSET(Calc2!$G$4,,,$F$26*B164,1)=F168)*(OFFSET(Calc2!$H$4,,,$F$26*B164,1)&gt;OFFSET(Calc2!$I$4,,,$F$26*B164,1)))</f>
        <v>3</v>
      </c>
      <c r="O168" s="132">
        <f ca="1">SUMPRODUCT((F168=OFFSET(Calc2!$F$4,,,$F$26*B164,1))*OFFSET(Calc2!$O$4,,,$F$26*B164,1))+SUMPRODUCT((F168=OFFSET(Calc2!$G$4,,,$F$26*B164,1))*OFFSET(Calc2!$P$4,,,$F$26*B164,1))</f>
        <v>0</v>
      </c>
      <c r="P168" s="2"/>
      <c r="Q168" s="2"/>
      <c r="R168" s="13">
        <f t="shared" ca="1" si="31"/>
        <v>10499997011</v>
      </c>
      <c r="S168" s="134">
        <f>Tie_Break!$D$9</f>
        <v>0</v>
      </c>
      <c r="T168" s="9">
        <f ca="1">RANK(R168,R166:R185)+(9-S168)/10000+(F168="")*1000</f>
        <v>9.0008999999999997</v>
      </c>
      <c r="U168" s="134"/>
      <c r="V168" s="134">
        <f ca="1">IF($K$24=0,"",IF(VLOOKUP(B168,C166:E185,3,0)=MAX(V$4:V167),VLOOKUP(B168,C166:E185,3,0),B168))</f>
        <v>3</v>
      </c>
      <c r="W168" s="4" t="str">
        <f ca="1">IF($K$24=0,Calc2!$C$6,VLOOKUP(B168,C166:N185,4,0))</f>
        <v>VfB Stuttgart</v>
      </c>
      <c r="X168" s="1">
        <f ca="1">INDEX(V139:V158,MATCH(W168,W139:W158,0))</f>
        <v>4</v>
      </c>
      <c r="Y168" s="1">
        <f t="shared" ca="1" si="34"/>
        <v>1</v>
      </c>
    </row>
    <row r="169" spans="2:25" x14ac:dyDescent="0.2">
      <c r="B169" s="1">
        <v>4</v>
      </c>
      <c r="C169" s="9">
        <f ca="1">RANK(D169,D166:D185,1)</f>
        <v>16</v>
      </c>
      <c r="D169" s="134">
        <f t="shared" ca="1" si="32"/>
        <v>16.169</v>
      </c>
      <c r="E169" s="134">
        <f ca="1">RANK(T169,T166:T185,1)</f>
        <v>16</v>
      </c>
      <c r="F169" s="187" t="str">
        <f>Calc2!$C$7</f>
        <v>1. FSV Mainz 05</v>
      </c>
      <c r="G169" s="1">
        <f ca="1">SUMIFS(OFFSET(Calc2!$H$4,,,$F$26*B164,1),OFFSET(Calc2!$F$4,,,$F$26*B164,1),F169)+SUMIFS(OFFSET(Calc2!$I$4,,,$F$26*B164,1),OFFSET(Calc2!$G$4,,,$F$26*B164,1),F169)</f>
        <v>8</v>
      </c>
      <c r="H169" s="1">
        <f ca="1">SUMIFS(OFFSET(Calc2!$I$4,,,$F$26*B164,1),OFFSET(Calc2!$F$4,,,$F$26*B164,1),F169)+SUMIFS(OFFSET(Calc2!$H$4,,,$F$26*B164,1),OFFSET(Calc2!$G$4,,,$F$26*B164,1),F169)</f>
        <v>14</v>
      </c>
      <c r="I169" s="134">
        <f t="shared" ca="1" si="30"/>
        <v>-6</v>
      </c>
      <c r="J169" s="12">
        <f ca="1">L169*Settings!$C$3+M169+O169</f>
        <v>4</v>
      </c>
      <c r="K169" s="1">
        <f t="shared" ca="1" si="33"/>
        <v>7</v>
      </c>
      <c r="L169" s="1">
        <f t="array" aca="1" ref="L169" ca="1">SUMPRODUCT((OFFSET(Calc2!$F$4,,,$F$26*B164,1)=F169)*(OFFSET(Calc2!$H$4,,,$F$26*B164,1)&gt;OFFSET(Calc2!$I$4,,,$F$26*B164,1)))+SUMPRODUCT((OFFSET(Calc2!$G$4,,,$F$26*B164,1)=F169)*(OFFSET(Calc2!$H$4,,,$F$26*B164,1)&lt;OFFSET(Calc2!$I$4,,,$F$26*B164,1)))</f>
        <v>1</v>
      </c>
      <c r="M169" s="1">
        <f t="array" aca="1" ref="M169" ca="1">SUMPRODUCT((OFFSET(Calc2!$F$4,,,$F$26*B164,2)=F169)*(OFFSET(Calc2!$H$4,,,$F$26*B164,1)=OFFSET(Calc2!$I$4,,,$F$26*B164,1))*(OFFSET(Calc2!$H$4,,,$F$26*B164,1)&lt;&gt;"")*(OFFSET(Calc2!$I$4,,,$F$26*B164,1)&lt;&gt;""))</f>
        <v>1</v>
      </c>
      <c r="N169" s="1">
        <f t="array" aca="1" ref="N169" ca="1">SUMPRODUCT((OFFSET(Calc2!$F$4,,,$F$26*B164,1)=F169)*(OFFSET(Calc2!$H$4,,,$F$26*B164,1)&lt;OFFSET(Calc2!$I$4,,,$F$26*B164,1)))+SUMPRODUCT((OFFSET(Calc2!$G$4,,,$F$26*B164,1)=F169)*(OFFSET(Calc2!$H$4,,,$F$26*B164,1)&gt;OFFSET(Calc2!$I$4,,,$F$26*B164,1)))</f>
        <v>5</v>
      </c>
      <c r="O169" s="132">
        <f ca="1">SUMPRODUCT((F169=OFFSET(Calc2!$F$4,,,$F$26*B164,1))*OFFSET(Calc2!$O$4,,,$F$26*B164,1))+SUMPRODUCT((F169=OFFSET(Calc2!$G$4,,,$F$26*B164,1))*OFFSET(Calc2!$P$4,,,$F$26*B164,1))</f>
        <v>0</v>
      </c>
      <c r="P169" s="2"/>
      <c r="Q169" s="2"/>
      <c r="R169" s="13">
        <f t="shared" ca="1" si="31"/>
        <v>4499994008</v>
      </c>
      <c r="S169" s="134">
        <f>Tie_Break!$D$10</f>
        <v>0</v>
      </c>
      <c r="T169" s="9">
        <f ca="1">RANK(R169,R166:R185)+(9-S169)/10000+(F169="")*1000</f>
        <v>16.000900000000001</v>
      </c>
      <c r="U169" s="134"/>
      <c r="V169" s="134">
        <f ca="1">IF($K$24=0,"",IF(VLOOKUP(B169,C166:E185,3,0)=MAX(V$4:V168),VLOOKUP(B169,C166:E185,3,0),B169))</f>
        <v>4</v>
      </c>
      <c r="W169" s="4" t="str">
        <f ca="1">IF($K$24=0,Calc2!$C$7,VLOOKUP(B169,C166:N185,4,0))</f>
        <v>Borussia Dortmund</v>
      </c>
      <c r="X169" s="1">
        <f ca="1">INDEX(V139:V158,MATCH(W169,W139:W158,0))</f>
        <v>2</v>
      </c>
      <c r="Y169" s="1">
        <f t="shared" ca="1" si="34"/>
        <v>-1</v>
      </c>
    </row>
    <row r="170" spans="2:25" x14ac:dyDescent="0.2">
      <c r="B170" s="1">
        <v>5</v>
      </c>
      <c r="C170" s="9">
        <f ca="1">RANK(D170,D166:D185,1)</f>
        <v>5</v>
      </c>
      <c r="D170" s="134">
        <f t="shared" ca="1" si="32"/>
        <v>5.17</v>
      </c>
      <c r="E170" s="134">
        <f ca="1">RANK(T170,T166:T185,1)</f>
        <v>5</v>
      </c>
      <c r="F170" s="187" t="str">
        <f>Calc2!$C$8</f>
        <v>Bayer 04 Leverkusen</v>
      </c>
      <c r="G170" s="1">
        <f ca="1">SUMIFS(OFFSET(Calc2!$H$4,,,$F$26*B164,1),OFFSET(Calc2!$F$4,,,$F$26*B164,1),F170)+SUMIFS(OFFSET(Calc2!$I$4,,,$F$26*B164,1),OFFSET(Calc2!$G$4,,,$F$26*B164,1),F170)</f>
        <v>16</v>
      </c>
      <c r="H170" s="1">
        <f ca="1">SUMIFS(OFFSET(Calc2!$I$4,,,$F$26*B164,1),OFFSET(Calc2!$F$4,,,$F$26*B164,1),F170)+SUMIFS(OFFSET(Calc2!$H$4,,,$F$26*B164,1),OFFSET(Calc2!$G$4,,,$F$26*B164,1),F170)</f>
        <v>11</v>
      </c>
      <c r="I170" s="134">
        <f t="shared" ca="1" si="30"/>
        <v>5</v>
      </c>
      <c r="J170" s="12">
        <f ca="1">L170*Settings!$C$3+M170+O170</f>
        <v>14</v>
      </c>
      <c r="K170" s="1">
        <f t="shared" ca="1" si="33"/>
        <v>7</v>
      </c>
      <c r="L170" s="1">
        <f t="array" aca="1" ref="L170" ca="1">SUMPRODUCT((OFFSET(Calc2!$F$4,,,$F$26*B164,1)=F170)*(OFFSET(Calc2!$H$4,,,$F$26*B164,1)&gt;OFFSET(Calc2!$I$4,,,$F$26*B164,1)))+SUMPRODUCT((OFFSET(Calc2!$G$4,,,$F$26*B164,1)=F170)*(OFFSET(Calc2!$H$4,,,$F$26*B164,1)&lt;OFFSET(Calc2!$I$4,,,$F$26*B164,1)))</f>
        <v>4</v>
      </c>
      <c r="M170" s="1">
        <f t="array" aca="1" ref="M170" ca="1">SUMPRODUCT((OFFSET(Calc2!$F$4,,,$F$26*B164,2)=F170)*(OFFSET(Calc2!$H$4,,,$F$26*B164,1)=OFFSET(Calc2!$I$4,,,$F$26*B164,1))*(OFFSET(Calc2!$H$4,,,$F$26*B164,1)&lt;&gt;"")*(OFFSET(Calc2!$I$4,,,$F$26*B164,1)&lt;&gt;""))</f>
        <v>2</v>
      </c>
      <c r="N170" s="1">
        <f t="array" aca="1" ref="N170" ca="1">SUMPRODUCT((OFFSET(Calc2!$F$4,,,$F$26*B164,1)=F170)*(OFFSET(Calc2!$H$4,,,$F$26*B164,1)&lt;OFFSET(Calc2!$I$4,,,$F$26*B164,1)))+SUMPRODUCT((OFFSET(Calc2!$G$4,,,$F$26*B164,1)=F170)*(OFFSET(Calc2!$H$4,,,$F$26*B164,1)&gt;OFFSET(Calc2!$I$4,,,$F$26*B164,1)))</f>
        <v>1</v>
      </c>
      <c r="O170" s="132">
        <f ca="1">SUMPRODUCT((F170=OFFSET(Calc2!$F$4,,,$F$26*B164,1))*OFFSET(Calc2!$O$4,,,$F$26*B164,1))+SUMPRODUCT((F170=OFFSET(Calc2!$G$4,,,$F$26*B164,1))*OFFSET(Calc2!$P$4,,,$F$26*B164,1))</f>
        <v>0</v>
      </c>
      <c r="P170" s="2"/>
      <c r="Q170" s="2"/>
      <c r="R170" s="13">
        <f t="shared" ca="1" si="31"/>
        <v>14500005016</v>
      </c>
      <c r="S170" s="134">
        <f>Tie_Break!$D$11</f>
        <v>0</v>
      </c>
      <c r="T170" s="9">
        <f ca="1">RANK(R170,R166:R185)+(9-S170)/10000+(F170="")*1000</f>
        <v>5.0008999999999997</v>
      </c>
      <c r="U170" s="134"/>
      <c r="V170" s="134">
        <f ca="1">IF($K$24=0,"",IF(VLOOKUP(B170,C166:E185,3,0)=MAX(V$4:V169),VLOOKUP(B170,C166:E185,3,0),B170))</f>
        <v>5</v>
      </c>
      <c r="W170" s="4" t="str">
        <f ca="1">IF($K$24=0,Calc2!$C$8,VLOOKUP(B170,C166:N185,4,0))</f>
        <v>Bayer 04 Leverkusen</v>
      </c>
      <c r="X170" s="1">
        <f ca="1">INDEX(V139:V158,MATCH(W170,W139:W158,0))</f>
        <v>5</v>
      </c>
      <c r="Y170" s="1">
        <f t="shared" ca="1" si="34"/>
        <v>0</v>
      </c>
    </row>
    <row r="171" spans="2:25" x14ac:dyDescent="0.2">
      <c r="B171" s="1">
        <v>6</v>
      </c>
      <c r="C171" s="9">
        <f ca="1">RANK(D171,D166:D185,1)</f>
        <v>4</v>
      </c>
      <c r="D171" s="134">
        <f t="shared" ca="1" si="32"/>
        <v>4.1710000000000003</v>
      </c>
      <c r="E171" s="134">
        <f ca="1">RANK(T171,T166:T185,1)</f>
        <v>4</v>
      </c>
      <c r="F171" s="187" t="str">
        <f>Calc2!$C$9</f>
        <v>Borussia Dortmund</v>
      </c>
      <c r="G171" s="1">
        <f ca="1">SUMIFS(OFFSET(Calc2!$H$4,,,$F$26*B164,1),OFFSET(Calc2!$F$4,,,$F$26*B164,1),F171)+SUMIFS(OFFSET(Calc2!$I$4,,,$F$26*B164,1),OFFSET(Calc2!$G$4,,,$F$26*B164,1),F171)</f>
        <v>13</v>
      </c>
      <c r="H171" s="1">
        <f ca="1">SUMIFS(OFFSET(Calc2!$I$4,,,$F$26*B164,1),OFFSET(Calc2!$F$4,,,$F$26*B164,1),F171)+SUMIFS(OFFSET(Calc2!$H$4,,,$F$26*B164,1),OFFSET(Calc2!$G$4,,,$F$26*B164,1),F171)</f>
        <v>6</v>
      </c>
      <c r="I171" s="134">
        <f t="shared" ca="1" si="30"/>
        <v>7</v>
      </c>
      <c r="J171" s="12">
        <f ca="1">L171*Settings!$C$3+M171+O171</f>
        <v>14</v>
      </c>
      <c r="K171" s="1">
        <f t="shared" ca="1" si="33"/>
        <v>7</v>
      </c>
      <c r="L171" s="1">
        <f t="array" aca="1" ref="L171" ca="1">SUMPRODUCT((OFFSET(Calc2!$F$4,,,$F$26*B164,1)=F171)*(OFFSET(Calc2!$H$4,,,$F$26*B164,1)&gt;OFFSET(Calc2!$I$4,,,$F$26*B164,1)))+SUMPRODUCT((OFFSET(Calc2!$G$4,,,$F$26*B164,1)=F171)*(OFFSET(Calc2!$H$4,,,$F$26*B164,1)&lt;OFFSET(Calc2!$I$4,,,$F$26*B164,1)))</f>
        <v>4</v>
      </c>
      <c r="M171" s="1">
        <f t="array" aca="1" ref="M171" ca="1">SUMPRODUCT((OFFSET(Calc2!$F$4,,,$F$26*B164,2)=F171)*(OFFSET(Calc2!$H$4,,,$F$26*B164,1)=OFFSET(Calc2!$I$4,,,$F$26*B164,1))*(OFFSET(Calc2!$H$4,,,$F$26*B164,1)&lt;&gt;"")*(OFFSET(Calc2!$I$4,,,$F$26*B164,1)&lt;&gt;""))</f>
        <v>2</v>
      </c>
      <c r="N171" s="1">
        <f t="array" aca="1" ref="N171" ca="1">SUMPRODUCT((OFFSET(Calc2!$F$4,,,$F$26*B164,1)=F171)*(OFFSET(Calc2!$H$4,,,$F$26*B164,1)&lt;OFFSET(Calc2!$I$4,,,$F$26*B164,1)))+SUMPRODUCT((OFFSET(Calc2!$G$4,,,$F$26*B164,1)=F171)*(OFFSET(Calc2!$H$4,,,$F$26*B164,1)&gt;OFFSET(Calc2!$I$4,,,$F$26*B164,1)))</f>
        <v>1</v>
      </c>
      <c r="O171" s="132">
        <f ca="1">SUMPRODUCT((F171=OFFSET(Calc2!$F$4,,,$F$26*B164,1))*OFFSET(Calc2!$O$4,,,$F$26*B164,1))+SUMPRODUCT((F171=OFFSET(Calc2!$G$4,,,$F$26*B164,1))*OFFSET(Calc2!$P$4,,,$F$26*B164,1))</f>
        <v>0</v>
      </c>
      <c r="P171" s="2"/>
      <c r="Q171" s="2"/>
      <c r="R171" s="13">
        <f t="shared" ca="1" si="31"/>
        <v>14500007013</v>
      </c>
      <c r="S171" s="134">
        <f>Tie_Break!$D$12</f>
        <v>0</v>
      </c>
      <c r="T171" s="9">
        <f ca="1">RANK(R171,R166:R185)+(9-S171)/10000+(F171="")*1000</f>
        <v>4.0008999999999997</v>
      </c>
      <c r="U171" s="134"/>
      <c r="V171" s="134">
        <f ca="1">IF($K$24=0,"",IF(VLOOKUP(B171,C166:E185,3,0)=MAX(V$4:V170),VLOOKUP(B171,C166:E185,3,0),B171))</f>
        <v>6</v>
      </c>
      <c r="W171" s="4" t="str">
        <f ca="1">IF($K$24=0,Calc2!$C$9,VLOOKUP(B171,C166:N185,4,0))</f>
        <v>1. FC Köln</v>
      </c>
      <c r="X171" s="1">
        <f ca="1">INDEX(V139:V158,MATCH(W171,W139:W158,0))</f>
        <v>6</v>
      </c>
      <c r="Y171" s="1">
        <f t="shared" ca="1" si="34"/>
        <v>0</v>
      </c>
    </row>
    <row r="172" spans="2:25" x14ac:dyDescent="0.2">
      <c r="B172" s="1">
        <v>7</v>
      </c>
      <c r="C172" s="9">
        <f ca="1">RANK(D172,D166:D185,1)</f>
        <v>18</v>
      </c>
      <c r="D172" s="134">
        <f t="shared" ca="1" si="32"/>
        <v>18.172000000000001</v>
      </c>
      <c r="E172" s="134">
        <f ca="1">RANK(T172,T166:T185,1)</f>
        <v>18</v>
      </c>
      <c r="F172" s="187" t="str">
        <f>Calc2!$C$10</f>
        <v>Borussia Mönchengladbach</v>
      </c>
      <c r="G172" s="1">
        <f ca="1">SUMIFS(OFFSET(Calc2!$H$4,,,$F$26*B164,1),OFFSET(Calc2!$F$4,,,$F$26*B164,1),F172)+SUMIFS(OFFSET(Calc2!$I$4,,,$F$26*B164,1),OFFSET(Calc2!$G$4,,,$F$26*B164,1),F172)</f>
        <v>6</v>
      </c>
      <c r="H172" s="1">
        <f ca="1">SUMIFS(OFFSET(Calc2!$I$4,,,$F$26*B164,1),OFFSET(Calc2!$F$4,,,$F$26*B164,1),F172)+SUMIFS(OFFSET(Calc2!$H$4,,,$F$26*B164,1),OFFSET(Calc2!$G$4,,,$F$26*B164,1),F172)</f>
        <v>15</v>
      </c>
      <c r="I172" s="134">
        <f t="shared" ca="1" si="30"/>
        <v>-9</v>
      </c>
      <c r="J172" s="12">
        <f ca="1">L172*Settings!$C$3+M172+O172</f>
        <v>3</v>
      </c>
      <c r="K172" s="1">
        <f t="shared" ca="1" si="33"/>
        <v>7</v>
      </c>
      <c r="L172" s="1">
        <f t="array" aca="1" ref="L172" ca="1">SUMPRODUCT((OFFSET(Calc2!$F$4,,,$F$26*B164,1)=F172)*(OFFSET(Calc2!$H$4,,,$F$26*B164,1)&gt;OFFSET(Calc2!$I$4,,,$F$26*B164,1)))+SUMPRODUCT((OFFSET(Calc2!$G$4,,,$F$26*B164,1)=F172)*(OFFSET(Calc2!$H$4,,,$F$26*B164,1)&lt;OFFSET(Calc2!$I$4,,,$F$26*B164,1)))</f>
        <v>0</v>
      </c>
      <c r="M172" s="1">
        <f t="array" aca="1" ref="M172" ca="1">SUMPRODUCT((OFFSET(Calc2!$F$4,,,$F$26*B164,2)=F172)*(OFFSET(Calc2!$H$4,,,$F$26*B164,1)=OFFSET(Calc2!$I$4,,,$F$26*B164,1))*(OFFSET(Calc2!$H$4,,,$F$26*B164,1)&lt;&gt;"")*(OFFSET(Calc2!$I$4,,,$F$26*B164,1)&lt;&gt;""))</f>
        <v>3</v>
      </c>
      <c r="N172" s="1">
        <f t="array" aca="1" ref="N172" ca="1">SUMPRODUCT((OFFSET(Calc2!$F$4,,,$F$26*B164,1)=F172)*(OFFSET(Calc2!$H$4,,,$F$26*B164,1)&lt;OFFSET(Calc2!$I$4,,,$F$26*B164,1)))+SUMPRODUCT((OFFSET(Calc2!$G$4,,,$F$26*B164,1)=F172)*(OFFSET(Calc2!$H$4,,,$F$26*B164,1)&gt;OFFSET(Calc2!$I$4,,,$F$26*B164,1)))</f>
        <v>4</v>
      </c>
      <c r="O172" s="132">
        <f ca="1">SUMPRODUCT((F172=OFFSET(Calc2!$F$4,,,$F$26*B164,1))*OFFSET(Calc2!$O$4,,,$F$26*B164,1))+SUMPRODUCT((F172=OFFSET(Calc2!$G$4,,,$F$26*B164,1))*OFFSET(Calc2!$P$4,,,$F$26*B164,1))</f>
        <v>0</v>
      </c>
      <c r="P172" s="2"/>
      <c r="Q172" s="2"/>
      <c r="R172" s="13">
        <f t="shared" ca="1" si="31"/>
        <v>3499991006</v>
      </c>
      <c r="S172" s="134">
        <f>Tie_Break!$D$13</f>
        <v>0</v>
      </c>
      <c r="T172" s="9">
        <f ca="1">RANK(R172,R166:R185)+(9-S172)/10000+(F172="")*1000</f>
        <v>18.000900000000001</v>
      </c>
      <c r="U172" s="134"/>
      <c r="V172" s="134">
        <f ca="1">IF($K$24=0,"",IF(VLOOKUP(B172,C166:E185,3,0)=MAX(V$4:V171),VLOOKUP(B172,C166:E185,3,0),B172))</f>
        <v>7</v>
      </c>
      <c r="W172" s="4" t="str">
        <f ca="1">IF($K$24=0,Calc2!$C$10,VLOOKUP(B172,C166:N185,4,0))</f>
        <v>Eintracht Frankfurt</v>
      </c>
      <c r="X172" s="1">
        <f ca="1">INDEX(V139:V158,MATCH(W172,W139:W158,0))</f>
        <v>7</v>
      </c>
      <c r="Y172" s="1">
        <f t="shared" ca="1" si="34"/>
        <v>0</v>
      </c>
    </row>
    <row r="173" spans="2:25" x14ac:dyDescent="0.2">
      <c r="B173" s="1">
        <v>8</v>
      </c>
      <c r="C173" s="9">
        <f ca="1">RANK(D173,D166:D185,1)</f>
        <v>7</v>
      </c>
      <c r="D173" s="134">
        <f t="shared" ca="1" si="32"/>
        <v>7.173</v>
      </c>
      <c r="E173" s="134">
        <f ca="1">RANK(T173,T166:T185,1)</f>
        <v>7</v>
      </c>
      <c r="F173" s="187" t="str">
        <f>Calc2!$C$11</f>
        <v>Eintracht Frankfurt</v>
      </c>
      <c r="G173" s="1">
        <f ca="1">SUMIFS(OFFSET(Calc2!$H$4,,,$F$26*B164,1),OFFSET(Calc2!$F$4,,,$F$26*B164,1),F173)+SUMIFS(OFFSET(Calc2!$I$4,,,$F$26*B164,1),OFFSET(Calc2!$G$4,,,$F$26*B164,1),F173)</f>
        <v>19</v>
      </c>
      <c r="H173" s="1">
        <f ca="1">SUMIFS(OFFSET(Calc2!$I$4,,,$F$26*B164,1),OFFSET(Calc2!$F$4,,,$F$26*B164,1),F173)+SUMIFS(OFFSET(Calc2!$H$4,,,$F$26*B164,1),OFFSET(Calc2!$G$4,,,$F$26*B164,1),F173)</f>
        <v>18</v>
      </c>
      <c r="I173" s="134">
        <f t="shared" ca="1" si="30"/>
        <v>1</v>
      </c>
      <c r="J173" s="12">
        <f ca="1">L173*Settings!$C$3+M173+O173</f>
        <v>10</v>
      </c>
      <c r="K173" s="1">
        <f t="shared" ca="1" si="33"/>
        <v>7</v>
      </c>
      <c r="L173" s="1">
        <f t="array" aca="1" ref="L173" ca="1">SUMPRODUCT((OFFSET(Calc2!$F$4,,,$F$26*B164,1)=F173)*(OFFSET(Calc2!$H$4,,,$F$26*B164,1)&gt;OFFSET(Calc2!$I$4,,,$F$26*B164,1)))+SUMPRODUCT((OFFSET(Calc2!$G$4,,,$F$26*B164,1)=F173)*(OFFSET(Calc2!$H$4,,,$F$26*B164,1)&lt;OFFSET(Calc2!$I$4,,,$F$26*B164,1)))</f>
        <v>3</v>
      </c>
      <c r="M173" s="1">
        <f t="array" aca="1" ref="M173" ca="1">SUMPRODUCT((OFFSET(Calc2!$F$4,,,$F$26*B164,2)=F173)*(OFFSET(Calc2!$H$4,,,$F$26*B164,1)=OFFSET(Calc2!$I$4,,,$F$26*B164,1))*(OFFSET(Calc2!$H$4,,,$F$26*B164,1)&lt;&gt;"")*(OFFSET(Calc2!$I$4,,,$F$26*B164,1)&lt;&gt;""))</f>
        <v>1</v>
      </c>
      <c r="N173" s="1">
        <f t="array" aca="1" ref="N173" ca="1">SUMPRODUCT((OFFSET(Calc2!$F$4,,,$F$26*B164,1)=F173)*(OFFSET(Calc2!$H$4,,,$F$26*B164,1)&lt;OFFSET(Calc2!$I$4,,,$F$26*B164,1)))+SUMPRODUCT((OFFSET(Calc2!$G$4,,,$F$26*B164,1)=F173)*(OFFSET(Calc2!$H$4,,,$F$26*B164,1)&gt;OFFSET(Calc2!$I$4,,,$F$26*B164,1)))</f>
        <v>3</v>
      </c>
      <c r="O173" s="132">
        <f ca="1">SUMPRODUCT((F173=OFFSET(Calc2!$F$4,,,$F$26*B164,1))*OFFSET(Calc2!$O$4,,,$F$26*B164,1))+SUMPRODUCT((F173=OFFSET(Calc2!$G$4,,,$F$26*B164,1))*OFFSET(Calc2!$P$4,,,$F$26*B164,1))</f>
        <v>0</v>
      </c>
      <c r="P173" s="2"/>
      <c r="Q173" s="2"/>
      <c r="R173" s="13">
        <f t="shared" ca="1" si="31"/>
        <v>10500001019</v>
      </c>
      <c r="S173" s="134">
        <f>Tie_Break!$D$14</f>
        <v>0</v>
      </c>
      <c r="T173" s="9">
        <f ca="1">RANK(R173,R166:R185)+(9-S173)/10000+(F173="")*1000</f>
        <v>7.0008999999999997</v>
      </c>
      <c r="U173" s="134"/>
      <c r="V173" s="134">
        <f ca="1">IF($K$24=0,"",IF(VLOOKUP(B173,C166:E185,3,0)=MAX(V$4:V172),VLOOKUP(B173,C166:E185,3,0),B173))</f>
        <v>8</v>
      </c>
      <c r="W173" s="4" t="str">
        <f ca="1">IF($K$24=0,Calc2!$C$11,VLOOKUP(B173,C166:N185,4,0))</f>
        <v>TSG Hoffenheim</v>
      </c>
      <c r="X173" s="1">
        <f ca="1">INDEX(V139:V158,MATCH(W173,W139:W158,0))</f>
        <v>11</v>
      </c>
      <c r="Y173" s="1">
        <f t="shared" ca="1" si="34"/>
        <v>1</v>
      </c>
    </row>
    <row r="174" spans="2:25" x14ac:dyDescent="0.2">
      <c r="B174" s="1">
        <v>9</v>
      </c>
      <c r="C174" s="9">
        <f ca="1">RANK(D174,D166:D185,1)</f>
        <v>13</v>
      </c>
      <c r="D174" s="134">
        <f t="shared" ca="1" si="32"/>
        <v>13.173999999999999</v>
      </c>
      <c r="E174" s="134">
        <f ca="1">RANK(T174,T166:T185,1)</f>
        <v>13</v>
      </c>
      <c r="F174" s="187" t="str">
        <f>Calc2!$C$12</f>
        <v>FC Augsburg</v>
      </c>
      <c r="G174" s="1">
        <f ca="1">SUMIFS(OFFSET(Calc2!$H$4,,,$F$26*B164,1),OFFSET(Calc2!$F$4,,,$F$26*B164,1),F174)+SUMIFS(OFFSET(Calc2!$I$4,,,$F$26*B164,1),OFFSET(Calc2!$G$4,,,$F$26*B164,1),F174)</f>
        <v>12</v>
      </c>
      <c r="H174" s="1">
        <f ca="1">SUMIFS(OFFSET(Calc2!$I$4,,,$F$26*B164,1),OFFSET(Calc2!$F$4,,,$F$26*B164,1),F174)+SUMIFS(OFFSET(Calc2!$H$4,,,$F$26*B164,1),OFFSET(Calc2!$G$4,,,$F$26*B164,1),F174)</f>
        <v>14</v>
      </c>
      <c r="I174" s="134">
        <f t="shared" ca="1" si="30"/>
        <v>-2</v>
      </c>
      <c r="J174" s="12">
        <f ca="1">L174*Settings!$C$3+M174+O174</f>
        <v>7</v>
      </c>
      <c r="K174" s="1">
        <f t="shared" ca="1" si="33"/>
        <v>7</v>
      </c>
      <c r="L174" s="1">
        <f t="array" aca="1" ref="L174" ca="1">SUMPRODUCT((OFFSET(Calc2!$F$4,,,$F$26*B164,1)=F174)*(OFFSET(Calc2!$H$4,,,$F$26*B164,1)&gt;OFFSET(Calc2!$I$4,,,$F$26*B164,1)))+SUMPRODUCT((OFFSET(Calc2!$G$4,,,$F$26*B164,1)=F174)*(OFFSET(Calc2!$H$4,,,$F$26*B164,1)&lt;OFFSET(Calc2!$I$4,,,$F$26*B164,1)))</f>
        <v>2</v>
      </c>
      <c r="M174" s="1">
        <f t="array" aca="1" ref="M174" ca="1">SUMPRODUCT((OFFSET(Calc2!$F$4,,,$F$26*B164,2)=F174)*(OFFSET(Calc2!$H$4,,,$F$26*B164,1)=OFFSET(Calc2!$I$4,,,$F$26*B164,1))*(OFFSET(Calc2!$H$4,,,$F$26*B164,1)&lt;&gt;"")*(OFFSET(Calc2!$I$4,,,$F$26*B164,1)&lt;&gt;""))</f>
        <v>1</v>
      </c>
      <c r="N174" s="1">
        <f t="array" aca="1" ref="N174" ca="1">SUMPRODUCT((OFFSET(Calc2!$F$4,,,$F$26*B164,1)=F174)*(OFFSET(Calc2!$H$4,,,$F$26*B164,1)&lt;OFFSET(Calc2!$I$4,,,$F$26*B164,1)))+SUMPRODUCT((OFFSET(Calc2!$G$4,,,$F$26*B164,1)=F174)*(OFFSET(Calc2!$H$4,,,$F$26*B164,1)&gt;OFFSET(Calc2!$I$4,,,$F$26*B164,1)))</f>
        <v>4</v>
      </c>
      <c r="O174" s="132">
        <f ca="1">SUMPRODUCT((F174=OFFSET(Calc2!$F$4,,,$F$26*B164,1))*OFFSET(Calc2!$O$4,,,$F$26*B164,1))+SUMPRODUCT((F174=OFFSET(Calc2!$G$4,,,$F$26*B164,1))*OFFSET(Calc2!$P$4,,,$F$26*B164,1))</f>
        <v>0</v>
      </c>
      <c r="P174" s="2"/>
      <c r="Q174" s="2"/>
      <c r="R174" s="13">
        <f t="shared" ca="1" si="31"/>
        <v>7499998012</v>
      </c>
      <c r="S174" s="134">
        <f>Tie_Break!$D$15</f>
        <v>0</v>
      </c>
      <c r="T174" s="9">
        <f ca="1">RANK(R174,R166:R185)+(9-S174)/10000+(F174="")*1000</f>
        <v>13.0009</v>
      </c>
      <c r="U174" s="134"/>
      <c r="V174" s="134">
        <f ca="1">IF($K$24=0,"",IF(VLOOKUP(B174,C166:E185,3,0)=MAX(V$4:V173),VLOOKUP(B174,C166:E185,3,0),B174))</f>
        <v>9</v>
      </c>
      <c r="W174" s="4" t="str">
        <f ca="1">IF($K$24=0,Calc2!$C$12,VLOOKUP(B174,C166:N185,4,0))</f>
        <v>1. FC Union Berlin</v>
      </c>
      <c r="X174" s="1">
        <f ca="1">INDEX(V139:V158,MATCH(W174,W139:W158,0))</f>
        <v>13</v>
      </c>
      <c r="Y174" s="1">
        <f t="shared" ca="1" si="34"/>
        <v>1</v>
      </c>
    </row>
    <row r="175" spans="2:25" x14ac:dyDescent="0.2">
      <c r="B175" s="1">
        <v>10</v>
      </c>
      <c r="C175" s="9">
        <f ca="1">RANK(D175,D166:D185,1)</f>
        <v>1</v>
      </c>
      <c r="D175" s="134">
        <f t="shared" ca="1" si="32"/>
        <v>1.175</v>
      </c>
      <c r="E175" s="134">
        <f ca="1">RANK(T175,T166:T185,1)</f>
        <v>1</v>
      </c>
      <c r="F175" s="187" t="str">
        <f>Calc2!$C$13</f>
        <v>FC Bayern München</v>
      </c>
      <c r="G175" s="1">
        <f ca="1">SUMIFS(OFFSET(Calc2!$H$4,,,$F$26*B164,1),OFFSET(Calc2!$F$4,,,$F$26*B164,1),F175)+SUMIFS(OFFSET(Calc2!$I$4,,,$F$26*B164,1),OFFSET(Calc2!$G$4,,,$F$26*B164,1),F175)</f>
        <v>27</v>
      </c>
      <c r="H175" s="1">
        <f ca="1">SUMIFS(OFFSET(Calc2!$I$4,,,$F$26*B164,1),OFFSET(Calc2!$F$4,,,$F$26*B164,1),F175)+SUMIFS(OFFSET(Calc2!$H$4,,,$F$26*B164,1),OFFSET(Calc2!$G$4,,,$F$26*B164,1),F175)</f>
        <v>4</v>
      </c>
      <c r="I175" s="134">
        <f t="shared" ca="1" si="30"/>
        <v>23</v>
      </c>
      <c r="J175" s="12">
        <f ca="1">L175*Settings!$C$3+M175+O175</f>
        <v>21</v>
      </c>
      <c r="K175" s="1">
        <f t="shared" ca="1" si="33"/>
        <v>7</v>
      </c>
      <c r="L175" s="1">
        <f t="array" aca="1" ref="L175" ca="1">SUMPRODUCT((OFFSET(Calc2!$F$4,,,$F$26*B164,1)=F175)*(OFFSET(Calc2!$H$4,,,$F$26*B164,1)&gt;OFFSET(Calc2!$I$4,,,$F$26*B164,1)))+SUMPRODUCT((OFFSET(Calc2!$G$4,,,$F$26*B164,1)=F175)*(OFFSET(Calc2!$H$4,,,$F$26*B164,1)&lt;OFFSET(Calc2!$I$4,,,$F$26*B164,1)))</f>
        <v>7</v>
      </c>
      <c r="M175" s="1">
        <f t="array" aca="1" ref="M175" ca="1">SUMPRODUCT((OFFSET(Calc2!$F$4,,,$F$26*B164,2)=F175)*(OFFSET(Calc2!$H$4,,,$F$26*B164,1)=OFFSET(Calc2!$I$4,,,$F$26*B164,1))*(OFFSET(Calc2!$H$4,,,$F$26*B164,1)&lt;&gt;"")*(OFFSET(Calc2!$I$4,,,$F$26*B164,1)&lt;&gt;""))</f>
        <v>0</v>
      </c>
      <c r="N175" s="1">
        <f t="array" aca="1" ref="N175" ca="1">SUMPRODUCT((OFFSET(Calc2!$F$4,,,$F$26*B164,1)=F175)*(OFFSET(Calc2!$H$4,,,$F$26*B164,1)&lt;OFFSET(Calc2!$I$4,,,$F$26*B164,1)))+SUMPRODUCT((OFFSET(Calc2!$G$4,,,$F$26*B164,1)=F175)*(OFFSET(Calc2!$H$4,,,$F$26*B164,1)&gt;OFFSET(Calc2!$I$4,,,$F$26*B164,1)))</f>
        <v>0</v>
      </c>
      <c r="O175" s="132">
        <f ca="1">SUMPRODUCT((F175=OFFSET(Calc2!$F$4,,,$F$26*B164,1))*OFFSET(Calc2!$O$4,,,$F$26*B164,1))+SUMPRODUCT((F175=OFFSET(Calc2!$G$4,,,$F$26*B164,1))*OFFSET(Calc2!$P$4,,,$F$26*B164,1))</f>
        <v>0</v>
      </c>
      <c r="P175" s="2"/>
      <c r="Q175" s="2"/>
      <c r="R175" s="13">
        <f t="shared" ca="1" si="31"/>
        <v>21500023027</v>
      </c>
      <c r="S175" s="134">
        <f>Tie_Break!$D$16</f>
        <v>0</v>
      </c>
      <c r="T175" s="9">
        <f ca="1">RANK(R175,R166:R185)+(9-S175)/10000+(F175="")*1000</f>
        <v>1.0008999999999999</v>
      </c>
      <c r="U175" s="2"/>
      <c r="V175" s="134">
        <f ca="1">IF($K$24=0,"",IF(VLOOKUP(B175,C166:E185,3,0)=MAX(V$4:V174),VLOOKUP(B175,C166:E185,3,0),B175))</f>
        <v>10</v>
      </c>
      <c r="W175" s="4" t="str">
        <f ca="1">IF($K$24=0,Calc2!$C$13,VLOOKUP(B175,C166:N185,4,0))</f>
        <v>SC Freiburg</v>
      </c>
      <c r="X175" s="1">
        <f ca="1">INDEX(V139:V158,MATCH(W175,W139:W158,0))</f>
        <v>8</v>
      </c>
      <c r="Y175" s="1">
        <f t="shared" ca="1" si="34"/>
        <v>-1</v>
      </c>
    </row>
    <row r="176" spans="2:25" x14ac:dyDescent="0.2">
      <c r="B176" s="1">
        <v>11</v>
      </c>
      <c r="C176" s="9">
        <f ca="1">RANK(D176,D166:D185,1)</f>
        <v>14</v>
      </c>
      <c r="D176" s="134">
        <f t="shared" ca="1" si="32"/>
        <v>14.176</v>
      </c>
      <c r="E176" s="134">
        <f ca="1">RANK(T176,T166:T185,1)</f>
        <v>14</v>
      </c>
      <c r="F176" s="187" t="str">
        <f>Calc2!$C$14</f>
        <v>FC St. Pauli</v>
      </c>
      <c r="G176" s="1">
        <f ca="1">SUMIFS(OFFSET(Calc2!$H$4,,,$F$26*B164,1),OFFSET(Calc2!$F$4,,,$F$26*B164,1),F176)+SUMIFS(OFFSET(Calc2!$I$4,,,$F$26*B164,1),OFFSET(Calc2!$G$4,,,$F$26*B164,1),F176)</f>
        <v>8</v>
      </c>
      <c r="H176" s="1">
        <f ca="1">SUMIFS(OFFSET(Calc2!$I$4,,,$F$26*B164,1),OFFSET(Calc2!$F$4,,,$F$26*B164,1),F176)+SUMIFS(OFFSET(Calc2!$H$4,,,$F$26*B164,1),OFFSET(Calc2!$G$4,,,$F$26*B164,1),F176)</f>
        <v>12</v>
      </c>
      <c r="I176" s="134">
        <f t="shared" ca="1" si="30"/>
        <v>-4</v>
      </c>
      <c r="J176" s="12">
        <f ca="1">L176*Settings!$C$3+M176+O176</f>
        <v>7</v>
      </c>
      <c r="K176" s="1">
        <f t="shared" ca="1" si="33"/>
        <v>7</v>
      </c>
      <c r="L176" s="1">
        <f t="array" aca="1" ref="L176" ca="1">SUMPRODUCT((OFFSET(Calc2!$F$4,,,$F$26*B164,1)=F176)*(OFFSET(Calc2!$H$4,,,$F$26*B164,1)&gt;OFFSET(Calc2!$I$4,,,$F$26*B164,1)))+SUMPRODUCT((OFFSET(Calc2!$G$4,,,$F$26*B164,1)=F176)*(OFFSET(Calc2!$H$4,,,$F$26*B164,1)&lt;OFFSET(Calc2!$I$4,,,$F$26*B164,1)))</f>
        <v>2</v>
      </c>
      <c r="M176" s="1">
        <f t="array" aca="1" ref="M176" ca="1">SUMPRODUCT((OFFSET(Calc2!$F$4,,,$F$26*B164,2)=F176)*(OFFSET(Calc2!$H$4,,,$F$26*B164,1)=OFFSET(Calc2!$I$4,,,$F$26*B164,1))*(OFFSET(Calc2!$H$4,,,$F$26*B164,1)&lt;&gt;"")*(OFFSET(Calc2!$I$4,,,$F$26*B164,1)&lt;&gt;""))</f>
        <v>1</v>
      </c>
      <c r="N176" s="1">
        <f t="array" aca="1" ref="N176" ca="1">SUMPRODUCT((OFFSET(Calc2!$F$4,,,$F$26*B164,1)=F176)*(OFFSET(Calc2!$H$4,,,$F$26*B164,1)&lt;OFFSET(Calc2!$I$4,,,$F$26*B164,1)))+SUMPRODUCT((OFFSET(Calc2!$G$4,,,$F$26*B164,1)=F176)*(OFFSET(Calc2!$H$4,,,$F$26*B164,1)&gt;OFFSET(Calc2!$I$4,,,$F$26*B164,1)))</f>
        <v>4</v>
      </c>
      <c r="O176" s="132">
        <f ca="1">SUMPRODUCT((F176=OFFSET(Calc2!$F$4,,,$F$26*B164,1))*OFFSET(Calc2!$O$4,,,$F$26*B164,1))+SUMPRODUCT((F176=OFFSET(Calc2!$G$4,,,$F$26*B164,1))*OFFSET(Calc2!$P$4,,,$F$26*B164,1))</f>
        <v>0</v>
      </c>
      <c r="P176" s="2"/>
      <c r="Q176" s="2"/>
      <c r="R176" s="13">
        <f t="shared" ca="1" si="31"/>
        <v>7499996008</v>
      </c>
      <c r="S176" s="134">
        <f>Tie_Break!$D$17</f>
        <v>0</v>
      </c>
      <c r="T176" s="9">
        <f ca="1">RANK(R176,R166:R185)+(9-S176)/10000+(F176="")*1000</f>
        <v>14.0009</v>
      </c>
      <c r="U176" s="2"/>
      <c r="V176" s="134">
        <f ca="1">IF($K$24=0,"",IF(VLOOKUP(B176,C166:E185,3,0)=MAX(V$4:V175),VLOOKUP(B176,C166:E185,3,0),B176))</f>
        <v>11</v>
      </c>
      <c r="W176" s="4" t="str">
        <f ca="1">IF($K$24=0,Calc2!$C$14,VLOOKUP(B176,C166:N185,4,0))</f>
        <v>Hamburger SV</v>
      </c>
      <c r="X176" s="1">
        <f ca="1">INDEX(V139:V158,MATCH(W176,W139:W158,0))</f>
        <v>9</v>
      </c>
      <c r="Y176" s="1">
        <f t="shared" ca="1" si="34"/>
        <v>-1</v>
      </c>
    </row>
    <row r="177" spans="2:25" x14ac:dyDescent="0.2">
      <c r="B177" s="1">
        <v>12</v>
      </c>
      <c r="C177" s="9">
        <f ca="1">RANK(D177,D166:D185,1)</f>
        <v>11</v>
      </c>
      <c r="D177" s="134">
        <f t="shared" ca="1" si="32"/>
        <v>11.177</v>
      </c>
      <c r="E177" s="134">
        <f ca="1">RANK(T177,T166:T185,1)</f>
        <v>11</v>
      </c>
      <c r="F177" s="187" t="str">
        <f>Calc2!$C$15</f>
        <v>Hamburger SV</v>
      </c>
      <c r="G177" s="1">
        <f ca="1">SUMIFS(OFFSET(Calc2!$H$4,,,$F$26*B164,1),OFFSET(Calc2!$F$4,,,$F$26*B164,1),F177)+SUMIFS(OFFSET(Calc2!$I$4,,,$F$26*B164,1),OFFSET(Calc2!$G$4,,,$F$26*B164,1),F177)</f>
        <v>7</v>
      </c>
      <c r="H177" s="1">
        <f ca="1">SUMIFS(OFFSET(Calc2!$I$4,,,$F$26*B164,1),OFFSET(Calc2!$F$4,,,$F$26*B164,1),F177)+SUMIFS(OFFSET(Calc2!$H$4,,,$F$26*B164,1),OFFSET(Calc2!$G$4,,,$F$26*B164,1),F177)</f>
        <v>10</v>
      </c>
      <c r="I177" s="134">
        <f t="shared" ca="1" si="30"/>
        <v>-3</v>
      </c>
      <c r="J177" s="12">
        <f ca="1">L177*Settings!$C$3+M177+O177</f>
        <v>8</v>
      </c>
      <c r="K177" s="1">
        <f t="shared" ca="1" si="33"/>
        <v>7</v>
      </c>
      <c r="L177" s="1">
        <f t="array" aca="1" ref="L177" ca="1">SUMPRODUCT((OFFSET(Calc2!$F$4,,,$F$26*B164,1)=F177)*(OFFSET(Calc2!$H$4,,,$F$26*B164,1)&gt;OFFSET(Calc2!$I$4,,,$F$26*B164,1)))+SUMPRODUCT((OFFSET(Calc2!$G$4,,,$F$26*B164,1)=F177)*(OFFSET(Calc2!$H$4,,,$F$26*B164,1)&lt;OFFSET(Calc2!$I$4,,,$F$26*B164,1)))</f>
        <v>2</v>
      </c>
      <c r="M177" s="1">
        <f t="array" aca="1" ref="M177" ca="1">SUMPRODUCT((OFFSET(Calc2!$F$4,,,$F$26*B164,2)=F177)*(OFFSET(Calc2!$H$4,,,$F$26*B164,1)=OFFSET(Calc2!$I$4,,,$F$26*B164,1))*(OFFSET(Calc2!$H$4,,,$F$26*B164,1)&lt;&gt;"")*(OFFSET(Calc2!$I$4,,,$F$26*B164,1)&lt;&gt;""))</f>
        <v>2</v>
      </c>
      <c r="N177" s="1">
        <f t="array" aca="1" ref="N177" ca="1">SUMPRODUCT((OFFSET(Calc2!$F$4,,,$F$26*B164,1)=F177)*(OFFSET(Calc2!$H$4,,,$F$26*B164,1)&lt;OFFSET(Calc2!$I$4,,,$F$26*B164,1)))+SUMPRODUCT((OFFSET(Calc2!$G$4,,,$F$26*B164,1)=F177)*(OFFSET(Calc2!$H$4,,,$F$26*B164,1)&gt;OFFSET(Calc2!$I$4,,,$F$26*B164,1)))</f>
        <v>3</v>
      </c>
      <c r="O177" s="132">
        <f ca="1">SUMPRODUCT((F177=OFFSET(Calc2!$F$4,,,$F$26*B164,1))*OFFSET(Calc2!$O$4,,,$F$26*B164,1))+SUMPRODUCT((F177=OFFSET(Calc2!$G$4,,,$F$26*B164,1))*OFFSET(Calc2!$P$4,,,$F$26*B164,1))</f>
        <v>0</v>
      </c>
      <c r="P177" s="2"/>
      <c r="Q177" s="2"/>
      <c r="R177" s="13">
        <f t="shared" ca="1" si="31"/>
        <v>8499997007</v>
      </c>
      <c r="S177" s="134">
        <f>Tie_Break!$D$18</f>
        <v>0</v>
      </c>
      <c r="T177" s="9">
        <f ca="1">RANK(R177,R166:R185)+(9-S177)/10000+(F177="")*1000</f>
        <v>11.0009</v>
      </c>
      <c r="U177" s="2"/>
      <c r="V177" s="134">
        <f ca="1">IF($K$24=0,"",IF(VLOOKUP(B177,C166:E185,3,0)=MAX(V$4:V176),VLOOKUP(B177,C166:E185,3,0),B177))</f>
        <v>12</v>
      </c>
      <c r="W177" s="4" t="str">
        <f ca="1">IF($K$24=0,Calc2!$C$15,VLOOKUP(B177,C166:N185,4,0))</f>
        <v>SV Werder Bremen</v>
      </c>
      <c r="X177" s="1">
        <f ca="1">INDEX(V139:V158,MATCH(W177,W139:W158,0))</f>
        <v>12</v>
      </c>
      <c r="Y177" s="1">
        <f t="shared" ca="1" si="34"/>
        <v>0</v>
      </c>
    </row>
    <row r="178" spans="2:25" x14ac:dyDescent="0.2">
      <c r="B178" s="1">
        <v>13</v>
      </c>
      <c r="C178" s="9">
        <f ca="1">RANK(D178,D166:D185,1)</f>
        <v>2</v>
      </c>
      <c r="D178" s="134">
        <f t="shared" ca="1" si="32"/>
        <v>2.1779999999999999</v>
      </c>
      <c r="E178" s="134">
        <f ca="1">RANK(T178,T166:T185,1)</f>
        <v>2</v>
      </c>
      <c r="F178" s="187" t="str">
        <f>Calc2!$C$16</f>
        <v>RB Leipzig</v>
      </c>
      <c r="G178" s="1">
        <f ca="1">SUMIFS(OFFSET(Calc2!$H$4,,,$F$26*B164,1),OFFSET(Calc2!$F$4,,,$F$26*B164,1),F178)+SUMIFS(OFFSET(Calc2!$I$4,,,$F$26*B164,1),OFFSET(Calc2!$G$4,,,$F$26*B164,1),F178)</f>
        <v>10</v>
      </c>
      <c r="H178" s="1">
        <f ca="1">SUMIFS(OFFSET(Calc2!$I$4,,,$F$26*B164,1),OFFSET(Calc2!$F$4,,,$F$26*B164,1),F178)+SUMIFS(OFFSET(Calc2!$H$4,,,$F$26*B164,1),OFFSET(Calc2!$G$4,,,$F$26*B164,1),F178)</f>
        <v>9</v>
      </c>
      <c r="I178" s="134">
        <f t="shared" ca="1" si="30"/>
        <v>1</v>
      </c>
      <c r="J178" s="12">
        <f ca="1">L178*Settings!$C$3+M178+O178</f>
        <v>16</v>
      </c>
      <c r="K178" s="1">
        <f t="shared" ca="1" si="33"/>
        <v>7</v>
      </c>
      <c r="L178" s="1">
        <f t="array" aca="1" ref="L178" ca="1">SUMPRODUCT((OFFSET(Calc2!$F$4,,,$F$26*B164,1)=F178)*(OFFSET(Calc2!$H$4,,,$F$26*B164,1)&gt;OFFSET(Calc2!$I$4,,,$F$26*B164,1)))+SUMPRODUCT((OFFSET(Calc2!$G$4,,,$F$26*B164,1)=F178)*(OFFSET(Calc2!$H$4,,,$F$26*B164,1)&lt;OFFSET(Calc2!$I$4,,,$F$26*B164,1)))</f>
        <v>5</v>
      </c>
      <c r="M178" s="1">
        <f t="array" aca="1" ref="M178" ca="1">SUMPRODUCT((OFFSET(Calc2!$F$4,,,$F$26*B164,2)=F178)*(OFFSET(Calc2!$H$4,,,$F$26*B164,1)=OFFSET(Calc2!$I$4,,,$F$26*B164,1))*(OFFSET(Calc2!$H$4,,,$F$26*B164,1)&lt;&gt;"")*(OFFSET(Calc2!$I$4,,,$F$26*B164,1)&lt;&gt;""))</f>
        <v>1</v>
      </c>
      <c r="N178" s="1">
        <f t="array" aca="1" ref="N178" ca="1">SUMPRODUCT((OFFSET(Calc2!$F$4,,,$F$26*B164,1)=F178)*(OFFSET(Calc2!$H$4,,,$F$26*B164,1)&lt;OFFSET(Calc2!$I$4,,,$F$26*B164,1)))+SUMPRODUCT((OFFSET(Calc2!$G$4,,,$F$26*B164,1)=F178)*(OFFSET(Calc2!$H$4,,,$F$26*B164,1)&gt;OFFSET(Calc2!$I$4,,,$F$26*B164,1)))</f>
        <v>1</v>
      </c>
      <c r="O178" s="132">
        <f ca="1">SUMPRODUCT((F178=OFFSET(Calc2!$F$4,,,$F$26*B164,1))*OFFSET(Calc2!$O$4,,,$F$26*B164,1))+SUMPRODUCT((F178=OFFSET(Calc2!$G$4,,,$F$26*B164,1))*OFFSET(Calc2!$P$4,,,$F$26*B164,1))</f>
        <v>0</v>
      </c>
      <c r="P178" s="2"/>
      <c r="Q178" s="2"/>
      <c r="R178" s="13">
        <f t="shared" ca="1" si="31"/>
        <v>16500001010</v>
      </c>
      <c r="S178" s="134">
        <f>Tie_Break!$D$19</f>
        <v>0</v>
      </c>
      <c r="T178" s="9">
        <f ca="1">RANK(R178,R166:R185)+(9-S178)/10000+(F178="")*1000</f>
        <v>2.0009000000000001</v>
      </c>
      <c r="U178" s="1"/>
      <c r="V178" s="134">
        <f ca="1">IF($K$24=0,"",IF(VLOOKUP(B178,C166:E185,3,0)=MAX(V$4:V177),VLOOKUP(B178,C166:E185,3,0),B178))</f>
        <v>13</v>
      </c>
      <c r="W178" s="4" t="str">
        <f ca="1">IF($K$24=0,Calc2!$C$16,VLOOKUP(B178,C166:N185,4,0))</f>
        <v>FC Augsburg</v>
      </c>
      <c r="X178" s="1">
        <f ca="1">INDEX(V139:V158,MATCH(W178,W139:W158,0))</f>
        <v>14</v>
      </c>
      <c r="Y178" s="1">
        <f t="shared" ca="1" si="34"/>
        <v>1</v>
      </c>
    </row>
    <row r="179" spans="2:25" x14ac:dyDescent="0.2">
      <c r="B179" s="1">
        <v>14</v>
      </c>
      <c r="C179" s="9">
        <f ca="1">RANK(D179,D166:D185,1)</f>
        <v>10</v>
      </c>
      <c r="D179" s="134">
        <f t="shared" ca="1" si="32"/>
        <v>10.179</v>
      </c>
      <c r="E179" s="134">
        <f ca="1">RANK(T179,T166:T185,1)</f>
        <v>10</v>
      </c>
      <c r="F179" s="187" t="str">
        <f>Calc2!$C$17</f>
        <v>SC Freiburg</v>
      </c>
      <c r="G179" s="1">
        <f ca="1">SUMIFS(OFFSET(Calc2!$H$4,,,$F$26*B164,1),OFFSET(Calc2!$F$4,,,$F$26*B164,1),F179)+SUMIFS(OFFSET(Calc2!$I$4,,,$F$26*B164,1),OFFSET(Calc2!$G$4,,,$F$26*B164,1),F179)</f>
        <v>11</v>
      </c>
      <c r="H179" s="1">
        <f ca="1">SUMIFS(OFFSET(Calc2!$I$4,,,$F$26*B164,1),OFFSET(Calc2!$F$4,,,$F$26*B164,1),F179)+SUMIFS(OFFSET(Calc2!$H$4,,,$F$26*B164,1),OFFSET(Calc2!$G$4,,,$F$26*B164,1),F179)</f>
        <v>11</v>
      </c>
      <c r="I179" s="134">
        <f t="shared" ca="1" si="30"/>
        <v>0</v>
      </c>
      <c r="J179" s="12">
        <f ca="1">L179*Settings!$C$3+M179+O179</f>
        <v>9</v>
      </c>
      <c r="K179" s="1">
        <f t="shared" ca="1" si="33"/>
        <v>7</v>
      </c>
      <c r="L179" s="1">
        <f t="array" aca="1" ref="L179" ca="1">SUMPRODUCT((OFFSET(Calc2!$F$4,,,$F$26*B164,1)=F179)*(OFFSET(Calc2!$H$4,,,$F$26*B164,1)&gt;OFFSET(Calc2!$I$4,,,$F$26*B164,1)))+SUMPRODUCT((OFFSET(Calc2!$G$4,,,$F$26*B164,1)=F179)*(OFFSET(Calc2!$H$4,,,$F$26*B164,1)&lt;OFFSET(Calc2!$I$4,,,$F$26*B164,1)))</f>
        <v>2</v>
      </c>
      <c r="M179" s="1">
        <f t="array" aca="1" ref="M179" ca="1">SUMPRODUCT((OFFSET(Calc2!$F$4,,,$F$26*B164,2)=F179)*(OFFSET(Calc2!$H$4,,,$F$26*B164,1)=OFFSET(Calc2!$I$4,,,$F$26*B164,1))*(OFFSET(Calc2!$H$4,,,$F$26*B164,1)&lt;&gt;"")*(OFFSET(Calc2!$I$4,,,$F$26*B164,1)&lt;&gt;""))</f>
        <v>3</v>
      </c>
      <c r="N179" s="1">
        <f t="array" aca="1" ref="N179" ca="1">SUMPRODUCT((OFFSET(Calc2!$F$4,,,$F$26*B164,1)=F179)*(OFFSET(Calc2!$H$4,,,$F$26*B164,1)&lt;OFFSET(Calc2!$I$4,,,$F$26*B164,1)))+SUMPRODUCT((OFFSET(Calc2!$G$4,,,$F$26*B164,1)=F179)*(OFFSET(Calc2!$H$4,,,$F$26*B164,1)&gt;OFFSET(Calc2!$I$4,,,$F$26*B164,1)))</f>
        <v>2</v>
      </c>
      <c r="O179" s="132">
        <f ca="1">SUMPRODUCT((F179=OFFSET(Calc2!$F$4,,,$F$26*B164,1))*OFFSET(Calc2!$O$4,,,$F$26*B164,1))+SUMPRODUCT((F179=OFFSET(Calc2!$G$4,,,$F$26*B164,1))*OFFSET(Calc2!$P$4,,,$F$26*B164,1))</f>
        <v>0</v>
      </c>
      <c r="P179" s="2"/>
      <c r="Q179" s="2"/>
      <c r="R179" s="13">
        <f t="shared" ca="1" si="31"/>
        <v>9500000011</v>
      </c>
      <c r="S179" s="134">
        <f>Tie_Break!$D$20</f>
        <v>0</v>
      </c>
      <c r="T179" s="9">
        <f ca="1">RANK(R179,R166:R185)+(9-S179)/10000+(F179="")*1000</f>
        <v>10.0009</v>
      </c>
      <c r="U179" s="2"/>
      <c r="V179" s="134">
        <f ca="1">IF($K$24=0,"",IF(VLOOKUP(B179,C166:E185,3,0)=MAX(V$4:V178),VLOOKUP(B179,C166:E185,3,0),B179))</f>
        <v>14</v>
      </c>
      <c r="W179" s="4" t="str">
        <f ca="1">IF($K$24=0,Calc2!$C$17,VLOOKUP(B179,C166:N185,4,0))</f>
        <v>FC St. Pauli</v>
      </c>
      <c r="X179" s="1">
        <f ca="1">INDEX(V139:V158,MATCH(W179,W139:W158,0))</f>
        <v>10</v>
      </c>
      <c r="Y179" s="1">
        <f t="shared" ca="1" si="34"/>
        <v>-1</v>
      </c>
    </row>
    <row r="180" spans="2:25" x14ac:dyDescent="0.2">
      <c r="B180" s="1">
        <v>15</v>
      </c>
      <c r="C180" s="9">
        <f ca="1">RANK(D180,D166:D185,1)</f>
        <v>12</v>
      </c>
      <c r="D180" s="134">
        <f t="shared" ca="1" si="32"/>
        <v>12.18</v>
      </c>
      <c r="E180" s="134">
        <f ca="1">RANK(T180,T166:T185,1)</f>
        <v>12</v>
      </c>
      <c r="F180" s="187" t="str">
        <f>Calc2!$C$18</f>
        <v>SV Werder Bremen</v>
      </c>
      <c r="G180" s="1">
        <f ca="1">SUMIFS(OFFSET(Calc2!$H$4,,,$F$26*B164,1),OFFSET(Calc2!$F$4,,,$F$26*B164,1),F180)+SUMIFS(OFFSET(Calc2!$I$4,,,$F$26*B164,1),OFFSET(Calc2!$G$4,,,$F$26*B164,1),F180)</f>
        <v>11</v>
      </c>
      <c r="H180" s="1">
        <f ca="1">SUMIFS(OFFSET(Calc2!$I$4,,,$F$26*B164,1),OFFSET(Calc2!$F$4,,,$F$26*B164,1),F180)+SUMIFS(OFFSET(Calc2!$H$4,,,$F$26*B164,1),OFFSET(Calc2!$G$4,,,$F$26*B164,1),F180)</f>
        <v>16</v>
      </c>
      <c r="I180" s="134">
        <f t="shared" ca="1" si="30"/>
        <v>-5</v>
      </c>
      <c r="J180" s="12">
        <f ca="1">L180*Settings!$C$3+M180+O180</f>
        <v>8</v>
      </c>
      <c r="K180" s="1">
        <f t="shared" ca="1" si="33"/>
        <v>7</v>
      </c>
      <c r="L180" s="1">
        <f t="array" aca="1" ref="L180" ca="1">SUMPRODUCT((OFFSET(Calc2!$F$4,,,$F$26*B164,1)=F180)*(OFFSET(Calc2!$H$4,,,$F$26*B164,1)&gt;OFFSET(Calc2!$I$4,,,$F$26*B164,1)))+SUMPRODUCT((OFFSET(Calc2!$G$4,,,$F$26*B164,1)=F180)*(OFFSET(Calc2!$H$4,,,$F$26*B164,1)&lt;OFFSET(Calc2!$I$4,,,$F$26*B164,1)))</f>
        <v>2</v>
      </c>
      <c r="M180" s="1">
        <f t="array" aca="1" ref="M180" ca="1">SUMPRODUCT((OFFSET(Calc2!$F$4,,,$F$26*B164,2)=F180)*(OFFSET(Calc2!$H$4,,,$F$26*B164,1)=OFFSET(Calc2!$I$4,,,$F$26*B164,1))*(OFFSET(Calc2!$H$4,,,$F$26*B164,1)&lt;&gt;"")*(OFFSET(Calc2!$I$4,,,$F$26*B164,1)&lt;&gt;""))</f>
        <v>2</v>
      </c>
      <c r="N180" s="1">
        <f t="array" aca="1" ref="N180" ca="1">SUMPRODUCT((OFFSET(Calc2!$F$4,,,$F$26*B164,1)=F180)*(OFFSET(Calc2!$H$4,,,$F$26*B164,1)&lt;OFFSET(Calc2!$I$4,,,$F$26*B164,1)))+SUMPRODUCT((OFFSET(Calc2!$G$4,,,$F$26*B164,1)=F180)*(OFFSET(Calc2!$H$4,,,$F$26*B164,1)&gt;OFFSET(Calc2!$I$4,,,$F$26*B164,1)))</f>
        <v>3</v>
      </c>
      <c r="O180" s="132">
        <f ca="1">SUMPRODUCT((F180=OFFSET(Calc2!$F$4,,,$F$26*B164,1))*OFFSET(Calc2!$O$4,,,$F$26*B164,1))+SUMPRODUCT((F180=OFFSET(Calc2!$G$4,,,$F$26*B164,1))*OFFSET(Calc2!$P$4,,,$F$26*B164,1))</f>
        <v>0</v>
      </c>
      <c r="P180" s="2"/>
      <c r="Q180" s="2"/>
      <c r="R180" s="13">
        <f t="shared" ca="1" si="31"/>
        <v>8499995011</v>
      </c>
      <c r="S180" s="134">
        <f>Tie_Break!$D$21</f>
        <v>0</v>
      </c>
      <c r="T180" s="9">
        <f ca="1">RANK(R180,R166:R185)+(9-S180)/10000+(F180="")*1000</f>
        <v>12.0009</v>
      </c>
      <c r="U180" s="2"/>
      <c r="V180" s="134">
        <f ca="1">IF($K$24=0,"",IF(VLOOKUP(B180,C166:E185,3,0)=MAX(V$4:V179),VLOOKUP(B180,C166:E185,3,0),B180))</f>
        <v>15</v>
      </c>
      <c r="W180" s="4" t="str">
        <f ca="1">IF($K$24=0,Calc2!$C$18,VLOOKUP(B180,C166:N185,4,0))</f>
        <v>VfL Wolfsburg</v>
      </c>
      <c r="X180" s="1">
        <f ca="1">INDEX(V139:V158,MATCH(W180,W139:W158,0))</f>
        <v>15</v>
      </c>
      <c r="Y180" s="1">
        <f t="shared" ca="1" si="34"/>
        <v>0</v>
      </c>
    </row>
    <row r="181" spans="2:25" x14ac:dyDescent="0.2">
      <c r="B181" s="1">
        <v>16</v>
      </c>
      <c r="C181" s="9">
        <f ca="1">RANK(D181,D166:D185,1)</f>
        <v>8</v>
      </c>
      <c r="D181" s="134">
        <f t="shared" ca="1" si="32"/>
        <v>8.1809999999999992</v>
      </c>
      <c r="E181" s="134">
        <f ca="1">RANK(T181,T166:T185,1)</f>
        <v>8</v>
      </c>
      <c r="F181" s="187" t="str">
        <f>Calc2!$C$19</f>
        <v>TSG Hoffenheim</v>
      </c>
      <c r="G181" s="1">
        <f ca="1">SUMIFS(OFFSET(Calc2!$H$4,,,$F$26*B164,1),OFFSET(Calc2!$F$4,,,$F$26*B164,1),F181)+SUMIFS(OFFSET(Calc2!$I$4,,,$F$26*B164,1),OFFSET(Calc2!$G$4,,,$F$26*B164,1),F181)</f>
        <v>12</v>
      </c>
      <c r="H181" s="1">
        <f ca="1">SUMIFS(OFFSET(Calc2!$I$4,,,$F$26*B164,1),OFFSET(Calc2!$F$4,,,$F$26*B164,1),F181)+SUMIFS(OFFSET(Calc2!$H$4,,,$F$26*B164,1),OFFSET(Calc2!$G$4,,,$F$26*B164,1),F181)</f>
        <v>12</v>
      </c>
      <c r="I181" s="134">
        <f t="shared" ca="1" si="30"/>
        <v>0</v>
      </c>
      <c r="J181" s="12">
        <f ca="1">L181*Settings!$C$3+M181+O181</f>
        <v>10</v>
      </c>
      <c r="K181" s="1">
        <f t="shared" ca="1" si="33"/>
        <v>7</v>
      </c>
      <c r="L181" s="1">
        <f t="array" aca="1" ref="L181" ca="1">SUMPRODUCT((OFFSET(Calc2!$F$4,,,$F$26*B164,1)=F181)*(OFFSET(Calc2!$H$4,,,$F$26*B164,1)&gt;OFFSET(Calc2!$I$4,,,$F$26*B164,1)))+SUMPRODUCT((OFFSET(Calc2!$G$4,,,$F$26*B164,1)=F181)*(OFFSET(Calc2!$H$4,,,$F$26*B164,1)&lt;OFFSET(Calc2!$I$4,,,$F$26*B164,1)))</f>
        <v>3</v>
      </c>
      <c r="M181" s="1">
        <f t="array" aca="1" ref="M181" ca="1">SUMPRODUCT((OFFSET(Calc2!$F$4,,,$F$26*B164,2)=F181)*(OFFSET(Calc2!$H$4,,,$F$26*B164,1)=OFFSET(Calc2!$I$4,,,$F$26*B164,1))*(OFFSET(Calc2!$H$4,,,$F$26*B164,1)&lt;&gt;"")*(OFFSET(Calc2!$I$4,,,$F$26*B164,1)&lt;&gt;""))</f>
        <v>1</v>
      </c>
      <c r="N181" s="1">
        <f t="array" aca="1" ref="N181" ca="1">SUMPRODUCT((OFFSET(Calc2!$F$4,,,$F$26*B164,1)=F181)*(OFFSET(Calc2!$H$4,,,$F$26*B164,1)&lt;OFFSET(Calc2!$I$4,,,$F$26*B164,1)))+SUMPRODUCT((OFFSET(Calc2!$G$4,,,$F$26*B164,1)=F181)*(OFFSET(Calc2!$H$4,,,$F$26*B164,1)&gt;OFFSET(Calc2!$I$4,,,$F$26*B164,1)))</f>
        <v>3</v>
      </c>
      <c r="O181" s="132">
        <f ca="1">SUMPRODUCT((F181=OFFSET(Calc2!$F$4,,,$F$26*B164,1))*OFFSET(Calc2!$O$4,,,$F$26*B164,1))+SUMPRODUCT((F181=OFFSET(Calc2!$G$4,,,$F$26*B164,1))*OFFSET(Calc2!$P$4,,,$F$26*B164,1))</f>
        <v>0</v>
      </c>
      <c r="P181" s="2"/>
      <c r="Q181" s="2"/>
      <c r="R181" s="13">
        <f t="shared" ca="1" si="31"/>
        <v>10500000012</v>
      </c>
      <c r="S181" s="134">
        <f>Tie_Break!$D$22</f>
        <v>0</v>
      </c>
      <c r="T181" s="9">
        <f ca="1">RANK(R181,R166:R185)+(9-S181)/10000+(F181="")*1000</f>
        <v>8.0008999999999997</v>
      </c>
      <c r="U181" s="2"/>
      <c r="V181" s="134">
        <f ca="1">IF($K$24=0,"",IF(VLOOKUP(B181,C166:E185,3,0)=MAX(V$4:V180),VLOOKUP(B181,C166:E185,3,0),B181))</f>
        <v>16</v>
      </c>
      <c r="W181" s="4" t="str">
        <f ca="1">IF($K$24=0,Calc2!$C$19,VLOOKUP(B181,C166:N185,4,0))</f>
        <v>1. FSV Mainz 05</v>
      </c>
      <c r="X181" s="1">
        <f ca="1">INDEX(V139:V158,MATCH(W181,W139:W158,0))</f>
        <v>16</v>
      </c>
      <c r="Y181" s="1">
        <f t="shared" ca="1" si="34"/>
        <v>0</v>
      </c>
    </row>
    <row r="182" spans="2:25" x14ac:dyDescent="0.2">
      <c r="B182" s="1">
        <v>17</v>
      </c>
      <c r="C182" s="9">
        <f ca="1">RANK(D182,D166:D185,1)</f>
        <v>3</v>
      </c>
      <c r="D182" s="134">
        <f t="shared" ca="1" si="32"/>
        <v>3.1819999999999999</v>
      </c>
      <c r="E182" s="134">
        <f ca="1">RANK(T182,T166:T185,1)</f>
        <v>3</v>
      </c>
      <c r="F182" s="187" t="str">
        <f>Calc2!$C$20</f>
        <v>VfB Stuttgart</v>
      </c>
      <c r="G182" s="1">
        <f ca="1">SUMIFS(OFFSET(Calc2!$H$4,,,$F$26*B164,1),OFFSET(Calc2!$F$4,,,$F$26*B164,1),F182)+SUMIFS(OFFSET(Calc2!$I$4,,,$F$26*B164,1),OFFSET(Calc2!$G$4,,,$F$26*B164,1),F182)</f>
        <v>11</v>
      </c>
      <c r="H182" s="1">
        <f ca="1">SUMIFS(OFFSET(Calc2!$I$4,,,$F$26*B164,1),OFFSET(Calc2!$F$4,,,$F$26*B164,1),F182)+SUMIFS(OFFSET(Calc2!$H$4,,,$F$26*B164,1),OFFSET(Calc2!$G$4,,,$F$26*B164,1),F182)</f>
        <v>6</v>
      </c>
      <c r="I182" s="134">
        <f t="shared" ca="1" si="30"/>
        <v>5</v>
      </c>
      <c r="J182" s="12">
        <f ca="1">L182*Settings!$C$3+M182+O182</f>
        <v>15</v>
      </c>
      <c r="K182" s="1">
        <f t="shared" ca="1" si="33"/>
        <v>7</v>
      </c>
      <c r="L182" s="1">
        <f t="array" aca="1" ref="L182" ca="1">SUMPRODUCT((OFFSET(Calc2!$F$4,,,$F$26*B164,1)=F182)*(OFFSET(Calc2!$H$4,,,$F$26*B164,1)&gt;OFFSET(Calc2!$I$4,,,$F$26*B164,1)))+SUMPRODUCT((OFFSET(Calc2!$G$4,,,$F$26*B164,1)=F182)*(OFFSET(Calc2!$H$4,,,$F$26*B164,1)&lt;OFFSET(Calc2!$I$4,,,$F$26*B164,1)))</f>
        <v>5</v>
      </c>
      <c r="M182" s="1">
        <f t="array" aca="1" ref="M182" ca="1">SUMPRODUCT((OFFSET(Calc2!$F$4,,,$F$26*B164,2)=F182)*(OFFSET(Calc2!$H$4,,,$F$26*B164,1)=OFFSET(Calc2!$I$4,,,$F$26*B164,1))*(OFFSET(Calc2!$H$4,,,$F$26*B164,1)&lt;&gt;"")*(OFFSET(Calc2!$I$4,,,$F$26*B164,1)&lt;&gt;""))</f>
        <v>0</v>
      </c>
      <c r="N182" s="1">
        <f t="array" aca="1" ref="N182" ca="1">SUMPRODUCT((OFFSET(Calc2!$F$4,,,$F$26*B164,1)=F182)*(OFFSET(Calc2!$H$4,,,$F$26*B164,1)&lt;OFFSET(Calc2!$I$4,,,$F$26*B164,1)))+SUMPRODUCT((OFFSET(Calc2!$G$4,,,$F$26*B164,1)=F182)*(OFFSET(Calc2!$H$4,,,$F$26*B164,1)&gt;OFFSET(Calc2!$I$4,,,$F$26*B164,1)))</f>
        <v>2</v>
      </c>
      <c r="O182" s="132">
        <f ca="1">SUMPRODUCT((F182=OFFSET(Calc2!$F$4,,,$F$26*B164,1))*OFFSET(Calc2!$O$4,,,$F$26*B164,1))+SUMPRODUCT((F182=OFFSET(Calc2!$G$4,,,$F$26*B164,1))*OFFSET(Calc2!$P$4,,,$F$26*B164,1))</f>
        <v>0</v>
      </c>
      <c r="P182" s="2"/>
      <c r="Q182" s="2"/>
      <c r="R182" s="13">
        <f t="shared" ca="1" si="31"/>
        <v>15500005011</v>
      </c>
      <c r="S182" s="134">
        <f>Tie_Break!$D$23</f>
        <v>0</v>
      </c>
      <c r="T182" s="9">
        <f ca="1">RANK(R182,R166:R185)+(9-S182)/10000+(F182="")*1000</f>
        <v>3.0009000000000001</v>
      </c>
      <c r="U182" s="2"/>
      <c r="V182" s="134">
        <f ca="1">IF($K$24=0,"",IF(VLOOKUP(B182,C166:E185,3,0)=MAX(V$4:V181),VLOOKUP(B182,C166:E185,3,0),B182))</f>
        <v>17</v>
      </c>
      <c r="W182" s="4" t="str">
        <f ca="1">IF($K$24=0,Calc2!$C$20,VLOOKUP(B182,C166:N185,4,0))</f>
        <v>1. FC Heidenheim 1846</v>
      </c>
      <c r="X182" s="1">
        <f ca="1">INDEX(V139:V158,MATCH(W182,W139:W158,0))</f>
        <v>18</v>
      </c>
      <c r="Y182" s="1">
        <f t="shared" ca="1" si="34"/>
        <v>1</v>
      </c>
    </row>
    <row r="183" spans="2:25" x14ac:dyDescent="0.2">
      <c r="B183" s="1">
        <v>18</v>
      </c>
      <c r="C183" s="9">
        <f ca="1">RANK(D183,D166:D185,1)</f>
        <v>15</v>
      </c>
      <c r="D183" s="134">
        <f t="shared" ca="1" si="32"/>
        <v>15.183</v>
      </c>
      <c r="E183" s="134">
        <f ca="1">RANK(T183,T166:T185,1)</f>
        <v>15</v>
      </c>
      <c r="F183" s="187" t="str">
        <f>Calc2!$C$21</f>
        <v>VfL Wolfsburg</v>
      </c>
      <c r="G183" s="1">
        <f ca="1">SUMIFS(OFFSET(Calc2!$H$4,,,$F$26*B164,1),OFFSET(Calc2!$F$4,,,$F$26*B164,1),F183)+SUMIFS(OFFSET(Calc2!$I$4,,,$F$26*B164,1),OFFSET(Calc2!$G$4,,,$F$26*B164,1),F183)</f>
        <v>8</v>
      </c>
      <c r="H183" s="1">
        <f ca="1">SUMIFS(OFFSET(Calc2!$I$4,,,$F$26*B164,1),OFFSET(Calc2!$F$4,,,$F$26*B164,1),F183)+SUMIFS(OFFSET(Calc2!$H$4,,,$F$26*B164,1),OFFSET(Calc2!$G$4,,,$F$26*B164,1),F183)</f>
        <v>13</v>
      </c>
      <c r="I183" s="134">
        <f t="shared" ca="1" si="30"/>
        <v>-5</v>
      </c>
      <c r="J183" s="12">
        <f ca="1">L183*Settings!$C$3+M183+O183</f>
        <v>5</v>
      </c>
      <c r="K183" s="1">
        <f t="shared" ca="1" si="33"/>
        <v>7</v>
      </c>
      <c r="L183" s="1">
        <f t="array" aca="1" ref="L183" ca="1">SUMPRODUCT((OFFSET(Calc2!$F$4,,,$F$26*B164,1)=F183)*(OFFSET(Calc2!$H$4,,,$F$26*B164,1)&gt;OFFSET(Calc2!$I$4,,,$F$26*B164,1)))+SUMPRODUCT((OFFSET(Calc2!$G$4,,,$F$26*B164,1)=F183)*(OFFSET(Calc2!$H$4,,,$F$26*B164,1)&lt;OFFSET(Calc2!$I$4,,,$F$26*B164,1)))</f>
        <v>1</v>
      </c>
      <c r="M183" s="1">
        <f t="array" aca="1" ref="M183" ca="1">SUMPRODUCT((OFFSET(Calc2!$F$4,,,$F$26*B164,2)=F183)*(OFFSET(Calc2!$H$4,,,$F$26*B164,1)=OFFSET(Calc2!$I$4,,,$F$26*B164,1))*(OFFSET(Calc2!$H$4,,,$F$26*B164,1)&lt;&gt;"")*(OFFSET(Calc2!$I$4,,,$F$26*B164,1)&lt;&gt;""))</f>
        <v>2</v>
      </c>
      <c r="N183" s="1">
        <f t="array" aca="1" ref="N183" ca="1">SUMPRODUCT((OFFSET(Calc2!$F$4,,,$F$26*B164,1)=F183)*(OFFSET(Calc2!$H$4,,,$F$26*B164,1)&lt;OFFSET(Calc2!$I$4,,,$F$26*B164,1)))+SUMPRODUCT((OFFSET(Calc2!$G$4,,,$F$26*B164,1)=F183)*(OFFSET(Calc2!$H$4,,,$F$26*B164,1)&gt;OFFSET(Calc2!$I$4,,,$F$26*B164,1)))</f>
        <v>4</v>
      </c>
      <c r="O183" s="132">
        <f ca="1">SUMPRODUCT((F183=OFFSET(Calc2!$F$4,,,$F$26*B164,1))*OFFSET(Calc2!$O$4,,,$F$26*B164,1))+SUMPRODUCT((F183=OFFSET(Calc2!$G$4,,,$F$26*B164,1))*OFFSET(Calc2!$P$4,,,$F$26*B164,1))</f>
        <v>0</v>
      </c>
      <c r="P183" s="2"/>
      <c r="Q183" s="2"/>
      <c r="R183" s="13">
        <f t="shared" ca="1" si="31"/>
        <v>5499995008</v>
      </c>
      <c r="S183" s="134">
        <f>Tie_Break!$D$24</f>
        <v>0</v>
      </c>
      <c r="T183" s="9">
        <f ca="1">RANK(R183,R166:R185)+(9-S183)/10000+(F183="")*1000</f>
        <v>15.0009</v>
      </c>
      <c r="U183" s="2"/>
      <c r="V183" s="134">
        <f ca="1">IF($K$24=0,"",IF(VLOOKUP(B183,C166:E185,3,0)=MAX(V$4:V182),VLOOKUP(B183,C166:E185,3,0),B183))</f>
        <v>18</v>
      </c>
      <c r="W183" s="4" t="str">
        <f ca="1">IF($K$24=0,Calc2!$C$21,VLOOKUP(B183,C166:N185,4,0))</f>
        <v>Borussia Mönchengladbach</v>
      </c>
      <c r="X183" s="1">
        <f ca="1">INDEX(V139:V158,MATCH(W183,W139:W158,0))</f>
        <v>17</v>
      </c>
      <c r="Y183" s="1">
        <f t="shared" ca="1" si="34"/>
        <v>-1</v>
      </c>
    </row>
    <row r="184" spans="2:25" x14ac:dyDescent="0.2">
      <c r="B184" s="1">
        <v>19</v>
      </c>
      <c r="C184" s="9">
        <f ca="1">RANK(D184,D166:D185,1)</f>
        <v>19</v>
      </c>
      <c r="D184" s="134">
        <f t="shared" ca="1" si="32"/>
        <v>19.184000000000001</v>
      </c>
      <c r="E184" s="134">
        <f ca="1">RANK(T184,T166:T185,1)</f>
        <v>19</v>
      </c>
      <c r="F184" s="187" t="str">
        <f>Calc2!$C$22</f>
        <v/>
      </c>
      <c r="G184" s="1">
        <f ca="1">SUMIFS(OFFSET(Calc2!$H$4,,,$F$26*B164,1),OFFSET(Calc2!$F$4,,,$F$26*B164,1),F184)+SUMIFS(OFFSET(Calc2!$I$4,,,$F$26*B164,1),OFFSET(Calc2!$G$4,,,$F$26*B164,1),F184)</f>
        <v>0</v>
      </c>
      <c r="H184" s="1">
        <f ca="1">SUMIFS(OFFSET(Calc2!$I$4,,,$F$26*B164,1),OFFSET(Calc2!$F$4,,,$F$26*B164,1),F184)+SUMIFS(OFFSET(Calc2!$H$4,,,$F$26*B164,1),OFFSET(Calc2!$G$4,,,$F$26*B164,1),F184)</f>
        <v>0</v>
      </c>
      <c r="I184" s="134">
        <f t="shared" ca="1" si="30"/>
        <v>0</v>
      </c>
      <c r="J184" s="12">
        <f ca="1">L184*Settings!$C$3+M184+O184</f>
        <v>0</v>
      </c>
      <c r="K184" s="1">
        <f t="shared" ca="1" si="33"/>
        <v>0</v>
      </c>
      <c r="L184" s="1">
        <f t="array" aca="1" ref="L184" ca="1">SUMPRODUCT((OFFSET(Calc2!$F$4,,,$F$26*B164,1)=F184)*(OFFSET(Calc2!$H$4,,,$F$26*B164,1)&gt;OFFSET(Calc2!$I$4,,,$F$26*B164,1)))+SUMPRODUCT((OFFSET(Calc2!$G$4,,,$F$26*B164,1)=F184)*(OFFSET(Calc2!$H$4,,,$F$26*B164,1)&lt;OFFSET(Calc2!$I$4,,,$F$26*B164,1)))</f>
        <v>0</v>
      </c>
      <c r="M184" s="1">
        <f t="array" aca="1" ref="M184" ca="1">SUMPRODUCT((OFFSET(Calc2!$F$4,,,$F$26*B164,2)=F184)*(OFFSET(Calc2!$H$4,,,$F$26*B164,1)=OFFSET(Calc2!$I$4,,,$F$26*B164,1))*(OFFSET(Calc2!$H$4,,,$F$26*B164,1)&lt;&gt;"")*(OFFSET(Calc2!$I$4,,,$F$26*B164,1)&lt;&gt;""))</f>
        <v>0</v>
      </c>
      <c r="N184" s="1">
        <f t="array" aca="1" ref="N184" ca="1">SUMPRODUCT((OFFSET(Calc2!$F$4,,,$F$26*B164,1)=F184)*(OFFSET(Calc2!$H$4,,,$F$26*B164,1)&lt;OFFSET(Calc2!$I$4,,,$F$26*B164,1)))+SUMPRODUCT((OFFSET(Calc2!$G$4,,,$F$26*B164,1)=F184)*(OFFSET(Calc2!$H$4,,,$F$26*B164,1)&gt;OFFSET(Calc2!$I$4,,,$F$26*B164,1)))</f>
        <v>0</v>
      </c>
      <c r="O184" s="132">
        <f ca="1">SUMPRODUCT((F184=OFFSET(Calc2!$F$4,,,$F$26*B164,1))*OFFSET(Calc2!$O$4,,,$F$26*B164,1))+SUMPRODUCT((F184=OFFSET(Calc2!$G$4,,,$F$26*B164,1))*OFFSET(Calc2!$P$4,,,$F$26*B164,1))</f>
        <v>0</v>
      </c>
      <c r="P184" s="2"/>
      <c r="Q184" s="2"/>
      <c r="R184" s="13">
        <f t="shared" ca="1" si="31"/>
        <v>500000000</v>
      </c>
      <c r="S184" s="134">
        <f>Tie_Break!$D$25</f>
        <v>0</v>
      </c>
      <c r="T184" s="9">
        <f ca="1">RANK(R184,R166:R185)+(9-S184)/10000+(F184="")*1000</f>
        <v>1019.0009</v>
      </c>
      <c r="U184" s="2"/>
      <c r="V184" s="134">
        <f ca="1">IF($K$24=0,"",IF(VLOOKUP(B184,C166:E185,3,0)=MAX(V$4:V183),VLOOKUP(B184,C166:E185,3,0),B184))</f>
        <v>19</v>
      </c>
      <c r="W184" s="4" t="str">
        <f ca="1">IF($K$24=0,Calc2!$C$22,VLOOKUP(B184,C166:N185,4,0))</f>
        <v/>
      </c>
      <c r="X184" s="1">
        <f ca="1">INDEX(V139:V158,MATCH(W184,W139:W158,0))</f>
        <v>19</v>
      </c>
      <c r="Y184" s="1">
        <f t="shared" ca="1" si="34"/>
        <v>0</v>
      </c>
    </row>
    <row r="185" spans="2:25" ht="12.75" thickBot="1" x14ac:dyDescent="0.25">
      <c r="B185" s="1">
        <v>20</v>
      </c>
      <c r="C185" s="10">
        <f ca="1">RANK(D185,D166:D185,1)</f>
        <v>20</v>
      </c>
      <c r="D185" s="134">
        <f t="shared" ca="1" si="32"/>
        <v>19.184999999999999</v>
      </c>
      <c r="E185" s="134">
        <f ca="1">RANK(T185,T166:T185,1)</f>
        <v>19</v>
      </c>
      <c r="F185" s="187" t="str">
        <f>Calc2!$C$23</f>
        <v/>
      </c>
      <c r="G185" s="1">
        <f ca="1">SUMIFS(OFFSET(Calc2!$H$4,,,$F$26*B164,1),OFFSET(Calc2!$F$4,,,$F$26*B164,1),F185)+SUMIFS(OFFSET(Calc2!$I$4,,,$F$26*B164,1),OFFSET(Calc2!$G$4,,,$F$26*B164,1),F185)</f>
        <v>0</v>
      </c>
      <c r="H185" s="1">
        <f ca="1">SUMIFS(OFFSET(Calc2!$I$4,,,$F$26*B164,1),OFFSET(Calc2!$F$4,,,$F$26*B164,1),F185)+SUMIFS(OFFSET(Calc2!$H$4,,,$F$26*B164,1),OFFSET(Calc2!$G$4,,,$F$26*B164,1),F185)</f>
        <v>0</v>
      </c>
      <c r="I185" s="134">
        <f t="shared" ca="1" si="30"/>
        <v>0</v>
      </c>
      <c r="J185" s="12">
        <f ca="1">L185*Settings!$C$3+M185+O185</f>
        <v>0</v>
      </c>
      <c r="K185" s="1">
        <f t="shared" ca="1" si="33"/>
        <v>0</v>
      </c>
      <c r="L185" s="1">
        <f t="array" aca="1" ref="L185" ca="1">SUMPRODUCT((OFFSET(Calc2!$F$4,,,$F$26*B164,1)=F185)*(OFFSET(Calc2!$H$4,,,$F$26*B164,1)&gt;OFFSET(Calc2!$I$4,,,$F$26*B164,1)))+SUMPRODUCT((OFFSET(Calc2!$G$4,,,$F$26*B164,1)=F185)*(OFFSET(Calc2!$H$4,,,$F$26*B164,1)&lt;OFFSET(Calc2!$I$4,,,$F$26*B164,1)))</f>
        <v>0</v>
      </c>
      <c r="M185" s="1">
        <f t="array" aca="1" ref="M185" ca="1">SUMPRODUCT((OFFSET(Calc2!$F$4,,,$F$26*B164,2)=F185)*(OFFSET(Calc2!$H$4,,,$F$26*B164,1)=OFFSET(Calc2!$I$4,,,$F$26*B164,1))*(OFFSET(Calc2!$H$4,,,$F$26*B164,1)&lt;&gt;"")*(OFFSET(Calc2!$I$4,,,$F$26*B164,1)&lt;&gt;""))</f>
        <v>0</v>
      </c>
      <c r="N185" s="1">
        <f t="array" aca="1" ref="N185" ca="1">SUMPRODUCT((OFFSET(Calc2!$F$4,,,$F$26*B164,1)=F185)*(OFFSET(Calc2!$H$4,,,$F$26*B164,1)&lt;OFFSET(Calc2!$I$4,,,$F$26*B164,1)))+SUMPRODUCT((OFFSET(Calc2!$G$4,,,$F$26*B164,1)=F185)*(OFFSET(Calc2!$H$4,,,$F$26*B164,1)&gt;OFFSET(Calc2!$I$4,,,$F$26*B164,1)))</f>
        <v>0</v>
      </c>
      <c r="O185" s="132">
        <f ca="1">SUMPRODUCT((F185=OFFSET(Calc2!$F$4,,,$F$26*B164,1))*OFFSET(Calc2!$O$4,,,$F$26*B164,1))+SUMPRODUCT((F185=OFFSET(Calc2!$G$4,,,$F$26*B164,1))*OFFSET(Calc2!$P$4,,,$F$26*B164,1))</f>
        <v>0</v>
      </c>
      <c r="P185" s="2"/>
      <c r="Q185" s="2"/>
      <c r="R185" s="13">
        <f t="shared" ca="1" si="31"/>
        <v>500000000</v>
      </c>
      <c r="S185" s="134">
        <f>Tie_Break!$D$26</f>
        <v>0</v>
      </c>
      <c r="T185" s="10">
        <f ca="1">RANK(R185,R166:R185)+(9-S185)/10000+(F185="")*1000</f>
        <v>1019.0009</v>
      </c>
      <c r="U185" s="2"/>
      <c r="V185" s="134">
        <f ca="1">IF($K$24=0,"",IF(VLOOKUP(B185,C166:E185,3,0)=MAX(V$4:V184),VLOOKUP(B185,C166:E185,3,0),B185))</f>
        <v>19</v>
      </c>
      <c r="W185" s="4" t="str">
        <f ca="1">IF($K$24=0,Calc2!$C$23,VLOOKUP(B185,C166:N185,4,0))</f>
        <v/>
      </c>
      <c r="X185" s="1">
        <f ca="1">INDEX(V139:V158,MATCH(W185,W139:W158,0))</f>
        <v>19</v>
      </c>
      <c r="Y185" s="1">
        <f t="shared" ca="1" si="34"/>
        <v>0</v>
      </c>
    </row>
    <row r="186" spans="2:25" ht="12.75" thickTop="1" x14ac:dyDescent="0.2">
      <c r="X186" s="1"/>
      <c r="Y186" s="1"/>
    </row>
    <row r="187" spans="2:25" x14ac:dyDescent="0.2">
      <c r="X187" s="1"/>
      <c r="Y187" s="1"/>
    </row>
    <row r="188" spans="2:25" x14ac:dyDescent="0.2">
      <c r="X188" s="1"/>
      <c r="Y188" s="1"/>
    </row>
    <row r="189" spans="2:25" x14ac:dyDescent="0.2">
      <c r="X189" s="1"/>
      <c r="Y189" s="1"/>
    </row>
    <row r="190" spans="2:25" ht="12.75" thickBot="1" x14ac:dyDescent="0.25">
      <c r="X190" s="1"/>
      <c r="Y190" s="1"/>
    </row>
    <row r="191" spans="2:25" ht="12.75" thickBot="1" x14ac:dyDescent="0.25">
      <c r="B191" s="410">
        <v>8</v>
      </c>
      <c r="C191" s="134"/>
      <c r="D191" s="134"/>
      <c r="E191" s="134"/>
      <c r="F191" s="187"/>
      <c r="G191" s="1"/>
      <c r="H191" s="1"/>
      <c r="I191" s="1"/>
      <c r="J191" s="1"/>
      <c r="K191" s="1"/>
      <c r="L191" s="1"/>
      <c r="M191" s="1"/>
      <c r="N191" s="134"/>
      <c r="O191" s="1"/>
      <c r="P191" s="1"/>
      <c r="Q191" s="1"/>
      <c r="R191" s="2"/>
      <c r="S191" s="2"/>
      <c r="T191" s="2"/>
      <c r="U191" s="2"/>
      <c r="V191" s="2"/>
      <c r="W191" s="2"/>
      <c r="X191" s="1"/>
      <c r="Y191" s="1"/>
    </row>
    <row r="192" spans="2:25" ht="15.75" thickBot="1" x14ac:dyDescent="0.25">
      <c r="B192" s="1"/>
      <c r="C192" s="134"/>
      <c r="D192" s="134"/>
      <c r="E192" s="134"/>
      <c r="F192" s="11" t="s">
        <v>90</v>
      </c>
      <c r="G192" s="42" t="s">
        <v>95</v>
      </c>
      <c r="H192" s="42" t="s">
        <v>96</v>
      </c>
      <c r="I192" s="11" t="s">
        <v>97</v>
      </c>
      <c r="J192" s="11" t="s">
        <v>98</v>
      </c>
      <c r="K192" s="11" t="s">
        <v>91</v>
      </c>
      <c r="L192" s="12" t="s">
        <v>92</v>
      </c>
      <c r="M192" s="12" t="s">
        <v>93</v>
      </c>
      <c r="N192" s="12" t="s">
        <v>94</v>
      </c>
      <c r="O192" s="12" t="s">
        <v>534</v>
      </c>
      <c r="P192" s="2"/>
      <c r="Q192" s="11"/>
      <c r="R192" s="133" t="s">
        <v>99</v>
      </c>
      <c r="S192" s="6" t="s">
        <v>483</v>
      </c>
      <c r="T192" s="120" t="s">
        <v>146</v>
      </c>
      <c r="U192" s="134"/>
      <c r="V192" s="134"/>
      <c r="W192" s="132"/>
      <c r="X192" s="120" t="s">
        <v>575</v>
      </c>
      <c r="Y192" s="1"/>
    </row>
    <row r="193" spans="2:25" ht="12.75" thickTop="1" x14ac:dyDescent="0.2">
      <c r="B193" s="1">
        <v>1</v>
      </c>
      <c r="C193" s="8">
        <f ca="1">RANK(D193,D193:D212,1)</f>
        <v>17</v>
      </c>
      <c r="D193" s="134">
        <f ca="1">E193+ROW()/1000</f>
        <v>17.193000000000001</v>
      </c>
      <c r="E193" s="134">
        <f ca="1">RANK(T193,T193:T212,1)</f>
        <v>17</v>
      </c>
      <c r="F193" s="187" t="str">
        <f>Calc2!$C$4</f>
        <v>1. FC Heidenheim 1846</v>
      </c>
      <c r="G193" s="1">
        <f ca="1">SUMIFS(OFFSET(Calc2!$H$4,,,$F$26*B191,1),OFFSET(Calc2!$F$4,,,$F$26*B191,1),F193)+SUMIFS(OFFSET(Calc2!$I$4,,,$F$26*B191,1),OFFSET(Calc2!$G$4,,,$F$26*B191,1),F193)</f>
        <v>7</v>
      </c>
      <c r="H193" s="1">
        <f ca="1">SUMIFS(OFFSET(Calc2!$I$4,,,$F$26*B191,1),OFFSET(Calc2!$F$4,,,$F$26*B191,1),F193)+SUMIFS(OFFSET(Calc2!$H$4,,,$F$26*B191,1),OFFSET(Calc2!$G$4,,,$F$26*B191,1),F193)</f>
        <v>16</v>
      </c>
      <c r="I193" s="134">
        <f t="shared" ref="I193:I212" ca="1" si="35">G193-H193</f>
        <v>-9</v>
      </c>
      <c r="J193" s="12">
        <f ca="1">L193*Settings!$C$3+M193+O193</f>
        <v>4</v>
      </c>
      <c r="K193" s="1">
        <f ca="1">L193+M193+N193</f>
        <v>8</v>
      </c>
      <c r="L193" s="1">
        <f t="array" aca="1" ref="L193" ca="1">SUMPRODUCT((OFFSET(Calc2!$F$4,,,$F$26*B191,1)=F193)*(OFFSET(Calc2!$H$4,,,$F$26*B191,1)&gt;OFFSET(Calc2!$I$4,,,$F$26*B191,1)))+SUMPRODUCT((OFFSET(Calc2!$G$4,,,$F$26*B191,1)=F193)*(OFFSET(Calc2!$H$4,,,$F$26*B191,1)&lt;OFFSET(Calc2!$I$4,,,$F$26*B191,1)))</f>
        <v>1</v>
      </c>
      <c r="M193" s="1">
        <f t="array" aca="1" ref="M193" ca="1">SUMPRODUCT((OFFSET(Calc2!$F$4,,,$F$26*B191,2)=F193)*(OFFSET(Calc2!$H$4,,,$F$26*B191,1)=OFFSET(Calc2!$I$4,,,$F$26*B191,1))*(OFFSET(Calc2!$H$4,,,$F$26*B191,1)&lt;&gt;"")*(OFFSET(Calc2!$I$4,,,$F$26*B191,1)&lt;&gt;""))</f>
        <v>1</v>
      </c>
      <c r="N193" s="1">
        <f t="array" aca="1" ref="N193" ca="1">SUMPRODUCT((OFFSET(Calc2!$F$4,,,$F$26*B191,1)=F193)*(OFFSET(Calc2!$H$4,,,$F$26*B191,1)&lt;OFFSET(Calc2!$I$4,,,$F$26*B191,1)))+SUMPRODUCT((OFFSET(Calc2!$G$4,,,$F$26*B191,1)=F193)*(OFFSET(Calc2!$H$4,,,$F$26*B191,1)&gt;OFFSET(Calc2!$I$4,,,$F$26*B191,1)))</f>
        <v>6</v>
      </c>
      <c r="O193" s="132">
        <f ca="1">SUMPRODUCT((F193=OFFSET(Calc2!$F$4,,,$F$26*B191,1))*OFFSET(Calc2!$O$4,,,$F$26*B191,1))+SUMPRODUCT((F193=OFFSET(Calc2!$G$4,,,$F$26*B191,1))*OFFSET(Calc2!$P$4,,,$F$26*B191,1))</f>
        <v>0</v>
      </c>
      <c r="P193" s="2"/>
      <c r="Q193" s="2"/>
      <c r="R193" s="13">
        <f t="shared" ref="R193:R212" ca="1" si="36">J193*FactorPts+(I193+GDzero)*FactorGD+G193*FactorGF</f>
        <v>4499991007</v>
      </c>
      <c r="S193" s="134">
        <f>Tie_Break!$D$7</f>
        <v>0</v>
      </c>
      <c r="T193" s="8">
        <f ca="1">RANK(R193,R193:R212)+(9-S193)/10000+(F193="")*1000</f>
        <v>17.000900000000001</v>
      </c>
      <c r="U193" s="134"/>
      <c r="V193" s="134">
        <f ca="1">IF($K$24=0,"",1)</f>
        <v>1</v>
      </c>
      <c r="W193" s="4" t="str">
        <f ca="1">IF($K$24=0,Calc2!$C$4,VLOOKUP(B193,C193:N212,4,0))</f>
        <v>FC Bayern München</v>
      </c>
      <c r="X193" s="1">
        <f ca="1">INDEX(V166:V185,MATCH(W193,W166:W185,0))</f>
        <v>1</v>
      </c>
      <c r="Y193" s="1">
        <f ca="1">IF(X193&gt;V193,1,IF(X193&lt;V193,-1,0))</f>
        <v>0</v>
      </c>
    </row>
    <row r="194" spans="2:25" x14ac:dyDescent="0.2">
      <c r="B194" s="1">
        <v>2</v>
      </c>
      <c r="C194" s="9">
        <f ca="1">RANK(D194,D193:D212,1)</f>
        <v>8</v>
      </c>
      <c r="D194" s="134">
        <f t="shared" ref="D194:D212" ca="1" si="37">E194+ROW()/1000</f>
        <v>8.1940000000000008</v>
      </c>
      <c r="E194" s="134">
        <f ca="1">RANK(T194,T193:T212,1)</f>
        <v>8</v>
      </c>
      <c r="F194" s="187" t="str">
        <f>Calc2!$C$5</f>
        <v>1. FC Köln</v>
      </c>
      <c r="G194" s="1">
        <f ca="1">SUMIFS(OFFSET(Calc2!$H$4,,,$F$26*B191,1),OFFSET(Calc2!$F$4,,,$F$26*B191,1),F194)+SUMIFS(OFFSET(Calc2!$I$4,,,$F$26*B191,1),OFFSET(Calc2!$G$4,,,$F$26*B191,1),F194)</f>
        <v>12</v>
      </c>
      <c r="H194" s="1">
        <f ca="1">SUMIFS(OFFSET(Calc2!$I$4,,,$F$26*B191,1),OFFSET(Calc2!$F$4,,,$F$26*B191,1),F194)+SUMIFS(OFFSET(Calc2!$H$4,,,$F$26*B191,1),OFFSET(Calc2!$G$4,,,$F$26*B191,1),F194)</f>
        <v>11</v>
      </c>
      <c r="I194" s="134">
        <f t="shared" ca="1" si="35"/>
        <v>1</v>
      </c>
      <c r="J194" s="12">
        <f ca="1">L194*Settings!$C$3+M194+O194</f>
        <v>11</v>
      </c>
      <c r="K194" s="1">
        <f t="shared" ref="K194:K212" ca="1" si="38">L194+M194+N194</f>
        <v>8</v>
      </c>
      <c r="L194" s="1">
        <f t="array" aca="1" ref="L194" ca="1">SUMPRODUCT((OFFSET(Calc2!$F$4,,,$F$26*B191,1)=F194)*(OFFSET(Calc2!$H$4,,,$F$26*B191,1)&gt;OFFSET(Calc2!$I$4,,,$F$26*B191,1)))+SUMPRODUCT((OFFSET(Calc2!$G$4,,,$F$26*B191,1)=F194)*(OFFSET(Calc2!$H$4,,,$F$26*B191,1)&lt;OFFSET(Calc2!$I$4,,,$F$26*B191,1)))</f>
        <v>3</v>
      </c>
      <c r="M194" s="1">
        <f t="array" aca="1" ref="M194" ca="1">SUMPRODUCT((OFFSET(Calc2!$F$4,,,$F$26*B191,2)=F194)*(OFFSET(Calc2!$H$4,,,$F$26*B191,1)=OFFSET(Calc2!$I$4,,,$F$26*B191,1))*(OFFSET(Calc2!$H$4,,,$F$26*B191,1)&lt;&gt;"")*(OFFSET(Calc2!$I$4,,,$F$26*B191,1)&lt;&gt;""))</f>
        <v>2</v>
      </c>
      <c r="N194" s="1">
        <f t="array" aca="1" ref="N194" ca="1">SUMPRODUCT((OFFSET(Calc2!$F$4,,,$F$26*B191,1)=F194)*(OFFSET(Calc2!$H$4,,,$F$26*B191,1)&lt;OFFSET(Calc2!$I$4,,,$F$26*B191,1)))+SUMPRODUCT((OFFSET(Calc2!$G$4,,,$F$26*B191,1)=F194)*(OFFSET(Calc2!$H$4,,,$F$26*B191,1)&gt;OFFSET(Calc2!$I$4,,,$F$26*B191,1)))</f>
        <v>3</v>
      </c>
      <c r="O194" s="132">
        <f ca="1">SUMPRODUCT((F194=OFFSET(Calc2!$F$4,,,$F$26*B191,1))*OFFSET(Calc2!$O$4,,,$F$26*B191,1))+SUMPRODUCT((F194=OFFSET(Calc2!$G$4,,,$F$26*B191,1))*OFFSET(Calc2!$P$4,,,$F$26*B191,1))</f>
        <v>0</v>
      </c>
      <c r="P194" s="2"/>
      <c r="Q194" s="2"/>
      <c r="R194" s="13">
        <f t="shared" ca="1" si="36"/>
        <v>11500001012</v>
      </c>
      <c r="S194" s="134">
        <f>Tie_Break!$D$8</f>
        <v>0</v>
      </c>
      <c r="T194" s="9">
        <f ca="1">RANK(R194,R193:R212)+(9-S194)/10000+(F194="")*1000</f>
        <v>8.0008999999999997</v>
      </c>
      <c r="U194" s="134"/>
      <c r="V194" s="134">
        <f ca="1">IF($K$24=0,"",IF(VLOOKUP(B194,C193:E212,3,0)=MAX(V$4:V193),VLOOKUP(B194,C193:E212,3,0),B194))</f>
        <v>2</v>
      </c>
      <c r="W194" s="4" t="str">
        <f ca="1">IF($K$24=0,Calc2!$C$5,VLOOKUP(B194,C193:N212,4,0))</f>
        <v>RB Leipzig</v>
      </c>
      <c r="X194" s="1">
        <f ca="1">INDEX(V166:V185,MATCH(W194,W166:W185,0))</f>
        <v>2</v>
      </c>
      <c r="Y194" s="1">
        <f t="shared" ref="Y194:Y212" ca="1" si="39">IF(X194&gt;V194,1,IF(X194&lt;V194,-1,0))</f>
        <v>0</v>
      </c>
    </row>
    <row r="195" spans="2:25" x14ac:dyDescent="0.2">
      <c r="B195" s="1">
        <v>3</v>
      </c>
      <c r="C195" s="9">
        <f ca="1">RANK(D195,D193:D212,1)</f>
        <v>10</v>
      </c>
      <c r="D195" s="134">
        <f t="shared" ca="1" si="37"/>
        <v>10.195</v>
      </c>
      <c r="E195" s="134">
        <f ca="1">RANK(T195,T193:T212,1)</f>
        <v>10</v>
      </c>
      <c r="F195" s="187" t="str">
        <f>Calc2!$C$6</f>
        <v>1. FC Union Berlin</v>
      </c>
      <c r="G195" s="1">
        <f ca="1">SUMIFS(OFFSET(Calc2!$H$4,,,$F$26*B191,1),OFFSET(Calc2!$F$4,,,$F$26*B191,1),F195)+SUMIFS(OFFSET(Calc2!$I$4,,,$F$26*B191,1),OFFSET(Calc2!$G$4,,,$F$26*B191,1),F195)</f>
        <v>11</v>
      </c>
      <c r="H195" s="1">
        <f ca="1">SUMIFS(OFFSET(Calc2!$I$4,,,$F$26*B191,1),OFFSET(Calc2!$F$4,,,$F$26*B191,1),F195)+SUMIFS(OFFSET(Calc2!$H$4,,,$F$26*B191,1),OFFSET(Calc2!$G$4,,,$F$26*B191,1),F195)</f>
        <v>15</v>
      </c>
      <c r="I195" s="134">
        <f t="shared" ca="1" si="35"/>
        <v>-4</v>
      </c>
      <c r="J195" s="12">
        <f ca="1">L195*Settings!$C$3+M195+O195</f>
        <v>10</v>
      </c>
      <c r="K195" s="1">
        <f t="shared" ca="1" si="38"/>
        <v>8</v>
      </c>
      <c r="L195" s="1">
        <f t="array" aca="1" ref="L195" ca="1">SUMPRODUCT((OFFSET(Calc2!$F$4,,,$F$26*B191,1)=F195)*(OFFSET(Calc2!$H$4,,,$F$26*B191,1)&gt;OFFSET(Calc2!$I$4,,,$F$26*B191,1)))+SUMPRODUCT((OFFSET(Calc2!$G$4,,,$F$26*B191,1)=F195)*(OFFSET(Calc2!$H$4,,,$F$26*B191,1)&lt;OFFSET(Calc2!$I$4,,,$F$26*B191,1)))</f>
        <v>3</v>
      </c>
      <c r="M195" s="1">
        <f t="array" aca="1" ref="M195" ca="1">SUMPRODUCT((OFFSET(Calc2!$F$4,,,$F$26*B191,2)=F195)*(OFFSET(Calc2!$H$4,,,$F$26*B191,1)=OFFSET(Calc2!$I$4,,,$F$26*B191,1))*(OFFSET(Calc2!$H$4,,,$F$26*B191,1)&lt;&gt;"")*(OFFSET(Calc2!$I$4,,,$F$26*B191,1)&lt;&gt;""))</f>
        <v>1</v>
      </c>
      <c r="N195" s="1">
        <f t="array" aca="1" ref="N195" ca="1">SUMPRODUCT((OFFSET(Calc2!$F$4,,,$F$26*B191,1)=F195)*(OFFSET(Calc2!$H$4,,,$F$26*B191,1)&lt;OFFSET(Calc2!$I$4,,,$F$26*B191,1)))+SUMPRODUCT((OFFSET(Calc2!$G$4,,,$F$26*B191,1)=F195)*(OFFSET(Calc2!$H$4,,,$F$26*B191,1)&gt;OFFSET(Calc2!$I$4,,,$F$26*B191,1)))</f>
        <v>4</v>
      </c>
      <c r="O195" s="132">
        <f ca="1">SUMPRODUCT((F195=OFFSET(Calc2!$F$4,,,$F$26*B191,1))*OFFSET(Calc2!$O$4,,,$F$26*B191,1))+SUMPRODUCT((F195=OFFSET(Calc2!$G$4,,,$F$26*B191,1))*OFFSET(Calc2!$P$4,,,$F$26*B191,1))</f>
        <v>0</v>
      </c>
      <c r="P195" s="2"/>
      <c r="Q195" s="2"/>
      <c r="R195" s="13">
        <f t="shared" ca="1" si="36"/>
        <v>10499996011</v>
      </c>
      <c r="S195" s="134">
        <f>Tie_Break!$D$9</f>
        <v>0</v>
      </c>
      <c r="T195" s="9">
        <f ca="1">RANK(R195,R193:R212)+(9-S195)/10000+(F195="")*1000</f>
        <v>10.0009</v>
      </c>
      <c r="U195" s="134"/>
      <c r="V195" s="134">
        <f ca="1">IF($K$24=0,"",IF(VLOOKUP(B195,C193:E212,3,0)=MAX(V$4:V194),VLOOKUP(B195,C193:E212,3,0),B195))</f>
        <v>3</v>
      </c>
      <c r="W195" s="4" t="str">
        <f ca="1">IF($K$24=0,Calc2!$C$6,VLOOKUP(B195,C193:N212,4,0))</f>
        <v>VfB Stuttgart</v>
      </c>
      <c r="X195" s="1">
        <f ca="1">INDEX(V166:V185,MATCH(W195,W166:W185,0))</f>
        <v>3</v>
      </c>
      <c r="Y195" s="1">
        <f t="shared" ca="1" si="39"/>
        <v>0</v>
      </c>
    </row>
    <row r="196" spans="2:25" x14ac:dyDescent="0.2">
      <c r="B196" s="1">
        <v>4</v>
      </c>
      <c r="C196" s="9">
        <f ca="1">RANK(D196,D193:D212,1)</f>
        <v>16</v>
      </c>
      <c r="D196" s="134">
        <f t="shared" ca="1" si="37"/>
        <v>16.196000000000002</v>
      </c>
      <c r="E196" s="134">
        <f ca="1">RANK(T196,T193:T212,1)</f>
        <v>16</v>
      </c>
      <c r="F196" s="187" t="str">
        <f>Calc2!$C$7</f>
        <v>1. FSV Mainz 05</v>
      </c>
      <c r="G196" s="1">
        <f ca="1">SUMIFS(OFFSET(Calc2!$H$4,,,$F$26*B191,1),OFFSET(Calc2!$F$4,,,$F$26*B191,1),F196)+SUMIFS(OFFSET(Calc2!$I$4,,,$F$26*B191,1),OFFSET(Calc2!$G$4,,,$F$26*B191,1),F196)</f>
        <v>9</v>
      </c>
      <c r="H196" s="1">
        <f ca="1">SUMIFS(OFFSET(Calc2!$I$4,,,$F$26*B191,1),OFFSET(Calc2!$F$4,,,$F$26*B191,1),F196)+SUMIFS(OFFSET(Calc2!$H$4,,,$F$26*B191,1),OFFSET(Calc2!$G$4,,,$F$26*B191,1),F196)</f>
        <v>16</v>
      </c>
      <c r="I196" s="134">
        <f t="shared" ca="1" si="35"/>
        <v>-7</v>
      </c>
      <c r="J196" s="12">
        <f ca="1">L196*Settings!$C$3+M196+O196</f>
        <v>4</v>
      </c>
      <c r="K196" s="1">
        <f t="shared" ca="1" si="38"/>
        <v>8</v>
      </c>
      <c r="L196" s="1">
        <f t="array" aca="1" ref="L196" ca="1">SUMPRODUCT((OFFSET(Calc2!$F$4,,,$F$26*B191,1)=F196)*(OFFSET(Calc2!$H$4,,,$F$26*B191,1)&gt;OFFSET(Calc2!$I$4,,,$F$26*B191,1)))+SUMPRODUCT((OFFSET(Calc2!$G$4,,,$F$26*B191,1)=F196)*(OFFSET(Calc2!$H$4,,,$F$26*B191,1)&lt;OFFSET(Calc2!$I$4,,,$F$26*B191,1)))</f>
        <v>1</v>
      </c>
      <c r="M196" s="1">
        <f t="array" aca="1" ref="M196" ca="1">SUMPRODUCT((OFFSET(Calc2!$F$4,,,$F$26*B191,2)=F196)*(OFFSET(Calc2!$H$4,,,$F$26*B191,1)=OFFSET(Calc2!$I$4,,,$F$26*B191,1))*(OFFSET(Calc2!$H$4,,,$F$26*B191,1)&lt;&gt;"")*(OFFSET(Calc2!$I$4,,,$F$26*B191,1)&lt;&gt;""))</f>
        <v>1</v>
      </c>
      <c r="N196" s="1">
        <f t="array" aca="1" ref="N196" ca="1">SUMPRODUCT((OFFSET(Calc2!$F$4,,,$F$26*B191,1)=F196)*(OFFSET(Calc2!$H$4,,,$F$26*B191,1)&lt;OFFSET(Calc2!$I$4,,,$F$26*B191,1)))+SUMPRODUCT((OFFSET(Calc2!$G$4,,,$F$26*B191,1)=F196)*(OFFSET(Calc2!$H$4,,,$F$26*B191,1)&gt;OFFSET(Calc2!$I$4,,,$F$26*B191,1)))</f>
        <v>6</v>
      </c>
      <c r="O196" s="132">
        <f ca="1">SUMPRODUCT((F196=OFFSET(Calc2!$F$4,,,$F$26*B191,1))*OFFSET(Calc2!$O$4,,,$F$26*B191,1))+SUMPRODUCT((F196=OFFSET(Calc2!$G$4,,,$F$26*B191,1))*OFFSET(Calc2!$P$4,,,$F$26*B191,1))</f>
        <v>0</v>
      </c>
      <c r="P196" s="2"/>
      <c r="Q196" s="2"/>
      <c r="R196" s="13">
        <f t="shared" ca="1" si="36"/>
        <v>4499993009</v>
      </c>
      <c r="S196" s="134">
        <f>Tie_Break!$D$10</f>
        <v>0</v>
      </c>
      <c r="T196" s="9">
        <f ca="1">RANK(R196,R193:R212)+(9-S196)/10000+(F196="")*1000</f>
        <v>16.000900000000001</v>
      </c>
      <c r="U196" s="134"/>
      <c r="V196" s="134">
        <f ca="1">IF($K$24=0,"",IF(VLOOKUP(B196,C193:E212,3,0)=MAX(V$4:V195),VLOOKUP(B196,C193:E212,3,0),B196))</f>
        <v>4</v>
      </c>
      <c r="W196" s="4" t="str">
        <f ca="1">IF($K$24=0,Calc2!$C$7,VLOOKUP(B196,C193:N212,4,0))</f>
        <v>Borussia Dortmund</v>
      </c>
      <c r="X196" s="1">
        <f ca="1">INDEX(V166:V185,MATCH(W196,W166:W185,0))</f>
        <v>4</v>
      </c>
      <c r="Y196" s="1">
        <f t="shared" ca="1" si="39"/>
        <v>0</v>
      </c>
    </row>
    <row r="197" spans="2:25" x14ac:dyDescent="0.2">
      <c r="B197" s="1">
        <v>5</v>
      </c>
      <c r="C197" s="9">
        <f ca="1">RANK(D197,D193:D212,1)</f>
        <v>5</v>
      </c>
      <c r="D197" s="134">
        <f t="shared" ca="1" si="37"/>
        <v>5.1970000000000001</v>
      </c>
      <c r="E197" s="134">
        <f ca="1">RANK(T197,T193:T212,1)</f>
        <v>5</v>
      </c>
      <c r="F197" s="187" t="str">
        <f>Calc2!$C$8</f>
        <v>Bayer 04 Leverkusen</v>
      </c>
      <c r="G197" s="1">
        <f ca="1">SUMIFS(OFFSET(Calc2!$H$4,,,$F$26*B191,1),OFFSET(Calc2!$F$4,,,$F$26*B191,1),F197)+SUMIFS(OFFSET(Calc2!$I$4,,,$F$26*B191,1),OFFSET(Calc2!$G$4,,,$F$26*B191,1),F197)</f>
        <v>18</v>
      </c>
      <c r="H197" s="1">
        <f ca="1">SUMIFS(OFFSET(Calc2!$I$4,,,$F$26*B191,1),OFFSET(Calc2!$F$4,,,$F$26*B191,1),F197)+SUMIFS(OFFSET(Calc2!$H$4,,,$F$26*B191,1),OFFSET(Calc2!$G$4,,,$F$26*B191,1),F197)</f>
        <v>11</v>
      </c>
      <c r="I197" s="134">
        <f t="shared" ca="1" si="35"/>
        <v>7</v>
      </c>
      <c r="J197" s="12">
        <f ca="1">L197*Settings!$C$3+M197+O197</f>
        <v>17</v>
      </c>
      <c r="K197" s="1">
        <f t="shared" ca="1" si="38"/>
        <v>8</v>
      </c>
      <c r="L197" s="1">
        <f t="array" aca="1" ref="L197" ca="1">SUMPRODUCT((OFFSET(Calc2!$F$4,,,$F$26*B191,1)=F197)*(OFFSET(Calc2!$H$4,,,$F$26*B191,1)&gt;OFFSET(Calc2!$I$4,,,$F$26*B191,1)))+SUMPRODUCT((OFFSET(Calc2!$G$4,,,$F$26*B191,1)=F197)*(OFFSET(Calc2!$H$4,,,$F$26*B191,1)&lt;OFFSET(Calc2!$I$4,,,$F$26*B191,1)))</f>
        <v>5</v>
      </c>
      <c r="M197" s="1">
        <f t="array" aca="1" ref="M197" ca="1">SUMPRODUCT((OFFSET(Calc2!$F$4,,,$F$26*B191,2)=F197)*(OFFSET(Calc2!$H$4,,,$F$26*B191,1)=OFFSET(Calc2!$I$4,,,$F$26*B191,1))*(OFFSET(Calc2!$H$4,,,$F$26*B191,1)&lt;&gt;"")*(OFFSET(Calc2!$I$4,,,$F$26*B191,1)&lt;&gt;""))</f>
        <v>2</v>
      </c>
      <c r="N197" s="1">
        <f t="array" aca="1" ref="N197" ca="1">SUMPRODUCT((OFFSET(Calc2!$F$4,,,$F$26*B191,1)=F197)*(OFFSET(Calc2!$H$4,,,$F$26*B191,1)&lt;OFFSET(Calc2!$I$4,,,$F$26*B191,1)))+SUMPRODUCT((OFFSET(Calc2!$G$4,,,$F$26*B191,1)=F197)*(OFFSET(Calc2!$H$4,,,$F$26*B191,1)&gt;OFFSET(Calc2!$I$4,,,$F$26*B191,1)))</f>
        <v>1</v>
      </c>
      <c r="O197" s="132">
        <f ca="1">SUMPRODUCT((F197=OFFSET(Calc2!$F$4,,,$F$26*B191,1))*OFFSET(Calc2!$O$4,,,$F$26*B191,1))+SUMPRODUCT((F197=OFFSET(Calc2!$G$4,,,$F$26*B191,1))*OFFSET(Calc2!$P$4,,,$F$26*B191,1))</f>
        <v>0</v>
      </c>
      <c r="P197" s="2"/>
      <c r="Q197" s="2"/>
      <c r="R197" s="13">
        <f t="shared" ca="1" si="36"/>
        <v>17500007018</v>
      </c>
      <c r="S197" s="134">
        <f>Tie_Break!$D$11</f>
        <v>0</v>
      </c>
      <c r="T197" s="9">
        <f ca="1">RANK(R197,R193:R212)+(9-S197)/10000+(F197="")*1000</f>
        <v>5.0008999999999997</v>
      </c>
      <c r="U197" s="134"/>
      <c r="V197" s="134">
        <f ca="1">IF($K$24=0,"",IF(VLOOKUP(B197,C193:E212,3,0)=MAX(V$4:V196),VLOOKUP(B197,C193:E212,3,0),B197))</f>
        <v>5</v>
      </c>
      <c r="W197" s="4" t="str">
        <f ca="1">IF($K$24=0,Calc2!$C$8,VLOOKUP(B197,C193:N212,4,0))</f>
        <v>Bayer 04 Leverkusen</v>
      </c>
      <c r="X197" s="1">
        <f ca="1">INDEX(V166:V185,MATCH(W197,W166:W185,0))</f>
        <v>5</v>
      </c>
      <c r="Y197" s="1">
        <f t="shared" ca="1" si="39"/>
        <v>0</v>
      </c>
    </row>
    <row r="198" spans="2:25" x14ac:dyDescent="0.2">
      <c r="B198" s="1">
        <v>6</v>
      </c>
      <c r="C198" s="9">
        <f ca="1">RANK(D198,D193:D212,1)</f>
        <v>4</v>
      </c>
      <c r="D198" s="134">
        <f t="shared" ca="1" si="37"/>
        <v>4.1980000000000004</v>
      </c>
      <c r="E198" s="134">
        <f ca="1">RANK(T198,T193:T212,1)</f>
        <v>4</v>
      </c>
      <c r="F198" s="187" t="str">
        <f>Calc2!$C$9</f>
        <v>Borussia Dortmund</v>
      </c>
      <c r="G198" s="1">
        <f ca="1">SUMIFS(OFFSET(Calc2!$H$4,,,$F$26*B191,1),OFFSET(Calc2!$F$4,,,$F$26*B191,1),F198)+SUMIFS(OFFSET(Calc2!$I$4,,,$F$26*B191,1),OFFSET(Calc2!$G$4,,,$F$26*B191,1),F198)</f>
        <v>14</v>
      </c>
      <c r="H198" s="1">
        <f ca="1">SUMIFS(OFFSET(Calc2!$I$4,,,$F$26*B191,1),OFFSET(Calc2!$F$4,,,$F$26*B191,1),F198)+SUMIFS(OFFSET(Calc2!$H$4,,,$F$26*B191,1),OFFSET(Calc2!$G$4,,,$F$26*B191,1),F198)</f>
        <v>6</v>
      </c>
      <c r="I198" s="134">
        <f t="shared" ca="1" si="35"/>
        <v>8</v>
      </c>
      <c r="J198" s="12">
        <f ca="1">L198*Settings!$C$3+M198+O198</f>
        <v>17</v>
      </c>
      <c r="K198" s="1">
        <f t="shared" ca="1" si="38"/>
        <v>8</v>
      </c>
      <c r="L198" s="1">
        <f t="array" aca="1" ref="L198" ca="1">SUMPRODUCT((OFFSET(Calc2!$F$4,,,$F$26*B191,1)=F198)*(OFFSET(Calc2!$H$4,,,$F$26*B191,1)&gt;OFFSET(Calc2!$I$4,,,$F$26*B191,1)))+SUMPRODUCT((OFFSET(Calc2!$G$4,,,$F$26*B191,1)=F198)*(OFFSET(Calc2!$H$4,,,$F$26*B191,1)&lt;OFFSET(Calc2!$I$4,,,$F$26*B191,1)))</f>
        <v>5</v>
      </c>
      <c r="M198" s="1">
        <f t="array" aca="1" ref="M198" ca="1">SUMPRODUCT((OFFSET(Calc2!$F$4,,,$F$26*B191,2)=F198)*(OFFSET(Calc2!$H$4,,,$F$26*B191,1)=OFFSET(Calc2!$I$4,,,$F$26*B191,1))*(OFFSET(Calc2!$H$4,,,$F$26*B191,1)&lt;&gt;"")*(OFFSET(Calc2!$I$4,,,$F$26*B191,1)&lt;&gt;""))</f>
        <v>2</v>
      </c>
      <c r="N198" s="1">
        <f t="array" aca="1" ref="N198" ca="1">SUMPRODUCT((OFFSET(Calc2!$F$4,,,$F$26*B191,1)=F198)*(OFFSET(Calc2!$H$4,,,$F$26*B191,1)&lt;OFFSET(Calc2!$I$4,,,$F$26*B191,1)))+SUMPRODUCT((OFFSET(Calc2!$G$4,,,$F$26*B191,1)=F198)*(OFFSET(Calc2!$H$4,,,$F$26*B191,1)&gt;OFFSET(Calc2!$I$4,,,$F$26*B191,1)))</f>
        <v>1</v>
      </c>
      <c r="O198" s="132">
        <f ca="1">SUMPRODUCT((F198=OFFSET(Calc2!$F$4,,,$F$26*B191,1))*OFFSET(Calc2!$O$4,,,$F$26*B191,1))+SUMPRODUCT((F198=OFFSET(Calc2!$G$4,,,$F$26*B191,1))*OFFSET(Calc2!$P$4,,,$F$26*B191,1))</f>
        <v>0</v>
      </c>
      <c r="P198" s="2"/>
      <c r="Q198" s="2"/>
      <c r="R198" s="13">
        <f t="shared" ca="1" si="36"/>
        <v>17500008014</v>
      </c>
      <c r="S198" s="134">
        <f>Tie_Break!$D$12</f>
        <v>0</v>
      </c>
      <c r="T198" s="9">
        <f ca="1">RANK(R198,R193:R212)+(9-S198)/10000+(F198="")*1000</f>
        <v>4.0008999999999997</v>
      </c>
      <c r="U198" s="134"/>
      <c r="V198" s="134">
        <f ca="1">IF($K$24=0,"",IF(VLOOKUP(B198,C193:E212,3,0)=MAX(V$4:V197),VLOOKUP(B198,C193:E212,3,0),B198))</f>
        <v>6</v>
      </c>
      <c r="W198" s="4" t="str">
        <f ca="1">IF($K$24=0,Calc2!$C$9,VLOOKUP(B198,C193:N212,4,0))</f>
        <v>Eintracht Frankfurt</v>
      </c>
      <c r="X198" s="1">
        <f ca="1">INDEX(V166:V185,MATCH(W198,W166:W185,0))</f>
        <v>7</v>
      </c>
      <c r="Y198" s="1">
        <f t="shared" ca="1" si="39"/>
        <v>1</v>
      </c>
    </row>
    <row r="199" spans="2:25" x14ac:dyDescent="0.2">
      <c r="B199" s="1">
        <v>7</v>
      </c>
      <c r="C199" s="9">
        <f ca="1">RANK(D199,D193:D212,1)</f>
        <v>18</v>
      </c>
      <c r="D199" s="134">
        <f t="shared" ca="1" si="37"/>
        <v>18.199000000000002</v>
      </c>
      <c r="E199" s="134">
        <f ca="1">RANK(T199,T193:T212,1)</f>
        <v>18</v>
      </c>
      <c r="F199" s="187" t="str">
        <f>Calc2!$C$10</f>
        <v>Borussia Mönchengladbach</v>
      </c>
      <c r="G199" s="1">
        <f ca="1">SUMIFS(OFFSET(Calc2!$H$4,,,$F$26*B191,1),OFFSET(Calc2!$F$4,,,$F$26*B191,1),F199)+SUMIFS(OFFSET(Calc2!$I$4,,,$F$26*B191,1),OFFSET(Calc2!$G$4,,,$F$26*B191,1),F199)</f>
        <v>6</v>
      </c>
      <c r="H199" s="1">
        <f ca="1">SUMIFS(OFFSET(Calc2!$I$4,,,$F$26*B191,1),OFFSET(Calc2!$F$4,,,$F$26*B191,1),F199)+SUMIFS(OFFSET(Calc2!$H$4,,,$F$26*B191,1),OFFSET(Calc2!$G$4,,,$F$26*B191,1),F199)</f>
        <v>18</v>
      </c>
      <c r="I199" s="134">
        <f t="shared" ca="1" si="35"/>
        <v>-12</v>
      </c>
      <c r="J199" s="12">
        <f ca="1">L199*Settings!$C$3+M199+O199</f>
        <v>3</v>
      </c>
      <c r="K199" s="1">
        <f t="shared" ca="1" si="38"/>
        <v>8</v>
      </c>
      <c r="L199" s="1">
        <f t="array" aca="1" ref="L199" ca="1">SUMPRODUCT((OFFSET(Calc2!$F$4,,,$F$26*B191,1)=F199)*(OFFSET(Calc2!$H$4,,,$F$26*B191,1)&gt;OFFSET(Calc2!$I$4,,,$F$26*B191,1)))+SUMPRODUCT((OFFSET(Calc2!$G$4,,,$F$26*B191,1)=F199)*(OFFSET(Calc2!$H$4,,,$F$26*B191,1)&lt;OFFSET(Calc2!$I$4,,,$F$26*B191,1)))</f>
        <v>0</v>
      </c>
      <c r="M199" s="1">
        <f t="array" aca="1" ref="M199" ca="1">SUMPRODUCT((OFFSET(Calc2!$F$4,,,$F$26*B191,2)=F199)*(OFFSET(Calc2!$H$4,,,$F$26*B191,1)=OFFSET(Calc2!$I$4,,,$F$26*B191,1))*(OFFSET(Calc2!$H$4,,,$F$26*B191,1)&lt;&gt;"")*(OFFSET(Calc2!$I$4,,,$F$26*B191,1)&lt;&gt;""))</f>
        <v>3</v>
      </c>
      <c r="N199" s="1">
        <f t="array" aca="1" ref="N199" ca="1">SUMPRODUCT((OFFSET(Calc2!$F$4,,,$F$26*B191,1)=F199)*(OFFSET(Calc2!$H$4,,,$F$26*B191,1)&lt;OFFSET(Calc2!$I$4,,,$F$26*B191,1)))+SUMPRODUCT((OFFSET(Calc2!$G$4,,,$F$26*B191,1)=F199)*(OFFSET(Calc2!$H$4,,,$F$26*B191,1)&gt;OFFSET(Calc2!$I$4,,,$F$26*B191,1)))</f>
        <v>5</v>
      </c>
      <c r="O199" s="132">
        <f ca="1">SUMPRODUCT((F199=OFFSET(Calc2!$F$4,,,$F$26*B191,1))*OFFSET(Calc2!$O$4,,,$F$26*B191,1))+SUMPRODUCT((F199=OFFSET(Calc2!$G$4,,,$F$26*B191,1))*OFFSET(Calc2!$P$4,,,$F$26*B191,1))</f>
        <v>0</v>
      </c>
      <c r="P199" s="2"/>
      <c r="Q199" s="2"/>
      <c r="R199" s="13">
        <f t="shared" ca="1" si="36"/>
        <v>3499988006</v>
      </c>
      <c r="S199" s="134">
        <f>Tie_Break!$D$13</f>
        <v>0</v>
      </c>
      <c r="T199" s="9">
        <f ca="1">RANK(R199,R193:R212)+(9-S199)/10000+(F199="")*1000</f>
        <v>18.000900000000001</v>
      </c>
      <c r="U199" s="134"/>
      <c r="V199" s="134">
        <f ca="1">IF($K$24=0,"",IF(VLOOKUP(B199,C193:E212,3,0)=MAX(V$4:V198),VLOOKUP(B199,C193:E212,3,0),B199))</f>
        <v>7</v>
      </c>
      <c r="W199" s="4" t="str">
        <f ca="1">IF($K$24=0,Calc2!$C$10,VLOOKUP(B199,C193:N212,4,0))</f>
        <v>TSG Hoffenheim</v>
      </c>
      <c r="X199" s="1">
        <f ca="1">INDEX(V166:V185,MATCH(W199,W166:W185,0))</f>
        <v>8</v>
      </c>
      <c r="Y199" s="1">
        <f t="shared" ca="1" si="39"/>
        <v>1</v>
      </c>
    </row>
    <row r="200" spans="2:25" x14ac:dyDescent="0.2">
      <c r="B200" s="1">
        <v>8</v>
      </c>
      <c r="C200" s="9">
        <f ca="1">RANK(D200,D193:D212,1)</f>
        <v>6</v>
      </c>
      <c r="D200" s="134">
        <f t="shared" ca="1" si="37"/>
        <v>6.2</v>
      </c>
      <c r="E200" s="134">
        <f ca="1">RANK(T200,T193:T212,1)</f>
        <v>6</v>
      </c>
      <c r="F200" s="187" t="str">
        <f>Calc2!$C$11</f>
        <v>Eintracht Frankfurt</v>
      </c>
      <c r="G200" s="1">
        <f ca="1">SUMIFS(OFFSET(Calc2!$H$4,,,$F$26*B191,1),OFFSET(Calc2!$F$4,,,$F$26*B191,1),F200)+SUMIFS(OFFSET(Calc2!$I$4,,,$F$26*B191,1),OFFSET(Calc2!$G$4,,,$F$26*B191,1),F200)</f>
        <v>21</v>
      </c>
      <c r="H200" s="1">
        <f ca="1">SUMIFS(OFFSET(Calc2!$I$4,,,$F$26*B191,1),OFFSET(Calc2!$F$4,,,$F$26*B191,1),F200)+SUMIFS(OFFSET(Calc2!$H$4,,,$F$26*B191,1),OFFSET(Calc2!$G$4,,,$F$26*B191,1),F200)</f>
        <v>18</v>
      </c>
      <c r="I200" s="134">
        <f t="shared" ca="1" si="35"/>
        <v>3</v>
      </c>
      <c r="J200" s="12">
        <f ca="1">L200*Settings!$C$3+M200+O200</f>
        <v>13</v>
      </c>
      <c r="K200" s="1">
        <f t="shared" ca="1" si="38"/>
        <v>8</v>
      </c>
      <c r="L200" s="1">
        <f t="array" aca="1" ref="L200" ca="1">SUMPRODUCT((OFFSET(Calc2!$F$4,,,$F$26*B191,1)=F200)*(OFFSET(Calc2!$H$4,,,$F$26*B191,1)&gt;OFFSET(Calc2!$I$4,,,$F$26*B191,1)))+SUMPRODUCT((OFFSET(Calc2!$G$4,,,$F$26*B191,1)=F200)*(OFFSET(Calc2!$H$4,,,$F$26*B191,1)&lt;OFFSET(Calc2!$I$4,,,$F$26*B191,1)))</f>
        <v>4</v>
      </c>
      <c r="M200" s="1">
        <f t="array" aca="1" ref="M200" ca="1">SUMPRODUCT((OFFSET(Calc2!$F$4,,,$F$26*B191,2)=F200)*(OFFSET(Calc2!$H$4,,,$F$26*B191,1)=OFFSET(Calc2!$I$4,,,$F$26*B191,1))*(OFFSET(Calc2!$H$4,,,$F$26*B191,1)&lt;&gt;"")*(OFFSET(Calc2!$I$4,,,$F$26*B191,1)&lt;&gt;""))</f>
        <v>1</v>
      </c>
      <c r="N200" s="1">
        <f t="array" aca="1" ref="N200" ca="1">SUMPRODUCT((OFFSET(Calc2!$F$4,,,$F$26*B191,1)=F200)*(OFFSET(Calc2!$H$4,,,$F$26*B191,1)&lt;OFFSET(Calc2!$I$4,,,$F$26*B191,1)))+SUMPRODUCT((OFFSET(Calc2!$G$4,,,$F$26*B191,1)=F200)*(OFFSET(Calc2!$H$4,,,$F$26*B191,1)&gt;OFFSET(Calc2!$I$4,,,$F$26*B191,1)))</f>
        <v>3</v>
      </c>
      <c r="O200" s="132">
        <f ca="1">SUMPRODUCT((F200=OFFSET(Calc2!$F$4,,,$F$26*B191,1))*OFFSET(Calc2!$O$4,,,$F$26*B191,1))+SUMPRODUCT((F200=OFFSET(Calc2!$G$4,,,$F$26*B191,1))*OFFSET(Calc2!$P$4,,,$F$26*B191,1))</f>
        <v>0</v>
      </c>
      <c r="P200" s="2"/>
      <c r="Q200" s="2"/>
      <c r="R200" s="13">
        <f t="shared" ca="1" si="36"/>
        <v>13500003021</v>
      </c>
      <c r="S200" s="134">
        <f>Tie_Break!$D$14</f>
        <v>0</v>
      </c>
      <c r="T200" s="9">
        <f ca="1">RANK(R200,R193:R212)+(9-S200)/10000+(F200="")*1000</f>
        <v>6.0008999999999997</v>
      </c>
      <c r="U200" s="134"/>
      <c r="V200" s="134">
        <f ca="1">IF($K$24=0,"",IF(VLOOKUP(B200,C193:E212,3,0)=MAX(V$4:V199),VLOOKUP(B200,C193:E212,3,0),B200))</f>
        <v>8</v>
      </c>
      <c r="W200" s="4" t="str">
        <f ca="1">IF($K$24=0,Calc2!$C$11,VLOOKUP(B200,C193:N212,4,0))</f>
        <v>1. FC Köln</v>
      </c>
      <c r="X200" s="1">
        <f ca="1">INDEX(V166:V185,MATCH(W200,W166:W185,0))</f>
        <v>6</v>
      </c>
      <c r="Y200" s="1">
        <f t="shared" ca="1" si="39"/>
        <v>-1</v>
      </c>
    </row>
    <row r="201" spans="2:25" x14ac:dyDescent="0.2">
      <c r="B201" s="1">
        <v>9</v>
      </c>
      <c r="C201" s="9">
        <f ca="1">RANK(D201,D193:D212,1)</f>
        <v>15</v>
      </c>
      <c r="D201" s="134">
        <f t="shared" ca="1" si="37"/>
        <v>15.201000000000001</v>
      </c>
      <c r="E201" s="134">
        <f ca="1">RANK(T201,T193:T212,1)</f>
        <v>15</v>
      </c>
      <c r="F201" s="187" t="str">
        <f>Calc2!$C$12</f>
        <v>FC Augsburg</v>
      </c>
      <c r="G201" s="1">
        <f ca="1">SUMIFS(OFFSET(Calc2!$H$4,,,$F$26*B191,1),OFFSET(Calc2!$F$4,,,$F$26*B191,1),F201)+SUMIFS(OFFSET(Calc2!$I$4,,,$F$26*B191,1),OFFSET(Calc2!$G$4,,,$F$26*B191,1),F201)</f>
        <v>12</v>
      </c>
      <c r="H201" s="1">
        <f ca="1">SUMIFS(OFFSET(Calc2!$I$4,,,$F$26*B191,1),OFFSET(Calc2!$F$4,,,$F$26*B191,1),F201)+SUMIFS(OFFSET(Calc2!$H$4,,,$F$26*B191,1),OFFSET(Calc2!$G$4,,,$F$26*B191,1),F201)</f>
        <v>20</v>
      </c>
      <c r="I201" s="134">
        <f t="shared" ca="1" si="35"/>
        <v>-8</v>
      </c>
      <c r="J201" s="12">
        <f ca="1">L201*Settings!$C$3+M201+O201</f>
        <v>7</v>
      </c>
      <c r="K201" s="1">
        <f t="shared" ca="1" si="38"/>
        <v>8</v>
      </c>
      <c r="L201" s="1">
        <f t="array" aca="1" ref="L201" ca="1">SUMPRODUCT((OFFSET(Calc2!$F$4,,,$F$26*B191,1)=F201)*(OFFSET(Calc2!$H$4,,,$F$26*B191,1)&gt;OFFSET(Calc2!$I$4,,,$F$26*B191,1)))+SUMPRODUCT((OFFSET(Calc2!$G$4,,,$F$26*B191,1)=F201)*(OFFSET(Calc2!$H$4,,,$F$26*B191,1)&lt;OFFSET(Calc2!$I$4,,,$F$26*B191,1)))</f>
        <v>2</v>
      </c>
      <c r="M201" s="1">
        <f t="array" aca="1" ref="M201" ca="1">SUMPRODUCT((OFFSET(Calc2!$F$4,,,$F$26*B191,2)=F201)*(OFFSET(Calc2!$H$4,,,$F$26*B191,1)=OFFSET(Calc2!$I$4,,,$F$26*B191,1))*(OFFSET(Calc2!$H$4,,,$F$26*B191,1)&lt;&gt;"")*(OFFSET(Calc2!$I$4,,,$F$26*B191,1)&lt;&gt;""))</f>
        <v>1</v>
      </c>
      <c r="N201" s="1">
        <f t="array" aca="1" ref="N201" ca="1">SUMPRODUCT((OFFSET(Calc2!$F$4,,,$F$26*B191,1)=F201)*(OFFSET(Calc2!$H$4,,,$F$26*B191,1)&lt;OFFSET(Calc2!$I$4,,,$F$26*B191,1)))+SUMPRODUCT((OFFSET(Calc2!$G$4,,,$F$26*B191,1)=F201)*(OFFSET(Calc2!$H$4,,,$F$26*B191,1)&gt;OFFSET(Calc2!$I$4,,,$F$26*B191,1)))</f>
        <v>5</v>
      </c>
      <c r="O201" s="132">
        <f ca="1">SUMPRODUCT((F201=OFFSET(Calc2!$F$4,,,$F$26*B191,1))*OFFSET(Calc2!$O$4,,,$F$26*B191,1))+SUMPRODUCT((F201=OFFSET(Calc2!$G$4,,,$F$26*B191,1))*OFFSET(Calc2!$P$4,,,$F$26*B191,1))</f>
        <v>0</v>
      </c>
      <c r="P201" s="2"/>
      <c r="Q201" s="2"/>
      <c r="R201" s="13">
        <f t="shared" ca="1" si="36"/>
        <v>7499992012</v>
      </c>
      <c r="S201" s="134">
        <f>Tie_Break!$D$15</f>
        <v>0</v>
      </c>
      <c r="T201" s="9">
        <f ca="1">RANK(R201,R193:R212)+(9-S201)/10000+(F201="")*1000</f>
        <v>15.0009</v>
      </c>
      <c r="U201" s="134"/>
      <c r="V201" s="134">
        <f ca="1">IF($K$24=0,"",IF(VLOOKUP(B201,C193:E212,3,0)=MAX(V$4:V200),VLOOKUP(B201,C193:E212,3,0),B201))</f>
        <v>9</v>
      </c>
      <c r="W201" s="4" t="str">
        <f ca="1">IF($K$24=0,Calc2!$C$12,VLOOKUP(B201,C193:N212,4,0))</f>
        <v>SV Werder Bremen</v>
      </c>
      <c r="X201" s="1">
        <f ca="1">INDEX(V166:V185,MATCH(W201,W166:W185,0))</f>
        <v>12</v>
      </c>
      <c r="Y201" s="1">
        <f t="shared" ca="1" si="39"/>
        <v>1</v>
      </c>
    </row>
    <row r="202" spans="2:25" x14ac:dyDescent="0.2">
      <c r="B202" s="1">
        <v>10</v>
      </c>
      <c r="C202" s="9">
        <f ca="1">RANK(D202,D193:D212,1)</f>
        <v>1</v>
      </c>
      <c r="D202" s="134">
        <f t="shared" ca="1" si="37"/>
        <v>1.202</v>
      </c>
      <c r="E202" s="134">
        <f ca="1">RANK(T202,T193:T212,1)</f>
        <v>1</v>
      </c>
      <c r="F202" s="187" t="str">
        <f>Calc2!$C$13</f>
        <v>FC Bayern München</v>
      </c>
      <c r="G202" s="1">
        <f ca="1">SUMIFS(OFFSET(Calc2!$H$4,,,$F$26*B191,1),OFFSET(Calc2!$F$4,,,$F$26*B191,1),F202)+SUMIFS(OFFSET(Calc2!$I$4,,,$F$26*B191,1),OFFSET(Calc2!$G$4,,,$F$26*B191,1),F202)</f>
        <v>30</v>
      </c>
      <c r="H202" s="1">
        <f ca="1">SUMIFS(OFFSET(Calc2!$I$4,,,$F$26*B191,1),OFFSET(Calc2!$F$4,,,$F$26*B191,1),F202)+SUMIFS(OFFSET(Calc2!$H$4,,,$F$26*B191,1),OFFSET(Calc2!$G$4,,,$F$26*B191,1),F202)</f>
        <v>4</v>
      </c>
      <c r="I202" s="134">
        <f t="shared" ca="1" si="35"/>
        <v>26</v>
      </c>
      <c r="J202" s="12">
        <f ca="1">L202*Settings!$C$3+M202+O202</f>
        <v>24</v>
      </c>
      <c r="K202" s="1">
        <f t="shared" ca="1" si="38"/>
        <v>8</v>
      </c>
      <c r="L202" s="1">
        <f t="array" aca="1" ref="L202" ca="1">SUMPRODUCT((OFFSET(Calc2!$F$4,,,$F$26*B191,1)=F202)*(OFFSET(Calc2!$H$4,,,$F$26*B191,1)&gt;OFFSET(Calc2!$I$4,,,$F$26*B191,1)))+SUMPRODUCT((OFFSET(Calc2!$G$4,,,$F$26*B191,1)=F202)*(OFFSET(Calc2!$H$4,,,$F$26*B191,1)&lt;OFFSET(Calc2!$I$4,,,$F$26*B191,1)))</f>
        <v>8</v>
      </c>
      <c r="M202" s="1">
        <f t="array" aca="1" ref="M202" ca="1">SUMPRODUCT((OFFSET(Calc2!$F$4,,,$F$26*B191,2)=F202)*(OFFSET(Calc2!$H$4,,,$F$26*B191,1)=OFFSET(Calc2!$I$4,,,$F$26*B191,1))*(OFFSET(Calc2!$H$4,,,$F$26*B191,1)&lt;&gt;"")*(OFFSET(Calc2!$I$4,,,$F$26*B191,1)&lt;&gt;""))</f>
        <v>0</v>
      </c>
      <c r="N202" s="1">
        <f t="array" aca="1" ref="N202" ca="1">SUMPRODUCT((OFFSET(Calc2!$F$4,,,$F$26*B191,1)=F202)*(OFFSET(Calc2!$H$4,,,$F$26*B191,1)&lt;OFFSET(Calc2!$I$4,,,$F$26*B191,1)))+SUMPRODUCT((OFFSET(Calc2!$G$4,,,$F$26*B191,1)=F202)*(OFFSET(Calc2!$H$4,,,$F$26*B191,1)&gt;OFFSET(Calc2!$I$4,,,$F$26*B191,1)))</f>
        <v>0</v>
      </c>
      <c r="O202" s="132">
        <f ca="1">SUMPRODUCT((F202=OFFSET(Calc2!$F$4,,,$F$26*B191,1))*OFFSET(Calc2!$O$4,,,$F$26*B191,1))+SUMPRODUCT((F202=OFFSET(Calc2!$G$4,,,$F$26*B191,1))*OFFSET(Calc2!$P$4,,,$F$26*B191,1))</f>
        <v>0</v>
      </c>
      <c r="P202" s="2"/>
      <c r="Q202" s="2"/>
      <c r="R202" s="13">
        <f t="shared" ca="1" si="36"/>
        <v>24500026030</v>
      </c>
      <c r="S202" s="134">
        <f>Tie_Break!$D$16</f>
        <v>0</v>
      </c>
      <c r="T202" s="9">
        <f ca="1">RANK(R202,R193:R212)+(9-S202)/10000+(F202="")*1000</f>
        <v>1.0008999999999999</v>
      </c>
      <c r="U202" s="2"/>
      <c r="V202" s="134">
        <f ca="1">IF($K$24=0,"",IF(VLOOKUP(B202,C193:E212,3,0)=MAX(V$4:V201),VLOOKUP(B202,C193:E212,3,0),B202))</f>
        <v>10</v>
      </c>
      <c r="W202" s="4" t="str">
        <f ca="1">IF($K$24=0,Calc2!$C$13,VLOOKUP(B202,C193:N212,4,0))</f>
        <v>1. FC Union Berlin</v>
      </c>
      <c r="X202" s="1">
        <f ca="1">INDEX(V166:V185,MATCH(W202,W166:W185,0))</f>
        <v>9</v>
      </c>
      <c r="Y202" s="1">
        <f t="shared" ca="1" si="39"/>
        <v>-1</v>
      </c>
    </row>
    <row r="203" spans="2:25" x14ac:dyDescent="0.2">
      <c r="B203" s="1">
        <v>11</v>
      </c>
      <c r="C203" s="9">
        <f ca="1">RANK(D203,D193:D212,1)</f>
        <v>14</v>
      </c>
      <c r="D203" s="134">
        <f t="shared" ca="1" si="37"/>
        <v>14.202999999999999</v>
      </c>
      <c r="E203" s="134">
        <f ca="1">RANK(T203,T193:T212,1)</f>
        <v>14</v>
      </c>
      <c r="F203" s="187" t="str">
        <f>Calc2!$C$14</f>
        <v>FC St. Pauli</v>
      </c>
      <c r="G203" s="1">
        <f ca="1">SUMIFS(OFFSET(Calc2!$H$4,,,$F$26*B191,1),OFFSET(Calc2!$F$4,,,$F$26*B191,1),F203)+SUMIFS(OFFSET(Calc2!$I$4,,,$F$26*B191,1),OFFSET(Calc2!$G$4,,,$F$26*B191,1),F203)</f>
        <v>8</v>
      </c>
      <c r="H203" s="1">
        <f ca="1">SUMIFS(OFFSET(Calc2!$I$4,,,$F$26*B191,1),OFFSET(Calc2!$F$4,,,$F$26*B191,1),F203)+SUMIFS(OFFSET(Calc2!$H$4,,,$F$26*B191,1),OFFSET(Calc2!$G$4,,,$F$26*B191,1),F203)</f>
        <v>14</v>
      </c>
      <c r="I203" s="134">
        <f t="shared" ca="1" si="35"/>
        <v>-6</v>
      </c>
      <c r="J203" s="12">
        <f ca="1">L203*Settings!$C$3+M203+O203</f>
        <v>7</v>
      </c>
      <c r="K203" s="1">
        <f t="shared" ca="1" si="38"/>
        <v>8</v>
      </c>
      <c r="L203" s="1">
        <f t="array" aca="1" ref="L203" ca="1">SUMPRODUCT((OFFSET(Calc2!$F$4,,,$F$26*B191,1)=F203)*(OFFSET(Calc2!$H$4,,,$F$26*B191,1)&gt;OFFSET(Calc2!$I$4,,,$F$26*B191,1)))+SUMPRODUCT((OFFSET(Calc2!$G$4,,,$F$26*B191,1)=F203)*(OFFSET(Calc2!$H$4,,,$F$26*B191,1)&lt;OFFSET(Calc2!$I$4,,,$F$26*B191,1)))</f>
        <v>2</v>
      </c>
      <c r="M203" s="1">
        <f t="array" aca="1" ref="M203" ca="1">SUMPRODUCT((OFFSET(Calc2!$F$4,,,$F$26*B191,2)=F203)*(OFFSET(Calc2!$H$4,,,$F$26*B191,1)=OFFSET(Calc2!$I$4,,,$F$26*B191,1))*(OFFSET(Calc2!$H$4,,,$F$26*B191,1)&lt;&gt;"")*(OFFSET(Calc2!$I$4,,,$F$26*B191,1)&lt;&gt;""))</f>
        <v>1</v>
      </c>
      <c r="N203" s="1">
        <f t="array" aca="1" ref="N203" ca="1">SUMPRODUCT((OFFSET(Calc2!$F$4,,,$F$26*B191,1)=F203)*(OFFSET(Calc2!$H$4,,,$F$26*B191,1)&lt;OFFSET(Calc2!$I$4,,,$F$26*B191,1)))+SUMPRODUCT((OFFSET(Calc2!$G$4,,,$F$26*B191,1)=F203)*(OFFSET(Calc2!$H$4,,,$F$26*B191,1)&gt;OFFSET(Calc2!$I$4,,,$F$26*B191,1)))</f>
        <v>5</v>
      </c>
      <c r="O203" s="132">
        <f ca="1">SUMPRODUCT((F203=OFFSET(Calc2!$F$4,,,$F$26*B191,1))*OFFSET(Calc2!$O$4,,,$F$26*B191,1))+SUMPRODUCT((F203=OFFSET(Calc2!$G$4,,,$F$26*B191,1))*OFFSET(Calc2!$P$4,,,$F$26*B191,1))</f>
        <v>0</v>
      </c>
      <c r="P203" s="2"/>
      <c r="Q203" s="2"/>
      <c r="R203" s="13">
        <f t="shared" ca="1" si="36"/>
        <v>7499994008</v>
      </c>
      <c r="S203" s="134">
        <f>Tie_Break!$D$17</f>
        <v>0</v>
      </c>
      <c r="T203" s="9">
        <f ca="1">RANK(R203,R193:R212)+(9-S203)/10000+(F203="")*1000</f>
        <v>14.0009</v>
      </c>
      <c r="U203" s="2"/>
      <c r="V203" s="134">
        <f ca="1">IF($K$24=0,"",IF(VLOOKUP(B203,C193:E212,3,0)=MAX(V$4:V202),VLOOKUP(B203,C193:E212,3,0),B203))</f>
        <v>11</v>
      </c>
      <c r="W203" s="4" t="str">
        <f ca="1">IF($K$24=0,Calc2!$C$14,VLOOKUP(B203,C193:N212,4,0))</f>
        <v>SC Freiburg</v>
      </c>
      <c r="X203" s="1">
        <f ca="1">INDEX(V166:V185,MATCH(W203,W166:W185,0))</f>
        <v>10</v>
      </c>
      <c r="Y203" s="1">
        <f t="shared" ca="1" si="39"/>
        <v>-1</v>
      </c>
    </row>
    <row r="204" spans="2:25" x14ac:dyDescent="0.2">
      <c r="B204" s="1">
        <v>12</v>
      </c>
      <c r="C204" s="9">
        <f ca="1">RANK(D204,D193:D212,1)</f>
        <v>13</v>
      </c>
      <c r="D204" s="134">
        <f t="shared" ca="1" si="37"/>
        <v>13.204000000000001</v>
      </c>
      <c r="E204" s="134">
        <f ca="1">RANK(T204,T193:T212,1)</f>
        <v>13</v>
      </c>
      <c r="F204" s="187" t="str">
        <f>Calc2!$C$15</f>
        <v>Hamburger SV</v>
      </c>
      <c r="G204" s="1">
        <f ca="1">SUMIFS(OFFSET(Calc2!$H$4,,,$F$26*B191,1),OFFSET(Calc2!$F$4,,,$F$26*B191,1),F204)+SUMIFS(OFFSET(Calc2!$I$4,,,$F$26*B191,1),OFFSET(Calc2!$G$4,,,$F$26*B191,1),F204)</f>
        <v>7</v>
      </c>
      <c r="H204" s="1">
        <f ca="1">SUMIFS(OFFSET(Calc2!$I$4,,,$F$26*B191,1),OFFSET(Calc2!$F$4,,,$F$26*B191,1),F204)+SUMIFS(OFFSET(Calc2!$H$4,,,$F$26*B191,1),OFFSET(Calc2!$G$4,,,$F$26*B191,1),F204)</f>
        <v>11</v>
      </c>
      <c r="I204" s="134">
        <f t="shared" ca="1" si="35"/>
        <v>-4</v>
      </c>
      <c r="J204" s="12">
        <f ca="1">L204*Settings!$C$3+M204+O204</f>
        <v>8</v>
      </c>
      <c r="K204" s="1">
        <f t="shared" ca="1" si="38"/>
        <v>8</v>
      </c>
      <c r="L204" s="1">
        <f t="array" aca="1" ref="L204" ca="1">SUMPRODUCT((OFFSET(Calc2!$F$4,,,$F$26*B191,1)=F204)*(OFFSET(Calc2!$H$4,,,$F$26*B191,1)&gt;OFFSET(Calc2!$I$4,,,$F$26*B191,1)))+SUMPRODUCT((OFFSET(Calc2!$G$4,,,$F$26*B191,1)=F204)*(OFFSET(Calc2!$H$4,,,$F$26*B191,1)&lt;OFFSET(Calc2!$I$4,,,$F$26*B191,1)))</f>
        <v>2</v>
      </c>
      <c r="M204" s="1">
        <f t="array" aca="1" ref="M204" ca="1">SUMPRODUCT((OFFSET(Calc2!$F$4,,,$F$26*B191,2)=F204)*(OFFSET(Calc2!$H$4,,,$F$26*B191,1)=OFFSET(Calc2!$I$4,,,$F$26*B191,1))*(OFFSET(Calc2!$H$4,,,$F$26*B191,1)&lt;&gt;"")*(OFFSET(Calc2!$I$4,,,$F$26*B191,1)&lt;&gt;""))</f>
        <v>2</v>
      </c>
      <c r="N204" s="1">
        <f t="array" aca="1" ref="N204" ca="1">SUMPRODUCT((OFFSET(Calc2!$F$4,,,$F$26*B191,1)=F204)*(OFFSET(Calc2!$H$4,,,$F$26*B191,1)&lt;OFFSET(Calc2!$I$4,,,$F$26*B191,1)))+SUMPRODUCT((OFFSET(Calc2!$G$4,,,$F$26*B191,1)=F204)*(OFFSET(Calc2!$H$4,,,$F$26*B191,1)&gt;OFFSET(Calc2!$I$4,,,$F$26*B191,1)))</f>
        <v>4</v>
      </c>
      <c r="O204" s="132">
        <f ca="1">SUMPRODUCT((F204=OFFSET(Calc2!$F$4,,,$F$26*B191,1))*OFFSET(Calc2!$O$4,,,$F$26*B191,1))+SUMPRODUCT((F204=OFFSET(Calc2!$G$4,,,$F$26*B191,1))*OFFSET(Calc2!$P$4,,,$F$26*B191,1))</f>
        <v>0</v>
      </c>
      <c r="P204" s="2"/>
      <c r="Q204" s="2"/>
      <c r="R204" s="13">
        <f t="shared" ca="1" si="36"/>
        <v>8499996007</v>
      </c>
      <c r="S204" s="134">
        <f>Tie_Break!$D$18</f>
        <v>0</v>
      </c>
      <c r="T204" s="9">
        <f ca="1">RANK(R204,R193:R212)+(9-S204)/10000+(F204="")*1000</f>
        <v>13.0009</v>
      </c>
      <c r="U204" s="2"/>
      <c r="V204" s="134">
        <f ca="1">IF($K$24=0,"",IF(VLOOKUP(B204,C193:E212,3,0)=MAX(V$4:V203),VLOOKUP(B204,C193:E212,3,0),B204))</f>
        <v>12</v>
      </c>
      <c r="W204" s="4" t="str">
        <f ca="1">IF($K$24=0,Calc2!$C$15,VLOOKUP(B204,C193:N212,4,0))</f>
        <v>VfL Wolfsburg</v>
      </c>
      <c r="X204" s="1">
        <f ca="1">INDEX(V166:V185,MATCH(W204,W166:W185,0))</f>
        <v>15</v>
      </c>
      <c r="Y204" s="1">
        <f t="shared" ca="1" si="39"/>
        <v>1</v>
      </c>
    </row>
    <row r="205" spans="2:25" x14ac:dyDescent="0.2">
      <c r="B205" s="1">
        <v>13</v>
      </c>
      <c r="C205" s="9">
        <f ca="1">RANK(D205,D193:D212,1)</f>
        <v>2</v>
      </c>
      <c r="D205" s="134">
        <f t="shared" ca="1" si="37"/>
        <v>2.2050000000000001</v>
      </c>
      <c r="E205" s="134">
        <f ca="1">RANK(T205,T193:T212,1)</f>
        <v>2</v>
      </c>
      <c r="F205" s="187" t="str">
        <f>Calc2!$C$16</f>
        <v>RB Leipzig</v>
      </c>
      <c r="G205" s="1">
        <f ca="1">SUMIFS(OFFSET(Calc2!$H$4,,,$F$26*B191,1),OFFSET(Calc2!$F$4,,,$F$26*B191,1),F205)+SUMIFS(OFFSET(Calc2!$I$4,,,$F$26*B191,1),OFFSET(Calc2!$G$4,,,$F$26*B191,1),F205)</f>
        <v>16</v>
      </c>
      <c r="H205" s="1">
        <f ca="1">SUMIFS(OFFSET(Calc2!$I$4,,,$F$26*B191,1),OFFSET(Calc2!$F$4,,,$F$26*B191,1),F205)+SUMIFS(OFFSET(Calc2!$H$4,,,$F$26*B191,1),OFFSET(Calc2!$G$4,,,$F$26*B191,1),F205)</f>
        <v>9</v>
      </c>
      <c r="I205" s="134">
        <f t="shared" ca="1" si="35"/>
        <v>7</v>
      </c>
      <c r="J205" s="12">
        <f ca="1">L205*Settings!$C$3+M205+O205</f>
        <v>19</v>
      </c>
      <c r="K205" s="1">
        <f t="shared" ca="1" si="38"/>
        <v>8</v>
      </c>
      <c r="L205" s="1">
        <f t="array" aca="1" ref="L205" ca="1">SUMPRODUCT((OFFSET(Calc2!$F$4,,,$F$26*B191,1)=F205)*(OFFSET(Calc2!$H$4,,,$F$26*B191,1)&gt;OFFSET(Calc2!$I$4,,,$F$26*B191,1)))+SUMPRODUCT((OFFSET(Calc2!$G$4,,,$F$26*B191,1)=F205)*(OFFSET(Calc2!$H$4,,,$F$26*B191,1)&lt;OFFSET(Calc2!$I$4,,,$F$26*B191,1)))</f>
        <v>6</v>
      </c>
      <c r="M205" s="1">
        <f t="array" aca="1" ref="M205" ca="1">SUMPRODUCT((OFFSET(Calc2!$F$4,,,$F$26*B191,2)=F205)*(OFFSET(Calc2!$H$4,,,$F$26*B191,1)=OFFSET(Calc2!$I$4,,,$F$26*B191,1))*(OFFSET(Calc2!$H$4,,,$F$26*B191,1)&lt;&gt;"")*(OFFSET(Calc2!$I$4,,,$F$26*B191,1)&lt;&gt;""))</f>
        <v>1</v>
      </c>
      <c r="N205" s="1">
        <f t="array" aca="1" ref="N205" ca="1">SUMPRODUCT((OFFSET(Calc2!$F$4,,,$F$26*B191,1)=F205)*(OFFSET(Calc2!$H$4,,,$F$26*B191,1)&lt;OFFSET(Calc2!$I$4,,,$F$26*B191,1)))+SUMPRODUCT((OFFSET(Calc2!$G$4,,,$F$26*B191,1)=F205)*(OFFSET(Calc2!$H$4,,,$F$26*B191,1)&gt;OFFSET(Calc2!$I$4,,,$F$26*B191,1)))</f>
        <v>1</v>
      </c>
      <c r="O205" s="132">
        <f ca="1">SUMPRODUCT((F205=OFFSET(Calc2!$F$4,,,$F$26*B191,1))*OFFSET(Calc2!$O$4,,,$F$26*B191,1))+SUMPRODUCT((F205=OFFSET(Calc2!$G$4,,,$F$26*B191,1))*OFFSET(Calc2!$P$4,,,$F$26*B191,1))</f>
        <v>0</v>
      </c>
      <c r="P205" s="2"/>
      <c r="Q205" s="2"/>
      <c r="R205" s="13">
        <f t="shared" ca="1" si="36"/>
        <v>19500007016</v>
      </c>
      <c r="S205" s="134">
        <f>Tie_Break!$D$19</f>
        <v>0</v>
      </c>
      <c r="T205" s="9">
        <f ca="1">RANK(R205,R193:R212)+(9-S205)/10000+(F205="")*1000</f>
        <v>2.0009000000000001</v>
      </c>
      <c r="U205" s="1"/>
      <c r="V205" s="134">
        <f ca="1">IF($K$24=0,"",IF(VLOOKUP(B205,C193:E212,3,0)=MAX(V$4:V204),VLOOKUP(B205,C193:E212,3,0),B205))</f>
        <v>13</v>
      </c>
      <c r="W205" s="4" t="str">
        <f ca="1">IF($K$24=0,Calc2!$C$16,VLOOKUP(B205,C193:N212,4,0))</f>
        <v>Hamburger SV</v>
      </c>
      <c r="X205" s="1">
        <f ca="1">INDEX(V166:V185,MATCH(W205,W166:W185,0))</f>
        <v>11</v>
      </c>
      <c r="Y205" s="1">
        <f t="shared" ca="1" si="39"/>
        <v>-1</v>
      </c>
    </row>
    <row r="206" spans="2:25" x14ac:dyDescent="0.2">
      <c r="B206" s="1">
        <v>14</v>
      </c>
      <c r="C206" s="9">
        <f ca="1">RANK(D206,D193:D212,1)</f>
        <v>11</v>
      </c>
      <c r="D206" s="134">
        <f t="shared" ca="1" si="37"/>
        <v>11.206</v>
      </c>
      <c r="E206" s="134">
        <f ca="1">RANK(T206,T193:T212,1)</f>
        <v>11</v>
      </c>
      <c r="F206" s="187" t="str">
        <f>Calc2!$C$17</f>
        <v>SC Freiburg</v>
      </c>
      <c r="G206" s="1">
        <f ca="1">SUMIFS(OFFSET(Calc2!$H$4,,,$F$26*B191,1),OFFSET(Calc2!$F$4,,,$F$26*B191,1),F206)+SUMIFS(OFFSET(Calc2!$I$4,,,$F$26*B191,1),OFFSET(Calc2!$G$4,,,$F$26*B191,1),F206)</f>
        <v>11</v>
      </c>
      <c r="H206" s="1">
        <f ca="1">SUMIFS(OFFSET(Calc2!$I$4,,,$F$26*B191,1),OFFSET(Calc2!$F$4,,,$F$26*B191,1),F206)+SUMIFS(OFFSET(Calc2!$H$4,,,$F$26*B191,1),OFFSET(Calc2!$G$4,,,$F$26*B191,1),F206)</f>
        <v>13</v>
      </c>
      <c r="I206" s="134">
        <f t="shared" ca="1" si="35"/>
        <v>-2</v>
      </c>
      <c r="J206" s="12">
        <f ca="1">L206*Settings!$C$3+M206+O206</f>
        <v>9</v>
      </c>
      <c r="K206" s="1">
        <f t="shared" ca="1" si="38"/>
        <v>8</v>
      </c>
      <c r="L206" s="1">
        <f t="array" aca="1" ref="L206" ca="1">SUMPRODUCT((OFFSET(Calc2!$F$4,,,$F$26*B191,1)=F206)*(OFFSET(Calc2!$H$4,,,$F$26*B191,1)&gt;OFFSET(Calc2!$I$4,,,$F$26*B191,1)))+SUMPRODUCT((OFFSET(Calc2!$G$4,,,$F$26*B191,1)=F206)*(OFFSET(Calc2!$H$4,,,$F$26*B191,1)&lt;OFFSET(Calc2!$I$4,,,$F$26*B191,1)))</f>
        <v>2</v>
      </c>
      <c r="M206" s="1">
        <f t="array" aca="1" ref="M206" ca="1">SUMPRODUCT((OFFSET(Calc2!$F$4,,,$F$26*B191,2)=F206)*(OFFSET(Calc2!$H$4,,,$F$26*B191,1)=OFFSET(Calc2!$I$4,,,$F$26*B191,1))*(OFFSET(Calc2!$H$4,,,$F$26*B191,1)&lt;&gt;"")*(OFFSET(Calc2!$I$4,,,$F$26*B191,1)&lt;&gt;""))</f>
        <v>3</v>
      </c>
      <c r="N206" s="1">
        <f t="array" aca="1" ref="N206" ca="1">SUMPRODUCT((OFFSET(Calc2!$F$4,,,$F$26*B191,1)=F206)*(OFFSET(Calc2!$H$4,,,$F$26*B191,1)&lt;OFFSET(Calc2!$I$4,,,$F$26*B191,1)))+SUMPRODUCT((OFFSET(Calc2!$G$4,,,$F$26*B191,1)=F206)*(OFFSET(Calc2!$H$4,,,$F$26*B191,1)&gt;OFFSET(Calc2!$I$4,,,$F$26*B191,1)))</f>
        <v>3</v>
      </c>
      <c r="O206" s="132">
        <f ca="1">SUMPRODUCT((F206=OFFSET(Calc2!$F$4,,,$F$26*B191,1))*OFFSET(Calc2!$O$4,,,$F$26*B191,1))+SUMPRODUCT((F206=OFFSET(Calc2!$G$4,,,$F$26*B191,1))*OFFSET(Calc2!$P$4,,,$F$26*B191,1))</f>
        <v>0</v>
      </c>
      <c r="P206" s="2"/>
      <c r="Q206" s="2"/>
      <c r="R206" s="13">
        <f t="shared" ca="1" si="36"/>
        <v>9499998011</v>
      </c>
      <c r="S206" s="134">
        <f>Tie_Break!$D$20</f>
        <v>0</v>
      </c>
      <c r="T206" s="9">
        <f ca="1">RANK(R206,R193:R212)+(9-S206)/10000+(F206="")*1000</f>
        <v>11.0009</v>
      </c>
      <c r="U206" s="2"/>
      <c r="V206" s="134">
        <f ca="1">IF($K$24=0,"",IF(VLOOKUP(B206,C193:E212,3,0)=MAX(V$4:V205),VLOOKUP(B206,C193:E212,3,0),B206))</f>
        <v>14</v>
      </c>
      <c r="W206" s="4" t="str">
        <f ca="1">IF($K$24=0,Calc2!$C$17,VLOOKUP(B206,C193:N212,4,0))</f>
        <v>FC St. Pauli</v>
      </c>
      <c r="X206" s="1">
        <f ca="1">INDEX(V166:V185,MATCH(W206,W166:W185,0))</f>
        <v>14</v>
      </c>
      <c r="Y206" s="1">
        <f t="shared" ca="1" si="39"/>
        <v>0</v>
      </c>
    </row>
    <row r="207" spans="2:25" x14ac:dyDescent="0.2">
      <c r="B207" s="1">
        <v>15</v>
      </c>
      <c r="C207" s="9">
        <f ca="1">RANK(D207,D193:D212,1)</f>
        <v>9</v>
      </c>
      <c r="D207" s="134">
        <f t="shared" ca="1" si="37"/>
        <v>9.2070000000000007</v>
      </c>
      <c r="E207" s="134">
        <f ca="1">RANK(T207,T193:T212,1)</f>
        <v>9</v>
      </c>
      <c r="F207" s="187" t="str">
        <f>Calc2!$C$18</f>
        <v>SV Werder Bremen</v>
      </c>
      <c r="G207" s="1">
        <f ca="1">SUMIFS(OFFSET(Calc2!$H$4,,,$F$26*B191,1),OFFSET(Calc2!$F$4,,,$F$26*B191,1),F207)+SUMIFS(OFFSET(Calc2!$I$4,,,$F$26*B191,1),OFFSET(Calc2!$G$4,,,$F$26*B191,1),F207)</f>
        <v>12</v>
      </c>
      <c r="H207" s="1">
        <f ca="1">SUMIFS(OFFSET(Calc2!$I$4,,,$F$26*B191,1),OFFSET(Calc2!$F$4,,,$F$26*B191,1),F207)+SUMIFS(OFFSET(Calc2!$H$4,,,$F$26*B191,1),OFFSET(Calc2!$G$4,,,$F$26*B191,1),F207)</f>
        <v>16</v>
      </c>
      <c r="I207" s="134">
        <f t="shared" ca="1" si="35"/>
        <v>-4</v>
      </c>
      <c r="J207" s="12">
        <f ca="1">L207*Settings!$C$3+M207+O207</f>
        <v>11</v>
      </c>
      <c r="K207" s="1">
        <f t="shared" ca="1" si="38"/>
        <v>8</v>
      </c>
      <c r="L207" s="1">
        <f t="array" aca="1" ref="L207" ca="1">SUMPRODUCT((OFFSET(Calc2!$F$4,,,$F$26*B191,1)=F207)*(OFFSET(Calc2!$H$4,,,$F$26*B191,1)&gt;OFFSET(Calc2!$I$4,,,$F$26*B191,1)))+SUMPRODUCT((OFFSET(Calc2!$G$4,,,$F$26*B191,1)=F207)*(OFFSET(Calc2!$H$4,,,$F$26*B191,1)&lt;OFFSET(Calc2!$I$4,,,$F$26*B191,1)))</f>
        <v>3</v>
      </c>
      <c r="M207" s="1">
        <f t="array" aca="1" ref="M207" ca="1">SUMPRODUCT((OFFSET(Calc2!$F$4,,,$F$26*B191,2)=F207)*(OFFSET(Calc2!$H$4,,,$F$26*B191,1)=OFFSET(Calc2!$I$4,,,$F$26*B191,1))*(OFFSET(Calc2!$H$4,,,$F$26*B191,1)&lt;&gt;"")*(OFFSET(Calc2!$I$4,,,$F$26*B191,1)&lt;&gt;""))</f>
        <v>2</v>
      </c>
      <c r="N207" s="1">
        <f t="array" aca="1" ref="N207" ca="1">SUMPRODUCT((OFFSET(Calc2!$F$4,,,$F$26*B191,1)=F207)*(OFFSET(Calc2!$H$4,,,$F$26*B191,1)&lt;OFFSET(Calc2!$I$4,,,$F$26*B191,1)))+SUMPRODUCT((OFFSET(Calc2!$G$4,,,$F$26*B191,1)=F207)*(OFFSET(Calc2!$H$4,,,$F$26*B191,1)&gt;OFFSET(Calc2!$I$4,,,$F$26*B191,1)))</f>
        <v>3</v>
      </c>
      <c r="O207" s="132">
        <f ca="1">SUMPRODUCT((F207=OFFSET(Calc2!$F$4,,,$F$26*B191,1))*OFFSET(Calc2!$O$4,,,$F$26*B191,1))+SUMPRODUCT((F207=OFFSET(Calc2!$G$4,,,$F$26*B191,1))*OFFSET(Calc2!$P$4,,,$F$26*B191,1))</f>
        <v>0</v>
      </c>
      <c r="P207" s="2"/>
      <c r="Q207" s="2"/>
      <c r="R207" s="13">
        <f t="shared" ca="1" si="36"/>
        <v>11499996012</v>
      </c>
      <c r="S207" s="134">
        <f>Tie_Break!$D$21</f>
        <v>0</v>
      </c>
      <c r="T207" s="9">
        <f ca="1">RANK(R207,R193:R212)+(9-S207)/10000+(F207="")*1000</f>
        <v>9.0008999999999997</v>
      </c>
      <c r="U207" s="2"/>
      <c r="V207" s="134">
        <f ca="1">IF($K$24=0,"",IF(VLOOKUP(B207,C193:E212,3,0)=MAX(V$4:V206),VLOOKUP(B207,C193:E212,3,0),B207))</f>
        <v>15</v>
      </c>
      <c r="W207" s="4" t="str">
        <f ca="1">IF($K$24=0,Calc2!$C$18,VLOOKUP(B207,C193:N212,4,0))</f>
        <v>FC Augsburg</v>
      </c>
      <c r="X207" s="1">
        <f ca="1">INDEX(V166:V185,MATCH(W207,W166:W185,0))</f>
        <v>13</v>
      </c>
      <c r="Y207" s="1">
        <f t="shared" ca="1" si="39"/>
        <v>-1</v>
      </c>
    </row>
    <row r="208" spans="2:25" x14ac:dyDescent="0.2">
      <c r="B208" s="1">
        <v>16</v>
      </c>
      <c r="C208" s="9">
        <f ca="1">RANK(D208,D193:D212,1)</f>
        <v>7</v>
      </c>
      <c r="D208" s="134">
        <f t="shared" ca="1" si="37"/>
        <v>7.2080000000000002</v>
      </c>
      <c r="E208" s="134">
        <f ca="1">RANK(T208,T193:T212,1)</f>
        <v>7</v>
      </c>
      <c r="F208" s="187" t="str">
        <f>Calc2!$C$19</f>
        <v>TSG Hoffenheim</v>
      </c>
      <c r="G208" s="1">
        <f ca="1">SUMIFS(OFFSET(Calc2!$H$4,,,$F$26*B191,1),OFFSET(Calc2!$F$4,,,$F$26*B191,1),F208)+SUMIFS(OFFSET(Calc2!$I$4,,,$F$26*B191,1),OFFSET(Calc2!$G$4,,,$F$26*B191,1),F208)</f>
        <v>15</v>
      </c>
      <c r="H208" s="1">
        <f ca="1">SUMIFS(OFFSET(Calc2!$I$4,,,$F$26*B191,1),OFFSET(Calc2!$F$4,,,$F$26*B191,1),F208)+SUMIFS(OFFSET(Calc2!$H$4,,,$F$26*B191,1),OFFSET(Calc2!$G$4,,,$F$26*B191,1),F208)</f>
        <v>13</v>
      </c>
      <c r="I208" s="134">
        <f t="shared" ca="1" si="35"/>
        <v>2</v>
      </c>
      <c r="J208" s="12">
        <f ca="1">L208*Settings!$C$3+M208+O208</f>
        <v>13</v>
      </c>
      <c r="K208" s="1">
        <f t="shared" ca="1" si="38"/>
        <v>8</v>
      </c>
      <c r="L208" s="1">
        <f t="array" aca="1" ref="L208" ca="1">SUMPRODUCT((OFFSET(Calc2!$F$4,,,$F$26*B191,1)=F208)*(OFFSET(Calc2!$H$4,,,$F$26*B191,1)&gt;OFFSET(Calc2!$I$4,,,$F$26*B191,1)))+SUMPRODUCT((OFFSET(Calc2!$G$4,,,$F$26*B191,1)=F208)*(OFFSET(Calc2!$H$4,,,$F$26*B191,1)&lt;OFFSET(Calc2!$I$4,,,$F$26*B191,1)))</f>
        <v>4</v>
      </c>
      <c r="M208" s="1">
        <f t="array" aca="1" ref="M208" ca="1">SUMPRODUCT((OFFSET(Calc2!$F$4,,,$F$26*B191,2)=F208)*(OFFSET(Calc2!$H$4,,,$F$26*B191,1)=OFFSET(Calc2!$I$4,,,$F$26*B191,1))*(OFFSET(Calc2!$H$4,,,$F$26*B191,1)&lt;&gt;"")*(OFFSET(Calc2!$I$4,,,$F$26*B191,1)&lt;&gt;""))</f>
        <v>1</v>
      </c>
      <c r="N208" s="1">
        <f t="array" aca="1" ref="N208" ca="1">SUMPRODUCT((OFFSET(Calc2!$F$4,,,$F$26*B191,1)=F208)*(OFFSET(Calc2!$H$4,,,$F$26*B191,1)&lt;OFFSET(Calc2!$I$4,,,$F$26*B191,1)))+SUMPRODUCT((OFFSET(Calc2!$G$4,,,$F$26*B191,1)=F208)*(OFFSET(Calc2!$H$4,,,$F$26*B191,1)&gt;OFFSET(Calc2!$I$4,,,$F$26*B191,1)))</f>
        <v>3</v>
      </c>
      <c r="O208" s="132">
        <f ca="1">SUMPRODUCT((F208=OFFSET(Calc2!$F$4,,,$F$26*B191,1))*OFFSET(Calc2!$O$4,,,$F$26*B191,1))+SUMPRODUCT((F208=OFFSET(Calc2!$G$4,,,$F$26*B191,1))*OFFSET(Calc2!$P$4,,,$F$26*B191,1))</f>
        <v>0</v>
      </c>
      <c r="P208" s="2"/>
      <c r="Q208" s="2"/>
      <c r="R208" s="13">
        <f t="shared" ca="1" si="36"/>
        <v>13500002015</v>
      </c>
      <c r="S208" s="134">
        <f>Tie_Break!$D$22</f>
        <v>0</v>
      </c>
      <c r="T208" s="9">
        <f ca="1">RANK(R208,R193:R212)+(9-S208)/10000+(F208="")*1000</f>
        <v>7.0008999999999997</v>
      </c>
      <c r="U208" s="2"/>
      <c r="V208" s="134">
        <f ca="1">IF($K$24=0,"",IF(VLOOKUP(B208,C193:E212,3,0)=MAX(V$4:V207),VLOOKUP(B208,C193:E212,3,0),B208))</f>
        <v>16</v>
      </c>
      <c r="W208" s="4" t="str">
        <f ca="1">IF($K$24=0,Calc2!$C$19,VLOOKUP(B208,C193:N212,4,0))</f>
        <v>1. FSV Mainz 05</v>
      </c>
      <c r="X208" s="1">
        <f ca="1">INDEX(V166:V185,MATCH(W208,W166:W185,0))</f>
        <v>16</v>
      </c>
      <c r="Y208" s="1">
        <f t="shared" ca="1" si="39"/>
        <v>0</v>
      </c>
    </row>
    <row r="209" spans="2:25" x14ac:dyDescent="0.2">
      <c r="B209" s="1">
        <v>17</v>
      </c>
      <c r="C209" s="9">
        <f ca="1">RANK(D209,D193:D212,1)</f>
        <v>3</v>
      </c>
      <c r="D209" s="134">
        <f t="shared" ca="1" si="37"/>
        <v>3.2090000000000001</v>
      </c>
      <c r="E209" s="134">
        <f ca="1">RANK(T209,T193:T212,1)</f>
        <v>3</v>
      </c>
      <c r="F209" s="187" t="str">
        <f>Calc2!$C$20</f>
        <v>VfB Stuttgart</v>
      </c>
      <c r="G209" s="1">
        <f ca="1">SUMIFS(OFFSET(Calc2!$H$4,,,$F$26*B191,1),OFFSET(Calc2!$F$4,,,$F$26*B191,1),F209)+SUMIFS(OFFSET(Calc2!$I$4,,,$F$26*B191,1),OFFSET(Calc2!$G$4,,,$F$26*B191,1),F209)</f>
        <v>13</v>
      </c>
      <c r="H209" s="1">
        <f ca="1">SUMIFS(OFFSET(Calc2!$I$4,,,$F$26*B191,1),OFFSET(Calc2!$F$4,,,$F$26*B191,1),F209)+SUMIFS(OFFSET(Calc2!$H$4,,,$F$26*B191,1),OFFSET(Calc2!$G$4,,,$F$26*B191,1),F209)</f>
        <v>7</v>
      </c>
      <c r="I209" s="134">
        <f t="shared" ca="1" si="35"/>
        <v>6</v>
      </c>
      <c r="J209" s="12">
        <f ca="1">L209*Settings!$C$3+M209+O209</f>
        <v>18</v>
      </c>
      <c r="K209" s="1">
        <f t="shared" ca="1" si="38"/>
        <v>8</v>
      </c>
      <c r="L209" s="1">
        <f t="array" aca="1" ref="L209" ca="1">SUMPRODUCT((OFFSET(Calc2!$F$4,,,$F$26*B191,1)=F209)*(OFFSET(Calc2!$H$4,,,$F$26*B191,1)&gt;OFFSET(Calc2!$I$4,,,$F$26*B191,1)))+SUMPRODUCT((OFFSET(Calc2!$G$4,,,$F$26*B191,1)=F209)*(OFFSET(Calc2!$H$4,,,$F$26*B191,1)&lt;OFFSET(Calc2!$I$4,,,$F$26*B191,1)))</f>
        <v>6</v>
      </c>
      <c r="M209" s="1">
        <f t="array" aca="1" ref="M209" ca="1">SUMPRODUCT((OFFSET(Calc2!$F$4,,,$F$26*B191,2)=F209)*(OFFSET(Calc2!$H$4,,,$F$26*B191,1)=OFFSET(Calc2!$I$4,,,$F$26*B191,1))*(OFFSET(Calc2!$H$4,,,$F$26*B191,1)&lt;&gt;"")*(OFFSET(Calc2!$I$4,,,$F$26*B191,1)&lt;&gt;""))</f>
        <v>0</v>
      </c>
      <c r="N209" s="1">
        <f t="array" aca="1" ref="N209" ca="1">SUMPRODUCT((OFFSET(Calc2!$F$4,,,$F$26*B191,1)=F209)*(OFFSET(Calc2!$H$4,,,$F$26*B191,1)&lt;OFFSET(Calc2!$I$4,,,$F$26*B191,1)))+SUMPRODUCT((OFFSET(Calc2!$G$4,,,$F$26*B191,1)=F209)*(OFFSET(Calc2!$H$4,,,$F$26*B191,1)&gt;OFFSET(Calc2!$I$4,,,$F$26*B191,1)))</f>
        <v>2</v>
      </c>
      <c r="O209" s="132">
        <f ca="1">SUMPRODUCT((F209=OFFSET(Calc2!$F$4,,,$F$26*B191,1))*OFFSET(Calc2!$O$4,,,$F$26*B191,1))+SUMPRODUCT((F209=OFFSET(Calc2!$G$4,,,$F$26*B191,1))*OFFSET(Calc2!$P$4,,,$F$26*B191,1))</f>
        <v>0</v>
      </c>
      <c r="P209" s="2"/>
      <c r="Q209" s="2"/>
      <c r="R209" s="13">
        <f t="shared" ca="1" si="36"/>
        <v>18500006013</v>
      </c>
      <c r="S209" s="134">
        <f>Tie_Break!$D$23</f>
        <v>0</v>
      </c>
      <c r="T209" s="9">
        <f ca="1">RANK(R209,R193:R212)+(9-S209)/10000+(F209="")*1000</f>
        <v>3.0009000000000001</v>
      </c>
      <c r="U209" s="2"/>
      <c r="V209" s="134">
        <f ca="1">IF($K$24=0,"",IF(VLOOKUP(B209,C193:E212,3,0)=MAX(V$4:V208),VLOOKUP(B209,C193:E212,3,0),B209))</f>
        <v>17</v>
      </c>
      <c r="W209" s="4" t="str">
        <f ca="1">IF($K$24=0,Calc2!$C$20,VLOOKUP(B209,C193:N212,4,0))</f>
        <v>1. FC Heidenheim 1846</v>
      </c>
      <c r="X209" s="1">
        <f ca="1">INDEX(V166:V185,MATCH(W209,W166:W185,0))</f>
        <v>17</v>
      </c>
      <c r="Y209" s="1">
        <f t="shared" ca="1" si="39"/>
        <v>0</v>
      </c>
    </row>
    <row r="210" spans="2:25" x14ac:dyDescent="0.2">
      <c r="B210" s="1">
        <v>18</v>
      </c>
      <c r="C210" s="9">
        <f ca="1">RANK(D210,D193:D212,1)</f>
        <v>12</v>
      </c>
      <c r="D210" s="134">
        <f t="shared" ca="1" si="37"/>
        <v>12.21</v>
      </c>
      <c r="E210" s="134">
        <f ca="1">RANK(T210,T193:T212,1)</f>
        <v>12</v>
      </c>
      <c r="F210" s="187" t="str">
        <f>Calc2!$C$21</f>
        <v>VfL Wolfsburg</v>
      </c>
      <c r="G210" s="1">
        <f ca="1">SUMIFS(OFFSET(Calc2!$H$4,,,$F$26*B191,1),OFFSET(Calc2!$F$4,,,$F$26*B191,1),F210)+SUMIFS(OFFSET(Calc2!$I$4,,,$F$26*B191,1),OFFSET(Calc2!$G$4,,,$F$26*B191,1),F210)</f>
        <v>9</v>
      </c>
      <c r="H210" s="1">
        <f ca="1">SUMIFS(OFFSET(Calc2!$I$4,,,$F$26*B191,1),OFFSET(Calc2!$F$4,,,$F$26*B191,1),F210)+SUMIFS(OFFSET(Calc2!$H$4,,,$F$26*B191,1),OFFSET(Calc2!$G$4,,,$F$26*B191,1),F210)</f>
        <v>13</v>
      </c>
      <c r="I210" s="134">
        <f t="shared" ca="1" si="35"/>
        <v>-4</v>
      </c>
      <c r="J210" s="12">
        <f ca="1">L210*Settings!$C$3+M210+O210</f>
        <v>8</v>
      </c>
      <c r="K210" s="1">
        <f t="shared" ca="1" si="38"/>
        <v>8</v>
      </c>
      <c r="L210" s="1">
        <f t="array" aca="1" ref="L210" ca="1">SUMPRODUCT((OFFSET(Calc2!$F$4,,,$F$26*B191,1)=F210)*(OFFSET(Calc2!$H$4,,,$F$26*B191,1)&gt;OFFSET(Calc2!$I$4,,,$F$26*B191,1)))+SUMPRODUCT((OFFSET(Calc2!$G$4,,,$F$26*B191,1)=F210)*(OFFSET(Calc2!$H$4,,,$F$26*B191,1)&lt;OFFSET(Calc2!$I$4,,,$F$26*B191,1)))</f>
        <v>2</v>
      </c>
      <c r="M210" s="1">
        <f t="array" aca="1" ref="M210" ca="1">SUMPRODUCT((OFFSET(Calc2!$F$4,,,$F$26*B191,2)=F210)*(OFFSET(Calc2!$H$4,,,$F$26*B191,1)=OFFSET(Calc2!$I$4,,,$F$26*B191,1))*(OFFSET(Calc2!$H$4,,,$F$26*B191,1)&lt;&gt;"")*(OFFSET(Calc2!$I$4,,,$F$26*B191,1)&lt;&gt;""))</f>
        <v>2</v>
      </c>
      <c r="N210" s="1">
        <f t="array" aca="1" ref="N210" ca="1">SUMPRODUCT((OFFSET(Calc2!$F$4,,,$F$26*B191,1)=F210)*(OFFSET(Calc2!$H$4,,,$F$26*B191,1)&lt;OFFSET(Calc2!$I$4,,,$F$26*B191,1)))+SUMPRODUCT((OFFSET(Calc2!$G$4,,,$F$26*B191,1)=F210)*(OFFSET(Calc2!$H$4,,,$F$26*B191,1)&gt;OFFSET(Calc2!$I$4,,,$F$26*B191,1)))</f>
        <v>4</v>
      </c>
      <c r="O210" s="132">
        <f ca="1">SUMPRODUCT((F210=OFFSET(Calc2!$F$4,,,$F$26*B191,1))*OFFSET(Calc2!$O$4,,,$F$26*B191,1))+SUMPRODUCT((F210=OFFSET(Calc2!$G$4,,,$F$26*B191,1))*OFFSET(Calc2!$P$4,,,$F$26*B191,1))</f>
        <v>0</v>
      </c>
      <c r="P210" s="2"/>
      <c r="Q210" s="2"/>
      <c r="R210" s="13">
        <f t="shared" ca="1" si="36"/>
        <v>8499996009</v>
      </c>
      <c r="S210" s="134">
        <f>Tie_Break!$D$24</f>
        <v>0</v>
      </c>
      <c r="T210" s="9">
        <f ca="1">RANK(R210,R193:R212)+(9-S210)/10000+(F210="")*1000</f>
        <v>12.0009</v>
      </c>
      <c r="U210" s="2"/>
      <c r="V210" s="134">
        <f ca="1">IF($K$24=0,"",IF(VLOOKUP(B210,C193:E212,3,0)=MAX(V$4:V209),VLOOKUP(B210,C193:E212,3,0),B210))</f>
        <v>18</v>
      </c>
      <c r="W210" s="4" t="str">
        <f ca="1">IF($K$24=0,Calc2!$C$21,VLOOKUP(B210,C193:N212,4,0))</f>
        <v>Borussia Mönchengladbach</v>
      </c>
      <c r="X210" s="1">
        <f ca="1">INDEX(V166:V185,MATCH(W210,W166:W185,0))</f>
        <v>18</v>
      </c>
      <c r="Y210" s="1">
        <f t="shared" ca="1" si="39"/>
        <v>0</v>
      </c>
    </row>
    <row r="211" spans="2:25" x14ac:dyDescent="0.2">
      <c r="B211" s="1">
        <v>19</v>
      </c>
      <c r="C211" s="9">
        <f ca="1">RANK(D211,D193:D212,1)</f>
        <v>19</v>
      </c>
      <c r="D211" s="134">
        <f t="shared" ca="1" si="37"/>
        <v>19.210999999999999</v>
      </c>
      <c r="E211" s="134">
        <f ca="1">RANK(T211,T193:T212,1)</f>
        <v>19</v>
      </c>
      <c r="F211" s="187" t="str">
        <f>Calc2!$C$22</f>
        <v/>
      </c>
      <c r="G211" s="1">
        <f ca="1">SUMIFS(OFFSET(Calc2!$H$4,,,$F$26*B191,1),OFFSET(Calc2!$F$4,,,$F$26*B191,1),F211)+SUMIFS(OFFSET(Calc2!$I$4,,,$F$26*B191,1),OFFSET(Calc2!$G$4,,,$F$26*B191,1),F211)</f>
        <v>0</v>
      </c>
      <c r="H211" s="1">
        <f ca="1">SUMIFS(OFFSET(Calc2!$I$4,,,$F$26*B191,1),OFFSET(Calc2!$F$4,,,$F$26*B191,1),F211)+SUMIFS(OFFSET(Calc2!$H$4,,,$F$26*B191,1),OFFSET(Calc2!$G$4,,,$F$26*B191,1),F211)</f>
        <v>0</v>
      </c>
      <c r="I211" s="134">
        <f t="shared" ca="1" si="35"/>
        <v>0</v>
      </c>
      <c r="J211" s="12">
        <f ca="1">L211*Settings!$C$3+M211+O211</f>
        <v>0</v>
      </c>
      <c r="K211" s="1">
        <f t="shared" ca="1" si="38"/>
        <v>0</v>
      </c>
      <c r="L211" s="1">
        <f t="array" aca="1" ref="L211" ca="1">SUMPRODUCT((OFFSET(Calc2!$F$4,,,$F$26*B191,1)=F211)*(OFFSET(Calc2!$H$4,,,$F$26*B191,1)&gt;OFFSET(Calc2!$I$4,,,$F$26*B191,1)))+SUMPRODUCT((OFFSET(Calc2!$G$4,,,$F$26*B191,1)=F211)*(OFFSET(Calc2!$H$4,,,$F$26*B191,1)&lt;OFFSET(Calc2!$I$4,,,$F$26*B191,1)))</f>
        <v>0</v>
      </c>
      <c r="M211" s="1">
        <f t="array" aca="1" ref="M211" ca="1">SUMPRODUCT((OFFSET(Calc2!$F$4,,,$F$26*B191,2)=F211)*(OFFSET(Calc2!$H$4,,,$F$26*B191,1)=OFFSET(Calc2!$I$4,,,$F$26*B191,1))*(OFFSET(Calc2!$H$4,,,$F$26*B191,1)&lt;&gt;"")*(OFFSET(Calc2!$I$4,,,$F$26*B191,1)&lt;&gt;""))</f>
        <v>0</v>
      </c>
      <c r="N211" s="1">
        <f t="array" aca="1" ref="N211" ca="1">SUMPRODUCT((OFFSET(Calc2!$F$4,,,$F$26*B191,1)=F211)*(OFFSET(Calc2!$H$4,,,$F$26*B191,1)&lt;OFFSET(Calc2!$I$4,,,$F$26*B191,1)))+SUMPRODUCT((OFFSET(Calc2!$G$4,,,$F$26*B191,1)=F211)*(OFFSET(Calc2!$H$4,,,$F$26*B191,1)&gt;OFFSET(Calc2!$I$4,,,$F$26*B191,1)))</f>
        <v>0</v>
      </c>
      <c r="O211" s="132">
        <f ca="1">SUMPRODUCT((F211=OFFSET(Calc2!$F$4,,,$F$26*B191,1))*OFFSET(Calc2!$O$4,,,$F$26*B191,1))+SUMPRODUCT((F211=OFFSET(Calc2!$G$4,,,$F$26*B191,1))*OFFSET(Calc2!$P$4,,,$F$26*B191,1))</f>
        <v>0</v>
      </c>
      <c r="P211" s="2"/>
      <c r="Q211" s="2"/>
      <c r="R211" s="13">
        <f t="shared" ca="1" si="36"/>
        <v>500000000</v>
      </c>
      <c r="S211" s="134">
        <f>Tie_Break!$D$25</f>
        <v>0</v>
      </c>
      <c r="T211" s="9">
        <f ca="1">RANK(R211,R193:R212)+(9-S211)/10000+(F211="")*1000</f>
        <v>1019.0009</v>
      </c>
      <c r="U211" s="2"/>
      <c r="V211" s="134">
        <f ca="1">IF($K$24=0,"",IF(VLOOKUP(B211,C193:E212,3,0)=MAX(V$4:V210),VLOOKUP(B211,C193:E212,3,0),B211))</f>
        <v>19</v>
      </c>
      <c r="W211" s="4" t="str">
        <f ca="1">IF($K$24=0,Calc2!$C$22,VLOOKUP(B211,C193:N212,4,0))</f>
        <v/>
      </c>
      <c r="X211" s="1">
        <f ca="1">INDEX(V166:V185,MATCH(W211,W166:W185,0))</f>
        <v>19</v>
      </c>
      <c r="Y211" s="1">
        <f t="shared" ca="1" si="39"/>
        <v>0</v>
      </c>
    </row>
    <row r="212" spans="2:25" ht="12.75" thickBot="1" x14ac:dyDescent="0.25">
      <c r="B212" s="1">
        <v>20</v>
      </c>
      <c r="C212" s="10">
        <f ca="1">RANK(D212,D193:D212,1)</f>
        <v>20</v>
      </c>
      <c r="D212" s="134">
        <f t="shared" ca="1" si="37"/>
        <v>19.212</v>
      </c>
      <c r="E212" s="134">
        <f ca="1">RANK(T212,T193:T212,1)</f>
        <v>19</v>
      </c>
      <c r="F212" s="187" t="str">
        <f>Calc2!$C$23</f>
        <v/>
      </c>
      <c r="G212" s="1">
        <f ca="1">SUMIFS(OFFSET(Calc2!$H$4,,,$F$26*B191,1),OFFSET(Calc2!$F$4,,,$F$26*B191,1),F212)+SUMIFS(OFFSET(Calc2!$I$4,,,$F$26*B191,1),OFFSET(Calc2!$G$4,,,$F$26*B191,1),F212)</f>
        <v>0</v>
      </c>
      <c r="H212" s="1">
        <f ca="1">SUMIFS(OFFSET(Calc2!$I$4,,,$F$26*B191,1),OFFSET(Calc2!$F$4,,,$F$26*B191,1),F212)+SUMIFS(OFFSET(Calc2!$H$4,,,$F$26*B191,1),OFFSET(Calc2!$G$4,,,$F$26*B191,1),F212)</f>
        <v>0</v>
      </c>
      <c r="I212" s="134">
        <f t="shared" ca="1" si="35"/>
        <v>0</v>
      </c>
      <c r="J212" s="12">
        <f ca="1">L212*Settings!$C$3+M212+O212</f>
        <v>0</v>
      </c>
      <c r="K212" s="1">
        <f t="shared" ca="1" si="38"/>
        <v>0</v>
      </c>
      <c r="L212" s="1">
        <f t="array" aca="1" ref="L212" ca="1">SUMPRODUCT((OFFSET(Calc2!$F$4,,,$F$26*B191,1)=F212)*(OFFSET(Calc2!$H$4,,,$F$26*B191,1)&gt;OFFSET(Calc2!$I$4,,,$F$26*B191,1)))+SUMPRODUCT((OFFSET(Calc2!$G$4,,,$F$26*B191,1)=F212)*(OFFSET(Calc2!$H$4,,,$F$26*B191,1)&lt;OFFSET(Calc2!$I$4,,,$F$26*B191,1)))</f>
        <v>0</v>
      </c>
      <c r="M212" s="1">
        <f t="array" aca="1" ref="M212" ca="1">SUMPRODUCT((OFFSET(Calc2!$F$4,,,$F$26*B191,2)=F212)*(OFFSET(Calc2!$H$4,,,$F$26*B191,1)=OFFSET(Calc2!$I$4,,,$F$26*B191,1))*(OFFSET(Calc2!$H$4,,,$F$26*B191,1)&lt;&gt;"")*(OFFSET(Calc2!$I$4,,,$F$26*B191,1)&lt;&gt;""))</f>
        <v>0</v>
      </c>
      <c r="N212" s="1">
        <f t="array" aca="1" ref="N212" ca="1">SUMPRODUCT((OFFSET(Calc2!$F$4,,,$F$26*B191,1)=F212)*(OFFSET(Calc2!$H$4,,,$F$26*B191,1)&lt;OFFSET(Calc2!$I$4,,,$F$26*B191,1)))+SUMPRODUCT((OFFSET(Calc2!$G$4,,,$F$26*B191,1)=F212)*(OFFSET(Calc2!$H$4,,,$F$26*B191,1)&gt;OFFSET(Calc2!$I$4,,,$F$26*B191,1)))</f>
        <v>0</v>
      </c>
      <c r="O212" s="132">
        <f ca="1">SUMPRODUCT((F212=OFFSET(Calc2!$F$4,,,$F$26*B191,1))*OFFSET(Calc2!$O$4,,,$F$26*B191,1))+SUMPRODUCT((F212=OFFSET(Calc2!$G$4,,,$F$26*B191,1))*OFFSET(Calc2!$P$4,,,$F$26*B191,1))</f>
        <v>0</v>
      </c>
      <c r="P212" s="2"/>
      <c r="Q212" s="2"/>
      <c r="R212" s="13">
        <f t="shared" ca="1" si="36"/>
        <v>500000000</v>
      </c>
      <c r="S212" s="134">
        <f>Tie_Break!$D$26</f>
        <v>0</v>
      </c>
      <c r="T212" s="10">
        <f ca="1">RANK(R212,R193:R212)+(9-S212)/10000+(F212="")*1000</f>
        <v>1019.0009</v>
      </c>
      <c r="U212" s="2"/>
      <c r="V212" s="134">
        <f ca="1">IF($K$24=0,"",IF(VLOOKUP(B212,C193:E212,3,0)=MAX(V$4:V211),VLOOKUP(B212,C193:E212,3,0),B212))</f>
        <v>19</v>
      </c>
      <c r="W212" s="4" t="str">
        <f ca="1">IF($K$24=0,Calc2!$C$23,VLOOKUP(B212,C193:N212,4,0))</f>
        <v/>
      </c>
      <c r="X212" s="1">
        <f ca="1">INDEX(V166:V185,MATCH(W212,W166:W185,0))</f>
        <v>19</v>
      </c>
      <c r="Y212" s="1">
        <f t="shared" ca="1" si="39"/>
        <v>0</v>
      </c>
    </row>
    <row r="213" spans="2:25" ht="12.75" thickTop="1" x14ac:dyDescent="0.2">
      <c r="X213" s="1"/>
      <c r="Y213" s="1"/>
    </row>
    <row r="214" spans="2:25" x14ac:dyDescent="0.2">
      <c r="X214" s="1"/>
      <c r="Y214" s="1"/>
    </row>
    <row r="215" spans="2:25" x14ac:dyDescent="0.2">
      <c r="X215" s="1"/>
      <c r="Y215" s="1"/>
    </row>
    <row r="216" spans="2:25" x14ac:dyDescent="0.2">
      <c r="X216" s="1"/>
      <c r="Y216" s="1"/>
    </row>
    <row r="217" spans="2:25" ht="12.75" thickBot="1" x14ac:dyDescent="0.25">
      <c r="X217" s="1"/>
      <c r="Y217" s="1"/>
    </row>
    <row r="218" spans="2:25" ht="12.75" thickBot="1" x14ac:dyDescent="0.25">
      <c r="B218" s="410">
        <v>9</v>
      </c>
      <c r="C218" s="134"/>
      <c r="D218" s="134"/>
      <c r="E218" s="134"/>
      <c r="F218" s="187"/>
      <c r="G218" s="1"/>
      <c r="H218" s="1"/>
      <c r="I218" s="1"/>
      <c r="J218" s="1"/>
      <c r="K218" s="1"/>
      <c r="L218" s="1"/>
      <c r="M218" s="1"/>
      <c r="N218" s="134"/>
      <c r="O218" s="1"/>
      <c r="P218" s="1"/>
      <c r="Q218" s="1"/>
      <c r="R218" s="2"/>
      <c r="S218" s="2"/>
      <c r="T218" s="2"/>
      <c r="U218" s="2"/>
      <c r="V218" s="2"/>
      <c r="W218" s="2"/>
      <c r="X218" s="1"/>
      <c r="Y218" s="1"/>
    </row>
    <row r="219" spans="2:25" ht="15.75" thickBot="1" x14ac:dyDescent="0.25">
      <c r="B219" s="1"/>
      <c r="C219" s="134"/>
      <c r="D219" s="134"/>
      <c r="E219" s="134"/>
      <c r="F219" s="11" t="s">
        <v>90</v>
      </c>
      <c r="G219" s="42" t="s">
        <v>95</v>
      </c>
      <c r="H219" s="42" t="s">
        <v>96</v>
      </c>
      <c r="I219" s="11" t="s">
        <v>97</v>
      </c>
      <c r="J219" s="11" t="s">
        <v>98</v>
      </c>
      <c r="K219" s="11" t="s">
        <v>91</v>
      </c>
      <c r="L219" s="12" t="s">
        <v>92</v>
      </c>
      <c r="M219" s="12" t="s">
        <v>93</v>
      </c>
      <c r="N219" s="12" t="s">
        <v>94</v>
      </c>
      <c r="O219" s="12" t="s">
        <v>534</v>
      </c>
      <c r="P219" s="2"/>
      <c r="Q219" s="11"/>
      <c r="R219" s="133" t="s">
        <v>99</v>
      </c>
      <c r="S219" s="6" t="s">
        <v>483</v>
      </c>
      <c r="T219" s="120" t="s">
        <v>146</v>
      </c>
      <c r="U219" s="134"/>
      <c r="V219" s="134"/>
      <c r="W219" s="132"/>
      <c r="X219" s="120" t="s">
        <v>575</v>
      </c>
      <c r="Y219" s="1"/>
    </row>
    <row r="220" spans="2:25" ht="12.75" thickTop="1" x14ac:dyDescent="0.2">
      <c r="B220" s="1">
        <v>1</v>
      </c>
      <c r="C220" s="8">
        <f ca="1">RANK(D220,D220:D239,1)</f>
        <v>18</v>
      </c>
      <c r="D220" s="134">
        <f ca="1">E220+ROW()/1000</f>
        <v>18.22</v>
      </c>
      <c r="E220" s="134">
        <f ca="1">RANK(T220,T220:T239,1)</f>
        <v>18</v>
      </c>
      <c r="F220" s="187" t="str">
        <f>Calc2!$C$4</f>
        <v>1. FC Heidenheim 1846</v>
      </c>
      <c r="G220" s="1">
        <f ca="1">SUMIFS(OFFSET(Calc2!$H$4,,,$F$26*B218,1),OFFSET(Calc2!$F$4,,,$F$26*B218,1),F220)+SUMIFS(OFFSET(Calc2!$I$4,,,$F$26*B218,1),OFFSET(Calc2!$G$4,,,$F$26*B218,1),F220)</f>
        <v>8</v>
      </c>
      <c r="H220" s="1">
        <f ca="1">SUMIFS(OFFSET(Calc2!$I$4,,,$F$26*B218,1),OFFSET(Calc2!$F$4,,,$F$26*B218,1),F220)+SUMIFS(OFFSET(Calc2!$H$4,,,$F$26*B218,1),OFFSET(Calc2!$G$4,,,$F$26*B218,1),F220)</f>
        <v>17</v>
      </c>
      <c r="I220" s="134">
        <f t="shared" ref="I220:I239" ca="1" si="40">G220-H220</f>
        <v>-9</v>
      </c>
      <c r="J220" s="12">
        <f ca="1">L220*Settings!$C$3+M220+O220</f>
        <v>5</v>
      </c>
      <c r="K220" s="1">
        <f ca="1">L220+M220+N220</f>
        <v>9</v>
      </c>
      <c r="L220" s="1">
        <f t="array" aca="1" ref="L220" ca="1">SUMPRODUCT((OFFSET(Calc2!$F$4,,,$F$26*B218,1)=F220)*(OFFSET(Calc2!$H$4,,,$F$26*B218,1)&gt;OFFSET(Calc2!$I$4,,,$F$26*B218,1)))+SUMPRODUCT((OFFSET(Calc2!$G$4,,,$F$26*B218,1)=F220)*(OFFSET(Calc2!$H$4,,,$F$26*B218,1)&lt;OFFSET(Calc2!$I$4,,,$F$26*B218,1)))</f>
        <v>1</v>
      </c>
      <c r="M220" s="1">
        <f t="array" aca="1" ref="M220" ca="1">SUMPRODUCT((OFFSET(Calc2!$F$4,,,$F$26*B218,2)=F220)*(OFFSET(Calc2!$H$4,,,$F$26*B218,1)=OFFSET(Calc2!$I$4,,,$F$26*B218,1))*(OFFSET(Calc2!$H$4,,,$F$26*B218,1)&lt;&gt;"")*(OFFSET(Calc2!$I$4,,,$F$26*B218,1)&lt;&gt;""))</f>
        <v>2</v>
      </c>
      <c r="N220" s="1">
        <f t="array" aca="1" ref="N220" ca="1">SUMPRODUCT((OFFSET(Calc2!$F$4,,,$F$26*B218,1)=F220)*(OFFSET(Calc2!$H$4,,,$F$26*B218,1)&lt;OFFSET(Calc2!$I$4,,,$F$26*B218,1)))+SUMPRODUCT((OFFSET(Calc2!$G$4,,,$F$26*B218,1)=F220)*(OFFSET(Calc2!$H$4,,,$F$26*B218,1)&gt;OFFSET(Calc2!$I$4,,,$F$26*B218,1)))</f>
        <v>6</v>
      </c>
      <c r="O220" s="132">
        <f ca="1">SUMPRODUCT((F220=OFFSET(Calc2!$F$4,,,$F$26*B218,1))*OFFSET(Calc2!$O$4,,,$F$26*B218,1))+SUMPRODUCT((F220=OFFSET(Calc2!$G$4,,,$F$26*B218,1))*OFFSET(Calc2!$P$4,,,$F$26*B218,1))</f>
        <v>0</v>
      </c>
      <c r="P220" s="2"/>
      <c r="Q220" s="2"/>
      <c r="R220" s="13">
        <f t="shared" ref="R220:R239" ca="1" si="41">J220*FactorPts+(I220+GDzero)*FactorGD+G220*FactorGF</f>
        <v>5499991008</v>
      </c>
      <c r="S220" s="134">
        <f>Tie_Break!$D$7</f>
        <v>0</v>
      </c>
      <c r="T220" s="8">
        <f ca="1">RANK(R220,R220:R239)+(9-S220)/10000+(F220="")*1000</f>
        <v>18.000900000000001</v>
      </c>
      <c r="U220" s="134"/>
      <c r="V220" s="134">
        <f ca="1">IF($K$24=0,"",1)</f>
        <v>1</v>
      </c>
      <c r="W220" s="4" t="str">
        <f ca="1">IF($K$24=0,Calc2!$C$4,VLOOKUP(B220,C220:N239,4,0))</f>
        <v>FC Bayern München</v>
      </c>
      <c r="X220" s="1">
        <f ca="1">INDEX(V193:V212,MATCH(W220,W193:W212,0))</f>
        <v>1</v>
      </c>
      <c r="Y220" s="1">
        <f ca="1">IF(X220&gt;V220,1,IF(X220&lt;V220,-1,0))</f>
        <v>0</v>
      </c>
    </row>
    <row r="221" spans="2:25" x14ac:dyDescent="0.2">
      <c r="B221" s="1">
        <v>2</v>
      </c>
      <c r="C221" s="9">
        <f ca="1">RANK(D221,D220:D239,1)</f>
        <v>7</v>
      </c>
      <c r="D221" s="134">
        <f t="shared" ref="D221:D239" ca="1" si="42">E221+ROW()/1000</f>
        <v>7.2210000000000001</v>
      </c>
      <c r="E221" s="134">
        <f ca="1">RANK(T221,T220:T239,1)</f>
        <v>7</v>
      </c>
      <c r="F221" s="187" t="str">
        <f>Calc2!$C$5</f>
        <v>1. FC Köln</v>
      </c>
      <c r="G221" s="1">
        <f ca="1">SUMIFS(OFFSET(Calc2!$H$4,,,$F$26*B218,1),OFFSET(Calc2!$F$4,,,$F$26*B218,1),F221)+SUMIFS(OFFSET(Calc2!$I$4,,,$F$26*B218,1),OFFSET(Calc2!$G$4,,,$F$26*B218,1),F221)</f>
        <v>16</v>
      </c>
      <c r="H221" s="1">
        <f ca="1">SUMIFS(OFFSET(Calc2!$I$4,,,$F$26*B218,1),OFFSET(Calc2!$F$4,,,$F$26*B218,1),F221)+SUMIFS(OFFSET(Calc2!$H$4,,,$F$26*B218,1),OFFSET(Calc2!$G$4,,,$F$26*B218,1),F221)</f>
        <v>12</v>
      </c>
      <c r="I221" s="134">
        <f t="shared" ca="1" si="40"/>
        <v>4</v>
      </c>
      <c r="J221" s="12">
        <f ca="1">L221*Settings!$C$3+M221+O221</f>
        <v>14</v>
      </c>
      <c r="K221" s="1">
        <f t="shared" ref="K221:K239" ca="1" si="43">L221+M221+N221</f>
        <v>9</v>
      </c>
      <c r="L221" s="1">
        <f t="array" aca="1" ref="L221" ca="1">SUMPRODUCT((OFFSET(Calc2!$F$4,,,$F$26*B218,1)=F221)*(OFFSET(Calc2!$H$4,,,$F$26*B218,1)&gt;OFFSET(Calc2!$I$4,,,$F$26*B218,1)))+SUMPRODUCT((OFFSET(Calc2!$G$4,,,$F$26*B218,1)=F221)*(OFFSET(Calc2!$H$4,,,$F$26*B218,1)&lt;OFFSET(Calc2!$I$4,,,$F$26*B218,1)))</f>
        <v>4</v>
      </c>
      <c r="M221" s="1">
        <f t="array" aca="1" ref="M221" ca="1">SUMPRODUCT((OFFSET(Calc2!$F$4,,,$F$26*B218,2)=F221)*(OFFSET(Calc2!$H$4,,,$F$26*B218,1)=OFFSET(Calc2!$I$4,,,$F$26*B218,1))*(OFFSET(Calc2!$H$4,,,$F$26*B218,1)&lt;&gt;"")*(OFFSET(Calc2!$I$4,,,$F$26*B218,1)&lt;&gt;""))</f>
        <v>2</v>
      </c>
      <c r="N221" s="1">
        <f t="array" aca="1" ref="N221" ca="1">SUMPRODUCT((OFFSET(Calc2!$F$4,,,$F$26*B218,1)=F221)*(OFFSET(Calc2!$H$4,,,$F$26*B218,1)&lt;OFFSET(Calc2!$I$4,,,$F$26*B218,1)))+SUMPRODUCT((OFFSET(Calc2!$G$4,,,$F$26*B218,1)=F221)*(OFFSET(Calc2!$H$4,,,$F$26*B218,1)&gt;OFFSET(Calc2!$I$4,,,$F$26*B218,1)))</f>
        <v>3</v>
      </c>
      <c r="O221" s="132">
        <f ca="1">SUMPRODUCT((F221=OFFSET(Calc2!$F$4,,,$F$26*B218,1))*OFFSET(Calc2!$O$4,,,$F$26*B218,1))+SUMPRODUCT((F221=OFFSET(Calc2!$G$4,,,$F$26*B218,1))*OFFSET(Calc2!$P$4,,,$F$26*B218,1))</f>
        <v>0</v>
      </c>
      <c r="P221" s="2"/>
      <c r="Q221" s="2"/>
      <c r="R221" s="13">
        <f t="shared" ca="1" si="41"/>
        <v>14500004016</v>
      </c>
      <c r="S221" s="134">
        <f>Tie_Break!$D$8</f>
        <v>0</v>
      </c>
      <c r="T221" s="9">
        <f ca="1">RANK(R221,R220:R239)+(9-S221)/10000+(F221="")*1000</f>
        <v>7.0008999999999997</v>
      </c>
      <c r="U221" s="134"/>
      <c r="V221" s="134">
        <f ca="1">IF($K$24=0,"",IF(VLOOKUP(B221,C220:E239,3,0)=MAX(V$4:V220),VLOOKUP(B221,C220:E239,3,0),B221))</f>
        <v>2</v>
      </c>
      <c r="W221" s="4" t="str">
        <f ca="1">IF($K$24=0,Calc2!$C$5,VLOOKUP(B221,C220:N239,4,0))</f>
        <v>RB Leipzig</v>
      </c>
      <c r="X221" s="1">
        <f ca="1">INDEX(V193:V212,MATCH(W221,W193:W212,0))</f>
        <v>2</v>
      </c>
      <c r="Y221" s="1">
        <f t="shared" ref="Y221:Y239" ca="1" si="44">IF(X221&gt;V221,1,IF(X221&lt;V221,-1,0))</f>
        <v>0</v>
      </c>
    </row>
    <row r="222" spans="2:25" x14ac:dyDescent="0.2">
      <c r="B222" s="1">
        <v>3</v>
      </c>
      <c r="C222" s="9">
        <f ca="1">RANK(D222,D220:D239,1)</f>
        <v>10</v>
      </c>
      <c r="D222" s="134">
        <f t="shared" ca="1" si="42"/>
        <v>10.222</v>
      </c>
      <c r="E222" s="134">
        <f ca="1">RANK(T222,T220:T239,1)</f>
        <v>10</v>
      </c>
      <c r="F222" s="187" t="str">
        <f>Calc2!$C$6</f>
        <v>1. FC Union Berlin</v>
      </c>
      <c r="G222" s="1">
        <f ca="1">SUMIFS(OFFSET(Calc2!$H$4,,,$F$26*B218,1),OFFSET(Calc2!$F$4,,,$F$26*B218,1),F222)+SUMIFS(OFFSET(Calc2!$I$4,,,$F$26*B218,1),OFFSET(Calc2!$G$4,,,$F$26*B218,1),F222)</f>
        <v>11</v>
      </c>
      <c r="H222" s="1">
        <f ca="1">SUMIFS(OFFSET(Calc2!$I$4,,,$F$26*B218,1),OFFSET(Calc2!$F$4,,,$F$26*B218,1),F222)+SUMIFS(OFFSET(Calc2!$H$4,,,$F$26*B218,1),OFFSET(Calc2!$G$4,,,$F$26*B218,1),F222)</f>
        <v>15</v>
      </c>
      <c r="I222" s="134">
        <f t="shared" ca="1" si="40"/>
        <v>-4</v>
      </c>
      <c r="J222" s="12">
        <f ca="1">L222*Settings!$C$3+M222+O222</f>
        <v>11</v>
      </c>
      <c r="K222" s="1">
        <f t="shared" ca="1" si="43"/>
        <v>9</v>
      </c>
      <c r="L222" s="1">
        <f t="array" aca="1" ref="L222" ca="1">SUMPRODUCT((OFFSET(Calc2!$F$4,,,$F$26*B218,1)=F222)*(OFFSET(Calc2!$H$4,,,$F$26*B218,1)&gt;OFFSET(Calc2!$I$4,,,$F$26*B218,1)))+SUMPRODUCT((OFFSET(Calc2!$G$4,,,$F$26*B218,1)=F222)*(OFFSET(Calc2!$H$4,,,$F$26*B218,1)&lt;OFFSET(Calc2!$I$4,,,$F$26*B218,1)))</f>
        <v>3</v>
      </c>
      <c r="M222" s="1">
        <f t="array" aca="1" ref="M222" ca="1">SUMPRODUCT((OFFSET(Calc2!$F$4,,,$F$26*B218,2)=F222)*(OFFSET(Calc2!$H$4,,,$F$26*B218,1)=OFFSET(Calc2!$I$4,,,$F$26*B218,1))*(OFFSET(Calc2!$H$4,,,$F$26*B218,1)&lt;&gt;"")*(OFFSET(Calc2!$I$4,,,$F$26*B218,1)&lt;&gt;""))</f>
        <v>2</v>
      </c>
      <c r="N222" s="1">
        <f t="array" aca="1" ref="N222" ca="1">SUMPRODUCT((OFFSET(Calc2!$F$4,,,$F$26*B218,1)=F222)*(OFFSET(Calc2!$H$4,,,$F$26*B218,1)&lt;OFFSET(Calc2!$I$4,,,$F$26*B218,1)))+SUMPRODUCT((OFFSET(Calc2!$G$4,,,$F$26*B218,1)=F222)*(OFFSET(Calc2!$H$4,,,$F$26*B218,1)&gt;OFFSET(Calc2!$I$4,,,$F$26*B218,1)))</f>
        <v>4</v>
      </c>
      <c r="O222" s="132">
        <f ca="1">SUMPRODUCT((F222=OFFSET(Calc2!$F$4,,,$F$26*B218,1))*OFFSET(Calc2!$O$4,,,$F$26*B218,1))+SUMPRODUCT((F222=OFFSET(Calc2!$G$4,,,$F$26*B218,1))*OFFSET(Calc2!$P$4,,,$F$26*B218,1))</f>
        <v>0</v>
      </c>
      <c r="P222" s="2"/>
      <c r="Q222" s="2"/>
      <c r="R222" s="13">
        <f t="shared" ca="1" si="41"/>
        <v>11499996011</v>
      </c>
      <c r="S222" s="134">
        <f>Tie_Break!$D$9</f>
        <v>0</v>
      </c>
      <c r="T222" s="9">
        <f ca="1">RANK(R222,R220:R239)+(9-S222)/10000+(F222="")*1000</f>
        <v>10.0009</v>
      </c>
      <c r="U222" s="134"/>
      <c r="V222" s="134">
        <f ca="1">IF($K$24=0,"",IF(VLOOKUP(B222,C220:E239,3,0)=MAX(V$4:V221),VLOOKUP(B222,C220:E239,3,0),B222))</f>
        <v>3</v>
      </c>
      <c r="W222" s="4" t="str">
        <f ca="1">IF($K$24=0,Calc2!$C$6,VLOOKUP(B222,C220:N239,4,0))</f>
        <v>Borussia Dortmund</v>
      </c>
      <c r="X222" s="1">
        <f ca="1">INDEX(V193:V212,MATCH(W222,W193:W212,0))</f>
        <v>4</v>
      </c>
      <c r="Y222" s="1">
        <f t="shared" ca="1" si="44"/>
        <v>1</v>
      </c>
    </row>
    <row r="223" spans="2:25" x14ac:dyDescent="0.2">
      <c r="B223" s="1">
        <v>4</v>
      </c>
      <c r="C223" s="9">
        <f ca="1">RANK(D223,D220:D239,1)</f>
        <v>17</v>
      </c>
      <c r="D223" s="134">
        <f t="shared" ca="1" si="42"/>
        <v>17.222999999999999</v>
      </c>
      <c r="E223" s="134">
        <f ca="1">RANK(T223,T220:T239,1)</f>
        <v>17</v>
      </c>
      <c r="F223" s="187" t="str">
        <f>Calc2!$C$7</f>
        <v>1. FSV Mainz 05</v>
      </c>
      <c r="G223" s="1">
        <f ca="1">SUMIFS(OFFSET(Calc2!$H$4,,,$F$26*B218,1),OFFSET(Calc2!$F$4,,,$F$26*B218,1),F223)+SUMIFS(OFFSET(Calc2!$I$4,,,$F$26*B218,1),OFFSET(Calc2!$G$4,,,$F$26*B218,1),F223)</f>
        <v>10</v>
      </c>
      <c r="H223" s="1">
        <f ca="1">SUMIFS(OFFSET(Calc2!$I$4,,,$F$26*B218,1),OFFSET(Calc2!$F$4,,,$F$26*B218,1),F223)+SUMIFS(OFFSET(Calc2!$H$4,,,$F$26*B218,1),OFFSET(Calc2!$G$4,,,$F$26*B218,1),F223)</f>
        <v>17</v>
      </c>
      <c r="I223" s="134">
        <f t="shared" ca="1" si="40"/>
        <v>-7</v>
      </c>
      <c r="J223" s="12">
        <f ca="1">L223*Settings!$C$3+M223+O223</f>
        <v>5</v>
      </c>
      <c r="K223" s="1">
        <f t="shared" ca="1" si="43"/>
        <v>9</v>
      </c>
      <c r="L223" s="1">
        <f t="array" aca="1" ref="L223" ca="1">SUMPRODUCT((OFFSET(Calc2!$F$4,,,$F$26*B218,1)=F223)*(OFFSET(Calc2!$H$4,,,$F$26*B218,1)&gt;OFFSET(Calc2!$I$4,,,$F$26*B218,1)))+SUMPRODUCT((OFFSET(Calc2!$G$4,,,$F$26*B218,1)=F223)*(OFFSET(Calc2!$H$4,,,$F$26*B218,1)&lt;OFFSET(Calc2!$I$4,,,$F$26*B218,1)))</f>
        <v>1</v>
      </c>
      <c r="M223" s="1">
        <f t="array" aca="1" ref="M223" ca="1">SUMPRODUCT((OFFSET(Calc2!$F$4,,,$F$26*B218,2)=F223)*(OFFSET(Calc2!$H$4,,,$F$26*B218,1)=OFFSET(Calc2!$I$4,,,$F$26*B218,1))*(OFFSET(Calc2!$H$4,,,$F$26*B218,1)&lt;&gt;"")*(OFFSET(Calc2!$I$4,,,$F$26*B218,1)&lt;&gt;""))</f>
        <v>2</v>
      </c>
      <c r="N223" s="1">
        <f t="array" aca="1" ref="N223" ca="1">SUMPRODUCT((OFFSET(Calc2!$F$4,,,$F$26*B218,1)=F223)*(OFFSET(Calc2!$H$4,,,$F$26*B218,1)&lt;OFFSET(Calc2!$I$4,,,$F$26*B218,1)))+SUMPRODUCT((OFFSET(Calc2!$G$4,,,$F$26*B218,1)=F223)*(OFFSET(Calc2!$H$4,,,$F$26*B218,1)&gt;OFFSET(Calc2!$I$4,,,$F$26*B218,1)))</f>
        <v>6</v>
      </c>
      <c r="O223" s="132">
        <f ca="1">SUMPRODUCT((F223=OFFSET(Calc2!$F$4,,,$F$26*B218,1))*OFFSET(Calc2!$O$4,,,$F$26*B218,1))+SUMPRODUCT((F223=OFFSET(Calc2!$G$4,,,$F$26*B218,1))*OFFSET(Calc2!$P$4,,,$F$26*B218,1))</f>
        <v>0</v>
      </c>
      <c r="P223" s="2"/>
      <c r="Q223" s="2"/>
      <c r="R223" s="13">
        <f t="shared" ca="1" si="41"/>
        <v>5499993010</v>
      </c>
      <c r="S223" s="134">
        <f>Tie_Break!$D$10</f>
        <v>0</v>
      </c>
      <c r="T223" s="9">
        <f ca="1">RANK(R223,R220:R239)+(9-S223)/10000+(F223="")*1000</f>
        <v>17.000900000000001</v>
      </c>
      <c r="U223" s="134"/>
      <c r="V223" s="134">
        <f ca="1">IF($K$24=0,"",IF(VLOOKUP(B223,C220:E239,3,0)=MAX(V$4:V222),VLOOKUP(B223,C220:E239,3,0),B223))</f>
        <v>4</v>
      </c>
      <c r="W223" s="4" t="str">
        <f ca="1">IF($K$24=0,Calc2!$C$7,VLOOKUP(B223,C220:N239,4,0))</f>
        <v>VfB Stuttgart</v>
      </c>
      <c r="X223" s="1">
        <f ca="1">INDEX(V193:V212,MATCH(W223,W193:W212,0))</f>
        <v>3</v>
      </c>
      <c r="Y223" s="1">
        <f t="shared" ca="1" si="44"/>
        <v>-1</v>
      </c>
    </row>
    <row r="224" spans="2:25" x14ac:dyDescent="0.2">
      <c r="B224" s="1">
        <v>5</v>
      </c>
      <c r="C224" s="9">
        <f ca="1">RANK(D224,D220:D239,1)</f>
        <v>5</v>
      </c>
      <c r="D224" s="134">
        <f t="shared" ca="1" si="42"/>
        <v>5.2240000000000002</v>
      </c>
      <c r="E224" s="134">
        <f ca="1">RANK(T224,T220:T239,1)</f>
        <v>5</v>
      </c>
      <c r="F224" s="187" t="str">
        <f>Calc2!$C$8</f>
        <v>Bayer 04 Leverkusen</v>
      </c>
      <c r="G224" s="1">
        <f ca="1">SUMIFS(OFFSET(Calc2!$H$4,,,$F$26*B218,1),OFFSET(Calc2!$F$4,,,$F$26*B218,1),F224)+SUMIFS(OFFSET(Calc2!$I$4,,,$F$26*B218,1),OFFSET(Calc2!$G$4,,,$F$26*B218,1),F224)</f>
        <v>18</v>
      </c>
      <c r="H224" s="1">
        <f ca="1">SUMIFS(OFFSET(Calc2!$I$4,,,$F$26*B218,1),OFFSET(Calc2!$F$4,,,$F$26*B218,1),F224)+SUMIFS(OFFSET(Calc2!$H$4,,,$F$26*B218,1),OFFSET(Calc2!$G$4,,,$F$26*B218,1),F224)</f>
        <v>14</v>
      </c>
      <c r="I224" s="134">
        <f t="shared" ca="1" si="40"/>
        <v>4</v>
      </c>
      <c r="J224" s="12">
        <f ca="1">L224*Settings!$C$3+M224+O224</f>
        <v>17</v>
      </c>
      <c r="K224" s="1">
        <f t="shared" ca="1" si="43"/>
        <v>9</v>
      </c>
      <c r="L224" s="1">
        <f t="array" aca="1" ref="L224" ca="1">SUMPRODUCT((OFFSET(Calc2!$F$4,,,$F$26*B218,1)=F224)*(OFFSET(Calc2!$H$4,,,$F$26*B218,1)&gt;OFFSET(Calc2!$I$4,,,$F$26*B218,1)))+SUMPRODUCT((OFFSET(Calc2!$G$4,,,$F$26*B218,1)=F224)*(OFFSET(Calc2!$H$4,,,$F$26*B218,1)&lt;OFFSET(Calc2!$I$4,,,$F$26*B218,1)))</f>
        <v>5</v>
      </c>
      <c r="M224" s="1">
        <f t="array" aca="1" ref="M224" ca="1">SUMPRODUCT((OFFSET(Calc2!$F$4,,,$F$26*B218,2)=F224)*(OFFSET(Calc2!$H$4,,,$F$26*B218,1)=OFFSET(Calc2!$I$4,,,$F$26*B218,1))*(OFFSET(Calc2!$H$4,,,$F$26*B218,1)&lt;&gt;"")*(OFFSET(Calc2!$I$4,,,$F$26*B218,1)&lt;&gt;""))</f>
        <v>2</v>
      </c>
      <c r="N224" s="1">
        <f t="array" aca="1" ref="N224" ca="1">SUMPRODUCT((OFFSET(Calc2!$F$4,,,$F$26*B218,1)=F224)*(OFFSET(Calc2!$H$4,,,$F$26*B218,1)&lt;OFFSET(Calc2!$I$4,,,$F$26*B218,1)))+SUMPRODUCT((OFFSET(Calc2!$G$4,,,$F$26*B218,1)=F224)*(OFFSET(Calc2!$H$4,,,$F$26*B218,1)&gt;OFFSET(Calc2!$I$4,,,$F$26*B218,1)))</f>
        <v>2</v>
      </c>
      <c r="O224" s="132">
        <f ca="1">SUMPRODUCT((F224=OFFSET(Calc2!$F$4,,,$F$26*B218,1))*OFFSET(Calc2!$O$4,,,$F$26*B218,1))+SUMPRODUCT((F224=OFFSET(Calc2!$G$4,,,$F$26*B218,1))*OFFSET(Calc2!$P$4,,,$F$26*B218,1))</f>
        <v>0</v>
      </c>
      <c r="P224" s="2"/>
      <c r="Q224" s="2"/>
      <c r="R224" s="13">
        <f t="shared" ca="1" si="41"/>
        <v>17500004018</v>
      </c>
      <c r="S224" s="134">
        <f>Tie_Break!$D$11</f>
        <v>0</v>
      </c>
      <c r="T224" s="9">
        <f ca="1">RANK(R224,R220:R239)+(9-S224)/10000+(F224="")*1000</f>
        <v>5.0008999999999997</v>
      </c>
      <c r="U224" s="134"/>
      <c r="V224" s="134">
        <f ca="1">IF($K$24=0,"",IF(VLOOKUP(B224,C220:E239,3,0)=MAX(V$4:V223),VLOOKUP(B224,C220:E239,3,0),B224))</f>
        <v>5</v>
      </c>
      <c r="W224" s="4" t="str">
        <f ca="1">IF($K$24=0,Calc2!$C$8,VLOOKUP(B224,C220:N239,4,0))</f>
        <v>Bayer 04 Leverkusen</v>
      </c>
      <c r="X224" s="1">
        <f ca="1">INDEX(V193:V212,MATCH(W224,W193:W212,0))</f>
        <v>5</v>
      </c>
      <c r="Y224" s="1">
        <f t="shared" ca="1" si="44"/>
        <v>0</v>
      </c>
    </row>
    <row r="225" spans="2:25" x14ac:dyDescent="0.2">
      <c r="B225" s="1">
        <v>6</v>
      </c>
      <c r="C225" s="9">
        <f ca="1">RANK(D225,D220:D239,1)</f>
        <v>3</v>
      </c>
      <c r="D225" s="134">
        <f t="shared" ca="1" si="42"/>
        <v>3.2250000000000001</v>
      </c>
      <c r="E225" s="134">
        <f ca="1">RANK(T225,T220:T239,1)</f>
        <v>3</v>
      </c>
      <c r="F225" s="187" t="str">
        <f>Calc2!$C$9</f>
        <v>Borussia Dortmund</v>
      </c>
      <c r="G225" s="1">
        <f ca="1">SUMIFS(OFFSET(Calc2!$H$4,,,$F$26*B218,1),OFFSET(Calc2!$F$4,,,$F$26*B218,1),F225)+SUMIFS(OFFSET(Calc2!$I$4,,,$F$26*B218,1),OFFSET(Calc2!$G$4,,,$F$26*B218,1),F225)</f>
        <v>15</v>
      </c>
      <c r="H225" s="1">
        <f ca="1">SUMIFS(OFFSET(Calc2!$I$4,,,$F$26*B218,1),OFFSET(Calc2!$F$4,,,$F$26*B218,1),F225)+SUMIFS(OFFSET(Calc2!$H$4,,,$F$26*B218,1),OFFSET(Calc2!$G$4,,,$F$26*B218,1),F225)</f>
        <v>6</v>
      </c>
      <c r="I225" s="134">
        <f t="shared" ca="1" si="40"/>
        <v>9</v>
      </c>
      <c r="J225" s="12">
        <f ca="1">L225*Settings!$C$3+M225+O225</f>
        <v>20</v>
      </c>
      <c r="K225" s="1">
        <f t="shared" ca="1" si="43"/>
        <v>9</v>
      </c>
      <c r="L225" s="1">
        <f t="array" aca="1" ref="L225" ca="1">SUMPRODUCT((OFFSET(Calc2!$F$4,,,$F$26*B218,1)=F225)*(OFFSET(Calc2!$H$4,,,$F$26*B218,1)&gt;OFFSET(Calc2!$I$4,,,$F$26*B218,1)))+SUMPRODUCT((OFFSET(Calc2!$G$4,,,$F$26*B218,1)=F225)*(OFFSET(Calc2!$H$4,,,$F$26*B218,1)&lt;OFFSET(Calc2!$I$4,,,$F$26*B218,1)))</f>
        <v>6</v>
      </c>
      <c r="M225" s="1">
        <f t="array" aca="1" ref="M225" ca="1">SUMPRODUCT((OFFSET(Calc2!$F$4,,,$F$26*B218,2)=F225)*(OFFSET(Calc2!$H$4,,,$F$26*B218,1)=OFFSET(Calc2!$I$4,,,$F$26*B218,1))*(OFFSET(Calc2!$H$4,,,$F$26*B218,1)&lt;&gt;"")*(OFFSET(Calc2!$I$4,,,$F$26*B218,1)&lt;&gt;""))</f>
        <v>2</v>
      </c>
      <c r="N225" s="1">
        <f t="array" aca="1" ref="N225" ca="1">SUMPRODUCT((OFFSET(Calc2!$F$4,,,$F$26*B218,1)=F225)*(OFFSET(Calc2!$H$4,,,$F$26*B218,1)&lt;OFFSET(Calc2!$I$4,,,$F$26*B218,1)))+SUMPRODUCT((OFFSET(Calc2!$G$4,,,$F$26*B218,1)=F225)*(OFFSET(Calc2!$H$4,,,$F$26*B218,1)&gt;OFFSET(Calc2!$I$4,,,$F$26*B218,1)))</f>
        <v>1</v>
      </c>
      <c r="O225" s="132">
        <f ca="1">SUMPRODUCT((F225=OFFSET(Calc2!$F$4,,,$F$26*B218,1))*OFFSET(Calc2!$O$4,,,$F$26*B218,1))+SUMPRODUCT((F225=OFFSET(Calc2!$G$4,,,$F$26*B218,1))*OFFSET(Calc2!$P$4,,,$F$26*B218,1))</f>
        <v>0</v>
      </c>
      <c r="P225" s="2"/>
      <c r="Q225" s="2"/>
      <c r="R225" s="13">
        <f t="shared" ca="1" si="41"/>
        <v>20500009015</v>
      </c>
      <c r="S225" s="134">
        <f>Tie_Break!$D$12</f>
        <v>0</v>
      </c>
      <c r="T225" s="9">
        <f ca="1">RANK(R225,R220:R239)+(9-S225)/10000+(F225="")*1000</f>
        <v>3.0009000000000001</v>
      </c>
      <c r="U225" s="134"/>
      <c r="V225" s="134">
        <f ca="1">IF($K$24=0,"",IF(VLOOKUP(B225,C220:E239,3,0)=MAX(V$4:V224),VLOOKUP(B225,C220:E239,3,0),B225))</f>
        <v>6</v>
      </c>
      <c r="W225" s="4" t="str">
        <f ca="1">IF($K$24=0,Calc2!$C$9,VLOOKUP(B225,C220:N239,4,0))</f>
        <v>TSG Hoffenheim</v>
      </c>
      <c r="X225" s="1">
        <f ca="1">INDEX(V193:V212,MATCH(W225,W193:W212,0))</f>
        <v>7</v>
      </c>
      <c r="Y225" s="1">
        <f t="shared" ca="1" si="44"/>
        <v>1</v>
      </c>
    </row>
    <row r="226" spans="2:25" x14ac:dyDescent="0.2">
      <c r="B226" s="1">
        <v>7</v>
      </c>
      <c r="C226" s="9">
        <f ca="1">RANK(D226,D220:D239,1)</f>
        <v>16</v>
      </c>
      <c r="D226" s="134">
        <f t="shared" ca="1" si="42"/>
        <v>16.225999999999999</v>
      </c>
      <c r="E226" s="134">
        <f ca="1">RANK(T226,T220:T239,1)</f>
        <v>16</v>
      </c>
      <c r="F226" s="187" t="str">
        <f>Calc2!$C$10</f>
        <v>Borussia Mönchengladbach</v>
      </c>
      <c r="G226" s="1">
        <f ca="1">SUMIFS(OFFSET(Calc2!$H$4,,,$F$26*B218,1),OFFSET(Calc2!$F$4,,,$F$26*B218,1),F226)+SUMIFS(OFFSET(Calc2!$I$4,,,$F$26*B218,1),OFFSET(Calc2!$G$4,,,$F$26*B218,1),F226)</f>
        <v>10</v>
      </c>
      <c r="H226" s="1">
        <f ca="1">SUMIFS(OFFSET(Calc2!$I$4,,,$F$26*B218,1),OFFSET(Calc2!$F$4,,,$F$26*B218,1),F226)+SUMIFS(OFFSET(Calc2!$H$4,,,$F$26*B218,1),OFFSET(Calc2!$G$4,,,$F$26*B218,1),F226)</f>
        <v>18</v>
      </c>
      <c r="I226" s="134">
        <f t="shared" ca="1" si="40"/>
        <v>-8</v>
      </c>
      <c r="J226" s="12">
        <f ca="1">L226*Settings!$C$3+M226+O226</f>
        <v>6</v>
      </c>
      <c r="K226" s="1">
        <f t="shared" ca="1" si="43"/>
        <v>9</v>
      </c>
      <c r="L226" s="1">
        <f t="array" aca="1" ref="L226" ca="1">SUMPRODUCT((OFFSET(Calc2!$F$4,,,$F$26*B218,1)=F226)*(OFFSET(Calc2!$H$4,,,$F$26*B218,1)&gt;OFFSET(Calc2!$I$4,,,$F$26*B218,1)))+SUMPRODUCT((OFFSET(Calc2!$G$4,,,$F$26*B218,1)=F226)*(OFFSET(Calc2!$H$4,,,$F$26*B218,1)&lt;OFFSET(Calc2!$I$4,,,$F$26*B218,1)))</f>
        <v>1</v>
      </c>
      <c r="M226" s="1">
        <f t="array" aca="1" ref="M226" ca="1">SUMPRODUCT((OFFSET(Calc2!$F$4,,,$F$26*B218,2)=F226)*(OFFSET(Calc2!$H$4,,,$F$26*B218,1)=OFFSET(Calc2!$I$4,,,$F$26*B218,1))*(OFFSET(Calc2!$H$4,,,$F$26*B218,1)&lt;&gt;"")*(OFFSET(Calc2!$I$4,,,$F$26*B218,1)&lt;&gt;""))</f>
        <v>3</v>
      </c>
      <c r="N226" s="1">
        <f t="array" aca="1" ref="N226" ca="1">SUMPRODUCT((OFFSET(Calc2!$F$4,,,$F$26*B218,1)=F226)*(OFFSET(Calc2!$H$4,,,$F$26*B218,1)&lt;OFFSET(Calc2!$I$4,,,$F$26*B218,1)))+SUMPRODUCT((OFFSET(Calc2!$G$4,,,$F$26*B218,1)=F226)*(OFFSET(Calc2!$H$4,,,$F$26*B218,1)&gt;OFFSET(Calc2!$I$4,,,$F$26*B218,1)))</f>
        <v>5</v>
      </c>
      <c r="O226" s="132">
        <f ca="1">SUMPRODUCT((F226=OFFSET(Calc2!$F$4,,,$F$26*B218,1))*OFFSET(Calc2!$O$4,,,$F$26*B218,1))+SUMPRODUCT((F226=OFFSET(Calc2!$G$4,,,$F$26*B218,1))*OFFSET(Calc2!$P$4,,,$F$26*B218,1))</f>
        <v>0</v>
      </c>
      <c r="P226" s="2"/>
      <c r="Q226" s="2"/>
      <c r="R226" s="13">
        <f t="shared" ca="1" si="41"/>
        <v>6499992010</v>
      </c>
      <c r="S226" s="134">
        <f>Tie_Break!$D$13</f>
        <v>0</v>
      </c>
      <c r="T226" s="9">
        <f ca="1">RANK(R226,R220:R239)+(9-S226)/10000+(F226="")*1000</f>
        <v>16.000900000000001</v>
      </c>
      <c r="U226" s="134"/>
      <c r="V226" s="134">
        <f ca="1">IF($K$24=0,"",IF(VLOOKUP(B226,C220:E239,3,0)=MAX(V$4:V225),VLOOKUP(B226,C220:E239,3,0),B226))</f>
        <v>7</v>
      </c>
      <c r="W226" s="4" t="str">
        <f ca="1">IF($K$24=0,Calc2!$C$10,VLOOKUP(B226,C220:N239,4,0))</f>
        <v>1. FC Köln</v>
      </c>
      <c r="X226" s="1">
        <f ca="1">INDEX(V193:V212,MATCH(W226,W193:W212,0))</f>
        <v>8</v>
      </c>
      <c r="Y226" s="1">
        <f t="shared" ca="1" si="44"/>
        <v>1</v>
      </c>
    </row>
    <row r="227" spans="2:25" x14ac:dyDescent="0.2">
      <c r="B227" s="1">
        <v>8</v>
      </c>
      <c r="C227" s="9">
        <f ca="1">RANK(D227,D220:D239,1)</f>
        <v>8</v>
      </c>
      <c r="D227" s="134">
        <f t="shared" ca="1" si="42"/>
        <v>8.2270000000000003</v>
      </c>
      <c r="E227" s="134">
        <f ca="1">RANK(T227,T220:T239,1)</f>
        <v>8</v>
      </c>
      <c r="F227" s="187" t="str">
        <f>Calc2!$C$11</f>
        <v>Eintracht Frankfurt</v>
      </c>
      <c r="G227" s="1">
        <f ca="1">SUMIFS(OFFSET(Calc2!$H$4,,,$F$26*B218,1),OFFSET(Calc2!$F$4,,,$F$26*B218,1),F227)+SUMIFS(OFFSET(Calc2!$I$4,,,$F$26*B218,1),OFFSET(Calc2!$G$4,,,$F$26*B218,1),F227)</f>
        <v>22</v>
      </c>
      <c r="H227" s="1">
        <f ca="1">SUMIFS(OFFSET(Calc2!$I$4,,,$F$26*B218,1),OFFSET(Calc2!$F$4,,,$F$26*B218,1),F227)+SUMIFS(OFFSET(Calc2!$H$4,,,$F$26*B218,1),OFFSET(Calc2!$G$4,,,$F$26*B218,1),F227)</f>
        <v>19</v>
      </c>
      <c r="I227" s="134">
        <f t="shared" ca="1" si="40"/>
        <v>3</v>
      </c>
      <c r="J227" s="12">
        <f ca="1">L227*Settings!$C$3+M227+O227</f>
        <v>14</v>
      </c>
      <c r="K227" s="1">
        <f t="shared" ca="1" si="43"/>
        <v>9</v>
      </c>
      <c r="L227" s="1">
        <f t="array" aca="1" ref="L227" ca="1">SUMPRODUCT((OFFSET(Calc2!$F$4,,,$F$26*B218,1)=F227)*(OFFSET(Calc2!$H$4,,,$F$26*B218,1)&gt;OFFSET(Calc2!$I$4,,,$F$26*B218,1)))+SUMPRODUCT((OFFSET(Calc2!$G$4,,,$F$26*B218,1)=F227)*(OFFSET(Calc2!$H$4,,,$F$26*B218,1)&lt;OFFSET(Calc2!$I$4,,,$F$26*B218,1)))</f>
        <v>4</v>
      </c>
      <c r="M227" s="1">
        <f t="array" aca="1" ref="M227" ca="1">SUMPRODUCT((OFFSET(Calc2!$F$4,,,$F$26*B218,2)=F227)*(OFFSET(Calc2!$H$4,,,$F$26*B218,1)=OFFSET(Calc2!$I$4,,,$F$26*B218,1))*(OFFSET(Calc2!$H$4,,,$F$26*B218,1)&lt;&gt;"")*(OFFSET(Calc2!$I$4,,,$F$26*B218,1)&lt;&gt;""))</f>
        <v>2</v>
      </c>
      <c r="N227" s="1">
        <f t="array" aca="1" ref="N227" ca="1">SUMPRODUCT((OFFSET(Calc2!$F$4,,,$F$26*B218,1)=F227)*(OFFSET(Calc2!$H$4,,,$F$26*B218,1)&lt;OFFSET(Calc2!$I$4,,,$F$26*B218,1)))+SUMPRODUCT((OFFSET(Calc2!$G$4,,,$F$26*B218,1)=F227)*(OFFSET(Calc2!$H$4,,,$F$26*B218,1)&gt;OFFSET(Calc2!$I$4,,,$F$26*B218,1)))</f>
        <v>3</v>
      </c>
      <c r="O227" s="132">
        <f ca="1">SUMPRODUCT((F227=OFFSET(Calc2!$F$4,,,$F$26*B218,1))*OFFSET(Calc2!$O$4,,,$F$26*B218,1))+SUMPRODUCT((F227=OFFSET(Calc2!$G$4,,,$F$26*B218,1))*OFFSET(Calc2!$P$4,,,$F$26*B218,1))</f>
        <v>0</v>
      </c>
      <c r="P227" s="2"/>
      <c r="Q227" s="2"/>
      <c r="R227" s="13">
        <f t="shared" ca="1" si="41"/>
        <v>14500003022</v>
      </c>
      <c r="S227" s="134">
        <f>Tie_Break!$D$14</f>
        <v>0</v>
      </c>
      <c r="T227" s="9">
        <f ca="1">RANK(R227,R220:R239)+(9-S227)/10000+(F227="")*1000</f>
        <v>8.0008999999999997</v>
      </c>
      <c r="U227" s="134"/>
      <c r="V227" s="134">
        <f ca="1">IF($K$24=0,"",IF(VLOOKUP(B227,C220:E239,3,0)=MAX(V$4:V226),VLOOKUP(B227,C220:E239,3,0),B227))</f>
        <v>8</v>
      </c>
      <c r="W227" s="4" t="str">
        <f ca="1">IF($K$24=0,Calc2!$C$11,VLOOKUP(B227,C220:N239,4,0))</f>
        <v>Eintracht Frankfurt</v>
      </c>
      <c r="X227" s="1">
        <f ca="1">INDEX(V193:V212,MATCH(W227,W193:W212,0))</f>
        <v>6</v>
      </c>
      <c r="Y227" s="1">
        <f t="shared" ca="1" si="44"/>
        <v>-1</v>
      </c>
    </row>
    <row r="228" spans="2:25" x14ac:dyDescent="0.2">
      <c r="B228" s="1">
        <v>9</v>
      </c>
      <c r="C228" s="9">
        <f ca="1">RANK(D228,D220:D239,1)</f>
        <v>14</v>
      </c>
      <c r="D228" s="134">
        <f t="shared" ca="1" si="42"/>
        <v>14.228</v>
      </c>
      <c r="E228" s="134">
        <f ca="1">RANK(T228,T220:T239,1)</f>
        <v>14</v>
      </c>
      <c r="F228" s="187" t="str">
        <f>Calc2!$C$12</f>
        <v>FC Augsburg</v>
      </c>
      <c r="G228" s="1">
        <f ca="1">SUMIFS(OFFSET(Calc2!$H$4,,,$F$26*B218,1),OFFSET(Calc2!$F$4,,,$F$26*B218,1),F228)+SUMIFS(OFFSET(Calc2!$I$4,,,$F$26*B218,1),OFFSET(Calc2!$G$4,,,$F$26*B218,1),F228)</f>
        <v>12</v>
      </c>
      <c r="H228" s="1">
        <f ca="1">SUMIFS(OFFSET(Calc2!$I$4,,,$F$26*B218,1),OFFSET(Calc2!$F$4,,,$F$26*B218,1),F228)+SUMIFS(OFFSET(Calc2!$H$4,,,$F$26*B218,1),OFFSET(Calc2!$G$4,,,$F$26*B218,1),F228)</f>
        <v>21</v>
      </c>
      <c r="I228" s="134">
        <f t="shared" ca="1" si="40"/>
        <v>-9</v>
      </c>
      <c r="J228" s="12">
        <f ca="1">L228*Settings!$C$3+M228+O228</f>
        <v>7</v>
      </c>
      <c r="K228" s="1">
        <f t="shared" ca="1" si="43"/>
        <v>9</v>
      </c>
      <c r="L228" s="1">
        <f t="array" aca="1" ref="L228" ca="1">SUMPRODUCT((OFFSET(Calc2!$F$4,,,$F$26*B218,1)=F228)*(OFFSET(Calc2!$H$4,,,$F$26*B218,1)&gt;OFFSET(Calc2!$I$4,,,$F$26*B218,1)))+SUMPRODUCT((OFFSET(Calc2!$G$4,,,$F$26*B218,1)=F228)*(OFFSET(Calc2!$H$4,,,$F$26*B218,1)&lt;OFFSET(Calc2!$I$4,,,$F$26*B218,1)))</f>
        <v>2</v>
      </c>
      <c r="M228" s="1">
        <f t="array" aca="1" ref="M228" ca="1">SUMPRODUCT((OFFSET(Calc2!$F$4,,,$F$26*B218,2)=F228)*(OFFSET(Calc2!$H$4,,,$F$26*B218,1)=OFFSET(Calc2!$I$4,,,$F$26*B218,1))*(OFFSET(Calc2!$H$4,,,$F$26*B218,1)&lt;&gt;"")*(OFFSET(Calc2!$I$4,,,$F$26*B218,1)&lt;&gt;""))</f>
        <v>1</v>
      </c>
      <c r="N228" s="1">
        <f t="array" aca="1" ref="N228" ca="1">SUMPRODUCT((OFFSET(Calc2!$F$4,,,$F$26*B218,1)=F228)*(OFFSET(Calc2!$H$4,,,$F$26*B218,1)&lt;OFFSET(Calc2!$I$4,,,$F$26*B218,1)))+SUMPRODUCT((OFFSET(Calc2!$G$4,,,$F$26*B218,1)=F228)*(OFFSET(Calc2!$H$4,,,$F$26*B218,1)&gt;OFFSET(Calc2!$I$4,,,$F$26*B218,1)))</f>
        <v>6</v>
      </c>
      <c r="O228" s="132">
        <f ca="1">SUMPRODUCT((F228=OFFSET(Calc2!$F$4,,,$F$26*B218,1))*OFFSET(Calc2!$O$4,,,$F$26*B218,1))+SUMPRODUCT((F228=OFFSET(Calc2!$G$4,,,$F$26*B218,1))*OFFSET(Calc2!$P$4,,,$F$26*B218,1))</f>
        <v>0</v>
      </c>
      <c r="P228" s="2"/>
      <c r="Q228" s="2"/>
      <c r="R228" s="13">
        <f t="shared" ca="1" si="41"/>
        <v>7499991012</v>
      </c>
      <c r="S228" s="134">
        <f>Tie_Break!$D$15</f>
        <v>0</v>
      </c>
      <c r="T228" s="9">
        <f ca="1">RANK(R228,R220:R239)+(9-S228)/10000+(F228="")*1000</f>
        <v>14.0009</v>
      </c>
      <c r="U228" s="134"/>
      <c r="V228" s="134">
        <f ca="1">IF($K$24=0,"",IF(VLOOKUP(B228,C220:E239,3,0)=MAX(V$4:V227),VLOOKUP(B228,C220:E239,3,0),B228))</f>
        <v>9</v>
      </c>
      <c r="W228" s="4" t="str">
        <f ca="1">IF($K$24=0,Calc2!$C$12,VLOOKUP(B228,C220:N239,4,0))</f>
        <v>SV Werder Bremen</v>
      </c>
      <c r="X228" s="1">
        <f ca="1">INDEX(V193:V212,MATCH(W228,W193:W212,0))</f>
        <v>9</v>
      </c>
      <c r="Y228" s="1">
        <f t="shared" ca="1" si="44"/>
        <v>0</v>
      </c>
    </row>
    <row r="229" spans="2:25" x14ac:dyDescent="0.2">
      <c r="B229" s="1">
        <v>10</v>
      </c>
      <c r="C229" s="9">
        <f ca="1">RANK(D229,D220:D239,1)</f>
        <v>1</v>
      </c>
      <c r="D229" s="134">
        <f t="shared" ca="1" si="42"/>
        <v>1.2290000000000001</v>
      </c>
      <c r="E229" s="134">
        <f ca="1">RANK(T229,T220:T239,1)</f>
        <v>1</v>
      </c>
      <c r="F229" s="187" t="str">
        <f>Calc2!$C$13</f>
        <v>FC Bayern München</v>
      </c>
      <c r="G229" s="1">
        <f ca="1">SUMIFS(OFFSET(Calc2!$H$4,,,$F$26*B218,1),OFFSET(Calc2!$F$4,,,$F$26*B218,1),F229)+SUMIFS(OFFSET(Calc2!$I$4,,,$F$26*B218,1),OFFSET(Calc2!$G$4,,,$F$26*B218,1),F229)</f>
        <v>33</v>
      </c>
      <c r="H229" s="1">
        <f ca="1">SUMIFS(OFFSET(Calc2!$I$4,,,$F$26*B218,1),OFFSET(Calc2!$F$4,,,$F$26*B218,1),F229)+SUMIFS(OFFSET(Calc2!$H$4,,,$F$26*B218,1),OFFSET(Calc2!$G$4,,,$F$26*B218,1),F229)</f>
        <v>4</v>
      </c>
      <c r="I229" s="134">
        <f t="shared" ca="1" si="40"/>
        <v>29</v>
      </c>
      <c r="J229" s="12">
        <f ca="1">L229*Settings!$C$3+M229+O229</f>
        <v>27</v>
      </c>
      <c r="K229" s="1">
        <f t="shared" ca="1" si="43"/>
        <v>9</v>
      </c>
      <c r="L229" s="1">
        <f t="array" aca="1" ref="L229" ca="1">SUMPRODUCT((OFFSET(Calc2!$F$4,,,$F$26*B218,1)=F229)*(OFFSET(Calc2!$H$4,,,$F$26*B218,1)&gt;OFFSET(Calc2!$I$4,,,$F$26*B218,1)))+SUMPRODUCT((OFFSET(Calc2!$G$4,,,$F$26*B218,1)=F229)*(OFFSET(Calc2!$H$4,,,$F$26*B218,1)&lt;OFFSET(Calc2!$I$4,,,$F$26*B218,1)))</f>
        <v>9</v>
      </c>
      <c r="M229" s="1">
        <f t="array" aca="1" ref="M229" ca="1">SUMPRODUCT((OFFSET(Calc2!$F$4,,,$F$26*B218,2)=F229)*(OFFSET(Calc2!$H$4,,,$F$26*B218,1)=OFFSET(Calc2!$I$4,,,$F$26*B218,1))*(OFFSET(Calc2!$H$4,,,$F$26*B218,1)&lt;&gt;"")*(OFFSET(Calc2!$I$4,,,$F$26*B218,1)&lt;&gt;""))</f>
        <v>0</v>
      </c>
      <c r="N229" s="1">
        <f t="array" aca="1" ref="N229" ca="1">SUMPRODUCT((OFFSET(Calc2!$F$4,,,$F$26*B218,1)=F229)*(OFFSET(Calc2!$H$4,,,$F$26*B218,1)&lt;OFFSET(Calc2!$I$4,,,$F$26*B218,1)))+SUMPRODUCT((OFFSET(Calc2!$G$4,,,$F$26*B218,1)=F229)*(OFFSET(Calc2!$H$4,,,$F$26*B218,1)&gt;OFFSET(Calc2!$I$4,,,$F$26*B218,1)))</f>
        <v>0</v>
      </c>
      <c r="O229" s="132">
        <f ca="1">SUMPRODUCT((F229=OFFSET(Calc2!$F$4,,,$F$26*B218,1))*OFFSET(Calc2!$O$4,,,$F$26*B218,1))+SUMPRODUCT((F229=OFFSET(Calc2!$G$4,,,$F$26*B218,1))*OFFSET(Calc2!$P$4,,,$F$26*B218,1))</f>
        <v>0</v>
      </c>
      <c r="P229" s="2"/>
      <c r="Q229" s="2"/>
      <c r="R229" s="13">
        <f t="shared" ca="1" si="41"/>
        <v>27500029033</v>
      </c>
      <c r="S229" s="134">
        <f>Tie_Break!$D$16</f>
        <v>0</v>
      </c>
      <c r="T229" s="9">
        <f ca="1">RANK(R229,R220:R239)+(9-S229)/10000+(F229="")*1000</f>
        <v>1.0008999999999999</v>
      </c>
      <c r="U229" s="2"/>
      <c r="V229" s="134">
        <f ca="1">IF($K$24=0,"",IF(VLOOKUP(B229,C220:E239,3,0)=MAX(V$4:V228),VLOOKUP(B229,C220:E239,3,0),B229))</f>
        <v>10</v>
      </c>
      <c r="W229" s="4" t="str">
        <f ca="1">IF($K$24=0,Calc2!$C$13,VLOOKUP(B229,C220:N239,4,0))</f>
        <v>1. FC Union Berlin</v>
      </c>
      <c r="X229" s="1">
        <f ca="1">INDEX(V193:V212,MATCH(W229,W193:W212,0))</f>
        <v>10</v>
      </c>
      <c r="Y229" s="1">
        <f t="shared" ca="1" si="44"/>
        <v>0</v>
      </c>
    </row>
    <row r="230" spans="2:25" x14ac:dyDescent="0.2">
      <c r="B230" s="1">
        <v>11</v>
      </c>
      <c r="C230" s="9">
        <f ca="1">RANK(D230,D220:D239,1)</f>
        <v>15</v>
      </c>
      <c r="D230" s="134">
        <f t="shared" ca="1" si="42"/>
        <v>15.23</v>
      </c>
      <c r="E230" s="134">
        <f ca="1">RANK(T230,T220:T239,1)</f>
        <v>15</v>
      </c>
      <c r="F230" s="187" t="str">
        <f>Calc2!$C$14</f>
        <v>FC St. Pauli</v>
      </c>
      <c r="G230" s="1">
        <f ca="1">SUMIFS(OFFSET(Calc2!$H$4,,,$F$26*B218,1),OFFSET(Calc2!$F$4,,,$F$26*B218,1),F230)+SUMIFS(OFFSET(Calc2!$I$4,,,$F$26*B218,1),OFFSET(Calc2!$G$4,,,$F$26*B218,1),F230)</f>
        <v>8</v>
      </c>
      <c r="H230" s="1">
        <f ca="1">SUMIFS(OFFSET(Calc2!$I$4,,,$F$26*B218,1),OFFSET(Calc2!$F$4,,,$F$26*B218,1),F230)+SUMIFS(OFFSET(Calc2!$H$4,,,$F$26*B218,1),OFFSET(Calc2!$G$4,,,$F$26*B218,1),F230)</f>
        <v>18</v>
      </c>
      <c r="I230" s="134">
        <f t="shared" ca="1" si="40"/>
        <v>-10</v>
      </c>
      <c r="J230" s="12">
        <f ca="1">L230*Settings!$C$3+M230+O230</f>
        <v>7</v>
      </c>
      <c r="K230" s="1">
        <f t="shared" ca="1" si="43"/>
        <v>9</v>
      </c>
      <c r="L230" s="1">
        <f t="array" aca="1" ref="L230" ca="1">SUMPRODUCT((OFFSET(Calc2!$F$4,,,$F$26*B218,1)=F230)*(OFFSET(Calc2!$H$4,,,$F$26*B218,1)&gt;OFFSET(Calc2!$I$4,,,$F$26*B218,1)))+SUMPRODUCT((OFFSET(Calc2!$G$4,,,$F$26*B218,1)=F230)*(OFFSET(Calc2!$H$4,,,$F$26*B218,1)&lt;OFFSET(Calc2!$I$4,,,$F$26*B218,1)))</f>
        <v>2</v>
      </c>
      <c r="M230" s="1">
        <f t="array" aca="1" ref="M230" ca="1">SUMPRODUCT((OFFSET(Calc2!$F$4,,,$F$26*B218,2)=F230)*(OFFSET(Calc2!$H$4,,,$F$26*B218,1)=OFFSET(Calc2!$I$4,,,$F$26*B218,1))*(OFFSET(Calc2!$H$4,,,$F$26*B218,1)&lt;&gt;"")*(OFFSET(Calc2!$I$4,,,$F$26*B218,1)&lt;&gt;""))</f>
        <v>1</v>
      </c>
      <c r="N230" s="1">
        <f t="array" aca="1" ref="N230" ca="1">SUMPRODUCT((OFFSET(Calc2!$F$4,,,$F$26*B218,1)=F230)*(OFFSET(Calc2!$H$4,,,$F$26*B218,1)&lt;OFFSET(Calc2!$I$4,,,$F$26*B218,1)))+SUMPRODUCT((OFFSET(Calc2!$G$4,,,$F$26*B218,1)=F230)*(OFFSET(Calc2!$H$4,,,$F$26*B218,1)&gt;OFFSET(Calc2!$I$4,,,$F$26*B218,1)))</f>
        <v>6</v>
      </c>
      <c r="O230" s="132">
        <f ca="1">SUMPRODUCT((F230=OFFSET(Calc2!$F$4,,,$F$26*B218,1))*OFFSET(Calc2!$O$4,,,$F$26*B218,1))+SUMPRODUCT((F230=OFFSET(Calc2!$G$4,,,$F$26*B218,1))*OFFSET(Calc2!$P$4,,,$F$26*B218,1))</f>
        <v>0</v>
      </c>
      <c r="P230" s="2"/>
      <c r="Q230" s="2"/>
      <c r="R230" s="13">
        <f t="shared" ca="1" si="41"/>
        <v>7499990008</v>
      </c>
      <c r="S230" s="134">
        <f>Tie_Break!$D$17</f>
        <v>0</v>
      </c>
      <c r="T230" s="9">
        <f ca="1">RANK(R230,R220:R239)+(9-S230)/10000+(F230="")*1000</f>
        <v>15.0009</v>
      </c>
      <c r="U230" s="2"/>
      <c r="V230" s="134">
        <f ca="1">IF($K$24=0,"",IF(VLOOKUP(B230,C220:E239,3,0)=MAX(V$4:V229),VLOOKUP(B230,C220:E239,3,0),B230))</f>
        <v>11</v>
      </c>
      <c r="W230" s="4" t="str">
        <f ca="1">IF($K$24=0,Calc2!$C$14,VLOOKUP(B230,C220:N239,4,0))</f>
        <v>SC Freiburg</v>
      </c>
      <c r="X230" s="1">
        <f ca="1">INDEX(V193:V212,MATCH(W230,W193:W212,0))</f>
        <v>11</v>
      </c>
      <c r="Y230" s="1">
        <f t="shared" ca="1" si="44"/>
        <v>0</v>
      </c>
    </row>
    <row r="231" spans="2:25" x14ac:dyDescent="0.2">
      <c r="B231" s="1">
        <v>12</v>
      </c>
      <c r="C231" s="9">
        <f ca="1">RANK(D231,D220:D239,1)</f>
        <v>13</v>
      </c>
      <c r="D231" s="134">
        <f t="shared" ca="1" si="42"/>
        <v>13.231</v>
      </c>
      <c r="E231" s="134">
        <f ca="1">RANK(T231,T220:T239,1)</f>
        <v>13</v>
      </c>
      <c r="F231" s="187" t="str">
        <f>Calc2!$C$15</f>
        <v>Hamburger SV</v>
      </c>
      <c r="G231" s="1">
        <f ca="1">SUMIFS(OFFSET(Calc2!$H$4,,,$F$26*B218,1),OFFSET(Calc2!$F$4,,,$F$26*B218,1),F231)+SUMIFS(OFFSET(Calc2!$I$4,,,$F$26*B218,1),OFFSET(Calc2!$G$4,,,$F$26*B218,1),F231)</f>
        <v>8</v>
      </c>
      <c r="H231" s="1">
        <f ca="1">SUMIFS(OFFSET(Calc2!$I$4,,,$F$26*B218,1),OFFSET(Calc2!$F$4,,,$F$26*B218,1),F231)+SUMIFS(OFFSET(Calc2!$H$4,,,$F$26*B218,1),OFFSET(Calc2!$G$4,,,$F$26*B218,1),F231)</f>
        <v>15</v>
      </c>
      <c r="I231" s="134">
        <f t="shared" ca="1" si="40"/>
        <v>-7</v>
      </c>
      <c r="J231" s="12">
        <f ca="1">L231*Settings!$C$3+M231+O231</f>
        <v>8</v>
      </c>
      <c r="K231" s="1">
        <f t="shared" ca="1" si="43"/>
        <v>9</v>
      </c>
      <c r="L231" s="1">
        <f t="array" aca="1" ref="L231" ca="1">SUMPRODUCT((OFFSET(Calc2!$F$4,,,$F$26*B218,1)=F231)*(OFFSET(Calc2!$H$4,,,$F$26*B218,1)&gt;OFFSET(Calc2!$I$4,,,$F$26*B218,1)))+SUMPRODUCT((OFFSET(Calc2!$G$4,,,$F$26*B218,1)=F231)*(OFFSET(Calc2!$H$4,,,$F$26*B218,1)&lt;OFFSET(Calc2!$I$4,,,$F$26*B218,1)))</f>
        <v>2</v>
      </c>
      <c r="M231" s="1">
        <f t="array" aca="1" ref="M231" ca="1">SUMPRODUCT((OFFSET(Calc2!$F$4,,,$F$26*B218,2)=F231)*(OFFSET(Calc2!$H$4,,,$F$26*B218,1)=OFFSET(Calc2!$I$4,,,$F$26*B218,1))*(OFFSET(Calc2!$H$4,,,$F$26*B218,1)&lt;&gt;"")*(OFFSET(Calc2!$I$4,,,$F$26*B218,1)&lt;&gt;""))</f>
        <v>2</v>
      </c>
      <c r="N231" s="1">
        <f t="array" aca="1" ref="N231" ca="1">SUMPRODUCT((OFFSET(Calc2!$F$4,,,$F$26*B218,1)=F231)*(OFFSET(Calc2!$H$4,,,$F$26*B218,1)&lt;OFFSET(Calc2!$I$4,,,$F$26*B218,1)))+SUMPRODUCT((OFFSET(Calc2!$G$4,,,$F$26*B218,1)=F231)*(OFFSET(Calc2!$H$4,,,$F$26*B218,1)&gt;OFFSET(Calc2!$I$4,,,$F$26*B218,1)))</f>
        <v>5</v>
      </c>
      <c r="O231" s="132">
        <f ca="1">SUMPRODUCT((F231=OFFSET(Calc2!$F$4,,,$F$26*B218,1))*OFFSET(Calc2!$O$4,,,$F$26*B218,1))+SUMPRODUCT((F231=OFFSET(Calc2!$G$4,,,$F$26*B218,1))*OFFSET(Calc2!$P$4,,,$F$26*B218,1))</f>
        <v>0</v>
      </c>
      <c r="P231" s="2"/>
      <c r="Q231" s="2"/>
      <c r="R231" s="13">
        <f t="shared" ca="1" si="41"/>
        <v>8499993008</v>
      </c>
      <c r="S231" s="134">
        <f>Tie_Break!$D$18</f>
        <v>0</v>
      </c>
      <c r="T231" s="9">
        <f ca="1">RANK(R231,R220:R239)+(9-S231)/10000+(F231="")*1000</f>
        <v>13.0009</v>
      </c>
      <c r="U231" s="2"/>
      <c r="V231" s="134">
        <f ca="1">IF($K$24=0,"",IF(VLOOKUP(B231,C220:E239,3,0)=MAX(V$4:V230),VLOOKUP(B231,C220:E239,3,0),B231))</f>
        <v>12</v>
      </c>
      <c r="W231" s="4" t="str">
        <f ca="1">IF($K$24=0,Calc2!$C$15,VLOOKUP(B231,C220:N239,4,0))</f>
        <v>VfL Wolfsburg</v>
      </c>
      <c r="X231" s="1">
        <f ca="1">INDEX(V193:V212,MATCH(W231,W193:W212,0))</f>
        <v>12</v>
      </c>
      <c r="Y231" s="1">
        <f t="shared" ca="1" si="44"/>
        <v>0</v>
      </c>
    </row>
    <row r="232" spans="2:25" x14ac:dyDescent="0.2">
      <c r="B232" s="1">
        <v>13</v>
      </c>
      <c r="C232" s="9">
        <f ca="1">RANK(D232,D220:D239,1)</f>
        <v>2</v>
      </c>
      <c r="D232" s="134">
        <f t="shared" ca="1" si="42"/>
        <v>2.2320000000000002</v>
      </c>
      <c r="E232" s="134">
        <f ca="1">RANK(T232,T220:T239,1)</f>
        <v>2</v>
      </c>
      <c r="F232" s="187" t="str">
        <f>Calc2!$C$16</f>
        <v>RB Leipzig</v>
      </c>
      <c r="G232" s="1">
        <f ca="1">SUMIFS(OFFSET(Calc2!$H$4,,,$F$26*B218,1),OFFSET(Calc2!$F$4,,,$F$26*B218,1),F232)+SUMIFS(OFFSET(Calc2!$I$4,,,$F$26*B218,1),OFFSET(Calc2!$G$4,,,$F$26*B218,1),F232)</f>
        <v>19</v>
      </c>
      <c r="H232" s="1">
        <f ca="1">SUMIFS(OFFSET(Calc2!$I$4,,,$F$26*B218,1),OFFSET(Calc2!$F$4,,,$F$26*B218,1),F232)+SUMIFS(OFFSET(Calc2!$H$4,,,$F$26*B218,1),OFFSET(Calc2!$G$4,,,$F$26*B218,1),F232)</f>
        <v>10</v>
      </c>
      <c r="I232" s="134">
        <f t="shared" ca="1" si="40"/>
        <v>9</v>
      </c>
      <c r="J232" s="12">
        <f ca="1">L232*Settings!$C$3+M232+O232</f>
        <v>22</v>
      </c>
      <c r="K232" s="1">
        <f t="shared" ca="1" si="43"/>
        <v>9</v>
      </c>
      <c r="L232" s="1">
        <f t="array" aca="1" ref="L232" ca="1">SUMPRODUCT((OFFSET(Calc2!$F$4,,,$F$26*B218,1)=F232)*(OFFSET(Calc2!$H$4,,,$F$26*B218,1)&gt;OFFSET(Calc2!$I$4,,,$F$26*B218,1)))+SUMPRODUCT((OFFSET(Calc2!$G$4,,,$F$26*B218,1)=F232)*(OFFSET(Calc2!$H$4,,,$F$26*B218,1)&lt;OFFSET(Calc2!$I$4,,,$F$26*B218,1)))</f>
        <v>7</v>
      </c>
      <c r="M232" s="1">
        <f t="array" aca="1" ref="M232" ca="1">SUMPRODUCT((OFFSET(Calc2!$F$4,,,$F$26*B218,2)=F232)*(OFFSET(Calc2!$H$4,,,$F$26*B218,1)=OFFSET(Calc2!$I$4,,,$F$26*B218,1))*(OFFSET(Calc2!$H$4,,,$F$26*B218,1)&lt;&gt;"")*(OFFSET(Calc2!$I$4,,,$F$26*B218,1)&lt;&gt;""))</f>
        <v>1</v>
      </c>
      <c r="N232" s="1">
        <f t="array" aca="1" ref="N232" ca="1">SUMPRODUCT((OFFSET(Calc2!$F$4,,,$F$26*B218,1)=F232)*(OFFSET(Calc2!$H$4,,,$F$26*B218,1)&lt;OFFSET(Calc2!$I$4,,,$F$26*B218,1)))+SUMPRODUCT((OFFSET(Calc2!$G$4,,,$F$26*B218,1)=F232)*(OFFSET(Calc2!$H$4,,,$F$26*B218,1)&gt;OFFSET(Calc2!$I$4,,,$F$26*B218,1)))</f>
        <v>1</v>
      </c>
      <c r="O232" s="132">
        <f ca="1">SUMPRODUCT((F232=OFFSET(Calc2!$F$4,,,$F$26*B218,1))*OFFSET(Calc2!$O$4,,,$F$26*B218,1))+SUMPRODUCT((F232=OFFSET(Calc2!$G$4,,,$F$26*B218,1))*OFFSET(Calc2!$P$4,,,$F$26*B218,1))</f>
        <v>0</v>
      </c>
      <c r="P232" s="2"/>
      <c r="Q232" s="2"/>
      <c r="R232" s="13">
        <f t="shared" ca="1" si="41"/>
        <v>22500009019</v>
      </c>
      <c r="S232" s="134">
        <f>Tie_Break!$D$19</f>
        <v>0</v>
      </c>
      <c r="T232" s="9">
        <f ca="1">RANK(R232,R220:R239)+(9-S232)/10000+(F232="")*1000</f>
        <v>2.0009000000000001</v>
      </c>
      <c r="U232" s="1"/>
      <c r="V232" s="134">
        <f ca="1">IF($K$24=0,"",IF(VLOOKUP(B232,C220:E239,3,0)=MAX(V$4:V231),VLOOKUP(B232,C220:E239,3,0),B232))</f>
        <v>13</v>
      </c>
      <c r="W232" s="4" t="str">
        <f ca="1">IF($K$24=0,Calc2!$C$16,VLOOKUP(B232,C220:N239,4,0))</f>
        <v>Hamburger SV</v>
      </c>
      <c r="X232" s="1">
        <f ca="1">INDEX(V193:V212,MATCH(W232,W193:W212,0))</f>
        <v>13</v>
      </c>
      <c r="Y232" s="1">
        <f t="shared" ca="1" si="44"/>
        <v>0</v>
      </c>
    </row>
    <row r="233" spans="2:25" x14ac:dyDescent="0.2">
      <c r="B233" s="1">
        <v>14</v>
      </c>
      <c r="C233" s="9">
        <f ca="1">RANK(D233,D220:D239,1)</f>
        <v>11</v>
      </c>
      <c r="D233" s="134">
        <f t="shared" ca="1" si="42"/>
        <v>11.233000000000001</v>
      </c>
      <c r="E233" s="134">
        <f ca="1">RANK(T233,T220:T239,1)</f>
        <v>11</v>
      </c>
      <c r="F233" s="187" t="str">
        <f>Calc2!$C$17</f>
        <v>SC Freiburg</v>
      </c>
      <c r="G233" s="1">
        <f ca="1">SUMIFS(OFFSET(Calc2!$H$4,,,$F$26*B218,1),OFFSET(Calc2!$F$4,,,$F$26*B218,1),F233)+SUMIFS(OFFSET(Calc2!$I$4,,,$F$26*B218,1),OFFSET(Calc2!$G$4,,,$F$26*B218,1),F233)</f>
        <v>11</v>
      </c>
      <c r="H233" s="1">
        <f ca="1">SUMIFS(OFFSET(Calc2!$I$4,,,$F$26*B218,1),OFFSET(Calc2!$F$4,,,$F$26*B218,1),F233)+SUMIFS(OFFSET(Calc2!$H$4,,,$F$26*B218,1),OFFSET(Calc2!$G$4,,,$F$26*B218,1),F233)</f>
        <v>13</v>
      </c>
      <c r="I233" s="134">
        <f t="shared" ca="1" si="40"/>
        <v>-2</v>
      </c>
      <c r="J233" s="12">
        <f ca="1">L233*Settings!$C$3+M233+O233</f>
        <v>10</v>
      </c>
      <c r="K233" s="1">
        <f t="shared" ca="1" si="43"/>
        <v>9</v>
      </c>
      <c r="L233" s="1">
        <f t="array" aca="1" ref="L233" ca="1">SUMPRODUCT((OFFSET(Calc2!$F$4,,,$F$26*B218,1)=F233)*(OFFSET(Calc2!$H$4,,,$F$26*B218,1)&gt;OFFSET(Calc2!$I$4,,,$F$26*B218,1)))+SUMPRODUCT((OFFSET(Calc2!$G$4,,,$F$26*B218,1)=F233)*(OFFSET(Calc2!$H$4,,,$F$26*B218,1)&lt;OFFSET(Calc2!$I$4,,,$F$26*B218,1)))</f>
        <v>2</v>
      </c>
      <c r="M233" s="1">
        <f t="array" aca="1" ref="M233" ca="1">SUMPRODUCT((OFFSET(Calc2!$F$4,,,$F$26*B218,2)=F233)*(OFFSET(Calc2!$H$4,,,$F$26*B218,1)=OFFSET(Calc2!$I$4,,,$F$26*B218,1))*(OFFSET(Calc2!$H$4,,,$F$26*B218,1)&lt;&gt;"")*(OFFSET(Calc2!$I$4,,,$F$26*B218,1)&lt;&gt;""))</f>
        <v>4</v>
      </c>
      <c r="N233" s="1">
        <f t="array" aca="1" ref="N233" ca="1">SUMPRODUCT((OFFSET(Calc2!$F$4,,,$F$26*B218,1)=F233)*(OFFSET(Calc2!$H$4,,,$F$26*B218,1)&lt;OFFSET(Calc2!$I$4,,,$F$26*B218,1)))+SUMPRODUCT((OFFSET(Calc2!$G$4,,,$F$26*B218,1)=F233)*(OFFSET(Calc2!$H$4,,,$F$26*B218,1)&gt;OFFSET(Calc2!$I$4,,,$F$26*B218,1)))</f>
        <v>3</v>
      </c>
      <c r="O233" s="132">
        <f ca="1">SUMPRODUCT((F233=OFFSET(Calc2!$F$4,,,$F$26*B218,1))*OFFSET(Calc2!$O$4,,,$F$26*B218,1))+SUMPRODUCT((F233=OFFSET(Calc2!$G$4,,,$F$26*B218,1))*OFFSET(Calc2!$P$4,,,$F$26*B218,1))</f>
        <v>0</v>
      </c>
      <c r="P233" s="2"/>
      <c r="Q233" s="2"/>
      <c r="R233" s="13">
        <f t="shared" ca="1" si="41"/>
        <v>10499998011</v>
      </c>
      <c r="S233" s="134">
        <f>Tie_Break!$D$20</f>
        <v>0</v>
      </c>
      <c r="T233" s="9">
        <f ca="1">RANK(R233,R220:R239)+(9-S233)/10000+(F233="")*1000</f>
        <v>11.0009</v>
      </c>
      <c r="U233" s="2"/>
      <c r="V233" s="134">
        <f ca="1">IF($K$24=0,"",IF(VLOOKUP(B233,C220:E239,3,0)=MAX(V$4:V232),VLOOKUP(B233,C220:E239,3,0),B233))</f>
        <v>14</v>
      </c>
      <c r="W233" s="4" t="str">
        <f ca="1">IF($K$24=0,Calc2!$C$17,VLOOKUP(B233,C220:N239,4,0))</f>
        <v>FC Augsburg</v>
      </c>
      <c r="X233" s="1">
        <f ca="1">INDEX(V193:V212,MATCH(W233,W193:W212,0))</f>
        <v>15</v>
      </c>
      <c r="Y233" s="1">
        <f t="shared" ca="1" si="44"/>
        <v>1</v>
      </c>
    </row>
    <row r="234" spans="2:25" x14ac:dyDescent="0.2">
      <c r="B234" s="1">
        <v>15</v>
      </c>
      <c r="C234" s="9">
        <f ca="1">RANK(D234,D220:D239,1)</f>
        <v>9</v>
      </c>
      <c r="D234" s="134">
        <f t="shared" ca="1" si="42"/>
        <v>9.234</v>
      </c>
      <c r="E234" s="134">
        <f ca="1">RANK(T234,T220:T239,1)</f>
        <v>9</v>
      </c>
      <c r="F234" s="187" t="str">
        <f>Calc2!$C$18</f>
        <v>SV Werder Bremen</v>
      </c>
      <c r="G234" s="1">
        <f ca="1">SUMIFS(OFFSET(Calc2!$H$4,,,$F$26*B218,1),OFFSET(Calc2!$F$4,,,$F$26*B218,1),F234)+SUMIFS(OFFSET(Calc2!$I$4,,,$F$26*B218,1),OFFSET(Calc2!$G$4,,,$F$26*B218,1),F234)</f>
        <v>13</v>
      </c>
      <c r="H234" s="1">
        <f ca="1">SUMIFS(OFFSET(Calc2!$I$4,,,$F$26*B218,1),OFFSET(Calc2!$F$4,,,$F$26*B218,1),F234)+SUMIFS(OFFSET(Calc2!$H$4,,,$F$26*B218,1),OFFSET(Calc2!$G$4,,,$F$26*B218,1),F234)</f>
        <v>17</v>
      </c>
      <c r="I234" s="134">
        <f t="shared" ca="1" si="40"/>
        <v>-4</v>
      </c>
      <c r="J234" s="12">
        <f ca="1">L234*Settings!$C$3+M234+O234</f>
        <v>12</v>
      </c>
      <c r="K234" s="1">
        <f t="shared" ca="1" si="43"/>
        <v>9</v>
      </c>
      <c r="L234" s="1">
        <f t="array" aca="1" ref="L234" ca="1">SUMPRODUCT((OFFSET(Calc2!$F$4,,,$F$26*B218,1)=F234)*(OFFSET(Calc2!$H$4,,,$F$26*B218,1)&gt;OFFSET(Calc2!$I$4,,,$F$26*B218,1)))+SUMPRODUCT((OFFSET(Calc2!$G$4,,,$F$26*B218,1)=F234)*(OFFSET(Calc2!$H$4,,,$F$26*B218,1)&lt;OFFSET(Calc2!$I$4,,,$F$26*B218,1)))</f>
        <v>3</v>
      </c>
      <c r="M234" s="1">
        <f t="array" aca="1" ref="M234" ca="1">SUMPRODUCT((OFFSET(Calc2!$F$4,,,$F$26*B218,2)=F234)*(OFFSET(Calc2!$H$4,,,$F$26*B218,1)=OFFSET(Calc2!$I$4,,,$F$26*B218,1))*(OFFSET(Calc2!$H$4,,,$F$26*B218,1)&lt;&gt;"")*(OFFSET(Calc2!$I$4,,,$F$26*B218,1)&lt;&gt;""))</f>
        <v>3</v>
      </c>
      <c r="N234" s="1">
        <f t="array" aca="1" ref="N234" ca="1">SUMPRODUCT((OFFSET(Calc2!$F$4,,,$F$26*B218,1)=F234)*(OFFSET(Calc2!$H$4,,,$F$26*B218,1)&lt;OFFSET(Calc2!$I$4,,,$F$26*B218,1)))+SUMPRODUCT((OFFSET(Calc2!$G$4,,,$F$26*B218,1)=F234)*(OFFSET(Calc2!$H$4,,,$F$26*B218,1)&gt;OFFSET(Calc2!$I$4,,,$F$26*B218,1)))</f>
        <v>3</v>
      </c>
      <c r="O234" s="132">
        <f ca="1">SUMPRODUCT((F234=OFFSET(Calc2!$F$4,,,$F$26*B218,1))*OFFSET(Calc2!$O$4,,,$F$26*B218,1))+SUMPRODUCT((F234=OFFSET(Calc2!$G$4,,,$F$26*B218,1))*OFFSET(Calc2!$P$4,,,$F$26*B218,1))</f>
        <v>0</v>
      </c>
      <c r="P234" s="2"/>
      <c r="Q234" s="2"/>
      <c r="R234" s="13">
        <f t="shared" ca="1" si="41"/>
        <v>12499996013</v>
      </c>
      <c r="S234" s="134">
        <f>Tie_Break!$D$21</f>
        <v>0</v>
      </c>
      <c r="T234" s="9">
        <f ca="1">RANK(R234,R220:R239)+(9-S234)/10000+(F234="")*1000</f>
        <v>9.0008999999999997</v>
      </c>
      <c r="U234" s="2"/>
      <c r="V234" s="134">
        <f ca="1">IF($K$24=0,"",IF(VLOOKUP(B234,C220:E239,3,0)=MAX(V$4:V233),VLOOKUP(B234,C220:E239,3,0),B234))</f>
        <v>15</v>
      </c>
      <c r="W234" s="4" t="str">
        <f ca="1">IF($K$24=0,Calc2!$C$18,VLOOKUP(B234,C220:N239,4,0))</f>
        <v>FC St. Pauli</v>
      </c>
      <c r="X234" s="1">
        <f ca="1">INDEX(V193:V212,MATCH(W234,W193:W212,0))</f>
        <v>14</v>
      </c>
      <c r="Y234" s="1">
        <f t="shared" ca="1" si="44"/>
        <v>-1</v>
      </c>
    </row>
    <row r="235" spans="2:25" x14ac:dyDescent="0.2">
      <c r="B235" s="1">
        <v>16</v>
      </c>
      <c r="C235" s="9">
        <f ca="1">RANK(D235,D220:D239,1)</f>
        <v>6</v>
      </c>
      <c r="D235" s="134">
        <f t="shared" ca="1" si="42"/>
        <v>6.2350000000000003</v>
      </c>
      <c r="E235" s="134">
        <f ca="1">RANK(T235,T220:T239,1)</f>
        <v>6</v>
      </c>
      <c r="F235" s="187" t="str">
        <f>Calc2!$C$19</f>
        <v>TSG Hoffenheim</v>
      </c>
      <c r="G235" s="1">
        <f ca="1">SUMIFS(OFFSET(Calc2!$H$4,,,$F$26*B218,1),OFFSET(Calc2!$F$4,,,$F$26*B218,1),F235)+SUMIFS(OFFSET(Calc2!$I$4,,,$F$26*B218,1),OFFSET(Calc2!$G$4,,,$F$26*B218,1),F235)</f>
        <v>18</v>
      </c>
      <c r="H235" s="1">
        <f ca="1">SUMIFS(OFFSET(Calc2!$I$4,,,$F$26*B218,1),OFFSET(Calc2!$F$4,,,$F$26*B218,1),F235)+SUMIFS(OFFSET(Calc2!$H$4,,,$F$26*B218,1),OFFSET(Calc2!$G$4,,,$F$26*B218,1),F235)</f>
        <v>15</v>
      </c>
      <c r="I235" s="134">
        <f t="shared" ca="1" si="40"/>
        <v>3</v>
      </c>
      <c r="J235" s="12">
        <f ca="1">L235*Settings!$C$3+M235+O235</f>
        <v>16</v>
      </c>
      <c r="K235" s="1">
        <f t="shared" ca="1" si="43"/>
        <v>9</v>
      </c>
      <c r="L235" s="1">
        <f t="array" aca="1" ref="L235" ca="1">SUMPRODUCT((OFFSET(Calc2!$F$4,,,$F$26*B218,1)=F235)*(OFFSET(Calc2!$H$4,,,$F$26*B218,1)&gt;OFFSET(Calc2!$I$4,,,$F$26*B218,1)))+SUMPRODUCT((OFFSET(Calc2!$G$4,,,$F$26*B218,1)=F235)*(OFFSET(Calc2!$H$4,,,$F$26*B218,1)&lt;OFFSET(Calc2!$I$4,,,$F$26*B218,1)))</f>
        <v>5</v>
      </c>
      <c r="M235" s="1">
        <f t="array" aca="1" ref="M235" ca="1">SUMPRODUCT((OFFSET(Calc2!$F$4,,,$F$26*B218,2)=F235)*(OFFSET(Calc2!$H$4,,,$F$26*B218,1)=OFFSET(Calc2!$I$4,,,$F$26*B218,1))*(OFFSET(Calc2!$H$4,,,$F$26*B218,1)&lt;&gt;"")*(OFFSET(Calc2!$I$4,,,$F$26*B218,1)&lt;&gt;""))</f>
        <v>1</v>
      </c>
      <c r="N235" s="1">
        <f t="array" aca="1" ref="N235" ca="1">SUMPRODUCT((OFFSET(Calc2!$F$4,,,$F$26*B218,1)=F235)*(OFFSET(Calc2!$H$4,,,$F$26*B218,1)&lt;OFFSET(Calc2!$I$4,,,$F$26*B218,1)))+SUMPRODUCT((OFFSET(Calc2!$G$4,,,$F$26*B218,1)=F235)*(OFFSET(Calc2!$H$4,,,$F$26*B218,1)&gt;OFFSET(Calc2!$I$4,,,$F$26*B218,1)))</f>
        <v>3</v>
      </c>
      <c r="O235" s="132">
        <f ca="1">SUMPRODUCT((F235=OFFSET(Calc2!$F$4,,,$F$26*B218,1))*OFFSET(Calc2!$O$4,,,$F$26*B218,1))+SUMPRODUCT((F235=OFFSET(Calc2!$G$4,,,$F$26*B218,1))*OFFSET(Calc2!$P$4,,,$F$26*B218,1))</f>
        <v>0</v>
      </c>
      <c r="P235" s="2"/>
      <c r="Q235" s="2"/>
      <c r="R235" s="13">
        <f t="shared" ca="1" si="41"/>
        <v>16500003018</v>
      </c>
      <c r="S235" s="134">
        <f>Tie_Break!$D$22</f>
        <v>0</v>
      </c>
      <c r="T235" s="9">
        <f ca="1">RANK(R235,R220:R239)+(9-S235)/10000+(F235="")*1000</f>
        <v>6.0008999999999997</v>
      </c>
      <c r="U235" s="2"/>
      <c r="V235" s="134">
        <f ca="1">IF($K$24=0,"",IF(VLOOKUP(B235,C220:E239,3,0)=MAX(V$4:V234),VLOOKUP(B235,C220:E239,3,0),B235))</f>
        <v>16</v>
      </c>
      <c r="W235" s="4" t="str">
        <f ca="1">IF($K$24=0,Calc2!$C$19,VLOOKUP(B235,C220:N239,4,0))</f>
        <v>Borussia Mönchengladbach</v>
      </c>
      <c r="X235" s="1">
        <f ca="1">INDEX(V193:V212,MATCH(W235,W193:W212,0))</f>
        <v>18</v>
      </c>
      <c r="Y235" s="1">
        <f t="shared" ca="1" si="44"/>
        <v>1</v>
      </c>
    </row>
    <row r="236" spans="2:25" x14ac:dyDescent="0.2">
      <c r="B236" s="1">
        <v>17</v>
      </c>
      <c r="C236" s="9">
        <f ca="1">RANK(D236,D220:D239,1)</f>
        <v>4</v>
      </c>
      <c r="D236" s="134">
        <f t="shared" ca="1" si="42"/>
        <v>4.2359999999999998</v>
      </c>
      <c r="E236" s="134">
        <f ca="1">RANK(T236,T220:T239,1)</f>
        <v>4</v>
      </c>
      <c r="F236" s="187" t="str">
        <f>Calc2!$C$20</f>
        <v>VfB Stuttgart</v>
      </c>
      <c r="G236" s="1">
        <f ca="1">SUMIFS(OFFSET(Calc2!$H$4,,,$F$26*B218,1),OFFSET(Calc2!$F$4,,,$F$26*B218,1),F236)+SUMIFS(OFFSET(Calc2!$I$4,,,$F$26*B218,1),OFFSET(Calc2!$G$4,,,$F$26*B218,1),F236)</f>
        <v>14</v>
      </c>
      <c r="H236" s="1">
        <f ca="1">SUMIFS(OFFSET(Calc2!$I$4,,,$F$26*B218,1),OFFSET(Calc2!$F$4,,,$F$26*B218,1),F236)+SUMIFS(OFFSET(Calc2!$H$4,,,$F$26*B218,1),OFFSET(Calc2!$G$4,,,$F$26*B218,1),F236)</f>
        <v>10</v>
      </c>
      <c r="I236" s="134">
        <f t="shared" ca="1" si="40"/>
        <v>4</v>
      </c>
      <c r="J236" s="12">
        <f ca="1">L236*Settings!$C$3+M236+O236</f>
        <v>18</v>
      </c>
      <c r="K236" s="1">
        <f t="shared" ca="1" si="43"/>
        <v>9</v>
      </c>
      <c r="L236" s="1">
        <f t="array" aca="1" ref="L236" ca="1">SUMPRODUCT((OFFSET(Calc2!$F$4,,,$F$26*B218,1)=F236)*(OFFSET(Calc2!$H$4,,,$F$26*B218,1)&gt;OFFSET(Calc2!$I$4,,,$F$26*B218,1)))+SUMPRODUCT((OFFSET(Calc2!$G$4,,,$F$26*B218,1)=F236)*(OFFSET(Calc2!$H$4,,,$F$26*B218,1)&lt;OFFSET(Calc2!$I$4,,,$F$26*B218,1)))</f>
        <v>6</v>
      </c>
      <c r="M236" s="1">
        <f t="array" aca="1" ref="M236" ca="1">SUMPRODUCT((OFFSET(Calc2!$F$4,,,$F$26*B218,2)=F236)*(OFFSET(Calc2!$H$4,,,$F$26*B218,1)=OFFSET(Calc2!$I$4,,,$F$26*B218,1))*(OFFSET(Calc2!$H$4,,,$F$26*B218,1)&lt;&gt;"")*(OFFSET(Calc2!$I$4,,,$F$26*B218,1)&lt;&gt;""))</f>
        <v>0</v>
      </c>
      <c r="N236" s="1">
        <f t="array" aca="1" ref="N236" ca="1">SUMPRODUCT((OFFSET(Calc2!$F$4,,,$F$26*B218,1)=F236)*(OFFSET(Calc2!$H$4,,,$F$26*B218,1)&lt;OFFSET(Calc2!$I$4,,,$F$26*B218,1)))+SUMPRODUCT((OFFSET(Calc2!$G$4,,,$F$26*B218,1)=F236)*(OFFSET(Calc2!$H$4,,,$F$26*B218,1)&gt;OFFSET(Calc2!$I$4,,,$F$26*B218,1)))</f>
        <v>3</v>
      </c>
      <c r="O236" s="132">
        <f ca="1">SUMPRODUCT((F236=OFFSET(Calc2!$F$4,,,$F$26*B218,1))*OFFSET(Calc2!$O$4,,,$F$26*B218,1))+SUMPRODUCT((F236=OFFSET(Calc2!$G$4,,,$F$26*B218,1))*OFFSET(Calc2!$P$4,,,$F$26*B218,1))</f>
        <v>0</v>
      </c>
      <c r="P236" s="2"/>
      <c r="Q236" s="2"/>
      <c r="R236" s="13">
        <f t="shared" ca="1" si="41"/>
        <v>18500004014</v>
      </c>
      <c r="S236" s="134">
        <f>Tie_Break!$D$23</f>
        <v>0</v>
      </c>
      <c r="T236" s="9">
        <f ca="1">RANK(R236,R220:R239)+(9-S236)/10000+(F236="")*1000</f>
        <v>4.0008999999999997</v>
      </c>
      <c r="U236" s="2"/>
      <c r="V236" s="134">
        <f ca="1">IF($K$24=0,"",IF(VLOOKUP(B236,C220:E239,3,0)=MAX(V$4:V235),VLOOKUP(B236,C220:E239,3,0),B236))</f>
        <v>17</v>
      </c>
      <c r="W236" s="4" t="str">
        <f ca="1">IF($K$24=0,Calc2!$C$20,VLOOKUP(B236,C220:N239,4,0))</f>
        <v>1. FSV Mainz 05</v>
      </c>
      <c r="X236" s="1">
        <f ca="1">INDEX(V193:V212,MATCH(W236,W193:W212,0))</f>
        <v>16</v>
      </c>
      <c r="Y236" s="1">
        <f t="shared" ca="1" si="44"/>
        <v>-1</v>
      </c>
    </row>
    <row r="237" spans="2:25" x14ac:dyDescent="0.2">
      <c r="B237" s="1">
        <v>18</v>
      </c>
      <c r="C237" s="9">
        <f ca="1">RANK(D237,D220:D239,1)</f>
        <v>12</v>
      </c>
      <c r="D237" s="134">
        <f t="shared" ca="1" si="42"/>
        <v>12.237</v>
      </c>
      <c r="E237" s="134">
        <f ca="1">RANK(T237,T220:T239,1)</f>
        <v>12</v>
      </c>
      <c r="F237" s="187" t="str">
        <f>Calc2!$C$21</f>
        <v>VfL Wolfsburg</v>
      </c>
      <c r="G237" s="1">
        <f ca="1">SUMIFS(OFFSET(Calc2!$H$4,,,$F$26*B218,1),OFFSET(Calc2!$F$4,,,$F$26*B218,1),F237)+SUMIFS(OFFSET(Calc2!$I$4,,,$F$26*B218,1),OFFSET(Calc2!$G$4,,,$F$26*B218,1),F237)</f>
        <v>11</v>
      </c>
      <c r="H237" s="1">
        <f ca="1">SUMIFS(OFFSET(Calc2!$I$4,,,$F$26*B218,1),OFFSET(Calc2!$F$4,,,$F$26*B218,1),F237)+SUMIFS(OFFSET(Calc2!$H$4,,,$F$26*B218,1),OFFSET(Calc2!$G$4,,,$F$26*B218,1),F237)</f>
        <v>16</v>
      </c>
      <c r="I237" s="134">
        <f t="shared" ca="1" si="40"/>
        <v>-5</v>
      </c>
      <c r="J237" s="12">
        <f ca="1">L237*Settings!$C$3+M237+O237</f>
        <v>8</v>
      </c>
      <c r="K237" s="1">
        <f t="shared" ca="1" si="43"/>
        <v>9</v>
      </c>
      <c r="L237" s="1">
        <f t="array" aca="1" ref="L237" ca="1">SUMPRODUCT((OFFSET(Calc2!$F$4,,,$F$26*B218,1)=F237)*(OFFSET(Calc2!$H$4,,,$F$26*B218,1)&gt;OFFSET(Calc2!$I$4,,,$F$26*B218,1)))+SUMPRODUCT((OFFSET(Calc2!$G$4,,,$F$26*B218,1)=F237)*(OFFSET(Calc2!$H$4,,,$F$26*B218,1)&lt;OFFSET(Calc2!$I$4,,,$F$26*B218,1)))</f>
        <v>2</v>
      </c>
      <c r="M237" s="1">
        <f t="array" aca="1" ref="M237" ca="1">SUMPRODUCT((OFFSET(Calc2!$F$4,,,$F$26*B218,2)=F237)*(OFFSET(Calc2!$H$4,,,$F$26*B218,1)=OFFSET(Calc2!$I$4,,,$F$26*B218,1))*(OFFSET(Calc2!$H$4,,,$F$26*B218,1)&lt;&gt;"")*(OFFSET(Calc2!$I$4,,,$F$26*B218,1)&lt;&gt;""))</f>
        <v>2</v>
      </c>
      <c r="N237" s="1">
        <f t="array" aca="1" ref="N237" ca="1">SUMPRODUCT((OFFSET(Calc2!$F$4,,,$F$26*B218,1)=F237)*(OFFSET(Calc2!$H$4,,,$F$26*B218,1)&lt;OFFSET(Calc2!$I$4,,,$F$26*B218,1)))+SUMPRODUCT((OFFSET(Calc2!$G$4,,,$F$26*B218,1)=F237)*(OFFSET(Calc2!$H$4,,,$F$26*B218,1)&gt;OFFSET(Calc2!$I$4,,,$F$26*B218,1)))</f>
        <v>5</v>
      </c>
      <c r="O237" s="132">
        <f ca="1">SUMPRODUCT((F237=OFFSET(Calc2!$F$4,,,$F$26*B218,1))*OFFSET(Calc2!$O$4,,,$F$26*B218,1))+SUMPRODUCT((F237=OFFSET(Calc2!$G$4,,,$F$26*B218,1))*OFFSET(Calc2!$P$4,,,$F$26*B218,1))</f>
        <v>0</v>
      </c>
      <c r="P237" s="2"/>
      <c r="Q237" s="2"/>
      <c r="R237" s="13">
        <f t="shared" ca="1" si="41"/>
        <v>8499995011</v>
      </c>
      <c r="S237" s="134">
        <f>Tie_Break!$D$24</f>
        <v>0</v>
      </c>
      <c r="T237" s="9">
        <f ca="1">RANK(R237,R220:R239)+(9-S237)/10000+(F237="")*1000</f>
        <v>12.0009</v>
      </c>
      <c r="U237" s="2"/>
      <c r="V237" s="134">
        <f ca="1">IF($K$24=0,"",IF(VLOOKUP(B237,C220:E239,3,0)=MAX(V$4:V236),VLOOKUP(B237,C220:E239,3,0),B237))</f>
        <v>18</v>
      </c>
      <c r="W237" s="4" t="str">
        <f ca="1">IF($K$24=0,Calc2!$C$21,VLOOKUP(B237,C220:N239,4,0))</f>
        <v>1. FC Heidenheim 1846</v>
      </c>
      <c r="X237" s="1">
        <f ca="1">INDEX(V193:V212,MATCH(W237,W193:W212,0))</f>
        <v>17</v>
      </c>
      <c r="Y237" s="1">
        <f t="shared" ca="1" si="44"/>
        <v>-1</v>
      </c>
    </row>
    <row r="238" spans="2:25" x14ac:dyDescent="0.2">
      <c r="B238" s="1">
        <v>19</v>
      </c>
      <c r="C238" s="9">
        <f ca="1">RANK(D238,D220:D239,1)</f>
        <v>19</v>
      </c>
      <c r="D238" s="134">
        <f t="shared" ca="1" si="42"/>
        <v>19.238</v>
      </c>
      <c r="E238" s="134">
        <f ca="1">RANK(T238,T220:T239,1)</f>
        <v>19</v>
      </c>
      <c r="F238" s="187" t="str">
        <f>Calc2!$C$22</f>
        <v/>
      </c>
      <c r="G238" s="1">
        <f ca="1">SUMIFS(OFFSET(Calc2!$H$4,,,$F$26*B218,1),OFFSET(Calc2!$F$4,,,$F$26*B218,1),F238)+SUMIFS(OFFSET(Calc2!$I$4,,,$F$26*B218,1),OFFSET(Calc2!$G$4,,,$F$26*B218,1),F238)</f>
        <v>0</v>
      </c>
      <c r="H238" s="1">
        <f ca="1">SUMIFS(OFFSET(Calc2!$I$4,,,$F$26*B218,1),OFFSET(Calc2!$F$4,,,$F$26*B218,1),F238)+SUMIFS(OFFSET(Calc2!$H$4,,,$F$26*B218,1),OFFSET(Calc2!$G$4,,,$F$26*B218,1),F238)</f>
        <v>0</v>
      </c>
      <c r="I238" s="134">
        <f t="shared" ca="1" si="40"/>
        <v>0</v>
      </c>
      <c r="J238" s="12">
        <f ca="1">L238*Settings!$C$3+M238+O238</f>
        <v>0</v>
      </c>
      <c r="K238" s="1">
        <f t="shared" ca="1" si="43"/>
        <v>0</v>
      </c>
      <c r="L238" s="1">
        <f t="array" aca="1" ref="L238" ca="1">SUMPRODUCT((OFFSET(Calc2!$F$4,,,$F$26*B218,1)=F238)*(OFFSET(Calc2!$H$4,,,$F$26*B218,1)&gt;OFFSET(Calc2!$I$4,,,$F$26*B218,1)))+SUMPRODUCT((OFFSET(Calc2!$G$4,,,$F$26*B218,1)=F238)*(OFFSET(Calc2!$H$4,,,$F$26*B218,1)&lt;OFFSET(Calc2!$I$4,,,$F$26*B218,1)))</f>
        <v>0</v>
      </c>
      <c r="M238" s="1">
        <f t="array" aca="1" ref="M238" ca="1">SUMPRODUCT((OFFSET(Calc2!$F$4,,,$F$26*B218,2)=F238)*(OFFSET(Calc2!$H$4,,,$F$26*B218,1)=OFFSET(Calc2!$I$4,,,$F$26*B218,1))*(OFFSET(Calc2!$H$4,,,$F$26*B218,1)&lt;&gt;"")*(OFFSET(Calc2!$I$4,,,$F$26*B218,1)&lt;&gt;""))</f>
        <v>0</v>
      </c>
      <c r="N238" s="1">
        <f t="array" aca="1" ref="N238" ca="1">SUMPRODUCT((OFFSET(Calc2!$F$4,,,$F$26*B218,1)=F238)*(OFFSET(Calc2!$H$4,,,$F$26*B218,1)&lt;OFFSET(Calc2!$I$4,,,$F$26*B218,1)))+SUMPRODUCT((OFFSET(Calc2!$G$4,,,$F$26*B218,1)=F238)*(OFFSET(Calc2!$H$4,,,$F$26*B218,1)&gt;OFFSET(Calc2!$I$4,,,$F$26*B218,1)))</f>
        <v>0</v>
      </c>
      <c r="O238" s="132">
        <f ca="1">SUMPRODUCT((F238=OFFSET(Calc2!$F$4,,,$F$26*B218,1))*OFFSET(Calc2!$O$4,,,$F$26*B218,1))+SUMPRODUCT((F238=OFFSET(Calc2!$G$4,,,$F$26*B218,1))*OFFSET(Calc2!$P$4,,,$F$26*B218,1))</f>
        <v>0</v>
      </c>
      <c r="P238" s="2"/>
      <c r="Q238" s="2"/>
      <c r="R238" s="13">
        <f t="shared" ca="1" si="41"/>
        <v>500000000</v>
      </c>
      <c r="S238" s="134">
        <f>Tie_Break!$D$25</f>
        <v>0</v>
      </c>
      <c r="T238" s="9">
        <f ca="1">RANK(R238,R220:R239)+(9-S238)/10000+(F238="")*1000</f>
        <v>1019.0009</v>
      </c>
      <c r="U238" s="2"/>
      <c r="V238" s="134">
        <f ca="1">IF($K$24=0,"",IF(VLOOKUP(B238,C220:E239,3,0)=MAX(V$4:V237),VLOOKUP(B238,C220:E239,3,0),B238))</f>
        <v>19</v>
      </c>
      <c r="W238" s="4" t="str">
        <f ca="1">IF($K$24=0,Calc2!$C$22,VLOOKUP(B238,C220:N239,4,0))</f>
        <v/>
      </c>
      <c r="X238" s="1">
        <f ca="1">INDEX(V193:V212,MATCH(W238,W193:W212,0))</f>
        <v>19</v>
      </c>
      <c r="Y238" s="1">
        <f t="shared" ca="1" si="44"/>
        <v>0</v>
      </c>
    </row>
    <row r="239" spans="2:25" ht="12.75" thickBot="1" x14ac:dyDescent="0.25">
      <c r="B239" s="1">
        <v>20</v>
      </c>
      <c r="C239" s="10">
        <f ca="1">RANK(D239,D220:D239,1)</f>
        <v>20</v>
      </c>
      <c r="D239" s="134">
        <f t="shared" ca="1" si="42"/>
        <v>19.239000000000001</v>
      </c>
      <c r="E239" s="134">
        <f ca="1">RANK(T239,T220:T239,1)</f>
        <v>19</v>
      </c>
      <c r="F239" s="187" t="str">
        <f>Calc2!$C$23</f>
        <v/>
      </c>
      <c r="G239" s="1">
        <f ca="1">SUMIFS(OFFSET(Calc2!$H$4,,,$F$26*B218,1),OFFSET(Calc2!$F$4,,,$F$26*B218,1),F239)+SUMIFS(OFFSET(Calc2!$I$4,,,$F$26*B218,1),OFFSET(Calc2!$G$4,,,$F$26*B218,1),F239)</f>
        <v>0</v>
      </c>
      <c r="H239" s="1">
        <f ca="1">SUMIFS(OFFSET(Calc2!$I$4,,,$F$26*B218,1),OFFSET(Calc2!$F$4,,,$F$26*B218,1),F239)+SUMIFS(OFFSET(Calc2!$H$4,,,$F$26*B218,1),OFFSET(Calc2!$G$4,,,$F$26*B218,1),F239)</f>
        <v>0</v>
      </c>
      <c r="I239" s="134">
        <f t="shared" ca="1" si="40"/>
        <v>0</v>
      </c>
      <c r="J239" s="12">
        <f ca="1">L239*Settings!$C$3+M239+O239</f>
        <v>0</v>
      </c>
      <c r="K239" s="1">
        <f t="shared" ca="1" si="43"/>
        <v>0</v>
      </c>
      <c r="L239" s="1">
        <f t="array" aca="1" ref="L239" ca="1">SUMPRODUCT((OFFSET(Calc2!$F$4,,,$F$26*B218,1)=F239)*(OFFSET(Calc2!$H$4,,,$F$26*B218,1)&gt;OFFSET(Calc2!$I$4,,,$F$26*B218,1)))+SUMPRODUCT((OFFSET(Calc2!$G$4,,,$F$26*B218,1)=F239)*(OFFSET(Calc2!$H$4,,,$F$26*B218,1)&lt;OFFSET(Calc2!$I$4,,,$F$26*B218,1)))</f>
        <v>0</v>
      </c>
      <c r="M239" s="1">
        <f t="array" aca="1" ref="M239" ca="1">SUMPRODUCT((OFFSET(Calc2!$F$4,,,$F$26*B218,2)=F239)*(OFFSET(Calc2!$H$4,,,$F$26*B218,1)=OFFSET(Calc2!$I$4,,,$F$26*B218,1))*(OFFSET(Calc2!$H$4,,,$F$26*B218,1)&lt;&gt;"")*(OFFSET(Calc2!$I$4,,,$F$26*B218,1)&lt;&gt;""))</f>
        <v>0</v>
      </c>
      <c r="N239" s="1">
        <f t="array" aca="1" ref="N239" ca="1">SUMPRODUCT((OFFSET(Calc2!$F$4,,,$F$26*B218,1)=F239)*(OFFSET(Calc2!$H$4,,,$F$26*B218,1)&lt;OFFSET(Calc2!$I$4,,,$F$26*B218,1)))+SUMPRODUCT((OFFSET(Calc2!$G$4,,,$F$26*B218,1)=F239)*(OFFSET(Calc2!$H$4,,,$F$26*B218,1)&gt;OFFSET(Calc2!$I$4,,,$F$26*B218,1)))</f>
        <v>0</v>
      </c>
      <c r="O239" s="132">
        <f ca="1">SUMPRODUCT((F239=OFFSET(Calc2!$F$4,,,$F$26*B218,1))*OFFSET(Calc2!$O$4,,,$F$26*B218,1))+SUMPRODUCT((F239=OFFSET(Calc2!$G$4,,,$F$26*B218,1))*OFFSET(Calc2!$P$4,,,$F$26*B218,1))</f>
        <v>0</v>
      </c>
      <c r="P239" s="2"/>
      <c r="Q239" s="2"/>
      <c r="R239" s="13">
        <f t="shared" ca="1" si="41"/>
        <v>500000000</v>
      </c>
      <c r="S239" s="134">
        <f>Tie_Break!$D$26</f>
        <v>0</v>
      </c>
      <c r="T239" s="10">
        <f ca="1">RANK(R239,R220:R239)+(9-S239)/10000+(F239="")*1000</f>
        <v>1019.0009</v>
      </c>
      <c r="U239" s="2"/>
      <c r="V239" s="134">
        <f ca="1">IF($K$24=0,"",IF(VLOOKUP(B239,C220:E239,3,0)=MAX(V$4:V238),VLOOKUP(B239,C220:E239,3,0),B239))</f>
        <v>19</v>
      </c>
      <c r="W239" s="4" t="str">
        <f ca="1">IF($K$24=0,Calc2!$C$23,VLOOKUP(B239,C220:N239,4,0))</f>
        <v/>
      </c>
      <c r="X239" s="1">
        <f ca="1">INDEX(V193:V212,MATCH(W239,W193:W212,0))</f>
        <v>19</v>
      </c>
      <c r="Y239" s="1">
        <f t="shared" ca="1" si="44"/>
        <v>0</v>
      </c>
    </row>
    <row r="240" spans="2:25" ht="12.75" thickTop="1" x14ac:dyDescent="0.2"/>
    <row r="244" spans="2:25" ht="12.75" thickBot="1" x14ac:dyDescent="0.25"/>
    <row r="245" spans="2:25" ht="12.75" thickBot="1" x14ac:dyDescent="0.25">
      <c r="B245" s="410">
        <v>10</v>
      </c>
      <c r="C245" s="134"/>
      <c r="D245" s="134"/>
      <c r="E245" s="134"/>
      <c r="F245" s="187"/>
      <c r="G245" s="1"/>
      <c r="H245" s="1"/>
      <c r="I245" s="1"/>
      <c r="J245" s="1"/>
      <c r="K245" s="1"/>
      <c r="L245" s="1"/>
      <c r="M245" s="1"/>
      <c r="N245" s="134"/>
      <c r="O245" s="1"/>
      <c r="P245" s="1"/>
      <c r="Q245" s="1"/>
      <c r="R245" s="2"/>
      <c r="S245" s="2"/>
      <c r="T245" s="2"/>
      <c r="U245" s="2"/>
      <c r="V245" s="2"/>
      <c r="W245" s="2"/>
    </row>
    <row r="246" spans="2:25" ht="15.75" thickBot="1" x14ac:dyDescent="0.25">
      <c r="B246" s="1"/>
      <c r="C246" s="134"/>
      <c r="D246" s="134"/>
      <c r="E246" s="134"/>
      <c r="F246" s="11" t="s">
        <v>90</v>
      </c>
      <c r="G246" s="42" t="s">
        <v>95</v>
      </c>
      <c r="H246" s="42" t="s">
        <v>96</v>
      </c>
      <c r="I246" s="11" t="s">
        <v>97</v>
      </c>
      <c r="J246" s="11" t="s">
        <v>98</v>
      </c>
      <c r="K246" s="11" t="s">
        <v>91</v>
      </c>
      <c r="L246" s="12" t="s">
        <v>92</v>
      </c>
      <c r="M246" s="12" t="s">
        <v>93</v>
      </c>
      <c r="N246" s="12" t="s">
        <v>94</v>
      </c>
      <c r="O246" s="12" t="s">
        <v>534</v>
      </c>
      <c r="P246" s="2"/>
      <c r="Q246" s="11"/>
      <c r="R246" s="133" t="s">
        <v>99</v>
      </c>
      <c r="S246" s="6" t="s">
        <v>483</v>
      </c>
      <c r="T246" s="120" t="s">
        <v>146</v>
      </c>
      <c r="U246" s="134"/>
      <c r="V246" s="134"/>
      <c r="W246" s="132"/>
      <c r="X246" s="120" t="s">
        <v>575</v>
      </c>
      <c r="Y246" s="1"/>
    </row>
    <row r="247" spans="2:25" ht="12.75" thickTop="1" x14ac:dyDescent="0.2">
      <c r="B247" s="1">
        <v>1</v>
      </c>
      <c r="C247" s="8">
        <f ca="1">RANK(D247,D247:D266,1)</f>
        <v>18</v>
      </c>
      <c r="D247" s="134">
        <f ca="1">E247+ROW()/1000</f>
        <v>18.247</v>
      </c>
      <c r="E247" s="134">
        <f ca="1">RANK(T247,T247:T266,1)</f>
        <v>18</v>
      </c>
      <c r="F247" s="187" t="str">
        <f>Calc2!$C$4</f>
        <v>1. FC Heidenheim 1846</v>
      </c>
      <c r="G247" s="1">
        <f ca="1">SUMIFS(OFFSET(Calc2!$H$4,,,$F$26*B245,1),OFFSET(Calc2!$F$4,,,$F$26*B245,1),F247)+SUMIFS(OFFSET(Calc2!$I$4,,,$F$26*B245,1),OFFSET(Calc2!$G$4,,,$F$26*B245,1),F247)</f>
        <v>8</v>
      </c>
      <c r="H247" s="1">
        <f ca="1">SUMIFS(OFFSET(Calc2!$I$4,,,$F$26*B245,1),OFFSET(Calc2!$F$4,,,$F$26*B245,1),F247)+SUMIFS(OFFSET(Calc2!$H$4,,,$F$26*B245,1),OFFSET(Calc2!$G$4,,,$F$26*B245,1),F247)</f>
        <v>23</v>
      </c>
      <c r="I247" s="134">
        <f t="shared" ref="I247:I266" ca="1" si="45">G247-H247</f>
        <v>-15</v>
      </c>
      <c r="J247" s="12">
        <f ca="1">L247*Settings!$C$3+M247+O247</f>
        <v>5</v>
      </c>
      <c r="K247" s="1">
        <f ca="1">L247+M247+N247</f>
        <v>10</v>
      </c>
      <c r="L247" s="1">
        <f t="array" aca="1" ref="L247" ca="1">SUMPRODUCT((OFFSET(Calc2!$F$4,,,$F$26*B245,1)=F247)*(OFFSET(Calc2!$H$4,,,$F$26*B245,1)&gt;OFFSET(Calc2!$I$4,,,$F$26*B245,1)))+SUMPRODUCT((OFFSET(Calc2!$G$4,,,$F$26*B245,1)=F247)*(OFFSET(Calc2!$H$4,,,$F$26*B245,1)&lt;OFFSET(Calc2!$I$4,,,$F$26*B245,1)))</f>
        <v>1</v>
      </c>
      <c r="M247" s="1">
        <f t="array" aca="1" ref="M247" ca="1">SUMPRODUCT((OFFSET(Calc2!$F$4,,,$F$26*B245,2)=F247)*(OFFSET(Calc2!$H$4,,,$F$26*B245,1)=OFFSET(Calc2!$I$4,,,$F$26*B245,1))*(OFFSET(Calc2!$H$4,,,$F$26*B245,1)&lt;&gt;"")*(OFFSET(Calc2!$I$4,,,$F$26*B245,1)&lt;&gt;""))</f>
        <v>2</v>
      </c>
      <c r="N247" s="1">
        <f t="array" aca="1" ref="N247" ca="1">SUMPRODUCT((OFFSET(Calc2!$F$4,,,$F$26*B245,1)=F247)*(OFFSET(Calc2!$H$4,,,$F$26*B245,1)&lt;OFFSET(Calc2!$I$4,,,$F$26*B245,1)))+SUMPRODUCT((OFFSET(Calc2!$G$4,,,$F$26*B245,1)=F247)*(OFFSET(Calc2!$H$4,,,$F$26*B245,1)&gt;OFFSET(Calc2!$I$4,,,$F$26*B245,1)))</f>
        <v>7</v>
      </c>
      <c r="O247" s="132">
        <f ca="1">SUMPRODUCT((F247=OFFSET(Calc2!$F$4,,,$F$26*B245,1))*OFFSET(Calc2!$O$4,,,$F$26*B245,1))+SUMPRODUCT((F247=OFFSET(Calc2!$G$4,,,$F$26*B245,1))*OFFSET(Calc2!$P$4,,,$F$26*B245,1))</f>
        <v>0</v>
      </c>
      <c r="P247" s="2"/>
      <c r="Q247" s="2"/>
      <c r="R247" s="13">
        <f t="shared" ref="R247:R266" ca="1" si="46">J247*FactorPts+(I247+GDzero)*FactorGD+G247*FactorGF</f>
        <v>5499985008</v>
      </c>
      <c r="S247" s="134">
        <f>Tie_Break!$D$7</f>
        <v>0</v>
      </c>
      <c r="T247" s="8">
        <f ca="1">RANK(R247,R247:R266)+(9-S247)/10000+(F247="")*1000</f>
        <v>18.000900000000001</v>
      </c>
      <c r="U247" s="134"/>
      <c r="V247" s="134">
        <f ca="1">IF($K$24=0,"",1)</f>
        <v>1</v>
      </c>
      <c r="W247" s="4" t="str">
        <f ca="1">IF($K$24=0,Calc2!$C$4,VLOOKUP(B247,C247:N266,4,0))</f>
        <v>FC Bayern München</v>
      </c>
      <c r="X247" s="1">
        <f ca="1">INDEX(V220:V239,MATCH(W247,W220:W239,0))</f>
        <v>1</v>
      </c>
      <c r="Y247" s="1">
        <f ca="1">IF(X247&gt;V247,1,IF(X247&lt;V247,-1,0))</f>
        <v>0</v>
      </c>
    </row>
    <row r="248" spans="2:25" x14ac:dyDescent="0.2">
      <c r="B248" s="1">
        <v>2</v>
      </c>
      <c r="C248" s="9">
        <f ca="1">RANK(D248,D247:D266,1)</f>
        <v>9</v>
      </c>
      <c r="D248" s="134">
        <f t="shared" ref="D248:D266" ca="1" si="47">E248+ROW()/1000</f>
        <v>9.2479999999999993</v>
      </c>
      <c r="E248" s="134">
        <f ca="1">RANK(T248,T247:T266,1)</f>
        <v>9</v>
      </c>
      <c r="F248" s="187" t="str">
        <f>Calc2!$C$5</f>
        <v>1. FC Köln</v>
      </c>
      <c r="G248" s="1">
        <f ca="1">SUMIFS(OFFSET(Calc2!$H$4,,,$F$26*B245,1),OFFSET(Calc2!$F$4,,,$F$26*B245,1),F248)+SUMIFS(OFFSET(Calc2!$I$4,,,$F$26*B245,1),OFFSET(Calc2!$G$4,,,$F$26*B245,1),F248)</f>
        <v>17</v>
      </c>
      <c r="H248" s="1">
        <f ca="1">SUMIFS(OFFSET(Calc2!$I$4,,,$F$26*B245,1),OFFSET(Calc2!$F$4,,,$F$26*B245,1),F248)+SUMIFS(OFFSET(Calc2!$H$4,,,$F$26*B245,1),OFFSET(Calc2!$G$4,,,$F$26*B245,1),F248)</f>
        <v>15</v>
      </c>
      <c r="I248" s="134">
        <f t="shared" ca="1" si="45"/>
        <v>2</v>
      </c>
      <c r="J248" s="12">
        <f ca="1">L248*Settings!$C$3+M248+O248</f>
        <v>14</v>
      </c>
      <c r="K248" s="1">
        <f t="shared" ref="K248:K266" ca="1" si="48">L248+M248+N248</f>
        <v>10</v>
      </c>
      <c r="L248" s="1">
        <f t="array" aca="1" ref="L248" ca="1">SUMPRODUCT((OFFSET(Calc2!$F$4,,,$F$26*B245,1)=F248)*(OFFSET(Calc2!$H$4,,,$F$26*B245,1)&gt;OFFSET(Calc2!$I$4,,,$F$26*B245,1)))+SUMPRODUCT((OFFSET(Calc2!$G$4,,,$F$26*B245,1)=F248)*(OFFSET(Calc2!$H$4,,,$F$26*B245,1)&lt;OFFSET(Calc2!$I$4,,,$F$26*B245,1)))</f>
        <v>4</v>
      </c>
      <c r="M248" s="1">
        <f t="array" aca="1" ref="M248" ca="1">SUMPRODUCT((OFFSET(Calc2!$F$4,,,$F$26*B245,2)=F248)*(OFFSET(Calc2!$H$4,,,$F$26*B245,1)=OFFSET(Calc2!$I$4,,,$F$26*B245,1))*(OFFSET(Calc2!$H$4,,,$F$26*B245,1)&lt;&gt;"")*(OFFSET(Calc2!$I$4,,,$F$26*B245,1)&lt;&gt;""))</f>
        <v>2</v>
      </c>
      <c r="N248" s="1">
        <f t="array" aca="1" ref="N248" ca="1">SUMPRODUCT((OFFSET(Calc2!$F$4,,,$F$26*B245,1)=F248)*(OFFSET(Calc2!$H$4,,,$F$26*B245,1)&lt;OFFSET(Calc2!$I$4,,,$F$26*B245,1)))+SUMPRODUCT((OFFSET(Calc2!$G$4,,,$F$26*B245,1)=F248)*(OFFSET(Calc2!$H$4,,,$F$26*B245,1)&gt;OFFSET(Calc2!$I$4,,,$F$26*B245,1)))</f>
        <v>4</v>
      </c>
      <c r="O248" s="132">
        <f ca="1">SUMPRODUCT((F248=OFFSET(Calc2!$F$4,,,$F$26*B245,1))*OFFSET(Calc2!$O$4,,,$F$26*B245,1))+SUMPRODUCT((F248=OFFSET(Calc2!$G$4,,,$F$26*B245,1))*OFFSET(Calc2!$P$4,,,$F$26*B245,1))</f>
        <v>0</v>
      </c>
      <c r="P248" s="2"/>
      <c r="Q248" s="2"/>
      <c r="R248" s="13">
        <f t="shared" ca="1" si="46"/>
        <v>14500002017</v>
      </c>
      <c r="S248" s="134">
        <f>Tie_Break!$D$8</f>
        <v>0</v>
      </c>
      <c r="T248" s="9">
        <f ca="1">RANK(R248,R247:R266)+(9-S248)/10000+(F248="")*1000</f>
        <v>9.0008999999999997</v>
      </c>
      <c r="U248" s="134"/>
      <c r="V248" s="134">
        <f ca="1">IF($K$24=0,"",IF(VLOOKUP(B248,C247:E266,3,0)=MAX(V$4:V247),VLOOKUP(B248,C247:E266,3,0),B248))</f>
        <v>2</v>
      </c>
      <c r="W248" s="4" t="str">
        <f ca="1">IF($K$24=0,Calc2!$C$5,VLOOKUP(B248,C247:N266,4,0))</f>
        <v>RB Leipzig</v>
      </c>
      <c r="X248" s="1">
        <f ca="1">INDEX(V220:V239,MATCH(W248,W220:W239,0))</f>
        <v>2</v>
      </c>
      <c r="Y248" s="1">
        <f t="shared" ref="Y248:Y266" ca="1" si="49">IF(X248&gt;V248,1,IF(X248&lt;V248,-1,0))</f>
        <v>0</v>
      </c>
    </row>
    <row r="249" spans="2:25" x14ac:dyDescent="0.2">
      <c r="B249" s="1">
        <v>3</v>
      </c>
      <c r="C249" s="9">
        <f ca="1">RANK(D249,D247:D266,1)</f>
        <v>11</v>
      </c>
      <c r="D249" s="134">
        <f t="shared" ca="1" si="47"/>
        <v>11.249000000000001</v>
      </c>
      <c r="E249" s="134">
        <f ca="1">RANK(T249,T247:T266,1)</f>
        <v>11</v>
      </c>
      <c r="F249" s="187" t="str">
        <f>Calc2!$C$6</f>
        <v>1. FC Union Berlin</v>
      </c>
      <c r="G249" s="1">
        <f ca="1">SUMIFS(OFFSET(Calc2!$H$4,,,$F$26*B245,1),OFFSET(Calc2!$F$4,,,$F$26*B245,1),F249)+SUMIFS(OFFSET(Calc2!$I$4,,,$F$26*B245,1),OFFSET(Calc2!$G$4,,,$F$26*B245,1),F249)</f>
        <v>13</v>
      </c>
      <c r="H249" s="1">
        <f ca="1">SUMIFS(OFFSET(Calc2!$I$4,,,$F$26*B245,1),OFFSET(Calc2!$F$4,,,$F$26*B245,1),F249)+SUMIFS(OFFSET(Calc2!$H$4,,,$F$26*B245,1),OFFSET(Calc2!$G$4,,,$F$26*B245,1),F249)</f>
        <v>17</v>
      </c>
      <c r="I249" s="134">
        <f t="shared" ca="1" si="45"/>
        <v>-4</v>
      </c>
      <c r="J249" s="12">
        <f ca="1">L249*Settings!$C$3+M249+O249</f>
        <v>12</v>
      </c>
      <c r="K249" s="1">
        <f t="shared" ca="1" si="48"/>
        <v>10</v>
      </c>
      <c r="L249" s="1">
        <f t="array" aca="1" ref="L249" ca="1">SUMPRODUCT((OFFSET(Calc2!$F$4,,,$F$26*B245,1)=F249)*(OFFSET(Calc2!$H$4,,,$F$26*B245,1)&gt;OFFSET(Calc2!$I$4,,,$F$26*B245,1)))+SUMPRODUCT((OFFSET(Calc2!$G$4,,,$F$26*B245,1)=F249)*(OFFSET(Calc2!$H$4,,,$F$26*B245,1)&lt;OFFSET(Calc2!$I$4,,,$F$26*B245,1)))</f>
        <v>3</v>
      </c>
      <c r="M249" s="1">
        <f t="array" aca="1" ref="M249" ca="1">SUMPRODUCT((OFFSET(Calc2!$F$4,,,$F$26*B245,2)=F249)*(OFFSET(Calc2!$H$4,,,$F$26*B245,1)=OFFSET(Calc2!$I$4,,,$F$26*B245,1))*(OFFSET(Calc2!$H$4,,,$F$26*B245,1)&lt;&gt;"")*(OFFSET(Calc2!$I$4,,,$F$26*B245,1)&lt;&gt;""))</f>
        <v>3</v>
      </c>
      <c r="N249" s="1">
        <f t="array" aca="1" ref="N249" ca="1">SUMPRODUCT((OFFSET(Calc2!$F$4,,,$F$26*B245,1)=F249)*(OFFSET(Calc2!$H$4,,,$F$26*B245,1)&lt;OFFSET(Calc2!$I$4,,,$F$26*B245,1)))+SUMPRODUCT((OFFSET(Calc2!$G$4,,,$F$26*B245,1)=F249)*(OFFSET(Calc2!$H$4,,,$F$26*B245,1)&gt;OFFSET(Calc2!$I$4,,,$F$26*B245,1)))</f>
        <v>4</v>
      </c>
      <c r="O249" s="132">
        <f ca="1">SUMPRODUCT((F249=OFFSET(Calc2!$F$4,,,$F$26*B245,1))*OFFSET(Calc2!$O$4,,,$F$26*B245,1))+SUMPRODUCT((F249=OFFSET(Calc2!$G$4,,,$F$26*B245,1))*OFFSET(Calc2!$P$4,,,$F$26*B245,1))</f>
        <v>0</v>
      </c>
      <c r="P249" s="2"/>
      <c r="Q249" s="2"/>
      <c r="R249" s="13">
        <f t="shared" ca="1" si="46"/>
        <v>12499996013</v>
      </c>
      <c r="S249" s="134">
        <f>Tie_Break!$D$9</f>
        <v>0</v>
      </c>
      <c r="T249" s="9">
        <f ca="1">RANK(R249,R247:R266)+(9-S249)/10000+(F249="")*1000</f>
        <v>11.0009</v>
      </c>
      <c r="U249" s="134"/>
      <c r="V249" s="134">
        <f ca="1">IF($K$24=0,"",IF(VLOOKUP(B249,C247:E266,3,0)=MAX(V$4:V248),VLOOKUP(B249,C247:E266,3,0),B249))</f>
        <v>3</v>
      </c>
      <c r="W249" s="4" t="str">
        <f ca="1">IF($K$24=0,Calc2!$C$6,VLOOKUP(B249,C247:N266,4,0))</f>
        <v>Borussia Dortmund</v>
      </c>
      <c r="X249" s="1">
        <f ca="1">INDEX(V220:V239,MATCH(W249,W220:W239,0))</f>
        <v>3</v>
      </c>
      <c r="Y249" s="1">
        <f t="shared" ca="1" si="49"/>
        <v>0</v>
      </c>
    </row>
    <row r="250" spans="2:25" x14ac:dyDescent="0.2">
      <c r="B250" s="1">
        <v>4</v>
      </c>
      <c r="C250" s="9">
        <f ca="1">RANK(D250,D247:D266,1)</f>
        <v>17</v>
      </c>
      <c r="D250" s="134">
        <f t="shared" ca="1" si="47"/>
        <v>17.25</v>
      </c>
      <c r="E250" s="134">
        <f ca="1">RANK(T250,T247:T266,1)</f>
        <v>17</v>
      </c>
      <c r="F250" s="187" t="str">
        <f>Calc2!$C$7</f>
        <v>1. FSV Mainz 05</v>
      </c>
      <c r="G250" s="1">
        <f ca="1">SUMIFS(OFFSET(Calc2!$H$4,,,$F$26*B245,1),OFFSET(Calc2!$F$4,,,$F$26*B245,1),F250)+SUMIFS(OFFSET(Calc2!$I$4,,,$F$26*B245,1),OFFSET(Calc2!$G$4,,,$F$26*B245,1),F250)</f>
        <v>10</v>
      </c>
      <c r="H250" s="1">
        <f ca="1">SUMIFS(OFFSET(Calc2!$I$4,,,$F$26*B245,1),OFFSET(Calc2!$F$4,,,$F$26*B245,1),F250)+SUMIFS(OFFSET(Calc2!$H$4,,,$F$26*B245,1),OFFSET(Calc2!$G$4,,,$F$26*B245,1),F250)</f>
        <v>18</v>
      </c>
      <c r="I250" s="134">
        <f t="shared" ca="1" si="45"/>
        <v>-8</v>
      </c>
      <c r="J250" s="12">
        <f ca="1">L250*Settings!$C$3+M250+O250</f>
        <v>5</v>
      </c>
      <c r="K250" s="1">
        <f t="shared" ca="1" si="48"/>
        <v>10</v>
      </c>
      <c r="L250" s="1">
        <f t="array" aca="1" ref="L250" ca="1">SUMPRODUCT((OFFSET(Calc2!$F$4,,,$F$26*B245,1)=F250)*(OFFSET(Calc2!$H$4,,,$F$26*B245,1)&gt;OFFSET(Calc2!$I$4,,,$F$26*B245,1)))+SUMPRODUCT((OFFSET(Calc2!$G$4,,,$F$26*B245,1)=F250)*(OFFSET(Calc2!$H$4,,,$F$26*B245,1)&lt;OFFSET(Calc2!$I$4,,,$F$26*B245,1)))</f>
        <v>1</v>
      </c>
      <c r="M250" s="1">
        <f t="array" aca="1" ref="M250" ca="1">SUMPRODUCT((OFFSET(Calc2!$F$4,,,$F$26*B245,2)=F250)*(OFFSET(Calc2!$H$4,,,$F$26*B245,1)=OFFSET(Calc2!$I$4,,,$F$26*B245,1))*(OFFSET(Calc2!$H$4,,,$F$26*B245,1)&lt;&gt;"")*(OFFSET(Calc2!$I$4,,,$F$26*B245,1)&lt;&gt;""))</f>
        <v>2</v>
      </c>
      <c r="N250" s="1">
        <f t="array" aca="1" ref="N250" ca="1">SUMPRODUCT((OFFSET(Calc2!$F$4,,,$F$26*B245,1)=F250)*(OFFSET(Calc2!$H$4,,,$F$26*B245,1)&lt;OFFSET(Calc2!$I$4,,,$F$26*B245,1)))+SUMPRODUCT((OFFSET(Calc2!$G$4,,,$F$26*B245,1)=F250)*(OFFSET(Calc2!$H$4,,,$F$26*B245,1)&gt;OFFSET(Calc2!$I$4,,,$F$26*B245,1)))</f>
        <v>7</v>
      </c>
      <c r="O250" s="132">
        <f ca="1">SUMPRODUCT((F250=OFFSET(Calc2!$F$4,,,$F$26*B245,1))*OFFSET(Calc2!$O$4,,,$F$26*B245,1))+SUMPRODUCT((F250=OFFSET(Calc2!$G$4,,,$F$26*B245,1))*OFFSET(Calc2!$P$4,,,$F$26*B245,1))</f>
        <v>0</v>
      </c>
      <c r="P250" s="2"/>
      <c r="Q250" s="2"/>
      <c r="R250" s="13">
        <f t="shared" ca="1" si="46"/>
        <v>5499992010</v>
      </c>
      <c r="S250" s="134">
        <f>Tie_Break!$D$10</f>
        <v>0</v>
      </c>
      <c r="T250" s="9">
        <f ca="1">RANK(R250,R247:R266)+(9-S250)/10000+(F250="")*1000</f>
        <v>17.000900000000001</v>
      </c>
      <c r="U250" s="134"/>
      <c r="V250" s="134">
        <f ca="1">IF($K$24=0,"",IF(VLOOKUP(B250,C247:E266,3,0)=MAX(V$4:V249),VLOOKUP(B250,C247:E266,3,0),B250))</f>
        <v>4</v>
      </c>
      <c r="W250" s="4" t="str">
        <f ca="1">IF($K$24=0,Calc2!$C$7,VLOOKUP(B250,C247:N266,4,0))</f>
        <v>VfB Stuttgart</v>
      </c>
      <c r="X250" s="1">
        <f ca="1">INDEX(V220:V239,MATCH(W250,W220:W239,0))</f>
        <v>4</v>
      </c>
      <c r="Y250" s="1">
        <f t="shared" ca="1" si="49"/>
        <v>0</v>
      </c>
    </row>
    <row r="251" spans="2:25" x14ac:dyDescent="0.2">
      <c r="B251" s="1">
        <v>5</v>
      </c>
      <c r="C251" s="9">
        <f ca="1">RANK(D251,D247:D266,1)</f>
        <v>5</v>
      </c>
      <c r="D251" s="134">
        <f t="shared" ca="1" si="47"/>
        <v>5.2510000000000003</v>
      </c>
      <c r="E251" s="134">
        <f ca="1">RANK(T251,T247:T266,1)</f>
        <v>5</v>
      </c>
      <c r="F251" s="187" t="str">
        <f>Calc2!$C$8</f>
        <v>Bayer 04 Leverkusen</v>
      </c>
      <c r="G251" s="1">
        <f ca="1">SUMIFS(OFFSET(Calc2!$H$4,,,$F$26*B245,1),OFFSET(Calc2!$F$4,,,$F$26*B245,1),F251)+SUMIFS(OFFSET(Calc2!$I$4,,,$F$26*B245,1),OFFSET(Calc2!$G$4,,,$F$26*B245,1),F251)</f>
        <v>24</v>
      </c>
      <c r="H251" s="1">
        <f ca="1">SUMIFS(OFFSET(Calc2!$I$4,,,$F$26*B245,1),OFFSET(Calc2!$F$4,,,$F$26*B245,1),F251)+SUMIFS(OFFSET(Calc2!$H$4,,,$F$26*B245,1),OFFSET(Calc2!$G$4,,,$F$26*B245,1),F251)</f>
        <v>14</v>
      </c>
      <c r="I251" s="134">
        <f t="shared" ca="1" si="45"/>
        <v>10</v>
      </c>
      <c r="J251" s="12">
        <f ca="1">L251*Settings!$C$3+M251+O251</f>
        <v>20</v>
      </c>
      <c r="K251" s="1">
        <f t="shared" ca="1" si="48"/>
        <v>10</v>
      </c>
      <c r="L251" s="1">
        <f t="array" aca="1" ref="L251" ca="1">SUMPRODUCT((OFFSET(Calc2!$F$4,,,$F$26*B245,1)=F251)*(OFFSET(Calc2!$H$4,,,$F$26*B245,1)&gt;OFFSET(Calc2!$I$4,,,$F$26*B245,1)))+SUMPRODUCT((OFFSET(Calc2!$G$4,,,$F$26*B245,1)=F251)*(OFFSET(Calc2!$H$4,,,$F$26*B245,1)&lt;OFFSET(Calc2!$I$4,,,$F$26*B245,1)))</f>
        <v>6</v>
      </c>
      <c r="M251" s="1">
        <f t="array" aca="1" ref="M251" ca="1">SUMPRODUCT((OFFSET(Calc2!$F$4,,,$F$26*B245,2)=F251)*(OFFSET(Calc2!$H$4,,,$F$26*B245,1)=OFFSET(Calc2!$I$4,,,$F$26*B245,1))*(OFFSET(Calc2!$H$4,,,$F$26*B245,1)&lt;&gt;"")*(OFFSET(Calc2!$I$4,,,$F$26*B245,1)&lt;&gt;""))</f>
        <v>2</v>
      </c>
      <c r="N251" s="1">
        <f t="array" aca="1" ref="N251" ca="1">SUMPRODUCT((OFFSET(Calc2!$F$4,,,$F$26*B245,1)=F251)*(OFFSET(Calc2!$H$4,,,$F$26*B245,1)&lt;OFFSET(Calc2!$I$4,,,$F$26*B245,1)))+SUMPRODUCT((OFFSET(Calc2!$G$4,,,$F$26*B245,1)=F251)*(OFFSET(Calc2!$H$4,,,$F$26*B245,1)&gt;OFFSET(Calc2!$I$4,,,$F$26*B245,1)))</f>
        <v>2</v>
      </c>
      <c r="O251" s="132">
        <f ca="1">SUMPRODUCT((F251=OFFSET(Calc2!$F$4,,,$F$26*B245,1))*OFFSET(Calc2!$O$4,,,$F$26*B245,1))+SUMPRODUCT((F251=OFFSET(Calc2!$G$4,,,$F$26*B245,1))*OFFSET(Calc2!$P$4,,,$F$26*B245,1))</f>
        <v>0</v>
      </c>
      <c r="P251" s="2"/>
      <c r="Q251" s="2"/>
      <c r="R251" s="13">
        <f t="shared" ca="1" si="46"/>
        <v>20500010024</v>
      </c>
      <c r="S251" s="134">
        <f>Tie_Break!$D$11</f>
        <v>0</v>
      </c>
      <c r="T251" s="9">
        <f ca="1">RANK(R251,R247:R266)+(9-S251)/10000+(F251="")*1000</f>
        <v>5.0008999999999997</v>
      </c>
      <c r="U251" s="134"/>
      <c r="V251" s="134">
        <f ca="1">IF($K$24=0,"",IF(VLOOKUP(B251,C247:E266,3,0)=MAX(V$4:V250),VLOOKUP(B251,C247:E266,3,0),B251))</f>
        <v>5</v>
      </c>
      <c r="W251" s="4" t="str">
        <f ca="1">IF($K$24=0,Calc2!$C$8,VLOOKUP(B251,C247:N266,4,0))</f>
        <v>Bayer 04 Leverkusen</v>
      </c>
      <c r="X251" s="1">
        <f ca="1">INDEX(V220:V239,MATCH(W251,W220:W239,0))</f>
        <v>5</v>
      </c>
      <c r="Y251" s="1">
        <f t="shared" ca="1" si="49"/>
        <v>0</v>
      </c>
    </row>
    <row r="252" spans="2:25" x14ac:dyDescent="0.2">
      <c r="B252" s="1">
        <v>6</v>
      </c>
      <c r="C252" s="9">
        <f ca="1">RANK(D252,D247:D266,1)</f>
        <v>3</v>
      </c>
      <c r="D252" s="134">
        <f t="shared" ca="1" si="47"/>
        <v>3.2519999999999998</v>
      </c>
      <c r="E252" s="134">
        <f ca="1">RANK(T252,T247:T266,1)</f>
        <v>3</v>
      </c>
      <c r="F252" s="187" t="str">
        <f>Calc2!$C$9</f>
        <v>Borussia Dortmund</v>
      </c>
      <c r="G252" s="1">
        <f ca="1">SUMIFS(OFFSET(Calc2!$H$4,,,$F$26*B245,1),OFFSET(Calc2!$F$4,,,$F$26*B245,1),F252)+SUMIFS(OFFSET(Calc2!$I$4,,,$F$26*B245,1),OFFSET(Calc2!$G$4,,,$F$26*B245,1),F252)</f>
        <v>16</v>
      </c>
      <c r="H252" s="1">
        <f ca="1">SUMIFS(OFFSET(Calc2!$I$4,,,$F$26*B245,1),OFFSET(Calc2!$F$4,,,$F$26*B245,1),F252)+SUMIFS(OFFSET(Calc2!$H$4,,,$F$26*B245,1),OFFSET(Calc2!$G$4,,,$F$26*B245,1),F252)</f>
        <v>7</v>
      </c>
      <c r="I252" s="134">
        <f t="shared" ca="1" si="45"/>
        <v>9</v>
      </c>
      <c r="J252" s="12">
        <f ca="1">L252*Settings!$C$3+M252+O252</f>
        <v>21</v>
      </c>
      <c r="K252" s="1">
        <f t="shared" ca="1" si="48"/>
        <v>10</v>
      </c>
      <c r="L252" s="1">
        <f t="array" aca="1" ref="L252" ca="1">SUMPRODUCT((OFFSET(Calc2!$F$4,,,$F$26*B245,1)=F252)*(OFFSET(Calc2!$H$4,,,$F$26*B245,1)&gt;OFFSET(Calc2!$I$4,,,$F$26*B245,1)))+SUMPRODUCT((OFFSET(Calc2!$G$4,,,$F$26*B245,1)=F252)*(OFFSET(Calc2!$H$4,,,$F$26*B245,1)&lt;OFFSET(Calc2!$I$4,,,$F$26*B245,1)))</f>
        <v>6</v>
      </c>
      <c r="M252" s="1">
        <f t="array" aca="1" ref="M252" ca="1">SUMPRODUCT((OFFSET(Calc2!$F$4,,,$F$26*B245,2)=F252)*(OFFSET(Calc2!$H$4,,,$F$26*B245,1)=OFFSET(Calc2!$I$4,,,$F$26*B245,1))*(OFFSET(Calc2!$H$4,,,$F$26*B245,1)&lt;&gt;"")*(OFFSET(Calc2!$I$4,,,$F$26*B245,1)&lt;&gt;""))</f>
        <v>3</v>
      </c>
      <c r="N252" s="1">
        <f t="array" aca="1" ref="N252" ca="1">SUMPRODUCT((OFFSET(Calc2!$F$4,,,$F$26*B245,1)=F252)*(OFFSET(Calc2!$H$4,,,$F$26*B245,1)&lt;OFFSET(Calc2!$I$4,,,$F$26*B245,1)))+SUMPRODUCT((OFFSET(Calc2!$G$4,,,$F$26*B245,1)=F252)*(OFFSET(Calc2!$H$4,,,$F$26*B245,1)&gt;OFFSET(Calc2!$I$4,,,$F$26*B245,1)))</f>
        <v>1</v>
      </c>
      <c r="O252" s="132">
        <f ca="1">SUMPRODUCT((F252=OFFSET(Calc2!$F$4,,,$F$26*B245,1))*OFFSET(Calc2!$O$4,,,$F$26*B245,1))+SUMPRODUCT((F252=OFFSET(Calc2!$G$4,,,$F$26*B245,1))*OFFSET(Calc2!$P$4,,,$F$26*B245,1))</f>
        <v>0</v>
      </c>
      <c r="P252" s="2"/>
      <c r="Q252" s="2"/>
      <c r="R252" s="13">
        <f t="shared" ca="1" si="46"/>
        <v>21500009016</v>
      </c>
      <c r="S252" s="134">
        <f>Tie_Break!$D$12</f>
        <v>0</v>
      </c>
      <c r="T252" s="9">
        <f ca="1">RANK(R252,R247:R266)+(9-S252)/10000+(F252="")*1000</f>
        <v>3.0009000000000001</v>
      </c>
      <c r="U252" s="134"/>
      <c r="V252" s="134">
        <f ca="1">IF($K$24=0,"",IF(VLOOKUP(B252,C247:E266,3,0)=MAX(V$4:V251),VLOOKUP(B252,C247:E266,3,0),B252))</f>
        <v>6</v>
      </c>
      <c r="W252" s="4" t="str">
        <f ca="1">IF($K$24=0,Calc2!$C$9,VLOOKUP(B252,C247:N266,4,0))</f>
        <v>TSG Hoffenheim</v>
      </c>
      <c r="X252" s="1">
        <f ca="1">INDEX(V220:V239,MATCH(W252,W220:W239,0))</f>
        <v>6</v>
      </c>
      <c r="Y252" s="1">
        <f t="shared" ca="1" si="49"/>
        <v>0</v>
      </c>
    </row>
    <row r="253" spans="2:25" x14ac:dyDescent="0.2">
      <c r="B253" s="1">
        <v>7</v>
      </c>
      <c r="C253" s="9">
        <f ca="1">RANK(D253,D247:D266,1)</f>
        <v>12</v>
      </c>
      <c r="D253" s="134">
        <f t="shared" ca="1" si="47"/>
        <v>12.253</v>
      </c>
      <c r="E253" s="134">
        <f ca="1">RANK(T253,T247:T266,1)</f>
        <v>12</v>
      </c>
      <c r="F253" s="187" t="str">
        <f>Calc2!$C$10</f>
        <v>Borussia Mönchengladbach</v>
      </c>
      <c r="G253" s="1">
        <f ca="1">SUMIFS(OFFSET(Calc2!$H$4,,,$F$26*B245,1),OFFSET(Calc2!$F$4,,,$F$26*B245,1),F253)+SUMIFS(OFFSET(Calc2!$I$4,,,$F$26*B245,1),OFFSET(Calc2!$G$4,,,$F$26*B245,1),F253)</f>
        <v>13</v>
      </c>
      <c r="H253" s="1">
        <f ca="1">SUMIFS(OFFSET(Calc2!$I$4,,,$F$26*B245,1),OFFSET(Calc2!$F$4,,,$F$26*B245,1),F253)+SUMIFS(OFFSET(Calc2!$H$4,,,$F$26*B245,1),OFFSET(Calc2!$G$4,,,$F$26*B245,1),F253)</f>
        <v>19</v>
      </c>
      <c r="I253" s="134">
        <f t="shared" ca="1" si="45"/>
        <v>-6</v>
      </c>
      <c r="J253" s="12">
        <f ca="1">L253*Settings!$C$3+M253+O253</f>
        <v>9</v>
      </c>
      <c r="K253" s="1">
        <f t="shared" ca="1" si="48"/>
        <v>10</v>
      </c>
      <c r="L253" s="1">
        <f t="array" aca="1" ref="L253" ca="1">SUMPRODUCT((OFFSET(Calc2!$F$4,,,$F$26*B245,1)=F253)*(OFFSET(Calc2!$H$4,,,$F$26*B245,1)&gt;OFFSET(Calc2!$I$4,,,$F$26*B245,1)))+SUMPRODUCT((OFFSET(Calc2!$G$4,,,$F$26*B245,1)=F253)*(OFFSET(Calc2!$H$4,,,$F$26*B245,1)&lt;OFFSET(Calc2!$I$4,,,$F$26*B245,1)))</f>
        <v>2</v>
      </c>
      <c r="M253" s="1">
        <f t="array" aca="1" ref="M253" ca="1">SUMPRODUCT((OFFSET(Calc2!$F$4,,,$F$26*B245,2)=F253)*(OFFSET(Calc2!$H$4,,,$F$26*B245,1)=OFFSET(Calc2!$I$4,,,$F$26*B245,1))*(OFFSET(Calc2!$H$4,,,$F$26*B245,1)&lt;&gt;"")*(OFFSET(Calc2!$I$4,,,$F$26*B245,1)&lt;&gt;""))</f>
        <v>3</v>
      </c>
      <c r="N253" s="1">
        <f t="array" aca="1" ref="N253" ca="1">SUMPRODUCT((OFFSET(Calc2!$F$4,,,$F$26*B245,1)=F253)*(OFFSET(Calc2!$H$4,,,$F$26*B245,1)&lt;OFFSET(Calc2!$I$4,,,$F$26*B245,1)))+SUMPRODUCT((OFFSET(Calc2!$G$4,,,$F$26*B245,1)=F253)*(OFFSET(Calc2!$H$4,,,$F$26*B245,1)&gt;OFFSET(Calc2!$I$4,,,$F$26*B245,1)))</f>
        <v>5</v>
      </c>
      <c r="O253" s="132">
        <f ca="1">SUMPRODUCT((F253=OFFSET(Calc2!$F$4,,,$F$26*B245,1))*OFFSET(Calc2!$O$4,,,$F$26*B245,1))+SUMPRODUCT((F253=OFFSET(Calc2!$G$4,,,$F$26*B245,1))*OFFSET(Calc2!$P$4,,,$F$26*B245,1))</f>
        <v>0</v>
      </c>
      <c r="P253" s="2"/>
      <c r="Q253" s="2"/>
      <c r="R253" s="13">
        <f t="shared" ca="1" si="46"/>
        <v>9499994013</v>
      </c>
      <c r="S253" s="134">
        <f>Tie_Break!$D$13</f>
        <v>0</v>
      </c>
      <c r="T253" s="9">
        <f ca="1">RANK(R253,R247:R266)+(9-S253)/10000+(F253="")*1000</f>
        <v>12.0009</v>
      </c>
      <c r="U253" s="134"/>
      <c r="V253" s="134">
        <f ca="1">IF($K$24=0,"",IF(VLOOKUP(B253,C247:E266,3,0)=MAX(V$4:V252),VLOOKUP(B253,C247:E266,3,0),B253))</f>
        <v>7</v>
      </c>
      <c r="W253" s="4" t="str">
        <f ca="1">IF($K$24=0,Calc2!$C$10,VLOOKUP(B253,C247:N266,4,0))</f>
        <v>Eintracht Frankfurt</v>
      </c>
      <c r="X253" s="1">
        <f ca="1">INDEX(V220:V239,MATCH(W253,W220:W239,0))</f>
        <v>8</v>
      </c>
      <c r="Y253" s="1">
        <f t="shared" ca="1" si="49"/>
        <v>1</v>
      </c>
    </row>
    <row r="254" spans="2:25" x14ac:dyDescent="0.2">
      <c r="B254" s="1">
        <v>8</v>
      </c>
      <c r="C254" s="9">
        <f ca="1">RANK(D254,D247:D266,1)</f>
        <v>7</v>
      </c>
      <c r="D254" s="134">
        <f t="shared" ca="1" si="47"/>
        <v>7.2539999999999996</v>
      </c>
      <c r="E254" s="134">
        <f ca="1">RANK(T254,T247:T266,1)</f>
        <v>7</v>
      </c>
      <c r="F254" s="187" t="str">
        <f>Calc2!$C$11</f>
        <v>Eintracht Frankfurt</v>
      </c>
      <c r="G254" s="1">
        <f ca="1">SUMIFS(OFFSET(Calc2!$H$4,,,$F$26*B245,1),OFFSET(Calc2!$F$4,,,$F$26*B245,1),F254)+SUMIFS(OFFSET(Calc2!$I$4,,,$F$26*B245,1),OFFSET(Calc2!$G$4,,,$F$26*B245,1),F254)</f>
        <v>23</v>
      </c>
      <c r="H254" s="1">
        <f ca="1">SUMIFS(OFFSET(Calc2!$I$4,,,$F$26*B245,1),OFFSET(Calc2!$F$4,,,$F$26*B245,1),F254)+SUMIFS(OFFSET(Calc2!$H$4,,,$F$26*B245,1),OFFSET(Calc2!$G$4,,,$F$26*B245,1),F254)</f>
        <v>19</v>
      </c>
      <c r="I254" s="134">
        <f t="shared" ca="1" si="45"/>
        <v>4</v>
      </c>
      <c r="J254" s="12">
        <f ca="1">L254*Settings!$C$3+M254+O254</f>
        <v>17</v>
      </c>
      <c r="K254" s="1">
        <f t="shared" ca="1" si="48"/>
        <v>10</v>
      </c>
      <c r="L254" s="1">
        <f t="array" aca="1" ref="L254" ca="1">SUMPRODUCT((OFFSET(Calc2!$F$4,,,$F$26*B245,1)=F254)*(OFFSET(Calc2!$H$4,,,$F$26*B245,1)&gt;OFFSET(Calc2!$I$4,,,$F$26*B245,1)))+SUMPRODUCT((OFFSET(Calc2!$G$4,,,$F$26*B245,1)=F254)*(OFFSET(Calc2!$H$4,,,$F$26*B245,1)&lt;OFFSET(Calc2!$I$4,,,$F$26*B245,1)))</f>
        <v>5</v>
      </c>
      <c r="M254" s="1">
        <f t="array" aca="1" ref="M254" ca="1">SUMPRODUCT((OFFSET(Calc2!$F$4,,,$F$26*B245,2)=F254)*(OFFSET(Calc2!$H$4,,,$F$26*B245,1)=OFFSET(Calc2!$I$4,,,$F$26*B245,1))*(OFFSET(Calc2!$H$4,,,$F$26*B245,1)&lt;&gt;"")*(OFFSET(Calc2!$I$4,,,$F$26*B245,1)&lt;&gt;""))</f>
        <v>2</v>
      </c>
      <c r="N254" s="1">
        <f t="array" aca="1" ref="N254" ca="1">SUMPRODUCT((OFFSET(Calc2!$F$4,,,$F$26*B245,1)=F254)*(OFFSET(Calc2!$H$4,,,$F$26*B245,1)&lt;OFFSET(Calc2!$I$4,,,$F$26*B245,1)))+SUMPRODUCT((OFFSET(Calc2!$G$4,,,$F$26*B245,1)=F254)*(OFFSET(Calc2!$H$4,,,$F$26*B245,1)&gt;OFFSET(Calc2!$I$4,,,$F$26*B245,1)))</f>
        <v>3</v>
      </c>
      <c r="O254" s="132">
        <f ca="1">SUMPRODUCT((F254=OFFSET(Calc2!$F$4,,,$F$26*B245,1))*OFFSET(Calc2!$O$4,,,$F$26*B245,1))+SUMPRODUCT((F254=OFFSET(Calc2!$G$4,,,$F$26*B245,1))*OFFSET(Calc2!$P$4,,,$F$26*B245,1))</f>
        <v>0</v>
      </c>
      <c r="P254" s="2"/>
      <c r="Q254" s="2"/>
      <c r="R254" s="13">
        <f t="shared" ca="1" si="46"/>
        <v>17500004023</v>
      </c>
      <c r="S254" s="134">
        <f>Tie_Break!$D$14</f>
        <v>0</v>
      </c>
      <c r="T254" s="9">
        <f ca="1">RANK(R254,R247:R266)+(9-S254)/10000+(F254="")*1000</f>
        <v>7.0008999999999997</v>
      </c>
      <c r="U254" s="134"/>
      <c r="V254" s="134">
        <f ca="1">IF($K$24=0,"",IF(VLOOKUP(B254,C247:E266,3,0)=MAX(V$4:V253),VLOOKUP(B254,C247:E266,3,0),B254))</f>
        <v>8</v>
      </c>
      <c r="W254" s="4" t="str">
        <f ca="1">IF($K$24=0,Calc2!$C$11,VLOOKUP(B254,C247:N266,4,0))</f>
        <v>SV Werder Bremen</v>
      </c>
      <c r="X254" s="1">
        <f ca="1">INDEX(V220:V239,MATCH(W254,W220:W239,0))</f>
        <v>9</v>
      </c>
      <c r="Y254" s="1">
        <f t="shared" ca="1" si="49"/>
        <v>1</v>
      </c>
    </row>
    <row r="255" spans="2:25" x14ac:dyDescent="0.2">
      <c r="B255" s="1">
        <v>9</v>
      </c>
      <c r="C255" s="9">
        <f ca="1">RANK(D255,D247:D266,1)</f>
        <v>15</v>
      </c>
      <c r="D255" s="134">
        <f t="shared" ca="1" si="47"/>
        <v>15.255000000000001</v>
      </c>
      <c r="E255" s="134">
        <f ca="1">RANK(T255,T247:T266,1)</f>
        <v>15</v>
      </c>
      <c r="F255" s="187" t="str">
        <f>Calc2!$C$12</f>
        <v>FC Augsburg</v>
      </c>
      <c r="G255" s="1">
        <f ca="1">SUMIFS(OFFSET(Calc2!$H$4,,,$F$26*B245,1),OFFSET(Calc2!$F$4,,,$F$26*B245,1),F255)+SUMIFS(OFFSET(Calc2!$I$4,,,$F$26*B245,1),OFFSET(Calc2!$G$4,,,$F$26*B245,1),F255)</f>
        <v>14</v>
      </c>
      <c r="H255" s="1">
        <f ca="1">SUMIFS(OFFSET(Calc2!$I$4,,,$F$26*B245,1),OFFSET(Calc2!$F$4,,,$F$26*B245,1),F255)+SUMIFS(OFFSET(Calc2!$H$4,,,$F$26*B245,1),OFFSET(Calc2!$G$4,,,$F$26*B245,1),F255)</f>
        <v>24</v>
      </c>
      <c r="I255" s="134">
        <f t="shared" ca="1" si="45"/>
        <v>-10</v>
      </c>
      <c r="J255" s="12">
        <f ca="1">L255*Settings!$C$3+M255+O255</f>
        <v>7</v>
      </c>
      <c r="K255" s="1">
        <f t="shared" ca="1" si="48"/>
        <v>10</v>
      </c>
      <c r="L255" s="1">
        <f t="array" aca="1" ref="L255" ca="1">SUMPRODUCT((OFFSET(Calc2!$F$4,,,$F$26*B245,1)=F255)*(OFFSET(Calc2!$H$4,,,$F$26*B245,1)&gt;OFFSET(Calc2!$I$4,,,$F$26*B245,1)))+SUMPRODUCT((OFFSET(Calc2!$G$4,,,$F$26*B245,1)=F255)*(OFFSET(Calc2!$H$4,,,$F$26*B245,1)&lt;OFFSET(Calc2!$I$4,,,$F$26*B245,1)))</f>
        <v>2</v>
      </c>
      <c r="M255" s="1">
        <f t="array" aca="1" ref="M255" ca="1">SUMPRODUCT((OFFSET(Calc2!$F$4,,,$F$26*B245,2)=F255)*(OFFSET(Calc2!$H$4,,,$F$26*B245,1)=OFFSET(Calc2!$I$4,,,$F$26*B245,1))*(OFFSET(Calc2!$H$4,,,$F$26*B245,1)&lt;&gt;"")*(OFFSET(Calc2!$I$4,,,$F$26*B245,1)&lt;&gt;""))</f>
        <v>1</v>
      </c>
      <c r="N255" s="1">
        <f t="array" aca="1" ref="N255" ca="1">SUMPRODUCT((OFFSET(Calc2!$F$4,,,$F$26*B245,1)=F255)*(OFFSET(Calc2!$H$4,,,$F$26*B245,1)&lt;OFFSET(Calc2!$I$4,,,$F$26*B245,1)))+SUMPRODUCT((OFFSET(Calc2!$G$4,,,$F$26*B245,1)=F255)*(OFFSET(Calc2!$H$4,,,$F$26*B245,1)&gt;OFFSET(Calc2!$I$4,,,$F$26*B245,1)))</f>
        <v>7</v>
      </c>
      <c r="O255" s="132">
        <f ca="1">SUMPRODUCT((F255=OFFSET(Calc2!$F$4,,,$F$26*B245,1))*OFFSET(Calc2!$O$4,,,$F$26*B245,1))+SUMPRODUCT((F255=OFFSET(Calc2!$G$4,,,$F$26*B245,1))*OFFSET(Calc2!$P$4,,,$F$26*B245,1))</f>
        <v>0</v>
      </c>
      <c r="P255" s="2"/>
      <c r="Q255" s="2"/>
      <c r="R255" s="13">
        <f t="shared" ca="1" si="46"/>
        <v>7499990014</v>
      </c>
      <c r="S255" s="134">
        <f>Tie_Break!$D$15</f>
        <v>0</v>
      </c>
      <c r="T255" s="9">
        <f ca="1">RANK(R255,R247:R266)+(9-S255)/10000+(F255="")*1000</f>
        <v>15.0009</v>
      </c>
      <c r="U255" s="134"/>
      <c r="V255" s="134">
        <f ca="1">IF($K$24=0,"",IF(VLOOKUP(B255,C247:E266,3,0)=MAX(V$4:V254),VLOOKUP(B255,C247:E266,3,0),B255))</f>
        <v>9</v>
      </c>
      <c r="W255" s="4" t="str">
        <f ca="1">IF($K$24=0,Calc2!$C$12,VLOOKUP(B255,C247:N266,4,0))</f>
        <v>1. FC Köln</v>
      </c>
      <c r="X255" s="1">
        <f ca="1">INDEX(V220:V239,MATCH(W255,W220:W239,0))</f>
        <v>7</v>
      </c>
      <c r="Y255" s="1">
        <f t="shared" ca="1" si="49"/>
        <v>-1</v>
      </c>
    </row>
    <row r="256" spans="2:25" x14ac:dyDescent="0.2">
      <c r="B256" s="1">
        <v>10</v>
      </c>
      <c r="C256" s="9">
        <f ca="1">RANK(D256,D247:D266,1)</f>
        <v>1</v>
      </c>
      <c r="D256" s="134">
        <f t="shared" ca="1" si="47"/>
        <v>1.256</v>
      </c>
      <c r="E256" s="134">
        <f ca="1">RANK(T256,T247:T266,1)</f>
        <v>1</v>
      </c>
      <c r="F256" s="187" t="str">
        <f>Calc2!$C$13</f>
        <v>FC Bayern München</v>
      </c>
      <c r="G256" s="1">
        <f ca="1">SUMIFS(OFFSET(Calc2!$H$4,,,$F$26*B245,1),OFFSET(Calc2!$F$4,,,$F$26*B245,1),F256)+SUMIFS(OFFSET(Calc2!$I$4,,,$F$26*B245,1),OFFSET(Calc2!$G$4,,,$F$26*B245,1),F256)</f>
        <v>35</v>
      </c>
      <c r="H256" s="1">
        <f ca="1">SUMIFS(OFFSET(Calc2!$I$4,,,$F$26*B245,1),OFFSET(Calc2!$F$4,,,$F$26*B245,1),F256)+SUMIFS(OFFSET(Calc2!$H$4,,,$F$26*B245,1),OFFSET(Calc2!$G$4,,,$F$26*B245,1),F256)</f>
        <v>6</v>
      </c>
      <c r="I256" s="134">
        <f t="shared" ca="1" si="45"/>
        <v>29</v>
      </c>
      <c r="J256" s="12">
        <f ca="1">L256*Settings!$C$3+M256+O256</f>
        <v>28</v>
      </c>
      <c r="K256" s="1">
        <f t="shared" ca="1" si="48"/>
        <v>10</v>
      </c>
      <c r="L256" s="1">
        <f t="array" aca="1" ref="L256" ca="1">SUMPRODUCT((OFFSET(Calc2!$F$4,,,$F$26*B245,1)=F256)*(OFFSET(Calc2!$H$4,,,$F$26*B245,1)&gt;OFFSET(Calc2!$I$4,,,$F$26*B245,1)))+SUMPRODUCT((OFFSET(Calc2!$G$4,,,$F$26*B245,1)=F256)*(OFFSET(Calc2!$H$4,,,$F$26*B245,1)&lt;OFFSET(Calc2!$I$4,,,$F$26*B245,1)))</f>
        <v>9</v>
      </c>
      <c r="M256" s="1">
        <f t="array" aca="1" ref="M256" ca="1">SUMPRODUCT((OFFSET(Calc2!$F$4,,,$F$26*B245,2)=F256)*(OFFSET(Calc2!$H$4,,,$F$26*B245,1)=OFFSET(Calc2!$I$4,,,$F$26*B245,1))*(OFFSET(Calc2!$H$4,,,$F$26*B245,1)&lt;&gt;"")*(OFFSET(Calc2!$I$4,,,$F$26*B245,1)&lt;&gt;""))</f>
        <v>1</v>
      </c>
      <c r="N256" s="1">
        <f t="array" aca="1" ref="N256" ca="1">SUMPRODUCT((OFFSET(Calc2!$F$4,,,$F$26*B245,1)=F256)*(OFFSET(Calc2!$H$4,,,$F$26*B245,1)&lt;OFFSET(Calc2!$I$4,,,$F$26*B245,1)))+SUMPRODUCT((OFFSET(Calc2!$G$4,,,$F$26*B245,1)=F256)*(OFFSET(Calc2!$H$4,,,$F$26*B245,1)&gt;OFFSET(Calc2!$I$4,,,$F$26*B245,1)))</f>
        <v>0</v>
      </c>
      <c r="O256" s="132">
        <f ca="1">SUMPRODUCT((F256=OFFSET(Calc2!$F$4,,,$F$26*B245,1))*OFFSET(Calc2!$O$4,,,$F$26*B245,1))+SUMPRODUCT((F256=OFFSET(Calc2!$G$4,,,$F$26*B245,1))*OFFSET(Calc2!$P$4,,,$F$26*B245,1))</f>
        <v>0</v>
      </c>
      <c r="P256" s="2"/>
      <c r="Q256" s="2"/>
      <c r="R256" s="13">
        <f t="shared" ca="1" si="46"/>
        <v>28500029035</v>
      </c>
      <c r="S256" s="134">
        <f>Tie_Break!$D$16</f>
        <v>0</v>
      </c>
      <c r="T256" s="9">
        <f ca="1">RANK(R256,R247:R266)+(9-S256)/10000+(F256="")*1000</f>
        <v>1.0008999999999999</v>
      </c>
      <c r="U256" s="2"/>
      <c r="V256" s="134">
        <f ca="1">IF($K$24=0,"",IF(VLOOKUP(B256,C247:E266,3,0)=MAX(V$4:V255),VLOOKUP(B256,C247:E266,3,0),B256))</f>
        <v>10</v>
      </c>
      <c r="W256" s="4" t="str">
        <f ca="1">IF($K$24=0,Calc2!$C$13,VLOOKUP(B256,C247:N266,4,0))</f>
        <v>SC Freiburg</v>
      </c>
      <c r="X256" s="1">
        <f ca="1">INDEX(V220:V239,MATCH(W256,W220:W239,0))</f>
        <v>11</v>
      </c>
      <c r="Y256" s="1">
        <f t="shared" ca="1" si="49"/>
        <v>1</v>
      </c>
    </row>
    <row r="257" spans="2:25" x14ac:dyDescent="0.2">
      <c r="B257" s="1">
        <v>11</v>
      </c>
      <c r="C257" s="9">
        <f ca="1">RANK(D257,D247:D266,1)</f>
        <v>16</v>
      </c>
      <c r="D257" s="134">
        <f t="shared" ca="1" si="47"/>
        <v>16.257000000000001</v>
      </c>
      <c r="E257" s="134">
        <f ca="1">RANK(T257,T247:T266,1)</f>
        <v>16</v>
      </c>
      <c r="F257" s="187" t="str">
        <f>Calc2!$C$14</f>
        <v>FC St. Pauli</v>
      </c>
      <c r="G257" s="1">
        <f ca="1">SUMIFS(OFFSET(Calc2!$H$4,,,$F$26*B245,1),OFFSET(Calc2!$F$4,,,$F$26*B245,1),F257)+SUMIFS(OFFSET(Calc2!$I$4,,,$F$26*B245,1),OFFSET(Calc2!$G$4,,,$F$26*B245,1),F257)</f>
        <v>9</v>
      </c>
      <c r="H257" s="1">
        <f ca="1">SUMIFS(OFFSET(Calc2!$I$4,,,$F$26*B245,1),OFFSET(Calc2!$F$4,,,$F$26*B245,1),F257)+SUMIFS(OFFSET(Calc2!$H$4,,,$F$26*B245,1),OFFSET(Calc2!$G$4,,,$F$26*B245,1),F257)</f>
        <v>20</v>
      </c>
      <c r="I257" s="134">
        <f t="shared" ca="1" si="45"/>
        <v>-11</v>
      </c>
      <c r="J257" s="12">
        <f ca="1">L257*Settings!$C$3+M257+O257</f>
        <v>7</v>
      </c>
      <c r="K257" s="1">
        <f t="shared" ca="1" si="48"/>
        <v>10</v>
      </c>
      <c r="L257" s="1">
        <f t="array" aca="1" ref="L257" ca="1">SUMPRODUCT((OFFSET(Calc2!$F$4,,,$F$26*B245,1)=F257)*(OFFSET(Calc2!$H$4,,,$F$26*B245,1)&gt;OFFSET(Calc2!$I$4,,,$F$26*B245,1)))+SUMPRODUCT((OFFSET(Calc2!$G$4,,,$F$26*B245,1)=F257)*(OFFSET(Calc2!$H$4,,,$F$26*B245,1)&lt;OFFSET(Calc2!$I$4,,,$F$26*B245,1)))</f>
        <v>2</v>
      </c>
      <c r="M257" s="1">
        <f t="array" aca="1" ref="M257" ca="1">SUMPRODUCT((OFFSET(Calc2!$F$4,,,$F$26*B245,2)=F257)*(OFFSET(Calc2!$H$4,,,$F$26*B245,1)=OFFSET(Calc2!$I$4,,,$F$26*B245,1))*(OFFSET(Calc2!$H$4,,,$F$26*B245,1)&lt;&gt;"")*(OFFSET(Calc2!$I$4,,,$F$26*B245,1)&lt;&gt;""))</f>
        <v>1</v>
      </c>
      <c r="N257" s="1">
        <f t="array" aca="1" ref="N257" ca="1">SUMPRODUCT((OFFSET(Calc2!$F$4,,,$F$26*B245,1)=F257)*(OFFSET(Calc2!$H$4,,,$F$26*B245,1)&lt;OFFSET(Calc2!$I$4,,,$F$26*B245,1)))+SUMPRODUCT((OFFSET(Calc2!$G$4,,,$F$26*B245,1)=F257)*(OFFSET(Calc2!$H$4,,,$F$26*B245,1)&gt;OFFSET(Calc2!$I$4,,,$F$26*B245,1)))</f>
        <v>7</v>
      </c>
      <c r="O257" s="132">
        <f ca="1">SUMPRODUCT((F257=OFFSET(Calc2!$F$4,,,$F$26*B245,1))*OFFSET(Calc2!$O$4,,,$F$26*B245,1))+SUMPRODUCT((F257=OFFSET(Calc2!$G$4,,,$F$26*B245,1))*OFFSET(Calc2!$P$4,,,$F$26*B245,1))</f>
        <v>0</v>
      </c>
      <c r="P257" s="2"/>
      <c r="Q257" s="2"/>
      <c r="R257" s="13">
        <f t="shared" ca="1" si="46"/>
        <v>7499989009</v>
      </c>
      <c r="S257" s="134">
        <f>Tie_Break!$D$17</f>
        <v>0</v>
      </c>
      <c r="T257" s="9">
        <f ca="1">RANK(R257,R247:R266)+(9-S257)/10000+(F257="")*1000</f>
        <v>16.000900000000001</v>
      </c>
      <c r="U257" s="2"/>
      <c r="V257" s="134">
        <f ca="1">IF($K$24=0,"",IF(VLOOKUP(B257,C247:E266,3,0)=MAX(V$4:V256),VLOOKUP(B257,C247:E266,3,0),B257))</f>
        <v>11</v>
      </c>
      <c r="W257" s="4" t="str">
        <f ca="1">IF($K$24=0,Calc2!$C$14,VLOOKUP(B257,C247:N266,4,0))</f>
        <v>1. FC Union Berlin</v>
      </c>
      <c r="X257" s="1">
        <f ca="1">INDEX(V220:V239,MATCH(W257,W220:W239,0))</f>
        <v>10</v>
      </c>
      <c r="Y257" s="1">
        <f t="shared" ca="1" si="49"/>
        <v>-1</v>
      </c>
    </row>
    <row r="258" spans="2:25" x14ac:dyDescent="0.2">
      <c r="B258" s="1">
        <v>12</v>
      </c>
      <c r="C258" s="9">
        <f ca="1">RANK(D258,D247:D266,1)</f>
        <v>13</v>
      </c>
      <c r="D258" s="134">
        <f t="shared" ca="1" si="47"/>
        <v>13.257999999999999</v>
      </c>
      <c r="E258" s="134">
        <f ca="1">RANK(T258,T247:T266,1)</f>
        <v>13</v>
      </c>
      <c r="F258" s="187" t="str">
        <f>Calc2!$C$15</f>
        <v>Hamburger SV</v>
      </c>
      <c r="G258" s="1">
        <f ca="1">SUMIFS(OFFSET(Calc2!$H$4,,,$F$26*B245,1),OFFSET(Calc2!$F$4,,,$F$26*B245,1),F258)+SUMIFS(OFFSET(Calc2!$I$4,,,$F$26*B245,1),OFFSET(Calc2!$G$4,,,$F$26*B245,1),F258)</f>
        <v>9</v>
      </c>
      <c r="H258" s="1">
        <f ca="1">SUMIFS(OFFSET(Calc2!$I$4,,,$F$26*B245,1),OFFSET(Calc2!$F$4,,,$F$26*B245,1),F258)+SUMIFS(OFFSET(Calc2!$H$4,,,$F$26*B245,1),OFFSET(Calc2!$G$4,,,$F$26*B245,1),F258)</f>
        <v>16</v>
      </c>
      <c r="I258" s="134">
        <f t="shared" ca="1" si="45"/>
        <v>-7</v>
      </c>
      <c r="J258" s="12">
        <f ca="1">L258*Settings!$C$3+M258+O258</f>
        <v>9</v>
      </c>
      <c r="K258" s="1">
        <f t="shared" ca="1" si="48"/>
        <v>10</v>
      </c>
      <c r="L258" s="1">
        <f t="array" aca="1" ref="L258" ca="1">SUMPRODUCT((OFFSET(Calc2!$F$4,,,$F$26*B245,1)=F258)*(OFFSET(Calc2!$H$4,,,$F$26*B245,1)&gt;OFFSET(Calc2!$I$4,,,$F$26*B245,1)))+SUMPRODUCT((OFFSET(Calc2!$G$4,,,$F$26*B245,1)=F258)*(OFFSET(Calc2!$H$4,,,$F$26*B245,1)&lt;OFFSET(Calc2!$I$4,,,$F$26*B245,1)))</f>
        <v>2</v>
      </c>
      <c r="M258" s="1">
        <f t="array" aca="1" ref="M258" ca="1">SUMPRODUCT((OFFSET(Calc2!$F$4,,,$F$26*B245,2)=F258)*(OFFSET(Calc2!$H$4,,,$F$26*B245,1)=OFFSET(Calc2!$I$4,,,$F$26*B245,1))*(OFFSET(Calc2!$H$4,,,$F$26*B245,1)&lt;&gt;"")*(OFFSET(Calc2!$I$4,,,$F$26*B245,1)&lt;&gt;""))</f>
        <v>3</v>
      </c>
      <c r="N258" s="1">
        <f t="array" aca="1" ref="N258" ca="1">SUMPRODUCT((OFFSET(Calc2!$F$4,,,$F$26*B245,1)=F258)*(OFFSET(Calc2!$H$4,,,$F$26*B245,1)&lt;OFFSET(Calc2!$I$4,,,$F$26*B245,1)))+SUMPRODUCT((OFFSET(Calc2!$G$4,,,$F$26*B245,1)=F258)*(OFFSET(Calc2!$H$4,,,$F$26*B245,1)&gt;OFFSET(Calc2!$I$4,,,$F$26*B245,1)))</f>
        <v>5</v>
      </c>
      <c r="O258" s="132">
        <f ca="1">SUMPRODUCT((F258=OFFSET(Calc2!$F$4,,,$F$26*B245,1))*OFFSET(Calc2!$O$4,,,$F$26*B245,1))+SUMPRODUCT((F258=OFFSET(Calc2!$G$4,,,$F$26*B245,1))*OFFSET(Calc2!$P$4,,,$F$26*B245,1))</f>
        <v>0</v>
      </c>
      <c r="P258" s="2"/>
      <c r="Q258" s="2"/>
      <c r="R258" s="13">
        <f t="shared" ca="1" si="46"/>
        <v>9499993009</v>
      </c>
      <c r="S258" s="134">
        <f>Tie_Break!$D$18</f>
        <v>0</v>
      </c>
      <c r="T258" s="9">
        <f ca="1">RANK(R258,R247:R266)+(9-S258)/10000+(F258="")*1000</f>
        <v>13.0009</v>
      </c>
      <c r="U258" s="2"/>
      <c r="V258" s="134">
        <f ca="1">IF($K$24=0,"",IF(VLOOKUP(B258,C247:E266,3,0)=MAX(V$4:V257),VLOOKUP(B258,C247:E266,3,0),B258))</f>
        <v>12</v>
      </c>
      <c r="W258" s="4" t="str">
        <f ca="1">IF($K$24=0,Calc2!$C$15,VLOOKUP(B258,C247:N266,4,0))</f>
        <v>Borussia Mönchengladbach</v>
      </c>
      <c r="X258" s="1">
        <f ca="1">INDEX(V220:V239,MATCH(W258,W220:W239,0))</f>
        <v>16</v>
      </c>
      <c r="Y258" s="1">
        <f t="shared" ca="1" si="49"/>
        <v>1</v>
      </c>
    </row>
    <row r="259" spans="2:25" x14ac:dyDescent="0.2">
      <c r="B259" s="1">
        <v>13</v>
      </c>
      <c r="C259" s="9">
        <f ca="1">RANK(D259,D247:D266,1)</f>
        <v>2</v>
      </c>
      <c r="D259" s="134">
        <f t="shared" ca="1" si="47"/>
        <v>2.2589999999999999</v>
      </c>
      <c r="E259" s="134">
        <f ca="1">RANK(T259,T247:T266,1)</f>
        <v>2</v>
      </c>
      <c r="F259" s="187" t="str">
        <f>Calc2!$C$16</f>
        <v>RB Leipzig</v>
      </c>
      <c r="G259" s="1">
        <f ca="1">SUMIFS(OFFSET(Calc2!$H$4,,,$F$26*B245,1),OFFSET(Calc2!$F$4,,,$F$26*B245,1),F259)+SUMIFS(OFFSET(Calc2!$I$4,,,$F$26*B245,1),OFFSET(Calc2!$G$4,,,$F$26*B245,1),F259)</f>
        <v>20</v>
      </c>
      <c r="H259" s="1">
        <f ca="1">SUMIFS(OFFSET(Calc2!$I$4,,,$F$26*B245,1),OFFSET(Calc2!$F$4,,,$F$26*B245,1),F259)+SUMIFS(OFFSET(Calc2!$H$4,,,$F$26*B245,1),OFFSET(Calc2!$G$4,,,$F$26*B245,1),F259)</f>
        <v>13</v>
      </c>
      <c r="I259" s="134">
        <f t="shared" ca="1" si="45"/>
        <v>7</v>
      </c>
      <c r="J259" s="12">
        <f ca="1">L259*Settings!$C$3+M259+O259</f>
        <v>22</v>
      </c>
      <c r="K259" s="1">
        <f t="shared" ca="1" si="48"/>
        <v>10</v>
      </c>
      <c r="L259" s="1">
        <f t="array" aca="1" ref="L259" ca="1">SUMPRODUCT((OFFSET(Calc2!$F$4,,,$F$26*B245,1)=F259)*(OFFSET(Calc2!$H$4,,,$F$26*B245,1)&gt;OFFSET(Calc2!$I$4,,,$F$26*B245,1)))+SUMPRODUCT((OFFSET(Calc2!$G$4,,,$F$26*B245,1)=F259)*(OFFSET(Calc2!$H$4,,,$F$26*B245,1)&lt;OFFSET(Calc2!$I$4,,,$F$26*B245,1)))</f>
        <v>7</v>
      </c>
      <c r="M259" s="1">
        <f t="array" aca="1" ref="M259" ca="1">SUMPRODUCT((OFFSET(Calc2!$F$4,,,$F$26*B245,2)=F259)*(OFFSET(Calc2!$H$4,,,$F$26*B245,1)=OFFSET(Calc2!$I$4,,,$F$26*B245,1))*(OFFSET(Calc2!$H$4,,,$F$26*B245,1)&lt;&gt;"")*(OFFSET(Calc2!$I$4,,,$F$26*B245,1)&lt;&gt;""))</f>
        <v>1</v>
      </c>
      <c r="N259" s="1">
        <f t="array" aca="1" ref="N259" ca="1">SUMPRODUCT((OFFSET(Calc2!$F$4,,,$F$26*B245,1)=F259)*(OFFSET(Calc2!$H$4,,,$F$26*B245,1)&lt;OFFSET(Calc2!$I$4,,,$F$26*B245,1)))+SUMPRODUCT((OFFSET(Calc2!$G$4,,,$F$26*B245,1)=F259)*(OFFSET(Calc2!$H$4,,,$F$26*B245,1)&gt;OFFSET(Calc2!$I$4,,,$F$26*B245,1)))</f>
        <v>2</v>
      </c>
      <c r="O259" s="132">
        <f ca="1">SUMPRODUCT((F259=OFFSET(Calc2!$F$4,,,$F$26*B245,1))*OFFSET(Calc2!$O$4,,,$F$26*B245,1))+SUMPRODUCT((F259=OFFSET(Calc2!$G$4,,,$F$26*B245,1))*OFFSET(Calc2!$P$4,,,$F$26*B245,1))</f>
        <v>0</v>
      </c>
      <c r="P259" s="2"/>
      <c r="Q259" s="2"/>
      <c r="R259" s="13">
        <f t="shared" ca="1" si="46"/>
        <v>22500007020</v>
      </c>
      <c r="S259" s="134">
        <f>Tie_Break!$D$19</f>
        <v>0</v>
      </c>
      <c r="T259" s="9">
        <f ca="1">RANK(R259,R247:R266)+(9-S259)/10000+(F259="")*1000</f>
        <v>2.0009000000000001</v>
      </c>
      <c r="U259" s="1"/>
      <c r="V259" s="134">
        <f ca="1">IF($K$24=0,"",IF(VLOOKUP(B259,C247:E266,3,0)=MAX(V$4:V258),VLOOKUP(B259,C247:E266,3,0),B259))</f>
        <v>13</v>
      </c>
      <c r="W259" s="4" t="str">
        <f ca="1">IF($K$24=0,Calc2!$C$16,VLOOKUP(B259,C247:N266,4,0))</f>
        <v>Hamburger SV</v>
      </c>
      <c r="X259" s="1">
        <f ca="1">INDEX(V220:V239,MATCH(W259,W220:W239,0))</f>
        <v>13</v>
      </c>
      <c r="Y259" s="1">
        <f t="shared" ca="1" si="49"/>
        <v>0</v>
      </c>
    </row>
    <row r="260" spans="2:25" x14ac:dyDescent="0.2">
      <c r="B260" s="1">
        <v>14</v>
      </c>
      <c r="C260" s="9">
        <f ca="1">RANK(D260,D247:D266,1)</f>
        <v>10</v>
      </c>
      <c r="D260" s="134">
        <f t="shared" ca="1" si="47"/>
        <v>10.26</v>
      </c>
      <c r="E260" s="134">
        <f ca="1">RANK(T260,T247:T266,1)</f>
        <v>10</v>
      </c>
      <c r="F260" s="187" t="str">
        <f>Calc2!$C$17</f>
        <v>SC Freiburg</v>
      </c>
      <c r="G260" s="1">
        <f ca="1">SUMIFS(OFFSET(Calc2!$H$4,,,$F$26*B245,1),OFFSET(Calc2!$F$4,,,$F$26*B245,1),F260)+SUMIFS(OFFSET(Calc2!$I$4,,,$F$26*B245,1),OFFSET(Calc2!$G$4,,,$F$26*B245,1),F260)</f>
        <v>13</v>
      </c>
      <c r="H260" s="1">
        <f ca="1">SUMIFS(OFFSET(Calc2!$I$4,,,$F$26*B245,1),OFFSET(Calc2!$F$4,,,$F$26*B245,1),F260)+SUMIFS(OFFSET(Calc2!$H$4,,,$F$26*B245,1),OFFSET(Calc2!$G$4,,,$F$26*B245,1),F260)</f>
        <v>14</v>
      </c>
      <c r="I260" s="134">
        <f t="shared" ca="1" si="45"/>
        <v>-1</v>
      </c>
      <c r="J260" s="12">
        <f ca="1">L260*Settings!$C$3+M260+O260</f>
        <v>13</v>
      </c>
      <c r="K260" s="1">
        <f t="shared" ca="1" si="48"/>
        <v>10</v>
      </c>
      <c r="L260" s="1">
        <f t="array" aca="1" ref="L260" ca="1">SUMPRODUCT((OFFSET(Calc2!$F$4,,,$F$26*B245,1)=F260)*(OFFSET(Calc2!$H$4,,,$F$26*B245,1)&gt;OFFSET(Calc2!$I$4,,,$F$26*B245,1)))+SUMPRODUCT((OFFSET(Calc2!$G$4,,,$F$26*B245,1)=F260)*(OFFSET(Calc2!$H$4,,,$F$26*B245,1)&lt;OFFSET(Calc2!$I$4,,,$F$26*B245,1)))</f>
        <v>3</v>
      </c>
      <c r="M260" s="1">
        <f t="array" aca="1" ref="M260" ca="1">SUMPRODUCT((OFFSET(Calc2!$F$4,,,$F$26*B245,2)=F260)*(OFFSET(Calc2!$H$4,,,$F$26*B245,1)=OFFSET(Calc2!$I$4,,,$F$26*B245,1))*(OFFSET(Calc2!$H$4,,,$F$26*B245,1)&lt;&gt;"")*(OFFSET(Calc2!$I$4,,,$F$26*B245,1)&lt;&gt;""))</f>
        <v>4</v>
      </c>
      <c r="N260" s="1">
        <f t="array" aca="1" ref="N260" ca="1">SUMPRODUCT((OFFSET(Calc2!$F$4,,,$F$26*B245,1)=F260)*(OFFSET(Calc2!$H$4,,,$F$26*B245,1)&lt;OFFSET(Calc2!$I$4,,,$F$26*B245,1)))+SUMPRODUCT((OFFSET(Calc2!$G$4,,,$F$26*B245,1)=F260)*(OFFSET(Calc2!$H$4,,,$F$26*B245,1)&gt;OFFSET(Calc2!$I$4,,,$F$26*B245,1)))</f>
        <v>3</v>
      </c>
      <c r="O260" s="132">
        <f ca="1">SUMPRODUCT((F260=OFFSET(Calc2!$F$4,,,$F$26*B245,1))*OFFSET(Calc2!$O$4,,,$F$26*B245,1))+SUMPRODUCT((F260=OFFSET(Calc2!$G$4,,,$F$26*B245,1))*OFFSET(Calc2!$P$4,,,$F$26*B245,1))</f>
        <v>0</v>
      </c>
      <c r="P260" s="2"/>
      <c r="Q260" s="2"/>
      <c r="R260" s="13">
        <f t="shared" ca="1" si="46"/>
        <v>13499999013</v>
      </c>
      <c r="S260" s="134">
        <f>Tie_Break!$D$20</f>
        <v>0</v>
      </c>
      <c r="T260" s="9">
        <f ca="1">RANK(R260,R247:R266)+(9-S260)/10000+(F260="")*1000</f>
        <v>10.0009</v>
      </c>
      <c r="U260" s="2"/>
      <c r="V260" s="134">
        <f ca="1">IF($K$24=0,"",IF(VLOOKUP(B260,C247:E266,3,0)=MAX(V$4:V259),VLOOKUP(B260,C247:E266,3,0),B260))</f>
        <v>14</v>
      </c>
      <c r="W260" s="4" t="str">
        <f ca="1">IF($K$24=0,Calc2!$C$17,VLOOKUP(B260,C247:N266,4,0))</f>
        <v>VfL Wolfsburg</v>
      </c>
      <c r="X260" s="1">
        <f ca="1">INDEX(V220:V239,MATCH(W260,W220:W239,0))</f>
        <v>12</v>
      </c>
      <c r="Y260" s="1">
        <f t="shared" ca="1" si="49"/>
        <v>-1</v>
      </c>
    </row>
    <row r="261" spans="2:25" x14ac:dyDescent="0.2">
      <c r="B261" s="1">
        <v>15</v>
      </c>
      <c r="C261" s="9">
        <f ca="1">RANK(D261,D247:D266,1)</f>
        <v>8</v>
      </c>
      <c r="D261" s="134">
        <f t="shared" ca="1" si="47"/>
        <v>8.2609999999999992</v>
      </c>
      <c r="E261" s="134">
        <f ca="1">RANK(T261,T247:T266,1)</f>
        <v>8</v>
      </c>
      <c r="F261" s="187" t="str">
        <f>Calc2!$C$18</f>
        <v>SV Werder Bremen</v>
      </c>
      <c r="G261" s="1">
        <f ca="1">SUMIFS(OFFSET(Calc2!$H$4,,,$F$26*B245,1),OFFSET(Calc2!$F$4,,,$F$26*B245,1),F261)+SUMIFS(OFFSET(Calc2!$I$4,,,$F$26*B245,1),OFFSET(Calc2!$G$4,,,$F$26*B245,1),F261)</f>
        <v>15</v>
      </c>
      <c r="H261" s="1">
        <f ca="1">SUMIFS(OFFSET(Calc2!$I$4,,,$F$26*B245,1),OFFSET(Calc2!$F$4,,,$F$26*B245,1),F261)+SUMIFS(OFFSET(Calc2!$H$4,,,$F$26*B245,1),OFFSET(Calc2!$G$4,,,$F$26*B245,1),F261)</f>
        <v>18</v>
      </c>
      <c r="I261" s="134">
        <f t="shared" ca="1" si="45"/>
        <v>-3</v>
      </c>
      <c r="J261" s="12">
        <f ca="1">L261*Settings!$C$3+M261+O261</f>
        <v>15</v>
      </c>
      <c r="K261" s="1">
        <f t="shared" ca="1" si="48"/>
        <v>10</v>
      </c>
      <c r="L261" s="1">
        <f t="array" aca="1" ref="L261" ca="1">SUMPRODUCT((OFFSET(Calc2!$F$4,,,$F$26*B245,1)=F261)*(OFFSET(Calc2!$H$4,,,$F$26*B245,1)&gt;OFFSET(Calc2!$I$4,,,$F$26*B245,1)))+SUMPRODUCT((OFFSET(Calc2!$G$4,,,$F$26*B245,1)=F261)*(OFFSET(Calc2!$H$4,,,$F$26*B245,1)&lt;OFFSET(Calc2!$I$4,,,$F$26*B245,1)))</f>
        <v>4</v>
      </c>
      <c r="M261" s="1">
        <f t="array" aca="1" ref="M261" ca="1">SUMPRODUCT((OFFSET(Calc2!$F$4,,,$F$26*B245,2)=F261)*(OFFSET(Calc2!$H$4,,,$F$26*B245,1)=OFFSET(Calc2!$I$4,,,$F$26*B245,1))*(OFFSET(Calc2!$H$4,,,$F$26*B245,1)&lt;&gt;"")*(OFFSET(Calc2!$I$4,,,$F$26*B245,1)&lt;&gt;""))</f>
        <v>3</v>
      </c>
      <c r="N261" s="1">
        <f t="array" aca="1" ref="N261" ca="1">SUMPRODUCT((OFFSET(Calc2!$F$4,,,$F$26*B245,1)=F261)*(OFFSET(Calc2!$H$4,,,$F$26*B245,1)&lt;OFFSET(Calc2!$I$4,,,$F$26*B245,1)))+SUMPRODUCT((OFFSET(Calc2!$G$4,,,$F$26*B245,1)=F261)*(OFFSET(Calc2!$H$4,,,$F$26*B245,1)&gt;OFFSET(Calc2!$I$4,,,$F$26*B245,1)))</f>
        <v>3</v>
      </c>
      <c r="O261" s="132">
        <f ca="1">SUMPRODUCT((F261=OFFSET(Calc2!$F$4,,,$F$26*B245,1))*OFFSET(Calc2!$O$4,,,$F$26*B245,1))+SUMPRODUCT((F261=OFFSET(Calc2!$G$4,,,$F$26*B245,1))*OFFSET(Calc2!$P$4,,,$F$26*B245,1))</f>
        <v>0</v>
      </c>
      <c r="P261" s="2"/>
      <c r="Q261" s="2"/>
      <c r="R261" s="13">
        <f t="shared" ca="1" si="46"/>
        <v>15499997015</v>
      </c>
      <c r="S261" s="134">
        <f>Tie_Break!$D$21</f>
        <v>0</v>
      </c>
      <c r="T261" s="9">
        <f ca="1">RANK(R261,R247:R266)+(9-S261)/10000+(F261="")*1000</f>
        <v>8.0008999999999997</v>
      </c>
      <c r="U261" s="2"/>
      <c r="V261" s="134">
        <f ca="1">IF($K$24=0,"",IF(VLOOKUP(B261,C247:E266,3,0)=MAX(V$4:V260),VLOOKUP(B261,C247:E266,3,0),B261))</f>
        <v>15</v>
      </c>
      <c r="W261" s="4" t="str">
        <f ca="1">IF($K$24=0,Calc2!$C$18,VLOOKUP(B261,C247:N266,4,0))</f>
        <v>FC Augsburg</v>
      </c>
      <c r="X261" s="1">
        <f ca="1">INDEX(V220:V239,MATCH(W261,W220:W239,0))</f>
        <v>14</v>
      </c>
      <c r="Y261" s="1">
        <f t="shared" ca="1" si="49"/>
        <v>-1</v>
      </c>
    </row>
    <row r="262" spans="2:25" x14ac:dyDescent="0.2">
      <c r="B262" s="1">
        <v>16</v>
      </c>
      <c r="C262" s="9">
        <f ca="1">RANK(D262,D247:D266,1)</f>
        <v>6</v>
      </c>
      <c r="D262" s="134">
        <f t="shared" ca="1" si="47"/>
        <v>6.2620000000000005</v>
      </c>
      <c r="E262" s="134">
        <f ca="1">RANK(T262,T247:T266,1)</f>
        <v>6</v>
      </c>
      <c r="F262" s="187" t="str">
        <f>Calc2!$C$19</f>
        <v>TSG Hoffenheim</v>
      </c>
      <c r="G262" s="1">
        <f ca="1">SUMIFS(OFFSET(Calc2!$H$4,,,$F$26*B245,1),OFFSET(Calc2!$F$4,,,$F$26*B245,1),F262)+SUMIFS(OFFSET(Calc2!$I$4,,,$F$26*B245,1),OFFSET(Calc2!$G$4,,,$F$26*B245,1),F262)</f>
        <v>21</v>
      </c>
      <c r="H262" s="1">
        <f ca="1">SUMIFS(OFFSET(Calc2!$I$4,,,$F$26*B245,1),OFFSET(Calc2!$F$4,,,$F$26*B245,1),F262)+SUMIFS(OFFSET(Calc2!$H$4,,,$F$26*B245,1),OFFSET(Calc2!$G$4,,,$F$26*B245,1),F262)</f>
        <v>16</v>
      </c>
      <c r="I262" s="134">
        <f t="shared" ca="1" si="45"/>
        <v>5</v>
      </c>
      <c r="J262" s="12">
        <f ca="1">L262*Settings!$C$3+M262+O262</f>
        <v>19</v>
      </c>
      <c r="K262" s="1">
        <f t="shared" ca="1" si="48"/>
        <v>10</v>
      </c>
      <c r="L262" s="1">
        <f t="array" aca="1" ref="L262" ca="1">SUMPRODUCT((OFFSET(Calc2!$F$4,,,$F$26*B245,1)=F262)*(OFFSET(Calc2!$H$4,,,$F$26*B245,1)&gt;OFFSET(Calc2!$I$4,,,$F$26*B245,1)))+SUMPRODUCT((OFFSET(Calc2!$G$4,,,$F$26*B245,1)=F262)*(OFFSET(Calc2!$H$4,,,$F$26*B245,1)&lt;OFFSET(Calc2!$I$4,,,$F$26*B245,1)))</f>
        <v>6</v>
      </c>
      <c r="M262" s="1">
        <f t="array" aca="1" ref="M262" ca="1">SUMPRODUCT((OFFSET(Calc2!$F$4,,,$F$26*B245,2)=F262)*(OFFSET(Calc2!$H$4,,,$F$26*B245,1)=OFFSET(Calc2!$I$4,,,$F$26*B245,1))*(OFFSET(Calc2!$H$4,,,$F$26*B245,1)&lt;&gt;"")*(OFFSET(Calc2!$I$4,,,$F$26*B245,1)&lt;&gt;""))</f>
        <v>1</v>
      </c>
      <c r="N262" s="1">
        <f t="array" aca="1" ref="N262" ca="1">SUMPRODUCT((OFFSET(Calc2!$F$4,,,$F$26*B245,1)=F262)*(OFFSET(Calc2!$H$4,,,$F$26*B245,1)&lt;OFFSET(Calc2!$I$4,,,$F$26*B245,1)))+SUMPRODUCT((OFFSET(Calc2!$G$4,,,$F$26*B245,1)=F262)*(OFFSET(Calc2!$H$4,,,$F$26*B245,1)&gt;OFFSET(Calc2!$I$4,,,$F$26*B245,1)))</f>
        <v>3</v>
      </c>
      <c r="O262" s="132">
        <f ca="1">SUMPRODUCT((F262=OFFSET(Calc2!$F$4,,,$F$26*B245,1))*OFFSET(Calc2!$O$4,,,$F$26*B245,1))+SUMPRODUCT((F262=OFFSET(Calc2!$G$4,,,$F$26*B245,1))*OFFSET(Calc2!$P$4,,,$F$26*B245,1))</f>
        <v>0</v>
      </c>
      <c r="P262" s="2"/>
      <c r="Q262" s="2"/>
      <c r="R262" s="13">
        <f t="shared" ca="1" si="46"/>
        <v>19500005021</v>
      </c>
      <c r="S262" s="134">
        <f>Tie_Break!$D$22</f>
        <v>0</v>
      </c>
      <c r="T262" s="9">
        <f ca="1">RANK(R262,R247:R266)+(9-S262)/10000+(F262="")*1000</f>
        <v>6.0008999999999997</v>
      </c>
      <c r="U262" s="2"/>
      <c r="V262" s="134">
        <f ca="1">IF($K$24=0,"",IF(VLOOKUP(B262,C247:E266,3,0)=MAX(V$4:V261),VLOOKUP(B262,C247:E266,3,0),B262))</f>
        <v>16</v>
      </c>
      <c r="W262" s="4" t="str">
        <f ca="1">IF($K$24=0,Calc2!$C$19,VLOOKUP(B262,C247:N266,4,0))</f>
        <v>FC St. Pauli</v>
      </c>
      <c r="X262" s="1">
        <f ca="1">INDEX(V220:V239,MATCH(W262,W220:W239,0))</f>
        <v>15</v>
      </c>
      <c r="Y262" s="1">
        <f t="shared" ca="1" si="49"/>
        <v>-1</v>
      </c>
    </row>
    <row r="263" spans="2:25" x14ac:dyDescent="0.2">
      <c r="B263" s="1">
        <v>17</v>
      </c>
      <c r="C263" s="9">
        <f ca="1">RANK(D263,D247:D266,1)</f>
        <v>4</v>
      </c>
      <c r="D263" s="134">
        <f t="shared" ca="1" si="47"/>
        <v>4.2629999999999999</v>
      </c>
      <c r="E263" s="134">
        <f ca="1">RANK(T263,T247:T266,1)</f>
        <v>4</v>
      </c>
      <c r="F263" s="187" t="str">
        <f>Calc2!$C$20</f>
        <v>VfB Stuttgart</v>
      </c>
      <c r="G263" s="1">
        <f ca="1">SUMIFS(OFFSET(Calc2!$H$4,,,$F$26*B245,1),OFFSET(Calc2!$F$4,,,$F$26*B245,1),F263)+SUMIFS(OFFSET(Calc2!$I$4,,,$F$26*B245,1),OFFSET(Calc2!$G$4,,,$F$26*B245,1),F263)</f>
        <v>17</v>
      </c>
      <c r="H263" s="1">
        <f ca="1">SUMIFS(OFFSET(Calc2!$I$4,,,$F$26*B245,1),OFFSET(Calc2!$F$4,,,$F$26*B245,1),F263)+SUMIFS(OFFSET(Calc2!$H$4,,,$F$26*B245,1),OFFSET(Calc2!$G$4,,,$F$26*B245,1),F263)</f>
        <v>12</v>
      </c>
      <c r="I263" s="134">
        <f t="shared" ca="1" si="45"/>
        <v>5</v>
      </c>
      <c r="J263" s="12">
        <f ca="1">L263*Settings!$C$3+M263+O263</f>
        <v>21</v>
      </c>
      <c r="K263" s="1">
        <f t="shared" ca="1" si="48"/>
        <v>10</v>
      </c>
      <c r="L263" s="1">
        <f t="array" aca="1" ref="L263" ca="1">SUMPRODUCT((OFFSET(Calc2!$F$4,,,$F$26*B245,1)=F263)*(OFFSET(Calc2!$H$4,,,$F$26*B245,1)&gt;OFFSET(Calc2!$I$4,,,$F$26*B245,1)))+SUMPRODUCT((OFFSET(Calc2!$G$4,,,$F$26*B245,1)=F263)*(OFFSET(Calc2!$H$4,,,$F$26*B245,1)&lt;OFFSET(Calc2!$I$4,,,$F$26*B245,1)))</f>
        <v>7</v>
      </c>
      <c r="M263" s="1">
        <f t="array" aca="1" ref="M263" ca="1">SUMPRODUCT((OFFSET(Calc2!$F$4,,,$F$26*B245,2)=F263)*(OFFSET(Calc2!$H$4,,,$F$26*B245,1)=OFFSET(Calc2!$I$4,,,$F$26*B245,1))*(OFFSET(Calc2!$H$4,,,$F$26*B245,1)&lt;&gt;"")*(OFFSET(Calc2!$I$4,,,$F$26*B245,1)&lt;&gt;""))</f>
        <v>0</v>
      </c>
      <c r="N263" s="1">
        <f t="array" aca="1" ref="N263" ca="1">SUMPRODUCT((OFFSET(Calc2!$F$4,,,$F$26*B245,1)=F263)*(OFFSET(Calc2!$H$4,,,$F$26*B245,1)&lt;OFFSET(Calc2!$I$4,,,$F$26*B245,1)))+SUMPRODUCT((OFFSET(Calc2!$G$4,,,$F$26*B245,1)=F263)*(OFFSET(Calc2!$H$4,,,$F$26*B245,1)&gt;OFFSET(Calc2!$I$4,,,$F$26*B245,1)))</f>
        <v>3</v>
      </c>
      <c r="O263" s="132">
        <f ca="1">SUMPRODUCT((F263=OFFSET(Calc2!$F$4,,,$F$26*B245,1))*OFFSET(Calc2!$O$4,,,$F$26*B245,1))+SUMPRODUCT((F263=OFFSET(Calc2!$G$4,,,$F$26*B245,1))*OFFSET(Calc2!$P$4,,,$F$26*B245,1))</f>
        <v>0</v>
      </c>
      <c r="P263" s="2"/>
      <c r="Q263" s="2"/>
      <c r="R263" s="13">
        <f t="shared" ca="1" si="46"/>
        <v>21500005017</v>
      </c>
      <c r="S263" s="134">
        <f>Tie_Break!$D$23</f>
        <v>0</v>
      </c>
      <c r="T263" s="9">
        <f ca="1">RANK(R263,R247:R266)+(9-S263)/10000+(F263="")*1000</f>
        <v>4.0008999999999997</v>
      </c>
      <c r="U263" s="2"/>
      <c r="V263" s="134">
        <f ca="1">IF($K$24=0,"",IF(VLOOKUP(B263,C247:E266,3,0)=MAX(V$4:V262),VLOOKUP(B263,C247:E266,3,0),B263))</f>
        <v>17</v>
      </c>
      <c r="W263" s="4" t="str">
        <f ca="1">IF($K$24=0,Calc2!$C$20,VLOOKUP(B263,C247:N266,4,0))</f>
        <v>1. FSV Mainz 05</v>
      </c>
      <c r="X263" s="1">
        <f ca="1">INDEX(V220:V239,MATCH(W263,W220:W239,0))</f>
        <v>17</v>
      </c>
      <c r="Y263" s="1">
        <f t="shared" ca="1" si="49"/>
        <v>0</v>
      </c>
    </row>
    <row r="264" spans="2:25" x14ac:dyDescent="0.2">
      <c r="B264" s="1">
        <v>18</v>
      </c>
      <c r="C264" s="9">
        <f ca="1">RANK(D264,D247:D266,1)</f>
        <v>14</v>
      </c>
      <c r="D264" s="134">
        <f t="shared" ca="1" si="47"/>
        <v>14.263999999999999</v>
      </c>
      <c r="E264" s="134">
        <f ca="1">RANK(T264,T247:T266,1)</f>
        <v>14</v>
      </c>
      <c r="F264" s="187" t="str">
        <f>Calc2!$C$21</f>
        <v>VfL Wolfsburg</v>
      </c>
      <c r="G264" s="1">
        <f ca="1">SUMIFS(OFFSET(Calc2!$H$4,,,$F$26*B245,1),OFFSET(Calc2!$F$4,,,$F$26*B245,1),F264)+SUMIFS(OFFSET(Calc2!$I$4,,,$F$26*B245,1),OFFSET(Calc2!$G$4,,,$F$26*B245,1),F264)</f>
        <v>12</v>
      </c>
      <c r="H264" s="1">
        <f ca="1">SUMIFS(OFFSET(Calc2!$I$4,,,$F$26*B245,1),OFFSET(Calc2!$F$4,,,$F$26*B245,1),F264)+SUMIFS(OFFSET(Calc2!$H$4,,,$F$26*B245,1),OFFSET(Calc2!$G$4,,,$F$26*B245,1),F264)</f>
        <v>18</v>
      </c>
      <c r="I264" s="134">
        <f t="shared" ca="1" si="45"/>
        <v>-6</v>
      </c>
      <c r="J264" s="12">
        <f ca="1">L264*Settings!$C$3+M264+O264</f>
        <v>8</v>
      </c>
      <c r="K264" s="1">
        <f t="shared" ca="1" si="48"/>
        <v>10</v>
      </c>
      <c r="L264" s="1">
        <f t="array" aca="1" ref="L264" ca="1">SUMPRODUCT((OFFSET(Calc2!$F$4,,,$F$26*B245,1)=F264)*(OFFSET(Calc2!$H$4,,,$F$26*B245,1)&gt;OFFSET(Calc2!$I$4,,,$F$26*B245,1)))+SUMPRODUCT((OFFSET(Calc2!$G$4,,,$F$26*B245,1)=F264)*(OFFSET(Calc2!$H$4,,,$F$26*B245,1)&lt;OFFSET(Calc2!$I$4,,,$F$26*B245,1)))</f>
        <v>2</v>
      </c>
      <c r="M264" s="1">
        <f t="array" aca="1" ref="M264" ca="1">SUMPRODUCT((OFFSET(Calc2!$F$4,,,$F$26*B245,2)=F264)*(OFFSET(Calc2!$H$4,,,$F$26*B245,1)=OFFSET(Calc2!$I$4,,,$F$26*B245,1))*(OFFSET(Calc2!$H$4,,,$F$26*B245,1)&lt;&gt;"")*(OFFSET(Calc2!$I$4,,,$F$26*B245,1)&lt;&gt;""))</f>
        <v>2</v>
      </c>
      <c r="N264" s="1">
        <f t="array" aca="1" ref="N264" ca="1">SUMPRODUCT((OFFSET(Calc2!$F$4,,,$F$26*B245,1)=F264)*(OFFSET(Calc2!$H$4,,,$F$26*B245,1)&lt;OFFSET(Calc2!$I$4,,,$F$26*B245,1)))+SUMPRODUCT((OFFSET(Calc2!$G$4,,,$F$26*B245,1)=F264)*(OFFSET(Calc2!$H$4,,,$F$26*B245,1)&gt;OFFSET(Calc2!$I$4,,,$F$26*B245,1)))</f>
        <v>6</v>
      </c>
      <c r="O264" s="132">
        <f ca="1">SUMPRODUCT((F264=OFFSET(Calc2!$F$4,,,$F$26*B245,1))*OFFSET(Calc2!$O$4,,,$F$26*B245,1))+SUMPRODUCT((F264=OFFSET(Calc2!$G$4,,,$F$26*B245,1))*OFFSET(Calc2!$P$4,,,$F$26*B245,1))</f>
        <v>0</v>
      </c>
      <c r="P264" s="2"/>
      <c r="Q264" s="2"/>
      <c r="R264" s="13">
        <f t="shared" ca="1" si="46"/>
        <v>8499994012</v>
      </c>
      <c r="S264" s="134">
        <f>Tie_Break!$D$24</f>
        <v>0</v>
      </c>
      <c r="T264" s="9">
        <f ca="1">RANK(R264,R247:R266)+(9-S264)/10000+(F264="")*1000</f>
        <v>14.0009</v>
      </c>
      <c r="U264" s="2"/>
      <c r="V264" s="134">
        <f ca="1">IF($K$24=0,"",IF(VLOOKUP(B264,C247:E266,3,0)=MAX(V$4:V263),VLOOKUP(B264,C247:E266,3,0),B264))</f>
        <v>18</v>
      </c>
      <c r="W264" s="4" t="str">
        <f ca="1">IF($K$24=0,Calc2!$C$21,VLOOKUP(B264,C247:N266,4,0))</f>
        <v>1. FC Heidenheim 1846</v>
      </c>
      <c r="X264" s="1">
        <f ca="1">INDEX(V220:V239,MATCH(W264,W220:W239,0))</f>
        <v>18</v>
      </c>
      <c r="Y264" s="1">
        <f t="shared" ca="1" si="49"/>
        <v>0</v>
      </c>
    </row>
    <row r="265" spans="2:25" x14ac:dyDescent="0.2">
      <c r="B265" s="1">
        <v>19</v>
      </c>
      <c r="C265" s="9">
        <f ca="1">RANK(D265,D247:D266,1)</f>
        <v>19</v>
      </c>
      <c r="D265" s="134">
        <f t="shared" ca="1" si="47"/>
        <v>19.265000000000001</v>
      </c>
      <c r="E265" s="134">
        <f ca="1">RANK(T265,T247:T266,1)</f>
        <v>19</v>
      </c>
      <c r="F265" s="187" t="str">
        <f>Calc2!$C$22</f>
        <v/>
      </c>
      <c r="G265" s="1">
        <f ca="1">SUMIFS(OFFSET(Calc2!$H$4,,,$F$26*B245,1),OFFSET(Calc2!$F$4,,,$F$26*B245,1),F265)+SUMIFS(OFFSET(Calc2!$I$4,,,$F$26*B245,1),OFFSET(Calc2!$G$4,,,$F$26*B245,1),F265)</f>
        <v>0</v>
      </c>
      <c r="H265" s="1">
        <f ca="1">SUMIFS(OFFSET(Calc2!$I$4,,,$F$26*B245,1),OFFSET(Calc2!$F$4,,,$F$26*B245,1),F265)+SUMIFS(OFFSET(Calc2!$H$4,,,$F$26*B245,1),OFFSET(Calc2!$G$4,,,$F$26*B245,1),F265)</f>
        <v>0</v>
      </c>
      <c r="I265" s="134">
        <f t="shared" ca="1" si="45"/>
        <v>0</v>
      </c>
      <c r="J265" s="12">
        <f ca="1">L265*Settings!$C$3+M265+O265</f>
        <v>0</v>
      </c>
      <c r="K265" s="1">
        <f t="shared" ca="1" si="48"/>
        <v>0</v>
      </c>
      <c r="L265" s="1">
        <f t="array" aca="1" ref="L265" ca="1">SUMPRODUCT((OFFSET(Calc2!$F$4,,,$F$26*B245,1)=F265)*(OFFSET(Calc2!$H$4,,,$F$26*B245,1)&gt;OFFSET(Calc2!$I$4,,,$F$26*B245,1)))+SUMPRODUCT((OFFSET(Calc2!$G$4,,,$F$26*B245,1)=F265)*(OFFSET(Calc2!$H$4,,,$F$26*B245,1)&lt;OFFSET(Calc2!$I$4,,,$F$26*B245,1)))</f>
        <v>0</v>
      </c>
      <c r="M265" s="1">
        <f t="array" aca="1" ref="M265" ca="1">SUMPRODUCT((OFFSET(Calc2!$F$4,,,$F$26*B245,2)=F265)*(OFFSET(Calc2!$H$4,,,$F$26*B245,1)=OFFSET(Calc2!$I$4,,,$F$26*B245,1))*(OFFSET(Calc2!$H$4,,,$F$26*B245,1)&lt;&gt;"")*(OFFSET(Calc2!$I$4,,,$F$26*B245,1)&lt;&gt;""))</f>
        <v>0</v>
      </c>
      <c r="N265" s="1">
        <f t="array" aca="1" ref="N265" ca="1">SUMPRODUCT((OFFSET(Calc2!$F$4,,,$F$26*B245,1)=F265)*(OFFSET(Calc2!$H$4,,,$F$26*B245,1)&lt;OFFSET(Calc2!$I$4,,,$F$26*B245,1)))+SUMPRODUCT((OFFSET(Calc2!$G$4,,,$F$26*B245,1)=F265)*(OFFSET(Calc2!$H$4,,,$F$26*B245,1)&gt;OFFSET(Calc2!$I$4,,,$F$26*B245,1)))</f>
        <v>0</v>
      </c>
      <c r="O265" s="132">
        <f ca="1">SUMPRODUCT((F265=OFFSET(Calc2!$F$4,,,$F$26*B245,1))*OFFSET(Calc2!$O$4,,,$F$26*B245,1))+SUMPRODUCT((F265=OFFSET(Calc2!$G$4,,,$F$26*B245,1))*OFFSET(Calc2!$P$4,,,$F$26*B245,1))</f>
        <v>0</v>
      </c>
      <c r="P265" s="2"/>
      <c r="Q265" s="2"/>
      <c r="R265" s="13">
        <f t="shared" ca="1" si="46"/>
        <v>500000000</v>
      </c>
      <c r="S265" s="134">
        <f>Tie_Break!$D$25</f>
        <v>0</v>
      </c>
      <c r="T265" s="9">
        <f ca="1">RANK(R265,R247:R266)+(9-S265)/10000+(F265="")*1000</f>
        <v>1019.0009</v>
      </c>
      <c r="U265" s="2"/>
      <c r="V265" s="134">
        <f ca="1">IF($K$24=0,"",IF(VLOOKUP(B265,C247:E266,3,0)=MAX(V$4:V264),VLOOKUP(B265,C247:E266,3,0),B265))</f>
        <v>19</v>
      </c>
      <c r="W265" s="4" t="str">
        <f ca="1">IF($K$24=0,Calc2!$C$22,VLOOKUP(B265,C247:N266,4,0))</f>
        <v/>
      </c>
      <c r="X265" s="1">
        <f ca="1">INDEX(V220:V239,MATCH(W265,W220:W239,0))</f>
        <v>19</v>
      </c>
      <c r="Y265" s="1">
        <f t="shared" ca="1" si="49"/>
        <v>0</v>
      </c>
    </row>
    <row r="266" spans="2:25" ht="12.75" thickBot="1" x14ac:dyDescent="0.25">
      <c r="B266" s="1">
        <v>20</v>
      </c>
      <c r="C266" s="10">
        <f ca="1">RANK(D266,D247:D266,1)</f>
        <v>20</v>
      </c>
      <c r="D266" s="134">
        <f t="shared" ca="1" si="47"/>
        <v>19.265999999999998</v>
      </c>
      <c r="E266" s="134">
        <f ca="1">RANK(T266,T247:T266,1)</f>
        <v>19</v>
      </c>
      <c r="F266" s="187" t="str">
        <f>Calc2!$C$23</f>
        <v/>
      </c>
      <c r="G266" s="1">
        <f ca="1">SUMIFS(OFFSET(Calc2!$H$4,,,$F$26*B245,1),OFFSET(Calc2!$F$4,,,$F$26*B245,1),F266)+SUMIFS(OFFSET(Calc2!$I$4,,,$F$26*B245,1),OFFSET(Calc2!$G$4,,,$F$26*B245,1),F266)</f>
        <v>0</v>
      </c>
      <c r="H266" s="1">
        <f ca="1">SUMIFS(OFFSET(Calc2!$I$4,,,$F$26*B245,1),OFFSET(Calc2!$F$4,,,$F$26*B245,1),F266)+SUMIFS(OFFSET(Calc2!$H$4,,,$F$26*B245,1),OFFSET(Calc2!$G$4,,,$F$26*B245,1),F266)</f>
        <v>0</v>
      </c>
      <c r="I266" s="134">
        <f t="shared" ca="1" si="45"/>
        <v>0</v>
      </c>
      <c r="J266" s="12">
        <f ca="1">L266*Settings!$C$3+M266+O266</f>
        <v>0</v>
      </c>
      <c r="K266" s="1">
        <f t="shared" ca="1" si="48"/>
        <v>0</v>
      </c>
      <c r="L266" s="1">
        <f t="array" aca="1" ref="L266" ca="1">SUMPRODUCT((OFFSET(Calc2!$F$4,,,$F$26*B245,1)=F266)*(OFFSET(Calc2!$H$4,,,$F$26*B245,1)&gt;OFFSET(Calc2!$I$4,,,$F$26*B245,1)))+SUMPRODUCT((OFFSET(Calc2!$G$4,,,$F$26*B245,1)=F266)*(OFFSET(Calc2!$H$4,,,$F$26*B245,1)&lt;OFFSET(Calc2!$I$4,,,$F$26*B245,1)))</f>
        <v>0</v>
      </c>
      <c r="M266" s="1">
        <f t="array" aca="1" ref="M266" ca="1">SUMPRODUCT((OFFSET(Calc2!$F$4,,,$F$26*B245,2)=F266)*(OFFSET(Calc2!$H$4,,,$F$26*B245,1)=OFFSET(Calc2!$I$4,,,$F$26*B245,1))*(OFFSET(Calc2!$H$4,,,$F$26*B245,1)&lt;&gt;"")*(OFFSET(Calc2!$I$4,,,$F$26*B245,1)&lt;&gt;""))</f>
        <v>0</v>
      </c>
      <c r="N266" s="1">
        <f t="array" aca="1" ref="N266" ca="1">SUMPRODUCT((OFFSET(Calc2!$F$4,,,$F$26*B245,1)=F266)*(OFFSET(Calc2!$H$4,,,$F$26*B245,1)&lt;OFFSET(Calc2!$I$4,,,$F$26*B245,1)))+SUMPRODUCT((OFFSET(Calc2!$G$4,,,$F$26*B245,1)=F266)*(OFFSET(Calc2!$H$4,,,$F$26*B245,1)&gt;OFFSET(Calc2!$I$4,,,$F$26*B245,1)))</f>
        <v>0</v>
      </c>
      <c r="O266" s="132">
        <f ca="1">SUMPRODUCT((F266=OFFSET(Calc2!$F$4,,,$F$26*B245,1))*OFFSET(Calc2!$O$4,,,$F$26*B245,1))+SUMPRODUCT((F266=OFFSET(Calc2!$G$4,,,$F$26*B245,1))*OFFSET(Calc2!$P$4,,,$F$26*B245,1))</f>
        <v>0</v>
      </c>
      <c r="P266" s="2"/>
      <c r="Q266" s="2"/>
      <c r="R266" s="13">
        <f t="shared" ca="1" si="46"/>
        <v>500000000</v>
      </c>
      <c r="S266" s="134">
        <f>Tie_Break!$D$26</f>
        <v>0</v>
      </c>
      <c r="T266" s="10">
        <f ca="1">RANK(R266,R247:R266)+(9-S266)/10000+(F266="")*1000</f>
        <v>1019.0009</v>
      </c>
      <c r="U266" s="2"/>
      <c r="V266" s="134">
        <f ca="1">IF($K$24=0,"",IF(VLOOKUP(B266,C247:E266,3,0)=MAX(V$4:V265),VLOOKUP(B266,C247:E266,3,0),B266))</f>
        <v>19</v>
      </c>
      <c r="W266" s="4" t="str">
        <f ca="1">IF($K$24=0,Calc2!$C$23,VLOOKUP(B266,C247:N266,4,0))</f>
        <v/>
      </c>
      <c r="X266" s="1">
        <f ca="1">INDEX(V220:V239,MATCH(W266,W220:W239,0))</f>
        <v>19</v>
      </c>
      <c r="Y266" s="1">
        <f t="shared" ca="1" si="49"/>
        <v>0</v>
      </c>
    </row>
    <row r="267" spans="2:25" ht="12.75" thickTop="1" x14ac:dyDescent="0.2"/>
    <row r="271" spans="2:25" ht="12.75" thickBot="1" x14ac:dyDescent="0.25"/>
    <row r="272" spans="2:25" ht="12.75" thickBot="1" x14ac:dyDescent="0.25">
      <c r="B272" s="410">
        <v>11</v>
      </c>
      <c r="C272" s="134"/>
      <c r="D272" s="134"/>
      <c r="E272" s="134"/>
      <c r="F272" s="187"/>
      <c r="G272" s="1"/>
      <c r="H272" s="1"/>
      <c r="I272" s="1"/>
      <c r="J272" s="1"/>
      <c r="K272" s="1"/>
      <c r="L272" s="1"/>
      <c r="M272" s="1"/>
      <c r="N272" s="134"/>
      <c r="O272" s="1"/>
      <c r="P272" s="1"/>
      <c r="Q272" s="1"/>
      <c r="R272" s="2"/>
      <c r="S272" s="2"/>
      <c r="T272" s="2"/>
      <c r="U272" s="2"/>
      <c r="V272" s="2"/>
      <c r="W272" s="2"/>
    </row>
    <row r="273" spans="2:25" ht="15.75" thickBot="1" x14ac:dyDescent="0.25">
      <c r="B273" s="1"/>
      <c r="C273" s="134"/>
      <c r="D273" s="134"/>
      <c r="E273" s="134"/>
      <c r="F273" s="11" t="s">
        <v>90</v>
      </c>
      <c r="G273" s="42" t="s">
        <v>95</v>
      </c>
      <c r="H273" s="42" t="s">
        <v>96</v>
      </c>
      <c r="I273" s="11" t="s">
        <v>97</v>
      </c>
      <c r="J273" s="11" t="s">
        <v>98</v>
      </c>
      <c r="K273" s="11" t="s">
        <v>91</v>
      </c>
      <c r="L273" s="12" t="s">
        <v>92</v>
      </c>
      <c r="M273" s="12" t="s">
        <v>93</v>
      </c>
      <c r="N273" s="12" t="s">
        <v>94</v>
      </c>
      <c r="O273" s="12" t="s">
        <v>534</v>
      </c>
      <c r="P273" s="2"/>
      <c r="Q273" s="11"/>
      <c r="R273" s="133" t="s">
        <v>99</v>
      </c>
      <c r="S273" s="6" t="s">
        <v>483</v>
      </c>
      <c r="T273" s="120" t="s">
        <v>146</v>
      </c>
      <c r="U273" s="134"/>
      <c r="V273" s="134"/>
      <c r="W273" s="132"/>
      <c r="X273" s="120" t="s">
        <v>575</v>
      </c>
      <c r="Y273" s="1"/>
    </row>
    <row r="274" spans="2:25" ht="12.75" thickTop="1" x14ac:dyDescent="0.2">
      <c r="B274" s="1">
        <v>1</v>
      </c>
      <c r="C274" s="8">
        <f ca="1">RANK(D274,D274:D293,1)</f>
        <v>18</v>
      </c>
      <c r="D274" s="134">
        <f ca="1">E274+ROW()/1000</f>
        <v>18.274000000000001</v>
      </c>
      <c r="E274" s="134">
        <f ca="1">RANK(T274,T274:T293,1)</f>
        <v>18</v>
      </c>
      <c r="F274" s="187" t="str">
        <f>Calc2!$C$4</f>
        <v>1. FC Heidenheim 1846</v>
      </c>
      <c r="G274" s="1">
        <f ca="1">SUMIFS(OFFSET(Calc2!$H$4,,,$F$26*B272,1),OFFSET(Calc2!$F$4,,,$F$26*B272,1),F274)+SUMIFS(OFFSET(Calc2!$I$4,,,$F$26*B272,1),OFFSET(Calc2!$G$4,,,$F$26*B272,1),F274)</f>
        <v>8</v>
      </c>
      <c r="H274" s="1">
        <f ca="1">SUMIFS(OFFSET(Calc2!$I$4,,,$F$26*B272,1),OFFSET(Calc2!$F$4,,,$F$26*B272,1),F274)+SUMIFS(OFFSET(Calc2!$H$4,,,$F$26*B272,1),OFFSET(Calc2!$G$4,,,$F$26*B272,1),F274)</f>
        <v>26</v>
      </c>
      <c r="I274" s="134">
        <f t="shared" ref="I274:I293" ca="1" si="50">G274-H274</f>
        <v>-18</v>
      </c>
      <c r="J274" s="12">
        <f ca="1">L274*Settings!$C$3+M274+O274</f>
        <v>5</v>
      </c>
      <c r="K274" s="1">
        <f ca="1">L274+M274+N274</f>
        <v>11</v>
      </c>
      <c r="L274" s="1">
        <f t="array" aca="1" ref="L274" ca="1">SUMPRODUCT((OFFSET(Calc2!$F$4,,,$F$26*B272,1)=F274)*(OFFSET(Calc2!$H$4,,,$F$26*B272,1)&gt;OFFSET(Calc2!$I$4,,,$F$26*B272,1)))+SUMPRODUCT((OFFSET(Calc2!$G$4,,,$F$26*B272,1)=F274)*(OFFSET(Calc2!$H$4,,,$F$26*B272,1)&lt;OFFSET(Calc2!$I$4,,,$F$26*B272,1)))</f>
        <v>1</v>
      </c>
      <c r="M274" s="1">
        <f t="array" aca="1" ref="M274" ca="1">SUMPRODUCT((OFFSET(Calc2!$F$4,,,$F$26*B272,2)=F274)*(OFFSET(Calc2!$H$4,,,$F$26*B272,1)=OFFSET(Calc2!$I$4,,,$F$26*B272,1))*(OFFSET(Calc2!$H$4,,,$F$26*B272,1)&lt;&gt;"")*(OFFSET(Calc2!$I$4,,,$F$26*B272,1)&lt;&gt;""))</f>
        <v>2</v>
      </c>
      <c r="N274" s="1">
        <f t="array" aca="1" ref="N274" ca="1">SUMPRODUCT((OFFSET(Calc2!$F$4,,,$F$26*B272,1)=F274)*(OFFSET(Calc2!$H$4,,,$F$26*B272,1)&lt;OFFSET(Calc2!$I$4,,,$F$26*B272,1)))+SUMPRODUCT((OFFSET(Calc2!$G$4,,,$F$26*B272,1)=F274)*(OFFSET(Calc2!$H$4,,,$F$26*B272,1)&gt;OFFSET(Calc2!$I$4,,,$F$26*B272,1)))</f>
        <v>8</v>
      </c>
      <c r="O274" s="132">
        <f ca="1">SUMPRODUCT((F274=OFFSET(Calc2!$F$4,,,$F$26*B272,1))*OFFSET(Calc2!$O$4,,,$F$26*B272,1))+SUMPRODUCT((F274=OFFSET(Calc2!$G$4,,,$F$26*B272,1))*OFFSET(Calc2!$P$4,,,$F$26*B272,1))</f>
        <v>0</v>
      </c>
      <c r="P274" s="2"/>
      <c r="Q274" s="2"/>
      <c r="R274" s="13">
        <f t="shared" ref="R274:R293" ca="1" si="51">J274*FactorPts+(I274+GDzero)*FactorGD+G274*FactorGF</f>
        <v>5499982008</v>
      </c>
      <c r="S274" s="134">
        <f>Tie_Break!$D$7</f>
        <v>0</v>
      </c>
      <c r="T274" s="8">
        <f ca="1">RANK(R274,R274:R293)+(9-S274)/10000+(F274="")*1000</f>
        <v>18.000900000000001</v>
      </c>
      <c r="U274" s="134"/>
      <c r="V274" s="134">
        <f ca="1">IF($K$24=0,"",1)</f>
        <v>1</v>
      </c>
      <c r="W274" s="4" t="str">
        <f ca="1">IF($K$24=0,Calc2!$C$4,VLOOKUP(B274,C274:N293,4,0))</f>
        <v>FC Bayern München</v>
      </c>
      <c r="X274" s="1">
        <f ca="1">INDEX(V247:V266,MATCH(W274,W247:W266,0))</f>
        <v>1</v>
      </c>
      <c r="Y274" s="1">
        <f ca="1">IF(X274&gt;V274,1,IF(X274&lt;V274,-1,0))</f>
        <v>0</v>
      </c>
    </row>
    <row r="275" spans="2:25" x14ac:dyDescent="0.2">
      <c r="B275" s="1">
        <v>2</v>
      </c>
      <c r="C275" s="9">
        <f ca="1">RANK(D275,D274:D293,1)</f>
        <v>10</v>
      </c>
      <c r="D275" s="134">
        <f t="shared" ref="D275:D293" ca="1" si="52">E275+ROW()/1000</f>
        <v>10.275</v>
      </c>
      <c r="E275" s="134">
        <f ca="1">RANK(T275,T274:T293,1)</f>
        <v>10</v>
      </c>
      <c r="F275" s="187" t="str">
        <f>Calc2!$C$5</f>
        <v>1. FC Köln</v>
      </c>
      <c r="G275" s="1">
        <f ca="1">SUMIFS(OFFSET(Calc2!$H$4,,,$F$26*B272,1),OFFSET(Calc2!$F$4,,,$F$26*B272,1),F275)+SUMIFS(OFFSET(Calc2!$I$4,,,$F$26*B272,1),OFFSET(Calc2!$G$4,,,$F$26*B272,1),F275)</f>
        <v>20</v>
      </c>
      <c r="H275" s="1">
        <f ca="1">SUMIFS(OFFSET(Calc2!$I$4,,,$F$26*B272,1),OFFSET(Calc2!$F$4,,,$F$26*B272,1),F275)+SUMIFS(OFFSET(Calc2!$H$4,,,$F$26*B272,1),OFFSET(Calc2!$G$4,,,$F$26*B272,1),F275)</f>
        <v>19</v>
      </c>
      <c r="I275" s="134">
        <f t="shared" ca="1" si="50"/>
        <v>1</v>
      </c>
      <c r="J275" s="12">
        <f ca="1">L275*Settings!$C$3+M275+O275</f>
        <v>14</v>
      </c>
      <c r="K275" s="1">
        <f t="shared" ref="K275:K293" ca="1" si="53">L275+M275+N275</f>
        <v>11</v>
      </c>
      <c r="L275" s="1">
        <f t="array" aca="1" ref="L275" ca="1">SUMPRODUCT((OFFSET(Calc2!$F$4,,,$F$26*B272,1)=F275)*(OFFSET(Calc2!$H$4,,,$F$26*B272,1)&gt;OFFSET(Calc2!$I$4,,,$F$26*B272,1)))+SUMPRODUCT((OFFSET(Calc2!$G$4,,,$F$26*B272,1)=F275)*(OFFSET(Calc2!$H$4,,,$F$26*B272,1)&lt;OFFSET(Calc2!$I$4,,,$F$26*B272,1)))</f>
        <v>4</v>
      </c>
      <c r="M275" s="1">
        <f t="array" aca="1" ref="M275" ca="1">SUMPRODUCT((OFFSET(Calc2!$F$4,,,$F$26*B272,2)=F275)*(OFFSET(Calc2!$H$4,,,$F$26*B272,1)=OFFSET(Calc2!$I$4,,,$F$26*B272,1))*(OFFSET(Calc2!$H$4,,,$F$26*B272,1)&lt;&gt;"")*(OFFSET(Calc2!$I$4,,,$F$26*B272,1)&lt;&gt;""))</f>
        <v>2</v>
      </c>
      <c r="N275" s="1">
        <f t="array" aca="1" ref="N275" ca="1">SUMPRODUCT((OFFSET(Calc2!$F$4,,,$F$26*B272,1)=F275)*(OFFSET(Calc2!$H$4,,,$F$26*B272,1)&lt;OFFSET(Calc2!$I$4,,,$F$26*B272,1)))+SUMPRODUCT((OFFSET(Calc2!$G$4,,,$F$26*B272,1)=F275)*(OFFSET(Calc2!$H$4,,,$F$26*B272,1)&gt;OFFSET(Calc2!$I$4,,,$F$26*B272,1)))</f>
        <v>5</v>
      </c>
      <c r="O275" s="132">
        <f ca="1">SUMPRODUCT((F275=OFFSET(Calc2!$F$4,,,$F$26*B272,1))*OFFSET(Calc2!$O$4,,,$F$26*B272,1))+SUMPRODUCT((F275=OFFSET(Calc2!$G$4,,,$F$26*B272,1))*OFFSET(Calc2!$P$4,,,$F$26*B272,1))</f>
        <v>0</v>
      </c>
      <c r="P275" s="2"/>
      <c r="Q275" s="2"/>
      <c r="R275" s="13">
        <f t="shared" ca="1" si="51"/>
        <v>14500001020</v>
      </c>
      <c r="S275" s="134">
        <f>Tie_Break!$D$8</f>
        <v>0</v>
      </c>
      <c r="T275" s="9">
        <f ca="1">RANK(R275,R274:R293)+(9-S275)/10000+(F275="")*1000</f>
        <v>10.0009</v>
      </c>
      <c r="U275" s="134"/>
      <c r="V275" s="134">
        <f ca="1">IF($K$24=0,"",IF(VLOOKUP(B275,C274:E293,3,0)=MAX(V$4:V274),VLOOKUP(B275,C274:E293,3,0),B275))</f>
        <v>2</v>
      </c>
      <c r="W275" s="4" t="str">
        <f ca="1">IF($K$24=0,Calc2!$C$5,VLOOKUP(B275,C274:N293,4,0))</f>
        <v>RB Leipzig</v>
      </c>
      <c r="X275" s="1">
        <f ca="1">INDEX(V247:V266,MATCH(W275,W247:W266,0))</f>
        <v>2</v>
      </c>
      <c r="Y275" s="1">
        <f t="shared" ref="Y275:Y293" ca="1" si="54">IF(X275&gt;V275,1,IF(X275&lt;V275,-1,0))</f>
        <v>0</v>
      </c>
    </row>
    <row r="276" spans="2:25" x14ac:dyDescent="0.2">
      <c r="B276" s="1">
        <v>3</v>
      </c>
      <c r="C276" s="9">
        <f ca="1">RANK(D276,D274:D293,1)</f>
        <v>8</v>
      </c>
      <c r="D276" s="134">
        <f t="shared" ca="1" si="52"/>
        <v>8.2759999999999998</v>
      </c>
      <c r="E276" s="134">
        <f ca="1">RANK(T276,T274:T293,1)</f>
        <v>8</v>
      </c>
      <c r="F276" s="187" t="str">
        <f>Calc2!$C$6</f>
        <v>1. FC Union Berlin</v>
      </c>
      <c r="G276" s="1">
        <f ca="1">SUMIFS(OFFSET(Calc2!$H$4,,,$F$26*B272,1),OFFSET(Calc2!$F$4,,,$F$26*B272,1),F276)+SUMIFS(OFFSET(Calc2!$I$4,,,$F$26*B272,1),OFFSET(Calc2!$G$4,,,$F$26*B272,1),F276)</f>
        <v>14</v>
      </c>
      <c r="H276" s="1">
        <f ca="1">SUMIFS(OFFSET(Calc2!$I$4,,,$F$26*B272,1),OFFSET(Calc2!$F$4,,,$F$26*B272,1),F276)+SUMIFS(OFFSET(Calc2!$H$4,,,$F$26*B272,1),OFFSET(Calc2!$G$4,,,$F$26*B272,1),F276)</f>
        <v>17</v>
      </c>
      <c r="I276" s="134">
        <f t="shared" ca="1" si="50"/>
        <v>-3</v>
      </c>
      <c r="J276" s="12">
        <f ca="1">L276*Settings!$C$3+M276+O276</f>
        <v>15</v>
      </c>
      <c r="K276" s="1">
        <f t="shared" ca="1" si="53"/>
        <v>11</v>
      </c>
      <c r="L276" s="1">
        <f t="array" aca="1" ref="L276" ca="1">SUMPRODUCT((OFFSET(Calc2!$F$4,,,$F$26*B272,1)=F276)*(OFFSET(Calc2!$H$4,,,$F$26*B272,1)&gt;OFFSET(Calc2!$I$4,,,$F$26*B272,1)))+SUMPRODUCT((OFFSET(Calc2!$G$4,,,$F$26*B272,1)=F276)*(OFFSET(Calc2!$H$4,,,$F$26*B272,1)&lt;OFFSET(Calc2!$I$4,,,$F$26*B272,1)))</f>
        <v>4</v>
      </c>
      <c r="M276" s="1">
        <f t="array" aca="1" ref="M276" ca="1">SUMPRODUCT((OFFSET(Calc2!$F$4,,,$F$26*B272,2)=F276)*(OFFSET(Calc2!$H$4,,,$F$26*B272,1)=OFFSET(Calc2!$I$4,,,$F$26*B272,1))*(OFFSET(Calc2!$H$4,,,$F$26*B272,1)&lt;&gt;"")*(OFFSET(Calc2!$I$4,,,$F$26*B272,1)&lt;&gt;""))</f>
        <v>3</v>
      </c>
      <c r="N276" s="1">
        <f t="array" aca="1" ref="N276" ca="1">SUMPRODUCT((OFFSET(Calc2!$F$4,,,$F$26*B272,1)=F276)*(OFFSET(Calc2!$H$4,,,$F$26*B272,1)&lt;OFFSET(Calc2!$I$4,,,$F$26*B272,1)))+SUMPRODUCT((OFFSET(Calc2!$G$4,,,$F$26*B272,1)=F276)*(OFFSET(Calc2!$H$4,,,$F$26*B272,1)&gt;OFFSET(Calc2!$I$4,,,$F$26*B272,1)))</f>
        <v>4</v>
      </c>
      <c r="O276" s="132">
        <f ca="1">SUMPRODUCT((F276=OFFSET(Calc2!$F$4,,,$F$26*B272,1))*OFFSET(Calc2!$O$4,,,$F$26*B272,1))+SUMPRODUCT((F276=OFFSET(Calc2!$G$4,,,$F$26*B272,1))*OFFSET(Calc2!$P$4,,,$F$26*B272,1))</f>
        <v>0</v>
      </c>
      <c r="P276" s="2"/>
      <c r="Q276" s="2"/>
      <c r="R276" s="13">
        <f t="shared" ca="1" si="51"/>
        <v>15499997014</v>
      </c>
      <c r="S276" s="134">
        <f>Tie_Break!$D$9</f>
        <v>0</v>
      </c>
      <c r="T276" s="9">
        <f ca="1">RANK(R276,R274:R293)+(9-S276)/10000+(F276="")*1000</f>
        <v>8.0008999999999997</v>
      </c>
      <c r="U276" s="134"/>
      <c r="V276" s="134">
        <f ca="1">IF($K$24=0,"",IF(VLOOKUP(B276,C274:E293,3,0)=MAX(V$4:V275),VLOOKUP(B276,C274:E293,3,0),B276))</f>
        <v>3</v>
      </c>
      <c r="W276" s="4" t="str">
        <f ca="1">IF($K$24=0,Calc2!$C$6,VLOOKUP(B276,C274:N293,4,0))</f>
        <v>Bayer 04 Leverkusen</v>
      </c>
      <c r="X276" s="1">
        <f ca="1">INDEX(V247:V266,MATCH(W276,W247:W266,0))</f>
        <v>5</v>
      </c>
      <c r="Y276" s="1">
        <f t="shared" ca="1" si="54"/>
        <v>1</v>
      </c>
    </row>
    <row r="277" spans="2:25" x14ac:dyDescent="0.2">
      <c r="B277" s="1">
        <v>4</v>
      </c>
      <c r="C277" s="9">
        <f ca="1">RANK(D277,D274:D293,1)</f>
        <v>17</v>
      </c>
      <c r="D277" s="134">
        <f t="shared" ca="1" si="52"/>
        <v>17.277000000000001</v>
      </c>
      <c r="E277" s="134">
        <f ca="1">RANK(T277,T274:T293,1)</f>
        <v>17</v>
      </c>
      <c r="F277" s="187" t="str">
        <f>Calc2!$C$7</f>
        <v>1. FSV Mainz 05</v>
      </c>
      <c r="G277" s="1">
        <f ca="1">SUMIFS(OFFSET(Calc2!$H$4,,,$F$26*B272,1),OFFSET(Calc2!$F$4,,,$F$26*B272,1),F277)+SUMIFS(OFFSET(Calc2!$I$4,,,$F$26*B272,1),OFFSET(Calc2!$G$4,,,$F$26*B272,1),F277)</f>
        <v>11</v>
      </c>
      <c r="H277" s="1">
        <f ca="1">SUMIFS(OFFSET(Calc2!$I$4,,,$F$26*B272,1),OFFSET(Calc2!$F$4,,,$F$26*B272,1),F277)+SUMIFS(OFFSET(Calc2!$H$4,,,$F$26*B272,1),OFFSET(Calc2!$G$4,,,$F$26*B272,1),F277)</f>
        <v>19</v>
      </c>
      <c r="I277" s="134">
        <f t="shared" ca="1" si="50"/>
        <v>-8</v>
      </c>
      <c r="J277" s="12">
        <f ca="1">L277*Settings!$C$3+M277+O277</f>
        <v>6</v>
      </c>
      <c r="K277" s="1">
        <f t="shared" ca="1" si="53"/>
        <v>11</v>
      </c>
      <c r="L277" s="1">
        <f t="array" aca="1" ref="L277" ca="1">SUMPRODUCT((OFFSET(Calc2!$F$4,,,$F$26*B272,1)=F277)*(OFFSET(Calc2!$H$4,,,$F$26*B272,1)&gt;OFFSET(Calc2!$I$4,,,$F$26*B272,1)))+SUMPRODUCT((OFFSET(Calc2!$G$4,,,$F$26*B272,1)=F277)*(OFFSET(Calc2!$H$4,,,$F$26*B272,1)&lt;OFFSET(Calc2!$I$4,,,$F$26*B272,1)))</f>
        <v>1</v>
      </c>
      <c r="M277" s="1">
        <f t="array" aca="1" ref="M277" ca="1">SUMPRODUCT((OFFSET(Calc2!$F$4,,,$F$26*B272,2)=F277)*(OFFSET(Calc2!$H$4,,,$F$26*B272,1)=OFFSET(Calc2!$I$4,,,$F$26*B272,1))*(OFFSET(Calc2!$H$4,,,$F$26*B272,1)&lt;&gt;"")*(OFFSET(Calc2!$I$4,,,$F$26*B272,1)&lt;&gt;""))</f>
        <v>3</v>
      </c>
      <c r="N277" s="1">
        <f t="array" aca="1" ref="N277" ca="1">SUMPRODUCT((OFFSET(Calc2!$F$4,,,$F$26*B272,1)=F277)*(OFFSET(Calc2!$H$4,,,$F$26*B272,1)&lt;OFFSET(Calc2!$I$4,,,$F$26*B272,1)))+SUMPRODUCT((OFFSET(Calc2!$G$4,,,$F$26*B272,1)=F277)*(OFFSET(Calc2!$H$4,,,$F$26*B272,1)&gt;OFFSET(Calc2!$I$4,,,$F$26*B272,1)))</f>
        <v>7</v>
      </c>
      <c r="O277" s="132">
        <f ca="1">SUMPRODUCT((F277=OFFSET(Calc2!$F$4,,,$F$26*B272,1))*OFFSET(Calc2!$O$4,,,$F$26*B272,1))+SUMPRODUCT((F277=OFFSET(Calc2!$G$4,,,$F$26*B272,1))*OFFSET(Calc2!$P$4,,,$F$26*B272,1))</f>
        <v>0</v>
      </c>
      <c r="P277" s="2"/>
      <c r="Q277" s="2"/>
      <c r="R277" s="13">
        <f t="shared" ca="1" si="51"/>
        <v>6499992011</v>
      </c>
      <c r="S277" s="134">
        <f>Tie_Break!$D$10</f>
        <v>0</v>
      </c>
      <c r="T277" s="9">
        <f ca="1">RANK(R277,R274:R293)+(9-S277)/10000+(F277="")*1000</f>
        <v>17.000900000000001</v>
      </c>
      <c r="U277" s="134"/>
      <c r="V277" s="134">
        <f ca="1">IF($K$24=0,"",IF(VLOOKUP(B277,C274:E293,3,0)=MAX(V$4:V276),VLOOKUP(B277,C274:E293,3,0),B277))</f>
        <v>4</v>
      </c>
      <c r="W277" s="4" t="str">
        <f ca="1">IF($K$24=0,Calc2!$C$7,VLOOKUP(B277,C274:N293,4,0))</f>
        <v>Borussia Dortmund</v>
      </c>
      <c r="X277" s="1">
        <f ca="1">INDEX(V247:V266,MATCH(W277,W247:W266,0))</f>
        <v>3</v>
      </c>
      <c r="Y277" s="1">
        <f t="shared" ca="1" si="54"/>
        <v>-1</v>
      </c>
    </row>
    <row r="278" spans="2:25" x14ac:dyDescent="0.2">
      <c r="B278" s="1">
        <v>5</v>
      </c>
      <c r="C278" s="9">
        <f ca="1">RANK(D278,D274:D293,1)</f>
        <v>3</v>
      </c>
      <c r="D278" s="134">
        <f t="shared" ca="1" si="52"/>
        <v>3.278</v>
      </c>
      <c r="E278" s="134">
        <f ca="1">RANK(T278,T274:T293,1)</f>
        <v>3</v>
      </c>
      <c r="F278" s="187" t="str">
        <f>Calc2!$C$8</f>
        <v>Bayer 04 Leverkusen</v>
      </c>
      <c r="G278" s="1">
        <f ca="1">SUMIFS(OFFSET(Calc2!$H$4,,,$F$26*B272,1),OFFSET(Calc2!$F$4,,,$F$26*B272,1),F278)+SUMIFS(OFFSET(Calc2!$I$4,,,$F$26*B272,1),OFFSET(Calc2!$G$4,,,$F$26*B272,1),F278)</f>
        <v>27</v>
      </c>
      <c r="H278" s="1">
        <f ca="1">SUMIFS(OFFSET(Calc2!$I$4,,,$F$26*B272,1),OFFSET(Calc2!$F$4,,,$F$26*B272,1),F278)+SUMIFS(OFFSET(Calc2!$H$4,,,$F$26*B272,1),OFFSET(Calc2!$G$4,,,$F$26*B272,1),F278)</f>
        <v>15</v>
      </c>
      <c r="I278" s="134">
        <f t="shared" ca="1" si="50"/>
        <v>12</v>
      </c>
      <c r="J278" s="12">
        <f ca="1">L278*Settings!$C$3+M278+O278</f>
        <v>23</v>
      </c>
      <c r="K278" s="1">
        <f t="shared" ca="1" si="53"/>
        <v>11</v>
      </c>
      <c r="L278" s="1">
        <f t="array" aca="1" ref="L278" ca="1">SUMPRODUCT((OFFSET(Calc2!$F$4,,,$F$26*B272,1)=F278)*(OFFSET(Calc2!$H$4,,,$F$26*B272,1)&gt;OFFSET(Calc2!$I$4,,,$F$26*B272,1)))+SUMPRODUCT((OFFSET(Calc2!$G$4,,,$F$26*B272,1)=F278)*(OFFSET(Calc2!$H$4,,,$F$26*B272,1)&lt;OFFSET(Calc2!$I$4,,,$F$26*B272,1)))</f>
        <v>7</v>
      </c>
      <c r="M278" s="1">
        <f t="array" aca="1" ref="M278" ca="1">SUMPRODUCT((OFFSET(Calc2!$F$4,,,$F$26*B272,2)=F278)*(OFFSET(Calc2!$H$4,,,$F$26*B272,1)=OFFSET(Calc2!$I$4,,,$F$26*B272,1))*(OFFSET(Calc2!$H$4,,,$F$26*B272,1)&lt;&gt;"")*(OFFSET(Calc2!$I$4,,,$F$26*B272,1)&lt;&gt;""))</f>
        <v>2</v>
      </c>
      <c r="N278" s="1">
        <f t="array" aca="1" ref="N278" ca="1">SUMPRODUCT((OFFSET(Calc2!$F$4,,,$F$26*B272,1)=F278)*(OFFSET(Calc2!$H$4,,,$F$26*B272,1)&lt;OFFSET(Calc2!$I$4,,,$F$26*B272,1)))+SUMPRODUCT((OFFSET(Calc2!$G$4,,,$F$26*B272,1)=F278)*(OFFSET(Calc2!$H$4,,,$F$26*B272,1)&gt;OFFSET(Calc2!$I$4,,,$F$26*B272,1)))</f>
        <v>2</v>
      </c>
      <c r="O278" s="132">
        <f ca="1">SUMPRODUCT((F278=OFFSET(Calc2!$F$4,,,$F$26*B272,1))*OFFSET(Calc2!$O$4,,,$F$26*B272,1))+SUMPRODUCT((F278=OFFSET(Calc2!$G$4,,,$F$26*B272,1))*OFFSET(Calc2!$P$4,,,$F$26*B272,1))</f>
        <v>0</v>
      </c>
      <c r="P278" s="2"/>
      <c r="Q278" s="2"/>
      <c r="R278" s="13">
        <f t="shared" ca="1" si="51"/>
        <v>23500012027</v>
      </c>
      <c r="S278" s="134">
        <f>Tie_Break!$D$11</f>
        <v>0</v>
      </c>
      <c r="T278" s="9">
        <f ca="1">RANK(R278,R274:R293)+(9-S278)/10000+(F278="")*1000</f>
        <v>3.0009000000000001</v>
      </c>
      <c r="U278" s="134"/>
      <c r="V278" s="134">
        <f ca="1">IF($K$24=0,"",IF(VLOOKUP(B278,C274:E293,3,0)=MAX(V$4:V277),VLOOKUP(B278,C274:E293,3,0),B278))</f>
        <v>5</v>
      </c>
      <c r="W278" s="4" t="str">
        <f ca="1">IF($K$24=0,Calc2!$C$8,VLOOKUP(B278,C274:N293,4,0))</f>
        <v>VfB Stuttgart</v>
      </c>
      <c r="X278" s="1">
        <f ca="1">INDEX(V247:V266,MATCH(W278,W247:W266,0))</f>
        <v>4</v>
      </c>
      <c r="Y278" s="1">
        <f t="shared" ca="1" si="54"/>
        <v>-1</v>
      </c>
    </row>
    <row r="279" spans="2:25" x14ac:dyDescent="0.2">
      <c r="B279" s="1">
        <v>6</v>
      </c>
      <c r="C279" s="9">
        <f ca="1">RANK(D279,D274:D293,1)</f>
        <v>4</v>
      </c>
      <c r="D279" s="134">
        <f t="shared" ca="1" si="52"/>
        <v>4.2789999999999999</v>
      </c>
      <c r="E279" s="134">
        <f ca="1">RANK(T279,T274:T293,1)</f>
        <v>4</v>
      </c>
      <c r="F279" s="187" t="str">
        <f>Calc2!$C$9</f>
        <v>Borussia Dortmund</v>
      </c>
      <c r="G279" s="1">
        <f ca="1">SUMIFS(OFFSET(Calc2!$H$4,,,$F$26*B272,1),OFFSET(Calc2!$F$4,,,$F$26*B272,1),F279)+SUMIFS(OFFSET(Calc2!$I$4,,,$F$26*B272,1),OFFSET(Calc2!$G$4,,,$F$26*B272,1),F279)</f>
        <v>19</v>
      </c>
      <c r="H279" s="1">
        <f ca="1">SUMIFS(OFFSET(Calc2!$I$4,,,$F$26*B272,1),OFFSET(Calc2!$F$4,,,$F$26*B272,1),F279)+SUMIFS(OFFSET(Calc2!$H$4,,,$F$26*B272,1),OFFSET(Calc2!$G$4,,,$F$26*B272,1),F279)</f>
        <v>10</v>
      </c>
      <c r="I279" s="134">
        <f t="shared" ca="1" si="50"/>
        <v>9</v>
      </c>
      <c r="J279" s="12">
        <f ca="1">L279*Settings!$C$3+M279+O279</f>
        <v>22</v>
      </c>
      <c r="K279" s="1">
        <f t="shared" ca="1" si="53"/>
        <v>11</v>
      </c>
      <c r="L279" s="1">
        <f t="array" aca="1" ref="L279" ca="1">SUMPRODUCT((OFFSET(Calc2!$F$4,,,$F$26*B272,1)=F279)*(OFFSET(Calc2!$H$4,,,$F$26*B272,1)&gt;OFFSET(Calc2!$I$4,,,$F$26*B272,1)))+SUMPRODUCT((OFFSET(Calc2!$G$4,,,$F$26*B272,1)=F279)*(OFFSET(Calc2!$H$4,,,$F$26*B272,1)&lt;OFFSET(Calc2!$I$4,,,$F$26*B272,1)))</f>
        <v>6</v>
      </c>
      <c r="M279" s="1">
        <f t="array" aca="1" ref="M279" ca="1">SUMPRODUCT((OFFSET(Calc2!$F$4,,,$F$26*B272,2)=F279)*(OFFSET(Calc2!$H$4,,,$F$26*B272,1)=OFFSET(Calc2!$I$4,,,$F$26*B272,1))*(OFFSET(Calc2!$H$4,,,$F$26*B272,1)&lt;&gt;"")*(OFFSET(Calc2!$I$4,,,$F$26*B272,1)&lt;&gt;""))</f>
        <v>4</v>
      </c>
      <c r="N279" s="1">
        <f t="array" aca="1" ref="N279" ca="1">SUMPRODUCT((OFFSET(Calc2!$F$4,,,$F$26*B272,1)=F279)*(OFFSET(Calc2!$H$4,,,$F$26*B272,1)&lt;OFFSET(Calc2!$I$4,,,$F$26*B272,1)))+SUMPRODUCT((OFFSET(Calc2!$G$4,,,$F$26*B272,1)=F279)*(OFFSET(Calc2!$H$4,,,$F$26*B272,1)&gt;OFFSET(Calc2!$I$4,,,$F$26*B272,1)))</f>
        <v>1</v>
      </c>
      <c r="O279" s="132">
        <f ca="1">SUMPRODUCT((F279=OFFSET(Calc2!$F$4,,,$F$26*B272,1))*OFFSET(Calc2!$O$4,,,$F$26*B272,1))+SUMPRODUCT((F279=OFFSET(Calc2!$G$4,,,$F$26*B272,1))*OFFSET(Calc2!$P$4,,,$F$26*B272,1))</f>
        <v>0</v>
      </c>
      <c r="P279" s="2"/>
      <c r="Q279" s="2"/>
      <c r="R279" s="13">
        <f t="shared" ca="1" si="51"/>
        <v>22500009019</v>
      </c>
      <c r="S279" s="134">
        <f>Tie_Break!$D$12</f>
        <v>0</v>
      </c>
      <c r="T279" s="9">
        <f ca="1">RANK(R279,R274:R293)+(9-S279)/10000+(F279="")*1000</f>
        <v>4.0008999999999997</v>
      </c>
      <c r="U279" s="134"/>
      <c r="V279" s="134">
        <f ca="1">IF($K$24=0,"",IF(VLOOKUP(B279,C274:E293,3,0)=MAX(V$4:V278),VLOOKUP(B279,C274:E293,3,0),B279))</f>
        <v>6</v>
      </c>
      <c r="W279" s="4" t="str">
        <f ca="1">IF($K$24=0,Calc2!$C$9,VLOOKUP(B279,C274:N293,4,0))</f>
        <v>Eintracht Frankfurt</v>
      </c>
      <c r="X279" s="1">
        <f ca="1">INDEX(V247:V266,MATCH(W279,W247:W266,0))</f>
        <v>7</v>
      </c>
      <c r="Y279" s="1">
        <f t="shared" ca="1" si="54"/>
        <v>1</v>
      </c>
    </row>
    <row r="280" spans="2:25" x14ac:dyDescent="0.2">
      <c r="B280" s="1">
        <v>7</v>
      </c>
      <c r="C280" s="9">
        <f ca="1">RANK(D280,D274:D293,1)</f>
        <v>12</v>
      </c>
      <c r="D280" s="134">
        <f t="shared" ca="1" si="52"/>
        <v>12.28</v>
      </c>
      <c r="E280" s="134">
        <f ca="1">RANK(T280,T274:T293,1)</f>
        <v>12</v>
      </c>
      <c r="F280" s="187" t="str">
        <f>Calc2!$C$10</f>
        <v>Borussia Mönchengladbach</v>
      </c>
      <c r="G280" s="1">
        <f ca="1">SUMIFS(OFFSET(Calc2!$H$4,,,$F$26*B272,1),OFFSET(Calc2!$F$4,,,$F$26*B272,1),F280)+SUMIFS(OFFSET(Calc2!$I$4,,,$F$26*B272,1),OFFSET(Calc2!$G$4,,,$F$26*B272,1),F280)</f>
        <v>16</v>
      </c>
      <c r="H280" s="1">
        <f ca="1">SUMIFS(OFFSET(Calc2!$I$4,,,$F$26*B272,1),OFFSET(Calc2!$F$4,,,$F$26*B272,1),F280)+SUMIFS(OFFSET(Calc2!$H$4,,,$F$26*B272,1),OFFSET(Calc2!$G$4,,,$F$26*B272,1),F280)</f>
        <v>19</v>
      </c>
      <c r="I280" s="134">
        <f t="shared" ca="1" si="50"/>
        <v>-3</v>
      </c>
      <c r="J280" s="12">
        <f ca="1">L280*Settings!$C$3+M280+O280</f>
        <v>12</v>
      </c>
      <c r="K280" s="1">
        <f t="shared" ca="1" si="53"/>
        <v>11</v>
      </c>
      <c r="L280" s="1">
        <f t="array" aca="1" ref="L280" ca="1">SUMPRODUCT((OFFSET(Calc2!$F$4,,,$F$26*B272,1)=F280)*(OFFSET(Calc2!$H$4,,,$F$26*B272,1)&gt;OFFSET(Calc2!$I$4,,,$F$26*B272,1)))+SUMPRODUCT((OFFSET(Calc2!$G$4,,,$F$26*B272,1)=F280)*(OFFSET(Calc2!$H$4,,,$F$26*B272,1)&lt;OFFSET(Calc2!$I$4,,,$F$26*B272,1)))</f>
        <v>3</v>
      </c>
      <c r="M280" s="1">
        <f t="array" aca="1" ref="M280" ca="1">SUMPRODUCT((OFFSET(Calc2!$F$4,,,$F$26*B272,2)=F280)*(OFFSET(Calc2!$H$4,,,$F$26*B272,1)=OFFSET(Calc2!$I$4,,,$F$26*B272,1))*(OFFSET(Calc2!$H$4,,,$F$26*B272,1)&lt;&gt;"")*(OFFSET(Calc2!$I$4,,,$F$26*B272,1)&lt;&gt;""))</f>
        <v>3</v>
      </c>
      <c r="N280" s="1">
        <f t="array" aca="1" ref="N280" ca="1">SUMPRODUCT((OFFSET(Calc2!$F$4,,,$F$26*B272,1)=F280)*(OFFSET(Calc2!$H$4,,,$F$26*B272,1)&lt;OFFSET(Calc2!$I$4,,,$F$26*B272,1)))+SUMPRODUCT((OFFSET(Calc2!$G$4,,,$F$26*B272,1)=F280)*(OFFSET(Calc2!$H$4,,,$F$26*B272,1)&gt;OFFSET(Calc2!$I$4,,,$F$26*B272,1)))</f>
        <v>5</v>
      </c>
      <c r="O280" s="132">
        <f ca="1">SUMPRODUCT((F280=OFFSET(Calc2!$F$4,,,$F$26*B272,1))*OFFSET(Calc2!$O$4,,,$F$26*B272,1))+SUMPRODUCT((F280=OFFSET(Calc2!$G$4,,,$F$26*B272,1))*OFFSET(Calc2!$P$4,,,$F$26*B272,1))</f>
        <v>0</v>
      </c>
      <c r="P280" s="2"/>
      <c r="Q280" s="2"/>
      <c r="R280" s="13">
        <f t="shared" ca="1" si="51"/>
        <v>12499997016</v>
      </c>
      <c r="S280" s="134">
        <f>Tie_Break!$D$13</f>
        <v>0</v>
      </c>
      <c r="T280" s="9">
        <f ca="1">RANK(R280,R274:R293)+(9-S280)/10000+(F280="")*1000</f>
        <v>12.0009</v>
      </c>
      <c r="U280" s="134"/>
      <c r="V280" s="134">
        <f ca="1">IF($K$24=0,"",IF(VLOOKUP(B280,C274:E293,3,0)=MAX(V$4:V279),VLOOKUP(B280,C274:E293,3,0),B280))</f>
        <v>7</v>
      </c>
      <c r="W280" s="4" t="str">
        <f ca="1">IF($K$24=0,Calc2!$C$10,VLOOKUP(B280,C274:N293,4,0))</f>
        <v>TSG Hoffenheim</v>
      </c>
      <c r="X280" s="1">
        <f ca="1">INDEX(V247:V266,MATCH(W280,W247:W266,0))</f>
        <v>6</v>
      </c>
      <c r="Y280" s="1">
        <f t="shared" ca="1" si="54"/>
        <v>-1</v>
      </c>
    </row>
    <row r="281" spans="2:25" x14ac:dyDescent="0.2">
      <c r="B281" s="1">
        <v>8</v>
      </c>
      <c r="C281" s="9">
        <f ca="1">RANK(D281,D274:D293,1)</f>
        <v>6</v>
      </c>
      <c r="D281" s="134">
        <f t="shared" ca="1" si="52"/>
        <v>6.2809999999999997</v>
      </c>
      <c r="E281" s="134">
        <f ca="1">RANK(T281,T274:T293,1)</f>
        <v>6</v>
      </c>
      <c r="F281" s="187" t="str">
        <f>Calc2!$C$11</f>
        <v>Eintracht Frankfurt</v>
      </c>
      <c r="G281" s="1">
        <f ca="1">SUMIFS(OFFSET(Calc2!$H$4,,,$F$26*B272,1),OFFSET(Calc2!$F$4,,,$F$26*B272,1),F281)+SUMIFS(OFFSET(Calc2!$I$4,,,$F$26*B272,1),OFFSET(Calc2!$G$4,,,$F$26*B272,1),F281)</f>
        <v>27</v>
      </c>
      <c r="H281" s="1">
        <f ca="1">SUMIFS(OFFSET(Calc2!$I$4,,,$F$26*B272,1),OFFSET(Calc2!$F$4,,,$F$26*B272,1),F281)+SUMIFS(OFFSET(Calc2!$H$4,,,$F$26*B272,1),OFFSET(Calc2!$G$4,,,$F$26*B272,1),F281)</f>
        <v>22</v>
      </c>
      <c r="I281" s="134">
        <f t="shared" ca="1" si="50"/>
        <v>5</v>
      </c>
      <c r="J281" s="12">
        <f ca="1">L281*Settings!$C$3+M281+O281</f>
        <v>20</v>
      </c>
      <c r="K281" s="1">
        <f t="shared" ca="1" si="53"/>
        <v>11</v>
      </c>
      <c r="L281" s="1">
        <f t="array" aca="1" ref="L281" ca="1">SUMPRODUCT((OFFSET(Calc2!$F$4,,,$F$26*B272,1)=F281)*(OFFSET(Calc2!$H$4,,,$F$26*B272,1)&gt;OFFSET(Calc2!$I$4,,,$F$26*B272,1)))+SUMPRODUCT((OFFSET(Calc2!$G$4,,,$F$26*B272,1)=F281)*(OFFSET(Calc2!$H$4,,,$F$26*B272,1)&lt;OFFSET(Calc2!$I$4,,,$F$26*B272,1)))</f>
        <v>6</v>
      </c>
      <c r="M281" s="1">
        <f t="array" aca="1" ref="M281" ca="1">SUMPRODUCT((OFFSET(Calc2!$F$4,,,$F$26*B272,2)=F281)*(OFFSET(Calc2!$H$4,,,$F$26*B272,1)=OFFSET(Calc2!$I$4,,,$F$26*B272,1))*(OFFSET(Calc2!$H$4,,,$F$26*B272,1)&lt;&gt;"")*(OFFSET(Calc2!$I$4,,,$F$26*B272,1)&lt;&gt;""))</f>
        <v>2</v>
      </c>
      <c r="N281" s="1">
        <f t="array" aca="1" ref="N281" ca="1">SUMPRODUCT((OFFSET(Calc2!$F$4,,,$F$26*B272,1)=F281)*(OFFSET(Calc2!$H$4,,,$F$26*B272,1)&lt;OFFSET(Calc2!$I$4,,,$F$26*B272,1)))+SUMPRODUCT((OFFSET(Calc2!$G$4,,,$F$26*B272,1)=F281)*(OFFSET(Calc2!$H$4,,,$F$26*B272,1)&gt;OFFSET(Calc2!$I$4,,,$F$26*B272,1)))</f>
        <v>3</v>
      </c>
      <c r="O281" s="132">
        <f ca="1">SUMPRODUCT((F281=OFFSET(Calc2!$F$4,,,$F$26*B272,1))*OFFSET(Calc2!$O$4,,,$F$26*B272,1))+SUMPRODUCT((F281=OFFSET(Calc2!$G$4,,,$F$26*B272,1))*OFFSET(Calc2!$P$4,,,$F$26*B272,1))</f>
        <v>0</v>
      </c>
      <c r="P281" s="2"/>
      <c r="Q281" s="2"/>
      <c r="R281" s="13">
        <f t="shared" ca="1" si="51"/>
        <v>20500005027</v>
      </c>
      <c r="S281" s="134">
        <f>Tie_Break!$D$14</f>
        <v>0</v>
      </c>
      <c r="T281" s="9">
        <f ca="1">RANK(R281,R274:R293)+(9-S281)/10000+(F281="")*1000</f>
        <v>6.0008999999999997</v>
      </c>
      <c r="U281" s="134"/>
      <c r="V281" s="134">
        <f ca="1">IF($K$24=0,"",IF(VLOOKUP(B281,C274:E293,3,0)=MAX(V$4:V280),VLOOKUP(B281,C274:E293,3,0),B281))</f>
        <v>8</v>
      </c>
      <c r="W281" s="4" t="str">
        <f ca="1">IF($K$24=0,Calc2!$C$11,VLOOKUP(B281,C274:N293,4,0))</f>
        <v>1. FC Union Berlin</v>
      </c>
      <c r="X281" s="1">
        <f ca="1">INDEX(V247:V266,MATCH(W281,W247:W266,0))</f>
        <v>11</v>
      </c>
      <c r="Y281" s="1">
        <f t="shared" ca="1" si="54"/>
        <v>1</v>
      </c>
    </row>
    <row r="282" spans="2:25" x14ac:dyDescent="0.2">
      <c r="B282" s="1">
        <v>9</v>
      </c>
      <c r="C282" s="9">
        <f ca="1">RANK(D282,D274:D293,1)</f>
        <v>13</v>
      </c>
      <c r="D282" s="134">
        <f t="shared" ca="1" si="52"/>
        <v>13.282</v>
      </c>
      <c r="E282" s="134">
        <f ca="1">RANK(T282,T274:T293,1)</f>
        <v>13</v>
      </c>
      <c r="F282" s="187" t="str">
        <f>Calc2!$C$12</f>
        <v>FC Augsburg</v>
      </c>
      <c r="G282" s="1">
        <f ca="1">SUMIFS(OFFSET(Calc2!$H$4,,,$F$26*B272,1),OFFSET(Calc2!$F$4,,,$F$26*B272,1),F282)+SUMIFS(OFFSET(Calc2!$I$4,,,$F$26*B272,1),OFFSET(Calc2!$G$4,,,$F$26*B272,1),F282)</f>
        <v>15</v>
      </c>
      <c r="H282" s="1">
        <f ca="1">SUMIFS(OFFSET(Calc2!$I$4,,,$F$26*B272,1),OFFSET(Calc2!$F$4,,,$F$26*B272,1),F282)+SUMIFS(OFFSET(Calc2!$H$4,,,$F$26*B272,1),OFFSET(Calc2!$G$4,,,$F$26*B272,1),F282)</f>
        <v>24</v>
      </c>
      <c r="I282" s="134">
        <f t="shared" ca="1" si="50"/>
        <v>-9</v>
      </c>
      <c r="J282" s="12">
        <f ca="1">L282*Settings!$C$3+M282+O282</f>
        <v>10</v>
      </c>
      <c r="K282" s="1">
        <f t="shared" ca="1" si="53"/>
        <v>11</v>
      </c>
      <c r="L282" s="1">
        <f t="array" aca="1" ref="L282" ca="1">SUMPRODUCT((OFFSET(Calc2!$F$4,,,$F$26*B272,1)=F282)*(OFFSET(Calc2!$H$4,,,$F$26*B272,1)&gt;OFFSET(Calc2!$I$4,,,$F$26*B272,1)))+SUMPRODUCT((OFFSET(Calc2!$G$4,,,$F$26*B272,1)=F282)*(OFFSET(Calc2!$H$4,,,$F$26*B272,1)&lt;OFFSET(Calc2!$I$4,,,$F$26*B272,1)))</f>
        <v>3</v>
      </c>
      <c r="M282" s="1">
        <f t="array" aca="1" ref="M282" ca="1">SUMPRODUCT((OFFSET(Calc2!$F$4,,,$F$26*B272,2)=F282)*(OFFSET(Calc2!$H$4,,,$F$26*B272,1)=OFFSET(Calc2!$I$4,,,$F$26*B272,1))*(OFFSET(Calc2!$H$4,,,$F$26*B272,1)&lt;&gt;"")*(OFFSET(Calc2!$I$4,,,$F$26*B272,1)&lt;&gt;""))</f>
        <v>1</v>
      </c>
      <c r="N282" s="1">
        <f t="array" aca="1" ref="N282" ca="1">SUMPRODUCT((OFFSET(Calc2!$F$4,,,$F$26*B272,1)=F282)*(OFFSET(Calc2!$H$4,,,$F$26*B272,1)&lt;OFFSET(Calc2!$I$4,,,$F$26*B272,1)))+SUMPRODUCT((OFFSET(Calc2!$G$4,,,$F$26*B272,1)=F282)*(OFFSET(Calc2!$H$4,,,$F$26*B272,1)&gt;OFFSET(Calc2!$I$4,,,$F$26*B272,1)))</f>
        <v>7</v>
      </c>
      <c r="O282" s="132">
        <f ca="1">SUMPRODUCT((F282=OFFSET(Calc2!$F$4,,,$F$26*B272,1))*OFFSET(Calc2!$O$4,,,$F$26*B272,1))+SUMPRODUCT((F282=OFFSET(Calc2!$G$4,,,$F$26*B272,1))*OFFSET(Calc2!$P$4,,,$F$26*B272,1))</f>
        <v>0</v>
      </c>
      <c r="P282" s="2"/>
      <c r="Q282" s="2"/>
      <c r="R282" s="13">
        <f t="shared" ca="1" si="51"/>
        <v>10499991015</v>
      </c>
      <c r="S282" s="134">
        <f>Tie_Break!$D$15</f>
        <v>0</v>
      </c>
      <c r="T282" s="9">
        <f ca="1">RANK(R282,R274:R293)+(9-S282)/10000+(F282="")*1000</f>
        <v>13.0009</v>
      </c>
      <c r="U282" s="134"/>
      <c r="V282" s="134">
        <f ca="1">IF($K$24=0,"",IF(VLOOKUP(B282,C274:E293,3,0)=MAX(V$4:V281),VLOOKUP(B282,C274:E293,3,0),B282))</f>
        <v>9</v>
      </c>
      <c r="W282" s="4" t="str">
        <f ca="1">IF($K$24=0,Calc2!$C$12,VLOOKUP(B282,C274:N293,4,0))</f>
        <v>SV Werder Bremen</v>
      </c>
      <c r="X282" s="1">
        <f ca="1">INDEX(V247:V266,MATCH(W282,W247:W266,0))</f>
        <v>8</v>
      </c>
      <c r="Y282" s="1">
        <f t="shared" ca="1" si="54"/>
        <v>-1</v>
      </c>
    </row>
    <row r="283" spans="2:25" x14ac:dyDescent="0.2">
      <c r="B283" s="1">
        <v>10</v>
      </c>
      <c r="C283" s="9">
        <f ca="1">RANK(D283,D274:D293,1)</f>
        <v>1</v>
      </c>
      <c r="D283" s="134">
        <f t="shared" ca="1" si="52"/>
        <v>1.2829999999999999</v>
      </c>
      <c r="E283" s="134">
        <f ca="1">RANK(T283,T274:T293,1)</f>
        <v>1</v>
      </c>
      <c r="F283" s="187" t="str">
        <f>Calc2!$C$13</f>
        <v>FC Bayern München</v>
      </c>
      <c r="G283" s="1">
        <f ca="1">SUMIFS(OFFSET(Calc2!$H$4,,,$F$26*B272,1),OFFSET(Calc2!$F$4,,,$F$26*B272,1),F283)+SUMIFS(OFFSET(Calc2!$I$4,,,$F$26*B272,1),OFFSET(Calc2!$G$4,,,$F$26*B272,1),F283)</f>
        <v>41</v>
      </c>
      <c r="H283" s="1">
        <f ca="1">SUMIFS(OFFSET(Calc2!$I$4,,,$F$26*B272,1),OFFSET(Calc2!$F$4,,,$F$26*B272,1),F283)+SUMIFS(OFFSET(Calc2!$H$4,,,$F$26*B272,1),OFFSET(Calc2!$G$4,,,$F$26*B272,1),F283)</f>
        <v>8</v>
      </c>
      <c r="I283" s="134">
        <f t="shared" ca="1" si="50"/>
        <v>33</v>
      </c>
      <c r="J283" s="12">
        <f ca="1">L283*Settings!$C$3+M283+O283</f>
        <v>31</v>
      </c>
      <c r="K283" s="1">
        <f t="shared" ca="1" si="53"/>
        <v>11</v>
      </c>
      <c r="L283" s="1">
        <f t="array" aca="1" ref="L283" ca="1">SUMPRODUCT((OFFSET(Calc2!$F$4,,,$F$26*B272,1)=F283)*(OFFSET(Calc2!$H$4,,,$F$26*B272,1)&gt;OFFSET(Calc2!$I$4,,,$F$26*B272,1)))+SUMPRODUCT((OFFSET(Calc2!$G$4,,,$F$26*B272,1)=F283)*(OFFSET(Calc2!$H$4,,,$F$26*B272,1)&lt;OFFSET(Calc2!$I$4,,,$F$26*B272,1)))</f>
        <v>10</v>
      </c>
      <c r="M283" s="1">
        <f t="array" aca="1" ref="M283" ca="1">SUMPRODUCT((OFFSET(Calc2!$F$4,,,$F$26*B272,2)=F283)*(OFFSET(Calc2!$H$4,,,$F$26*B272,1)=OFFSET(Calc2!$I$4,,,$F$26*B272,1))*(OFFSET(Calc2!$H$4,,,$F$26*B272,1)&lt;&gt;"")*(OFFSET(Calc2!$I$4,,,$F$26*B272,1)&lt;&gt;""))</f>
        <v>1</v>
      </c>
      <c r="N283" s="1">
        <f t="array" aca="1" ref="N283" ca="1">SUMPRODUCT((OFFSET(Calc2!$F$4,,,$F$26*B272,1)=F283)*(OFFSET(Calc2!$H$4,,,$F$26*B272,1)&lt;OFFSET(Calc2!$I$4,,,$F$26*B272,1)))+SUMPRODUCT((OFFSET(Calc2!$G$4,,,$F$26*B272,1)=F283)*(OFFSET(Calc2!$H$4,,,$F$26*B272,1)&gt;OFFSET(Calc2!$I$4,,,$F$26*B272,1)))</f>
        <v>0</v>
      </c>
      <c r="O283" s="132">
        <f ca="1">SUMPRODUCT((F283=OFFSET(Calc2!$F$4,,,$F$26*B272,1))*OFFSET(Calc2!$O$4,,,$F$26*B272,1))+SUMPRODUCT((F283=OFFSET(Calc2!$G$4,,,$F$26*B272,1))*OFFSET(Calc2!$P$4,,,$F$26*B272,1))</f>
        <v>0</v>
      </c>
      <c r="P283" s="2"/>
      <c r="Q283" s="2"/>
      <c r="R283" s="13">
        <f t="shared" ca="1" si="51"/>
        <v>31500033041</v>
      </c>
      <c r="S283" s="134">
        <f>Tie_Break!$D$16</f>
        <v>0</v>
      </c>
      <c r="T283" s="9">
        <f ca="1">RANK(R283,R274:R293)+(9-S283)/10000+(F283="")*1000</f>
        <v>1.0008999999999999</v>
      </c>
      <c r="U283" s="2"/>
      <c r="V283" s="134">
        <f ca="1">IF($K$24=0,"",IF(VLOOKUP(B283,C274:E293,3,0)=MAX(V$4:V282),VLOOKUP(B283,C274:E293,3,0),B283))</f>
        <v>10</v>
      </c>
      <c r="W283" s="4" t="str">
        <f ca="1">IF($K$24=0,Calc2!$C$13,VLOOKUP(B283,C274:N293,4,0))</f>
        <v>1. FC Köln</v>
      </c>
      <c r="X283" s="1">
        <f ca="1">INDEX(V247:V266,MATCH(W283,W247:W266,0))</f>
        <v>9</v>
      </c>
      <c r="Y283" s="1">
        <f t="shared" ca="1" si="54"/>
        <v>-1</v>
      </c>
    </row>
    <row r="284" spans="2:25" x14ac:dyDescent="0.2">
      <c r="B284" s="1">
        <v>11</v>
      </c>
      <c r="C284" s="9">
        <f ca="1">RANK(D284,D274:D293,1)</f>
        <v>16</v>
      </c>
      <c r="D284" s="134">
        <f t="shared" ca="1" si="52"/>
        <v>16.283999999999999</v>
      </c>
      <c r="E284" s="134">
        <f ca="1">RANK(T284,T274:T293,1)</f>
        <v>16</v>
      </c>
      <c r="F284" s="187" t="str">
        <f>Calc2!$C$14</f>
        <v>FC St. Pauli</v>
      </c>
      <c r="G284" s="1">
        <f ca="1">SUMIFS(OFFSET(Calc2!$H$4,,,$F$26*B272,1),OFFSET(Calc2!$F$4,,,$F$26*B272,1),F284)+SUMIFS(OFFSET(Calc2!$I$4,,,$F$26*B272,1),OFFSET(Calc2!$G$4,,,$F$26*B272,1),F284)</f>
        <v>9</v>
      </c>
      <c r="H284" s="1">
        <f ca="1">SUMIFS(OFFSET(Calc2!$I$4,,,$F$26*B272,1),OFFSET(Calc2!$F$4,,,$F$26*B272,1),F284)+SUMIFS(OFFSET(Calc2!$H$4,,,$F$26*B272,1),OFFSET(Calc2!$G$4,,,$F$26*B272,1),F284)</f>
        <v>21</v>
      </c>
      <c r="I284" s="134">
        <f t="shared" ca="1" si="50"/>
        <v>-12</v>
      </c>
      <c r="J284" s="12">
        <f ca="1">L284*Settings!$C$3+M284+O284</f>
        <v>7</v>
      </c>
      <c r="K284" s="1">
        <f t="shared" ca="1" si="53"/>
        <v>11</v>
      </c>
      <c r="L284" s="1">
        <f t="array" aca="1" ref="L284" ca="1">SUMPRODUCT((OFFSET(Calc2!$F$4,,,$F$26*B272,1)=F284)*(OFFSET(Calc2!$H$4,,,$F$26*B272,1)&gt;OFFSET(Calc2!$I$4,,,$F$26*B272,1)))+SUMPRODUCT((OFFSET(Calc2!$G$4,,,$F$26*B272,1)=F284)*(OFFSET(Calc2!$H$4,,,$F$26*B272,1)&lt;OFFSET(Calc2!$I$4,,,$F$26*B272,1)))</f>
        <v>2</v>
      </c>
      <c r="M284" s="1">
        <f t="array" aca="1" ref="M284" ca="1">SUMPRODUCT((OFFSET(Calc2!$F$4,,,$F$26*B272,2)=F284)*(OFFSET(Calc2!$H$4,,,$F$26*B272,1)=OFFSET(Calc2!$I$4,,,$F$26*B272,1))*(OFFSET(Calc2!$H$4,,,$F$26*B272,1)&lt;&gt;"")*(OFFSET(Calc2!$I$4,,,$F$26*B272,1)&lt;&gt;""))</f>
        <v>1</v>
      </c>
      <c r="N284" s="1">
        <f t="array" aca="1" ref="N284" ca="1">SUMPRODUCT((OFFSET(Calc2!$F$4,,,$F$26*B272,1)=F284)*(OFFSET(Calc2!$H$4,,,$F$26*B272,1)&lt;OFFSET(Calc2!$I$4,,,$F$26*B272,1)))+SUMPRODUCT((OFFSET(Calc2!$G$4,,,$F$26*B272,1)=F284)*(OFFSET(Calc2!$H$4,,,$F$26*B272,1)&gt;OFFSET(Calc2!$I$4,,,$F$26*B272,1)))</f>
        <v>8</v>
      </c>
      <c r="O284" s="132">
        <f ca="1">SUMPRODUCT((F284=OFFSET(Calc2!$F$4,,,$F$26*B272,1))*OFFSET(Calc2!$O$4,,,$F$26*B272,1))+SUMPRODUCT((F284=OFFSET(Calc2!$G$4,,,$F$26*B272,1))*OFFSET(Calc2!$P$4,,,$F$26*B272,1))</f>
        <v>0</v>
      </c>
      <c r="P284" s="2"/>
      <c r="Q284" s="2"/>
      <c r="R284" s="13">
        <f t="shared" ca="1" si="51"/>
        <v>7499988009</v>
      </c>
      <c r="S284" s="134">
        <f>Tie_Break!$D$17</f>
        <v>0</v>
      </c>
      <c r="T284" s="9">
        <f ca="1">RANK(R284,R274:R293)+(9-S284)/10000+(F284="")*1000</f>
        <v>16.000900000000001</v>
      </c>
      <c r="U284" s="2"/>
      <c r="V284" s="134">
        <f ca="1">IF($K$24=0,"",IF(VLOOKUP(B284,C274:E293,3,0)=MAX(V$4:V283),VLOOKUP(B284,C274:E293,3,0),B284))</f>
        <v>11</v>
      </c>
      <c r="W284" s="4" t="str">
        <f ca="1">IF($K$24=0,Calc2!$C$14,VLOOKUP(B284,C274:N293,4,0))</f>
        <v>SC Freiburg</v>
      </c>
      <c r="X284" s="1">
        <f ca="1">INDEX(V247:V266,MATCH(W284,W247:W266,0))</f>
        <v>10</v>
      </c>
      <c r="Y284" s="1">
        <f t="shared" ca="1" si="54"/>
        <v>-1</v>
      </c>
    </row>
    <row r="285" spans="2:25" x14ac:dyDescent="0.2">
      <c r="B285" s="1">
        <v>12</v>
      </c>
      <c r="C285" s="9">
        <f ca="1">RANK(D285,D274:D293,1)</f>
        <v>14</v>
      </c>
      <c r="D285" s="134">
        <f t="shared" ca="1" si="52"/>
        <v>14.285</v>
      </c>
      <c r="E285" s="134">
        <f ca="1">RANK(T285,T274:T293,1)</f>
        <v>14</v>
      </c>
      <c r="F285" s="187" t="str">
        <f>Calc2!$C$15</f>
        <v>Hamburger SV</v>
      </c>
      <c r="G285" s="1">
        <f ca="1">SUMIFS(OFFSET(Calc2!$H$4,,,$F$26*B272,1),OFFSET(Calc2!$F$4,,,$F$26*B272,1),F285)+SUMIFS(OFFSET(Calc2!$I$4,,,$F$26*B272,1),OFFSET(Calc2!$G$4,,,$F$26*B272,1),F285)</f>
        <v>9</v>
      </c>
      <c r="H285" s="1">
        <f ca="1">SUMIFS(OFFSET(Calc2!$I$4,,,$F$26*B272,1),OFFSET(Calc2!$F$4,,,$F$26*B272,1),F285)+SUMIFS(OFFSET(Calc2!$H$4,,,$F$26*B272,1),OFFSET(Calc2!$G$4,,,$F$26*B272,1),F285)</f>
        <v>17</v>
      </c>
      <c r="I285" s="134">
        <f t="shared" ca="1" si="50"/>
        <v>-8</v>
      </c>
      <c r="J285" s="12">
        <f ca="1">L285*Settings!$C$3+M285+O285</f>
        <v>9</v>
      </c>
      <c r="K285" s="1">
        <f t="shared" ca="1" si="53"/>
        <v>11</v>
      </c>
      <c r="L285" s="1">
        <f t="array" aca="1" ref="L285" ca="1">SUMPRODUCT((OFFSET(Calc2!$F$4,,,$F$26*B272,1)=F285)*(OFFSET(Calc2!$H$4,,,$F$26*B272,1)&gt;OFFSET(Calc2!$I$4,,,$F$26*B272,1)))+SUMPRODUCT((OFFSET(Calc2!$G$4,,,$F$26*B272,1)=F285)*(OFFSET(Calc2!$H$4,,,$F$26*B272,1)&lt;OFFSET(Calc2!$I$4,,,$F$26*B272,1)))</f>
        <v>2</v>
      </c>
      <c r="M285" s="1">
        <f t="array" aca="1" ref="M285" ca="1">SUMPRODUCT((OFFSET(Calc2!$F$4,,,$F$26*B272,2)=F285)*(OFFSET(Calc2!$H$4,,,$F$26*B272,1)=OFFSET(Calc2!$I$4,,,$F$26*B272,1))*(OFFSET(Calc2!$H$4,,,$F$26*B272,1)&lt;&gt;"")*(OFFSET(Calc2!$I$4,,,$F$26*B272,1)&lt;&gt;""))</f>
        <v>3</v>
      </c>
      <c r="N285" s="1">
        <f t="array" aca="1" ref="N285" ca="1">SUMPRODUCT((OFFSET(Calc2!$F$4,,,$F$26*B272,1)=F285)*(OFFSET(Calc2!$H$4,,,$F$26*B272,1)&lt;OFFSET(Calc2!$I$4,,,$F$26*B272,1)))+SUMPRODUCT((OFFSET(Calc2!$G$4,,,$F$26*B272,1)=F285)*(OFFSET(Calc2!$H$4,,,$F$26*B272,1)&gt;OFFSET(Calc2!$I$4,,,$F$26*B272,1)))</f>
        <v>6</v>
      </c>
      <c r="O285" s="132">
        <f ca="1">SUMPRODUCT((F285=OFFSET(Calc2!$F$4,,,$F$26*B272,1))*OFFSET(Calc2!$O$4,,,$F$26*B272,1))+SUMPRODUCT((F285=OFFSET(Calc2!$G$4,,,$F$26*B272,1))*OFFSET(Calc2!$P$4,,,$F$26*B272,1))</f>
        <v>0</v>
      </c>
      <c r="P285" s="2"/>
      <c r="Q285" s="2"/>
      <c r="R285" s="13">
        <f t="shared" ca="1" si="51"/>
        <v>9499992009</v>
      </c>
      <c r="S285" s="134">
        <f>Tie_Break!$D$18</f>
        <v>0</v>
      </c>
      <c r="T285" s="9">
        <f ca="1">RANK(R285,R274:R293)+(9-S285)/10000+(F285="")*1000</f>
        <v>14.0009</v>
      </c>
      <c r="U285" s="2"/>
      <c r="V285" s="134">
        <f ca="1">IF($K$24=0,"",IF(VLOOKUP(B285,C274:E293,3,0)=MAX(V$4:V284),VLOOKUP(B285,C274:E293,3,0),B285))</f>
        <v>12</v>
      </c>
      <c r="W285" s="4" t="str">
        <f ca="1">IF($K$24=0,Calc2!$C$15,VLOOKUP(B285,C274:N293,4,0))</f>
        <v>Borussia Mönchengladbach</v>
      </c>
      <c r="X285" s="1">
        <f ca="1">INDEX(V247:V266,MATCH(W285,W247:W266,0))</f>
        <v>12</v>
      </c>
      <c r="Y285" s="1">
        <f t="shared" ca="1" si="54"/>
        <v>0</v>
      </c>
    </row>
    <row r="286" spans="2:25" x14ac:dyDescent="0.2">
      <c r="B286" s="1">
        <v>13</v>
      </c>
      <c r="C286" s="9">
        <f ca="1">RANK(D286,D274:D293,1)</f>
        <v>2</v>
      </c>
      <c r="D286" s="134">
        <f t="shared" ca="1" si="52"/>
        <v>2.286</v>
      </c>
      <c r="E286" s="134">
        <f ca="1">RANK(T286,T274:T293,1)</f>
        <v>2</v>
      </c>
      <c r="F286" s="187" t="str">
        <f>Calc2!$C$16</f>
        <v>RB Leipzig</v>
      </c>
      <c r="G286" s="1">
        <f ca="1">SUMIFS(OFFSET(Calc2!$H$4,,,$F$26*B272,1),OFFSET(Calc2!$F$4,,,$F$26*B272,1),F286)+SUMIFS(OFFSET(Calc2!$I$4,,,$F$26*B272,1),OFFSET(Calc2!$G$4,,,$F$26*B272,1),F286)</f>
        <v>22</v>
      </c>
      <c r="H286" s="1">
        <f ca="1">SUMIFS(OFFSET(Calc2!$I$4,,,$F$26*B272,1),OFFSET(Calc2!$F$4,,,$F$26*B272,1),F286)+SUMIFS(OFFSET(Calc2!$H$4,,,$F$26*B272,1),OFFSET(Calc2!$G$4,,,$F$26*B272,1),F286)</f>
        <v>13</v>
      </c>
      <c r="I286" s="134">
        <f t="shared" ca="1" si="50"/>
        <v>9</v>
      </c>
      <c r="J286" s="12">
        <f ca="1">L286*Settings!$C$3+M286+O286</f>
        <v>25</v>
      </c>
      <c r="K286" s="1">
        <f t="shared" ca="1" si="53"/>
        <v>11</v>
      </c>
      <c r="L286" s="1">
        <f t="array" aca="1" ref="L286" ca="1">SUMPRODUCT((OFFSET(Calc2!$F$4,,,$F$26*B272,1)=F286)*(OFFSET(Calc2!$H$4,,,$F$26*B272,1)&gt;OFFSET(Calc2!$I$4,,,$F$26*B272,1)))+SUMPRODUCT((OFFSET(Calc2!$G$4,,,$F$26*B272,1)=F286)*(OFFSET(Calc2!$H$4,,,$F$26*B272,1)&lt;OFFSET(Calc2!$I$4,,,$F$26*B272,1)))</f>
        <v>8</v>
      </c>
      <c r="M286" s="1">
        <f t="array" aca="1" ref="M286" ca="1">SUMPRODUCT((OFFSET(Calc2!$F$4,,,$F$26*B272,2)=F286)*(OFFSET(Calc2!$H$4,,,$F$26*B272,1)=OFFSET(Calc2!$I$4,,,$F$26*B272,1))*(OFFSET(Calc2!$H$4,,,$F$26*B272,1)&lt;&gt;"")*(OFFSET(Calc2!$I$4,,,$F$26*B272,1)&lt;&gt;""))</f>
        <v>1</v>
      </c>
      <c r="N286" s="1">
        <f t="array" aca="1" ref="N286" ca="1">SUMPRODUCT((OFFSET(Calc2!$F$4,,,$F$26*B272,1)=F286)*(OFFSET(Calc2!$H$4,,,$F$26*B272,1)&lt;OFFSET(Calc2!$I$4,,,$F$26*B272,1)))+SUMPRODUCT((OFFSET(Calc2!$G$4,,,$F$26*B272,1)=F286)*(OFFSET(Calc2!$H$4,,,$F$26*B272,1)&gt;OFFSET(Calc2!$I$4,,,$F$26*B272,1)))</f>
        <v>2</v>
      </c>
      <c r="O286" s="132">
        <f ca="1">SUMPRODUCT((F286=OFFSET(Calc2!$F$4,,,$F$26*B272,1))*OFFSET(Calc2!$O$4,,,$F$26*B272,1))+SUMPRODUCT((F286=OFFSET(Calc2!$G$4,,,$F$26*B272,1))*OFFSET(Calc2!$P$4,,,$F$26*B272,1))</f>
        <v>0</v>
      </c>
      <c r="P286" s="2"/>
      <c r="Q286" s="2"/>
      <c r="R286" s="13">
        <f t="shared" ca="1" si="51"/>
        <v>25500009022</v>
      </c>
      <c r="S286" s="134">
        <f>Tie_Break!$D$19</f>
        <v>0</v>
      </c>
      <c r="T286" s="9">
        <f ca="1">RANK(R286,R274:R293)+(9-S286)/10000+(F286="")*1000</f>
        <v>2.0009000000000001</v>
      </c>
      <c r="U286" s="1"/>
      <c r="V286" s="134">
        <f ca="1">IF($K$24=0,"",IF(VLOOKUP(B286,C274:E293,3,0)=MAX(V$4:V285),VLOOKUP(B286,C274:E293,3,0),B286))</f>
        <v>13</v>
      </c>
      <c r="W286" s="4" t="str">
        <f ca="1">IF($K$24=0,Calc2!$C$16,VLOOKUP(B286,C274:N293,4,0))</f>
        <v>FC Augsburg</v>
      </c>
      <c r="X286" s="1">
        <f ca="1">INDEX(V247:V266,MATCH(W286,W247:W266,0))</f>
        <v>15</v>
      </c>
      <c r="Y286" s="1">
        <f t="shared" ca="1" si="54"/>
        <v>1</v>
      </c>
    </row>
    <row r="287" spans="2:25" x14ac:dyDescent="0.2">
      <c r="B287" s="1">
        <v>14</v>
      </c>
      <c r="C287" s="9">
        <f ca="1">RANK(D287,D274:D293,1)</f>
        <v>11</v>
      </c>
      <c r="D287" s="134">
        <f t="shared" ca="1" si="52"/>
        <v>11.287000000000001</v>
      </c>
      <c r="E287" s="134">
        <f ca="1">RANK(T287,T274:T293,1)</f>
        <v>11</v>
      </c>
      <c r="F287" s="187" t="str">
        <f>Calc2!$C$17</f>
        <v>SC Freiburg</v>
      </c>
      <c r="G287" s="1">
        <f ca="1">SUMIFS(OFFSET(Calc2!$H$4,,,$F$26*B272,1),OFFSET(Calc2!$F$4,,,$F$26*B272,1),F287)+SUMIFS(OFFSET(Calc2!$I$4,,,$F$26*B272,1),OFFSET(Calc2!$G$4,,,$F$26*B272,1),F287)</f>
        <v>15</v>
      </c>
      <c r="H287" s="1">
        <f ca="1">SUMIFS(OFFSET(Calc2!$I$4,,,$F$26*B272,1),OFFSET(Calc2!$F$4,,,$F$26*B272,1),F287)+SUMIFS(OFFSET(Calc2!$H$4,,,$F$26*B272,1),OFFSET(Calc2!$G$4,,,$F$26*B272,1),F287)</f>
        <v>20</v>
      </c>
      <c r="I287" s="134">
        <f t="shared" ca="1" si="50"/>
        <v>-5</v>
      </c>
      <c r="J287" s="12">
        <f ca="1">L287*Settings!$C$3+M287+O287</f>
        <v>13</v>
      </c>
      <c r="K287" s="1">
        <f t="shared" ca="1" si="53"/>
        <v>11</v>
      </c>
      <c r="L287" s="1">
        <f t="array" aca="1" ref="L287" ca="1">SUMPRODUCT((OFFSET(Calc2!$F$4,,,$F$26*B272,1)=F287)*(OFFSET(Calc2!$H$4,,,$F$26*B272,1)&gt;OFFSET(Calc2!$I$4,,,$F$26*B272,1)))+SUMPRODUCT((OFFSET(Calc2!$G$4,,,$F$26*B272,1)=F287)*(OFFSET(Calc2!$H$4,,,$F$26*B272,1)&lt;OFFSET(Calc2!$I$4,,,$F$26*B272,1)))</f>
        <v>3</v>
      </c>
      <c r="M287" s="1">
        <f t="array" aca="1" ref="M287" ca="1">SUMPRODUCT((OFFSET(Calc2!$F$4,,,$F$26*B272,2)=F287)*(OFFSET(Calc2!$H$4,,,$F$26*B272,1)=OFFSET(Calc2!$I$4,,,$F$26*B272,1))*(OFFSET(Calc2!$H$4,,,$F$26*B272,1)&lt;&gt;"")*(OFFSET(Calc2!$I$4,,,$F$26*B272,1)&lt;&gt;""))</f>
        <v>4</v>
      </c>
      <c r="N287" s="1">
        <f t="array" aca="1" ref="N287" ca="1">SUMPRODUCT((OFFSET(Calc2!$F$4,,,$F$26*B272,1)=F287)*(OFFSET(Calc2!$H$4,,,$F$26*B272,1)&lt;OFFSET(Calc2!$I$4,,,$F$26*B272,1)))+SUMPRODUCT((OFFSET(Calc2!$G$4,,,$F$26*B272,1)=F287)*(OFFSET(Calc2!$H$4,,,$F$26*B272,1)&gt;OFFSET(Calc2!$I$4,,,$F$26*B272,1)))</f>
        <v>4</v>
      </c>
      <c r="O287" s="132">
        <f ca="1">SUMPRODUCT((F287=OFFSET(Calc2!$F$4,,,$F$26*B272,1))*OFFSET(Calc2!$O$4,,,$F$26*B272,1))+SUMPRODUCT((F287=OFFSET(Calc2!$G$4,,,$F$26*B272,1))*OFFSET(Calc2!$P$4,,,$F$26*B272,1))</f>
        <v>0</v>
      </c>
      <c r="P287" s="2"/>
      <c r="Q287" s="2"/>
      <c r="R287" s="13">
        <f t="shared" ca="1" si="51"/>
        <v>13499995015</v>
      </c>
      <c r="S287" s="134">
        <f>Tie_Break!$D$20</f>
        <v>0</v>
      </c>
      <c r="T287" s="9">
        <f ca="1">RANK(R287,R274:R293)+(9-S287)/10000+(F287="")*1000</f>
        <v>11.0009</v>
      </c>
      <c r="U287" s="2"/>
      <c r="V287" s="134">
        <f ca="1">IF($K$24=0,"",IF(VLOOKUP(B287,C274:E293,3,0)=MAX(V$4:V286),VLOOKUP(B287,C274:E293,3,0),B287))</f>
        <v>14</v>
      </c>
      <c r="W287" s="4" t="str">
        <f ca="1">IF($K$24=0,Calc2!$C$17,VLOOKUP(B287,C274:N293,4,0))</f>
        <v>Hamburger SV</v>
      </c>
      <c r="X287" s="1">
        <f ca="1">INDEX(V247:V266,MATCH(W287,W247:W266,0))</f>
        <v>13</v>
      </c>
      <c r="Y287" s="1">
        <f t="shared" ca="1" si="54"/>
        <v>-1</v>
      </c>
    </row>
    <row r="288" spans="2:25" x14ac:dyDescent="0.2">
      <c r="B288" s="1">
        <v>15</v>
      </c>
      <c r="C288" s="9">
        <f ca="1">RANK(D288,D274:D293,1)</f>
        <v>9</v>
      </c>
      <c r="D288" s="134">
        <f t="shared" ca="1" si="52"/>
        <v>9.2880000000000003</v>
      </c>
      <c r="E288" s="134">
        <f ca="1">RANK(T288,T274:T293,1)</f>
        <v>9</v>
      </c>
      <c r="F288" s="187" t="str">
        <f>Calc2!$C$18</f>
        <v>SV Werder Bremen</v>
      </c>
      <c r="G288" s="1">
        <f ca="1">SUMIFS(OFFSET(Calc2!$H$4,,,$F$26*B272,1),OFFSET(Calc2!$F$4,,,$F$26*B272,1),F288)+SUMIFS(OFFSET(Calc2!$I$4,,,$F$26*B272,1),OFFSET(Calc2!$G$4,,,$F$26*B272,1),F288)</f>
        <v>15</v>
      </c>
      <c r="H288" s="1">
        <f ca="1">SUMIFS(OFFSET(Calc2!$I$4,,,$F$26*B272,1),OFFSET(Calc2!$F$4,,,$F$26*B272,1),F288)+SUMIFS(OFFSET(Calc2!$H$4,,,$F$26*B272,1),OFFSET(Calc2!$G$4,,,$F$26*B272,1),F288)</f>
        <v>20</v>
      </c>
      <c r="I288" s="134">
        <f t="shared" ca="1" si="50"/>
        <v>-5</v>
      </c>
      <c r="J288" s="12">
        <f ca="1">L288*Settings!$C$3+M288+O288</f>
        <v>15</v>
      </c>
      <c r="K288" s="1">
        <f t="shared" ca="1" si="53"/>
        <v>11</v>
      </c>
      <c r="L288" s="1">
        <f t="array" aca="1" ref="L288" ca="1">SUMPRODUCT((OFFSET(Calc2!$F$4,,,$F$26*B272,1)=F288)*(OFFSET(Calc2!$H$4,,,$F$26*B272,1)&gt;OFFSET(Calc2!$I$4,,,$F$26*B272,1)))+SUMPRODUCT((OFFSET(Calc2!$G$4,,,$F$26*B272,1)=F288)*(OFFSET(Calc2!$H$4,,,$F$26*B272,1)&lt;OFFSET(Calc2!$I$4,,,$F$26*B272,1)))</f>
        <v>4</v>
      </c>
      <c r="M288" s="1">
        <f t="array" aca="1" ref="M288" ca="1">SUMPRODUCT((OFFSET(Calc2!$F$4,,,$F$26*B272,2)=F288)*(OFFSET(Calc2!$H$4,,,$F$26*B272,1)=OFFSET(Calc2!$I$4,,,$F$26*B272,1))*(OFFSET(Calc2!$H$4,,,$F$26*B272,1)&lt;&gt;"")*(OFFSET(Calc2!$I$4,,,$F$26*B272,1)&lt;&gt;""))</f>
        <v>3</v>
      </c>
      <c r="N288" s="1">
        <f t="array" aca="1" ref="N288" ca="1">SUMPRODUCT((OFFSET(Calc2!$F$4,,,$F$26*B272,1)=F288)*(OFFSET(Calc2!$H$4,,,$F$26*B272,1)&lt;OFFSET(Calc2!$I$4,,,$F$26*B272,1)))+SUMPRODUCT((OFFSET(Calc2!$G$4,,,$F$26*B272,1)=F288)*(OFFSET(Calc2!$H$4,,,$F$26*B272,1)&gt;OFFSET(Calc2!$I$4,,,$F$26*B272,1)))</f>
        <v>4</v>
      </c>
      <c r="O288" s="132">
        <f ca="1">SUMPRODUCT((F288=OFFSET(Calc2!$F$4,,,$F$26*B272,1))*OFFSET(Calc2!$O$4,,,$F$26*B272,1))+SUMPRODUCT((F288=OFFSET(Calc2!$G$4,,,$F$26*B272,1))*OFFSET(Calc2!$P$4,,,$F$26*B272,1))</f>
        <v>0</v>
      </c>
      <c r="P288" s="2"/>
      <c r="Q288" s="2"/>
      <c r="R288" s="13">
        <f t="shared" ca="1" si="51"/>
        <v>15499995015</v>
      </c>
      <c r="S288" s="134">
        <f>Tie_Break!$D$21</f>
        <v>0</v>
      </c>
      <c r="T288" s="9">
        <f ca="1">RANK(R288,R274:R293)+(9-S288)/10000+(F288="")*1000</f>
        <v>9.0008999999999997</v>
      </c>
      <c r="U288" s="2"/>
      <c r="V288" s="134">
        <f ca="1">IF($K$24=0,"",IF(VLOOKUP(B288,C274:E293,3,0)=MAX(V$4:V287),VLOOKUP(B288,C274:E293,3,0),B288))</f>
        <v>15</v>
      </c>
      <c r="W288" s="4" t="str">
        <f ca="1">IF($K$24=0,Calc2!$C$18,VLOOKUP(B288,C274:N293,4,0))</f>
        <v>VfL Wolfsburg</v>
      </c>
      <c r="X288" s="1">
        <f ca="1">INDEX(V247:V266,MATCH(W288,W247:W266,0))</f>
        <v>14</v>
      </c>
      <c r="Y288" s="1">
        <f t="shared" ca="1" si="54"/>
        <v>-1</v>
      </c>
    </row>
    <row r="289" spans="2:25" x14ac:dyDescent="0.2">
      <c r="B289" s="1">
        <v>16</v>
      </c>
      <c r="C289" s="9">
        <f ca="1">RANK(D289,D274:D293,1)</f>
        <v>7</v>
      </c>
      <c r="D289" s="134">
        <f t="shared" ca="1" si="52"/>
        <v>7.2889999999999997</v>
      </c>
      <c r="E289" s="134">
        <f ca="1">RANK(T289,T274:T293,1)</f>
        <v>7</v>
      </c>
      <c r="F289" s="187" t="str">
        <f>Calc2!$C$19</f>
        <v>TSG Hoffenheim</v>
      </c>
      <c r="G289" s="1">
        <f ca="1">SUMIFS(OFFSET(Calc2!$H$4,,,$F$26*B272,1),OFFSET(Calc2!$F$4,,,$F$26*B272,1),F289)+SUMIFS(OFFSET(Calc2!$I$4,,,$F$26*B272,1),OFFSET(Calc2!$G$4,,,$F$26*B272,1),F289)</f>
        <v>22</v>
      </c>
      <c r="H289" s="1">
        <f ca="1">SUMIFS(OFFSET(Calc2!$I$4,,,$F$26*B272,1),OFFSET(Calc2!$F$4,,,$F$26*B272,1),F289)+SUMIFS(OFFSET(Calc2!$H$4,,,$F$26*B272,1),OFFSET(Calc2!$G$4,,,$F$26*B272,1),F289)</f>
        <v>17</v>
      </c>
      <c r="I289" s="134">
        <f t="shared" ca="1" si="50"/>
        <v>5</v>
      </c>
      <c r="J289" s="12">
        <f ca="1">L289*Settings!$C$3+M289+O289</f>
        <v>20</v>
      </c>
      <c r="K289" s="1">
        <f t="shared" ca="1" si="53"/>
        <v>11</v>
      </c>
      <c r="L289" s="1">
        <f t="array" aca="1" ref="L289" ca="1">SUMPRODUCT((OFFSET(Calc2!$F$4,,,$F$26*B272,1)=F289)*(OFFSET(Calc2!$H$4,,,$F$26*B272,1)&gt;OFFSET(Calc2!$I$4,,,$F$26*B272,1)))+SUMPRODUCT((OFFSET(Calc2!$G$4,,,$F$26*B272,1)=F289)*(OFFSET(Calc2!$H$4,,,$F$26*B272,1)&lt;OFFSET(Calc2!$I$4,,,$F$26*B272,1)))</f>
        <v>6</v>
      </c>
      <c r="M289" s="1">
        <f t="array" aca="1" ref="M289" ca="1">SUMPRODUCT((OFFSET(Calc2!$F$4,,,$F$26*B272,2)=F289)*(OFFSET(Calc2!$H$4,,,$F$26*B272,1)=OFFSET(Calc2!$I$4,,,$F$26*B272,1))*(OFFSET(Calc2!$H$4,,,$F$26*B272,1)&lt;&gt;"")*(OFFSET(Calc2!$I$4,,,$F$26*B272,1)&lt;&gt;""))</f>
        <v>2</v>
      </c>
      <c r="N289" s="1">
        <f t="array" aca="1" ref="N289" ca="1">SUMPRODUCT((OFFSET(Calc2!$F$4,,,$F$26*B272,1)=F289)*(OFFSET(Calc2!$H$4,,,$F$26*B272,1)&lt;OFFSET(Calc2!$I$4,,,$F$26*B272,1)))+SUMPRODUCT((OFFSET(Calc2!$G$4,,,$F$26*B272,1)=F289)*(OFFSET(Calc2!$H$4,,,$F$26*B272,1)&gt;OFFSET(Calc2!$I$4,,,$F$26*B272,1)))</f>
        <v>3</v>
      </c>
      <c r="O289" s="132">
        <f ca="1">SUMPRODUCT((F289=OFFSET(Calc2!$F$4,,,$F$26*B272,1))*OFFSET(Calc2!$O$4,,,$F$26*B272,1))+SUMPRODUCT((F289=OFFSET(Calc2!$G$4,,,$F$26*B272,1))*OFFSET(Calc2!$P$4,,,$F$26*B272,1))</f>
        <v>0</v>
      </c>
      <c r="P289" s="2"/>
      <c r="Q289" s="2"/>
      <c r="R289" s="13">
        <f t="shared" ca="1" si="51"/>
        <v>20500005022</v>
      </c>
      <c r="S289" s="134">
        <f>Tie_Break!$D$22</f>
        <v>0</v>
      </c>
      <c r="T289" s="9">
        <f ca="1">RANK(R289,R274:R293)+(9-S289)/10000+(F289="")*1000</f>
        <v>7.0008999999999997</v>
      </c>
      <c r="U289" s="2"/>
      <c r="V289" s="134">
        <f ca="1">IF($K$24=0,"",IF(VLOOKUP(B289,C274:E293,3,0)=MAX(V$4:V288),VLOOKUP(B289,C274:E293,3,0),B289))</f>
        <v>16</v>
      </c>
      <c r="W289" s="4" t="str">
        <f ca="1">IF($K$24=0,Calc2!$C$19,VLOOKUP(B289,C274:N293,4,0))</f>
        <v>FC St. Pauli</v>
      </c>
      <c r="X289" s="1">
        <f ca="1">INDEX(V247:V266,MATCH(W289,W247:W266,0))</f>
        <v>16</v>
      </c>
      <c r="Y289" s="1">
        <f t="shared" ca="1" si="54"/>
        <v>0</v>
      </c>
    </row>
    <row r="290" spans="2:25" x14ac:dyDescent="0.2">
      <c r="B290" s="1">
        <v>17</v>
      </c>
      <c r="C290" s="9">
        <f ca="1">RANK(D290,D274:D293,1)</f>
        <v>5</v>
      </c>
      <c r="D290" s="134">
        <f t="shared" ca="1" si="52"/>
        <v>5.29</v>
      </c>
      <c r="E290" s="134">
        <f ca="1">RANK(T290,T274:T293,1)</f>
        <v>5</v>
      </c>
      <c r="F290" s="187" t="str">
        <f>Calc2!$C$20</f>
        <v>VfB Stuttgart</v>
      </c>
      <c r="G290" s="1">
        <f ca="1">SUMIFS(OFFSET(Calc2!$H$4,,,$F$26*B272,1),OFFSET(Calc2!$F$4,,,$F$26*B272,1),F290)+SUMIFS(OFFSET(Calc2!$I$4,,,$F$26*B272,1),OFFSET(Calc2!$G$4,,,$F$26*B272,1),F290)</f>
        <v>20</v>
      </c>
      <c r="H290" s="1">
        <f ca="1">SUMIFS(OFFSET(Calc2!$I$4,,,$F$26*B272,1),OFFSET(Calc2!$F$4,,,$F$26*B272,1),F290)+SUMIFS(OFFSET(Calc2!$H$4,,,$F$26*B272,1),OFFSET(Calc2!$G$4,,,$F$26*B272,1),F290)</f>
        <v>15</v>
      </c>
      <c r="I290" s="134">
        <f t="shared" ca="1" si="50"/>
        <v>5</v>
      </c>
      <c r="J290" s="12">
        <f ca="1">L290*Settings!$C$3+M290+O290</f>
        <v>22</v>
      </c>
      <c r="K290" s="1">
        <f t="shared" ca="1" si="53"/>
        <v>11</v>
      </c>
      <c r="L290" s="1">
        <f t="array" aca="1" ref="L290" ca="1">SUMPRODUCT((OFFSET(Calc2!$F$4,,,$F$26*B272,1)=F290)*(OFFSET(Calc2!$H$4,,,$F$26*B272,1)&gt;OFFSET(Calc2!$I$4,,,$F$26*B272,1)))+SUMPRODUCT((OFFSET(Calc2!$G$4,,,$F$26*B272,1)=F290)*(OFFSET(Calc2!$H$4,,,$F$26*B272,1)&lt;OFFSET(Calc2!$I$4,,,$F$26*B272,1)))</f>
        <v>7</v>
      </c>
      <c r="M290" s="1">
        <f t="array" aca="1" ref="M290" ca="1">SUMPRODUCT((OFFSET(Calc2!$F$4,,,$F$26*B272,2)=F290)*(OFFSET(Calc2!$H$4,,,$F$26*B272,1)=OFFSET(Calc2!$I$4,,,$F$26*B272,1))*(OFFSET(Calc2!$H$4,,,$F$26*B272,1)&lt;&gt;"")*(OFFSET(Calc2!$I$4,,,$F$26*B272,1)&lt;&gt;""))</f>
        <v>1</v>
      </c>
      <c r="N290" s="1">
        <f t="array" aca="1" ref="N290" ca="1">SUMPRODUCT((OFFSET(Calc2!$F$4,,,$F$26*B272,1)=F290)*(OFFSET(Calc2!$H$4,,,$F$26*B272,1)&lt;OFFSET(Calc2!$I$4,,,$F$26*B272,1)))+SUMPRODUCT((OFFSET(Calc2!$G$4,,,$F$26*B272,1)=F290)*(OFFSET(Calc2!$H$4,,,$F$26*B272,1)&gt;OFFSET(Calc2!$I$4,,,$F$26*B272,1)))</f>
        <v>3</v>
      </c>
      <c r="O290" s="132">
        <f ca="1">SUMPRODUCT((F290=OFFSET(Calc2!$F$4,,,$F$26*B272,1))*OFFSET(Calc2!$O$4,,,$F$26*B272,1))+SUMPRODUCT((F290=OFFSET(Calc2!$G$4,,,$F$26*B272,1))*OFFSET(Calc2!$P$4,,,$F$26*B272,1))</f>
        <v>0</v>
      </c>
      <c r="P290" s="2"/>
      <c r="Q290" s="2"/>
      <c r="R290" s="13">
        <f t="shared" ca="1" si="51"/>
        <v>22500005020</v>
      </c>
      <c r="S290" s="134">
        <f>Tie_Break!$D$23</f>
        <v>0</v>
      </c>
      <c r="T290" s="9">
        <f ca="1">RANK(R290,R274:R293)+(9-S290)/10000+(F290="")*1000</f>
        <v>5.0008999999999997</v>
      </c>
      <c r="U290" s="2"/>
      <c r="V290" s="134">
        <f ca="1">IF($K$24=0,"",IF(VLOOKUP(B290,C274:E293,3,0)=MAX(V$4:V289),VLOOKUP(B290,C274:E293,3,0),B290))</f>
        <v>17</v>
      </c>
      <c r="W290" s="4" t="str">
        <f ca="1">IF($K$24=0,Calc2!$C$20,VLOOKUP(B290,C274:N293,4,0))</f>
        <v>1. FSV Mainz 05</v>
      </c>
      <c r="X290" s="1">
        <f ca="1">INDEX(V247:V266,MATCH(W290,W247:W266,0))</f>
        <v>17</v>
      </c>
      <c r="Y290" s="1">
        <f t="shared" ca="1" si="54"/>
        <v>0</v>
      </c>
    </row>
    <row r="291" spans="2:25" x14ac:dyDescent="0.2">
      <c r="B291" s="1">
        <v>18</v>
      </c>
      <c r="C291" s="9">
        <f ca="1">RANK(D291,D274:D293,1)</f>
        <v>15</v>
      </c>
      <c r="D291" s="134">
        <f t="shared" ca="1" si="52"/>
        <v>15.291</v>
      </c>
      <c r="E291" s="134">
        <f ca="1">RANK(T291,T274:T293,1)</f>
        <v>15</v>
      </c>
      <c r="F291" s="187" t="str">
        <f>Calc2!$C$21</f>
        <v>VfL Wolfsburg</v>
      </c>
      <c r="G291" s="1">
        <f ca="1">SUMIFS(OFFSET(Calc2!$H$4,,,$F$26*B272,1),OFFSET(Calc2!$F$4,,,$F$26*B272,1),F291)+SUMIFS(OFFSET(Calc2!$I$4,,,$F$26*B272,1),OFFSET(Calc2!$G$4,,,$F$26*B272,1),F291)</f>
        <v>13</v>
      </c>
      <c r="H291" s="1">
        <f ca="1">SUMIFS(OFFSET(Calc2!$I$4,,,$F$26*B272,1),OFFSET(Calc2!$F$4,,,$F$26*B272,1),F291)+SUMIFS(OFFSET(Calc2!$H$4,,,$F$26*B272,1),OFFSET(Calc2!$G$4,,,$F$26*B272,1),F291)</f>
        <v>21</v>
      </c>
      <c r="I291" s="134">
        <f t="shared" ca="1" si="50"/>
        <v>-8</v>
      </c>
      <c r="J291" s="12">
        <f ca="1">L291*Settings!$C$3+M291+O291</f>
        <v>8</v>
      </c>
      <c r="K291" s="1">
        <f t="shared" ca="1" si="53"/>
        <v>11</v>
      </c>
      <c r="L291" s="1">
        <f t="array" aca="1" ref="L291" ca="1">SUMPRODUCT((OFFSET(Calc2!$F$4,,,$F$26*B272,1)=F291)*(OFFSET(Calc2!$H$4,,,$F$26*B272,1)&gt;OFFSET(Calc2!$I$4,,,$F$26*B272,1)))+SUMPRODUCT((OFFSET(Calc2!$G$4,,,$F$26*B272,1)=F291)*(OFFSET(Calc2!$H$4,,,$F$26*B272,1)&lt;OFFSET(Calc2!$I$4,,,$F$26*B272,1)))</f>
        <v>2</v>
      </c>
      <c r="M291" s="1">
        <f t="array" aca="1" ref="M291" ca="1">SUMPRODUCT((OFFSET(Calc2!$F$4,,,$F$26*B272,2)=F291)*(OFFSET(Calc2!$H$4,,,$F$26*B272,1)=OFFSET(Calc2!$I$4,,,$F$26*B272,1))*(OFFSET(Calc2!$H$4,,,$F$26*B272,1)&lt;&gt;"")*(OFFSET(Calc2!$I$4,,,$F$26*B272,1)&lt;&gt;""))</f>
        <v>2</v>
      </c>
      <c r="N291" s="1">
        <f t="array" aca="1" ref="N291" ca="1">SUMPRODUCT((OFFSET(Calc2!$F$4,,,$F$26*B272,1)=F291)*(OFFSET(Calc2!$H$4,,,$F$26*B272,1)&lt;OFFSET(Calc2!$I$4,,,$F$26*B272,1)))+SUMPRODUCT((OFFSET(Calc2!$G$4,,,$F$26*B272,1)=F291)*(OFFSET(Calc2!$H$4,,,$F$26*B272,1)&gt;OFFSET(Calc2!$I$4,,,$F$26*B272,1)))</f>
        <v>7</v>
      </c>
      <c r="O291" s="132">
        <f ca="1">SUMPRODUCT((F291=OFFSET(Calc2!$F$4,,,$F$26*B272,1))*OFFSET(Calc2!$O$4,,,$F$26*B272,1))+SUMPRODUCT((F291=OFFSET(Calc2!$G$4,,,$F$26*B272,1))*OFFSET(Calc2!$P$4,,,$F$26*B272,1))</f>
        <v>0</v>
      </c>
      <c r="P291" s="2"/>
      <c r="Q291" s="2"/>
      <c r="R291" s="13">
        <f t="shared" ca="1" si="51"/>
        <v>8499992013</v>
      </c>
      <c r="S291" s="134">
        <f>Tie_Break!$D$24</f>
        <v>0</v>
      </c>
      <c r="T291" s="9">
        <f ca="1">RANK(R291,R274:R293)+(9-S291)/10000+(F291="")*1000</f>
        <v>15.0009</v>
      </c>
      <c r="U291" s="2"/>
      <c r="V291" s="134">
        <f ca="1">IF($K$24=0,"",IF(VLOOKUP(B291,C274:E293,3,0)=MAX(V$4:V290),VLOOKUP(B291,C274:E293,3,0),B291))</f>
        <v>18</v>
      </c>
      <c r="W291" s="4" t="str">
        <f ca="1">IF($K$24=0,Calc2!$C$21,VLOOKUP(B291,C274:N293,4,0))</f>
        <v>1. FC Heidenheim 1846</v>
      </c>
      <c r="X291" s="1">
        <f ca="1">INDEX(V247:V266,MATCH(W291,W247:W266,0))</f>
        <v>18</v>
      </c>
      <c r="Y291" s="1">
        <f t="shared" ca="1" si="54"/>
        <v>0</v>
      </c>
    </row>
    <row r="292" spans="2:25" x14ac:dyDescent="0.2">
      <c r="B292" s="1">
        <v>19</v>
      </c>
      <c r="C292" s="9">
        <f ca="1">RANK(D292,D274:D293,1)</f>
        <v>19</v>
      </c>
      <c r="D292" s="134">
        <f t="shared" ca="1" si="52"/>
        <v>19.292000000000002</v>
      </c>
      <c r="E292" s="134">
        <f ca="1">RANK(T292,T274:T293,1)</f>
        <v>19</v>
      </c>
      <c r="F292" s="187" t="str">
        <f>Calc2!$C$22</f>
        <v/>
      </c>
      <c r="G292" s="1">
        <f ca="1">SUMIFS(OFFSET(Calc2!$H$4,,,$F$26*B272,1),OFFSET(Calc2!$F$4,,,$F$26*B272,1),F292)+SUMIFS(OFFSET(Calc2!$I$4,,,$F$26*B272,1),OFFSET(Calc2!$G$4,,,$F$26*B272,1),F292)</f>
        <v>0</v>
      </c>
      <c r="H292" s="1">
        <f ca="1">SUMIFS(OFFSET(Calc2!$I$4,,,$F$26*B272,1),OFFSET(Calc2!$F$4,,,$F$26*B272,1),F292)+SUMIFS(OFFSET(Calc2!$H$4,,,$F$26*B272,1),OFFSET(Calc2!$G$4,,,$F$26*B272,1),F292)</f>
        <v>0</v>
      </c>
      <c r="I292" s="134">
        <f t="shared" ca="1" si="50"/>
        <v>0</v>
      </c>
      <c r="J292" s="12">
        <f ca="1">L292*Settings!$C$3+M292+O292</f>
        <v>0</v>
      </c>
      <c r="K292" s="1">
        <f t="shared" ca="1" si="53"/>
        <v>0</v>
      </c>
      <c r="L292" s="1">
        <f t="array" aca="1" ref="L292" ca="1">SUMPRODUCT((OFFSET(Calc2!$F$4,,,$F$26*B272,1)=F292)*(OFFSET(Calc2!$H$4,,,$F$26*B272,1)&gt;OFFSET(Calc2!$I$4,,,$F$26*B272,1)))+SUMPRODUCT((OFFSET(Calc2!$G$4,,,$F$26*B272,1)=F292)*(OFFSET(Calc2!$H$4,,,$F$26*B272,1)&lt;OFFSET(Calc2!$I$4,,,$F$26*B272,1)))</f>
        <v>0</v>
      </c>
      <c r="M292" s="1">
        <f t="array" aca="1" ref="M292" ca="1">SUMPRODUCT((OFFSET(Calc2!$F$4,,,$F$26*B272,2)=F292)*(OFFSET(Calc2!$H$4,,,$F$26*B272,1)=OFFSET(Calc2!$I$4,,,$F$26*B272,1))*(OFFSET(Calc2!$H$4,,,$F$26*B272,1)&lt;&gt;"")*(OFFSET(Calc2!$I$4,,,$F$26*B272,1)&lt;&gt;""))</f>
        <v>0</v>
      </c>
      <c r="N292" s="1">
        <f t="array" aca="1" ref="N292" ca="1">SUMPRODUCT((OFFSET(Calc2!$F$4,,,$F$26*B272,1)=F292)*(OFFSET(Calc2!$H$4,,,$F$26*B272,1)&lt;OFFSET(Calc2!$I$4,,,$F$26*B272,1)))+SUMPRODUCT((OFFSET(Calc2!$G$4,,,$F$26*B272,1)=F292)*(OFFSET(Calc2!$H$4,,,$F$26*B272,1)&gt;OFFSET(Calc2!$I$4,,,$F$26*B272,1)))</f>
        <v>0</v>
      </c>
      <c r="O292" s="132">
        <f ca="1">SUMPRODUCT((F292=OFFSET(Calc2!$F$4,,,$F$26*B272,1))*OFFSET(Calc2!$O$4,,,$F$26*B272,1))+SUMPRODUCT((F292=OFFSET(Calc2!$G$4,,,$F$26*B272,1))*OFFSET(Calc2!$P$4,,,$F$26*B272,1))</f>
        <v>0</v>
      </c>
      <c r="P292" s="2"/>
      <c r="Q292" s="2"/>
      <c r="R292" s="13">
        <f t="shared" ca="1" si="51"/>
        <v>500000000</v>
      </c>
      <c r="S292" s="134">
        <f>Tie_Break!$D$25</f>
        <v>0</v>
      </c>
      <c r="T292" s="9">
        <f ca="1">RANK(R292,R274:R293)+(9-S292)/10000+(F292="")*1000</f>
        <v>1019.0009</v>
      </c>
      <c r="U292" s="2"/>
      <c r="V292" s="134">
        <f ca="1">IF($K$24=0,"",IF(VLOOKUP(B292,C274:E293,3,0)=MAX(V$4:V291),VLOOKUP(B292,C274:E293,3,0),B292))</f>
        <v>19</v>
      </c>
      <c r="W292" s="4" t="str">
        <f ca="1">IF($K$24=0,Calc2!$C$22,VLOOKUP(B292,C274:N293,4,0))</f>
        <v/>
      </c>
      <c r="X292" s="1">
        <f ca="1">INDEX(V247:V266,MATCH(W292,W247:W266,0))</f>
        <v>19</v>
      </c>
      <c r="Y292" s="1">
        <f t="shared" ca="1" si="54"/>
        <v>0</v>
      </c>
    </row>
    <row r="293" spans="2:25" ht="12.75" thickBot="1" x14ac:dyDescent="0.25">
      <c r="B293" s="1">
        <v>20</v>
      </c>
      <c r="C293" s="10">
        <f ca="1">RANK(D293,D274:D293,1)</f>
        <v>20</v>
      </c>
      <c r="D293" s="134">
        <f t="shared" ca="1" si="52"/>
        <v>19.292999999999999</v>
      </c>
      <c r="E293" s="134">
        <f ca="1">RANK(T293,T274:T293,1)</f>
        <v>19</v>
      </c>
      <c r="F293" s="187" t="str">
        <f>Calc2!$C$23</f>
        <v/>
      </c>
      <c r="G293" s="1">
        <f ca="1">SUMIFS(OFFSET(Calc2!$H$4,,,$F$26*B272,1),OFFSET(Calc2!$F$4,,,$F$26*B272,1),F293)+SUMIFS(OFFSET(Calc2!$I$4,,,$F$26*B272,1),OFFSET(Calc2!$G$4,,,$F$26*B272,1),F293)</f>
        <v>0</v>
      </c>
      <c r="H293" s="1">
        <f ca="1">SUMIFS(OFFSET(Calc2!$I$4,,,$F$26*B272,1),OFFSET(Calc2!$F$4,,,$F$26*B272,1),F293)+SUMIFS(OFFSET(Calc2!$H$4,,,$F$26*B272,1),OFFSET(Calc2!$G$4,,,$F$26*B272,1),F293)</f>
        <v>0</v>
      </c>
      <c r="I293" s="134">
        <f t="shared" ca="1" si="50"/>
        <v>0</v>
      </c>
      <c r="J293" s="12">
        <f ca="1">L293*Settings!$C$3+M293+O293</f>
        <v>0</v>
      </c>
      <c r="K293" s="1">
        <f t="shared" ca="1" si="53"/>
        <v>0</v>
      </c>
      <c r="L293" s="1">
        <f t="array" aca="1" ref="L293" ca="1">SUMPRODUCT((OFFSET(Calc2!$F$4,,,$F$26*B272,1)=F293)*(OFFSET(Calc2!$H$4,,,$F$26*B272,1)&gt;OFFSET(Calc2!$I$4,,,$F$26*B272,1)))+SUMPRODUCT((OFFSET(Calc2!$G$4,,,$F$26*B272,1)=F293)*(OFFSET(Calc2!$H$4,,,$F$26*B272,1)&lt;OFFSET(Calc2!$I$4,,,$F$26*B272,1)))</f>
        <v>0</v>
      </c>
      <c r="M293" s="1">
        <f t="array" aca="1" ref="M293" ca="1">SUMPRODUCT((OFFSET(Calc2!$F$4,,,$F$26*B272,2)=F293)*(OFFSET(Calc2!$H$4,,,$F$26*B272,1)=OFFSET(Calc2!$I$4,,,$F$26*B272,1))*(OFFSET(Calc2!$H$4,,,$F$26*B272,1)&lt;&gt;"")*(OFFSET(Calc2!$I$4,,,$F$26*B272,1)&lt;&gt;""))</f>
        <v>0</v>
      </c>
      <c r="N293" s="1">
        <f t="array" aca="1" ref="N293" ca="1">SUMPRODUCT((OFFSET(Calc2!$F$4,,,$F$26*B272,1)=F293)*(OFFSET(Calc2!$H$4,,,$F$26*B272,1)&lt;OFFSET(Calc2!$I$4,,,$F$26*B272,1)))+SUMPRODUCT((OFFSET(Calc2!$G$4,,,$F$26*B272,1)=F293)*(OFFSET(Calc2!$H$4,,,$F$26*B272,1)&gt;OFFSET(Calc2!$I$4,,,$F$26*B272,1)))</f>
        <v>0</v>
      </c>
      <c r="O293" s="132">
        <f ca="1">SUMPRODUCT((F293=OFFSET(Calc2!$F$4,,,$F$26*B272,1))*OFFSET(Calc2!$O$4,,,$F$26*B272,1))+SUMPRODUCT((F293=OFFSET(Calc2!$G$4,,,$F$26*B272,1))*OFFSET(Calc2!$P$4,,,$F$26*B272,1))</f>
        <v>0</v>
      </c>
      <c r="P293" s="2"/>
      <c r="Q293" s="2"/>
      <c r="R293" s="13">
        <f t="shared" ca="1" si="51"/>
        <v>500000000</v>
      </c>
      <c r="S293" s="134">
        <f>Tie_Break!$D$26</f>
        <v>0</v>
      </c>
      <c r="T293" s="10">
        <f ca="1">RANK(R293,R274:R293)+(9-S293)/10000+(F293="")*1000</f>
        <v>1019.0009</v>
      </c>
      <c r="U293" s="2"/>
      <c r="V293" s="134">
        <f ca="1">IF($K$24=0,"",IF(VLOOKUP(B293,C274:E293,3,0)=MAX(V$4:V292),VLOOKUP(B293,C274:E293,3,0),B293))</f>
        <v>19</v>
      </c>
      <c r="W293" s="4" t="str">
        <f ca="1">IF($K$24=0,Calc2!$C$23,VLOOKUP(B293,C274:N293,4,0))</f>
        <v/>
      </c>
      <c r="X293" s="1">
        <f ca="1">INDEX(V247:V266,MATCH(W293,W247:W266,0))</f>
        <v>19</v>
      </c>
      <c r="Y293" s="1">
        <f t="shared" ca="1" si="54"/>
        <v>0</v>
      </c>
    </row>
    <row r="294" spans="2:25" ht="12.75" thickTop="1" x14ac:dyDescent="0.2"/>
    <row r="298" spans="2:25" ht="12.75" thickBot="1" x14ac:dyDescent="0.25"/>
    <row r="299" spans="2:25" ht="12.75" thickBot="1" x14ac:dyDescent="0.25">
      <c r="B299" s="410">
        <v>12</v>
      </c>
      <c r="C299" s="134"/>
      <c r="D299" s="134"/>
      <c r="E299" s="134"/>
      <c r="F299" s="187"/>
      <c r="G299" s="1"/>
      <c r="H299" s="1"/>
      <c r="I299" s="1"/>
      <c r="J299" s="1"/>
      <c r="K299" s="1"/>
      <c r="L299" s="1"/>
      <c r="M299" s="1"/>
      <c r="N299" s="134"/>
      <c r="O299" s="1"/>
      <c r="P299" s="1"/>
      <c r="Q299" s="1"/>
      <c r="R299" s="2"/>
      <c r="S299" s="2"/>
      <c r="T299" s="2"/>
      <c r="U299" s="2"/>
      <c r="V299" s="2"/>
      <c r="W299" s="2"/>
    </row>
    <row r="300" spans="2:25" ht="15.75" thickBot="1" x14ac:dyDescent="0.25">
      <c r="B300" s="1"/>
      <c r="C300" s="134"/>
      <c r="D300" s="134"/>
      <c r="E300" s="134"/>
      <c r="F300" s="11" t="s">
        <v>90</v>
      </c>
      <c r="G300" s="42" t="s">
        <v>95</v>
      </c>
      <c r="H300" s="42" t="s">
        <v>96</v>
      </c>
      <c r="I300" s="11" t="s">
        <v>97</v>
      </c>
      <c r="J300" s="11" t="s">
        <v>98</v>
      </c>
      <c r="K300" s="11" t="s">
        <v>91</v>
      </c>
      <c r="L300" s="12" t="s">
        <v>92</v>
      </c>
      <c r="M300" s="12" t="s">
        <v>93</v>
      </c>
      <c r="N300" s="12" t="s">
        <v>94</v>
      </c>
      <c r="O300" s="12" t="s">
        <v>534</v>
      </c>
      <c r="P300" s="2"/>
      <c r="Q300" s="11"/>
      <c r="R300" s="133" t="s">
        <v>99</v>
      </c>
      <c r="S300" s="6" t="s">
        <v>483</v>
      </c>
      <c r="T300" s="120" t="s">
        <v>146</v>
      </c>
      <c r="U300" s="134"/>
      <c r="V300" s="134"/>
      <c r="W300" s="132"/>
      <c r="X300" s="120" t="s">
        <v>575</v>
      </c>
      <c r="Y300" s="1"/>
    </row>
    <row r="301" spans="2:25" ht="12.75" thickTop="1" x14ac:dyDescent="0.2">
      <c r="B301" s="1">
        <v>1</v>
      </c>
      <c r="C301" s="8">
        <f ca="1">RANK(D301,D301:D320,1)</f>
        <v>16</v>
      </c>
      <c r="D301" s="134">
        <f ca="1">E301+ROW()/1000</f>
        <v>16.300999999999998</v>
      </c>
      <c r="E301" s="134">
        <f ca="1">RANK(T301,T301:T320,1)</f>
        <v>16</v>
      </c>
      <c r="F301" s="187" t="str">
        <f>Calc2!$C$4</f>
        <v>1. FC Heidenheim 1846</v>
      </c>
      <c r="G301" s="1">
        <f ca="1">SUMIFS(OFFSET(Calc2!$H$4,,,$F$26*B299,1),OFFSET(Calc2!$F$4,,,$F$26*B299,1),F301)+SUMIFS(OFFSET(Calc2!$I$4,,,$F$26*B299,1),OFFSET(Calc2!$G$4,,,$F$26*B299,1),F301)</f>
        <v>10</v>
      </c>
      <c r="H301" s="1">
        <f ca="1">SUMIFS(OFFSET(Calc2!$I$4,,,$F$26*B299,1),OFFSET(Calc2!$F$4,,,$F$26*B299,1),F301)+SUMIFS(OFFSET(Calc2!$H$4,,,$F$26*B299,1),OFFSET(Calc2!$G$4,,,$F$26*B299,1),F301)</f>
        <v>27</v>
      </c>
      <c r="I301" s="134">
        <f t="shared" ref="I301:I320" ca="1" si="55">G301-H301</f>
        <v>-17</v>
      </c>
      <c r="J301" s="12">
        <f ca="1">L301*Settings!$C$3+M301+O301</f>
        <v>8</v>
      </c>
      <c r="K301" s="1">
        <f ca="1">L301+M301+N301</f>
        <v>12</v>
      </c>
      <c r="L301" s="1">
        <f t="array" aca="1" ref="L301" ca="1">SUMPRODUCT((OFFSET(Calc2!$F$4,,,$F$26*B299,1)=F301)*(OFFSET(Calc2!$H$4,,,$F$26*B299,1)&gt;OFFSET(Calc2!$I$4,,,$F$26*B299,1)))+SUMPRODUCT((OFFSET(Calc2!$G$4,,,$F$26*B299,1)=F301)*(OFFSET(Calc2!$H$4,,,$F$26*B299,1)&lt;OFFSET(Calc2!$I$4,,,$F$26*B299,1)))</f>
        <v>2</v>
      </c>
      <c r="M301" s="1">
        <f t="array" aca="1" ref="M301" ca="1">SUMPRODUCT((OFFSET(Calc2!$F$4,,,$F$26*B299,2)=F301)*(OFFSET(Calc2!$H$4,,,$F$26*B299,1)=OFFSET(Calc2!$I$4,,,$F$26*B299,1))*(OFFSET(Calc2!$H$4,,,$F$26*B299,1)&lt;&gt;"")*(OFFSET(Calc2!$I$4,,,$F$26*B299,1)&lt;&gt;""))</f>
        <v>2</v>
      </c>
      <c r="N301" s="1">
        <f t="array" aca="1" ref="N301" ca="1">SUMPRODUCT((OFFSET(Calc2!$F$4,,,$F$26*B299,1)=F301)*(OFFSET(Calc2!$H$4,,,$F$26*B299,1)&lt;OFFSET(Calc2!$I$4,,,$F$26*B299,1)))+SUMPRODUCT((OFFSET(Calc2!$G$4,,,$F$26*B299,1)=F301)*(OFFSET(Calc2!$H$4,,,$F$26*B299,1)&gt;OFFSET(Calc2!$I$4,,,$F$26*B299,1)))</f>
        <v>8</v>
      </c>
      <c r="O301" s="132">
        <f ca="1">SUMPRODUCT((F301=OFFSET(Calc2!$F$4,,,$F$26*B299,1))*OFFSET(Calc2!$O$4,,,$F$26*B299,1))+SUMPRODUCT((F301=OFFSET(Calc2!$G$4,,,$F$26*B299,1))*OFFSET(Calc2!$P$4,,,$F$26*B299,1))</f>
        <v>0</v>
      </c>
      <c r="P301" s="2"/>
      <c r="Q301" s="2"/>
      <c r="R301" s="13">
        <f t="shared" ref="R301:R320" ca="1" si="56">J301*FactorPts+(I301+GDzero)*FactorGD+G301*FactorGF</f>
        <v>8499983010</v>
      </c>
      <c r="S301" s="134">
        <f>Tie_Break!$D$7</f>
        <v>0</v>
      </c>
      <c r="T301" s="8">
        <f ca="1">RANK(R301,R301:R320)+(9-S301)/10000+(F301="")*1000</f>
        <v>16.000900000000001</v>
      </c>
      <c r="U301" s="134"/>
      <c r="V301" s="134">
        <f ca="1">IF($K$24=0,"",1)</f>
        <v>1</v>
      </c>
      <c r="W301" s="4" t="str">
        <f ca="1">IF($K$24=0,Calc2!$C$4,VLOOKUP(B301,C301:N320,4,0))</f>
        <v>FC Bayern München</v>
      </c>
      <c r="X301" s="1">
        <f ca="1">INDEX(V274:V293,MATCH(W301,W274:W293,0))</f>
        <v>1</v>
      </c>
      <c r="Y301" s="1">
        <f ca="1">IF(X301&gt;V301,1,IF(X301&lt;V301,-1,0))</f>
        <v>0</v>
      </c>
    </row>
    <row r="302" spans="2:25" x14ac:dyDescent="0.2">
      <c r="B302" s="1">
        <v>2</v>
      </c>
      <c r="C302" s="9">
        <f ca="1">RANK(D302,D301:D320,1)</f>
        <v>10</v>
      </c>
      <c r="D302" s="134">
        <f t="shared" ref="D302:D320" ca="1" si="57">E302+ROW()/1000</f>
        <v>10.302</v>
      </c>
      <c r="E302" s="134">
        <f ca="1">RANK(T302,T301:T320,1)</f>
        <v>10</v>
      </c>
      <c r="F302" s="187" t="str">
        <f>Calc2!$C$5</f>
        <v>1. FC Köln</v>
      </c>
      <c r="G302" s="1">
        <f ca="1">SUMIFS(OFFSET(Calc2!$H$4,,,$F$26*B299,1),OFFSET(Calc2!$F$4,,,$F$26*B299,1),F302)+SUMIFS(OFFSET(Calc2!$I$4,,,$F$26*B299,1),OFFSET(Calc2!$G$4,,,$F$26*B299,1),F302)</f>
        <v>21</v>
      </c>
      <c r="H302" s="1">
        <f ca="1">SUMIFS(OFFSET(Calc2!$I$4,,,$F$26*B299,1),OFFSET(Calc2!$F$4,,,$F$26*B299,1),F302)+SUMIFS(OFFSET(Calc2!$H$4,,,$F$26*B299,1),OFFSET(Calc2!$G$4,,,$F$26*B299,1),F302)</f>
        <v>20</v>
      </c>
      <c r="I302" s="134">
        <f t="shared" ca="1" si="55"/>
        <v>1</v>
      </c>
      <c r="J302" s="12">
        <f ca="1">L302*Settings!$C$3+M302+O302</f>
        <v>15</v>
      </c>
      <c r="K302" s="1">
        <f t="shared" ref="K302:K320" ca="1" si="58">L302+M302+N302</f>
        <v>12</v>
      </c>
      <c r="L302" s="1">
        <f t="array" aca="1" ref="L302" ca="1">SUMPRODUCT((OFFSET(Calc2!$F$4,,,$F$26*B299,1)=F302)*(OFFSET(Calc2!$H$4,,,$F$26*B299,1)&gt;OFFSET(Calc2!$I$4,,,$F$26*B299,1)))+SUMPRODUCT((OFFSET(Calc2!$G$4,,,$F$26*B299,1)=F302)*(OFFSET(Calc2!$H$4,,,$F$26*B299,1)&lt;OFFSET(Calc2!$I$4,,,$F$26*B299,1)))</f>
        <v>4</v>
      </c>
      <c r="M302" s="1">
        <f t="array" aca="1" ref="M302" ca="1">SUMPRODUCT((OFFSET(Calc2!$F$4,,,$F$26*B299,2)=F302)*(OFFSET(Calc2!$H$4,,,$F$26*B299,1)=OFFSET(Calc2!$I$4,,,$F$26*B299,1))*(OFFSET(Calc2!$H$4,,,$F$26*B299,1)&lt;&gt;"")*(OFFSET(Calc2!$I$4,,,$F$26*B299,1)&lt;&gt;""))</f>
        <v>3</v>
      </c>
      <c r="N302" s="1">
        <f t="array" aca="1" ref="N302" ca="1">SUMPRODUCT((OFFSET(Calc2!$F$4,,,$F$26*B299,1)=F302)*(OFFSET(Calc2!$H$4,,,$F$26*B299,1)&lt;OFFSET(Calc2!$I$4,,,$F$26*B299,1)))+SUMPRODUCT((OFFSET(Calc2!$G$4,,,$F$26*B299,1)=F302)*(OFFSET(Calc2!$H$4,,,$F$26*B299,1)&gt;OFFSET(Calc2!$I$4,,,$F$26*B299,1)))</f>
        <v>5</v>
      </c>
      <c r="O302" s="132">
        <f ca="1">SUMPRODUCT((F302=OFFSET(Calc2!$F$4,,,$F$26*B299,1))*OFFSET(Calc2!$O$4,,,$F$26*B299,1))+SUMPRODUCT((F302=OFFSET(Calc2!$G$4,,,$F$26*B299,1))*OFFSET(Calc2!$P$4,,,$F$26*B299,1))</f>
        <v>0</v>
      </c>
      <c r="P302" s="2"/>
      <c r="Q302" s="2"/>
      <c r="R302" s="13">
        <f t="shared" ca="1" si="56"/>
        <v>15500001021</v>
      </c>
      <c r="S302" s="134">
        <f>Tie_Break!$D$8</f>
        <v>0</v>
      </c>
      <c r="T302" s="9">
        <f ca="1">RANK(R302,R301:R320)+(9-S302)/10000+(F302="")*1000</f>
        <v>10.0009</v>
      </c>
      <c r="U302" s="134"/>
      <c r="V302" s="134">
        <f ca="1">IF($K$24=0,"",IF(VLOOKUP(B302,C301:E320,3,0)=MAX(V$4:V301),VLOOKUP(B302,C301:E320,3,0),B302))</f>
        <v>2</v>
      </c>
      <c r="W302" s="4" t="str">
        <f ca="1">IF($K$24=0,Calc2!$C$5,VLOOKUP(B302,C301:N320,4,0))</f>
        <v>RB Leipzig</v>
      </c>
      <c r="X302" s="1">
        <f ca="1">INDEX(V274:V293,MATCH(W302,W274:W293,0))</f>
        <v>2</v>
      </c>
      <c r="Y302" s="1">
        <f t="shared" ref="Y302:Y320" ca="1" si="59">IF(X302&gt;V302,1,IF(X302&lt;V302,-1,0))</f>
        <v>0</v>
      </c>
    </row>
    <row r="303" spans="2:25" x14ac:dyDescent="0.2">
      <c r="B303" s="1">
        <v>3</v>
      </c>
      <c r="C303" s="9">
        <f ca="1">RANK(D303,D301:D320,1)</f>
        <v>11</v>
      </c>
      <c r="D303" s="134">
        <f t="shared" ca="1" si="57"/>
        <v>11.303000000000001</v>
      </c>
      <c r="E303" s="134">
        <f ca="1">RANK(T303,T301:T320,1)</f>
        <v>11</v>
      </c>
      <c r="F303" s="187" t="str">
        <f>Calc2!$C$6</f>
        <v>1. FC Union Berlin</v>
      </c>
      <c r="G303" s="1">
        <f ca="1">SUMIFS(OFFSET(Calc2!$H$4,,,$F$26*B299,1),OFFSET(Calc2!$F$4,,,$F$26*B299,1),F303)+SUMIFS(OFFSET(Calc2!$I$4,,,$F$26*B299,1),OFFSET(Calc2!$G$4,,,$F$26*B299,1),F303)</f>
        <v>15</v>
      </c>
      <c r="H303" s="1">
        <f ca="1">SUMIFS(OFFSET(Calc2!$I$4,,,$F$26*B299,1),OFFSET(Calc2!$F$4,,,$F$26*B299,1),F303)+SUMIFS(OFFSET(Calc2!$H$4,,,$F$26*B299,1),OFFSET(Calc2!$G$4,,,$F$26*B299,1),F303)</f>
        <v>19</v>
      </c>
      <c r="I303" s="134">
        <f t="shared" ca="1" si="55"/>
        <v>-4</v>
      </c>
      <c r="J303" s="12">
        <f ca="1">L303*Settings!$C$3+M303+O303</f>
        <v>15</v>
      </c>
      <c r="K303" s="1">
        <f t="shared" ca="1" si="58"/>
        <v>12</v>
      </c>
      <c r="L303" s="1">
        <f t="array" aca="1" ref="L303" ca="1">SUMPRODUCT((OFFSET(Calc2!$F$4,,,$F$26*B299,1)=F303)*(OFFSET(Calc2!$H$4,,,$F$26*B299,1)&gt;OFFSET(Calc2!$I$4,,,$F$26*B299,1)))+SUMPRODUCT((OFFSET(Calc2!$G$4,,,$F$26*B299,1)=F303)*(OFFSET(Calc2!$H$4,,,$F$26*B299,1)&lt;OFFSET(Calc2!$I$4,,,$F$26*B299,1)))</f>
        <v>4</v>
      </c>
      <c r="M303" s="1">
        <f t="array" aca="1" ref="M303" ca="1">SUMPRODUCT((OFFSET(Calc2!$F$4,,,$F$26*B299,2)=F303)*(OFFSET(Calc2!$H$4,,,$F$26*B299,1)=OFFSET(Calc2!$I$4,,,$F$26*B299,1))*(OFFSET(Calc2!$H$4,,,$F$26*B299,1)&lt;&gt;"")*(OFFSET(Calc2!$I$4,,,$F$26*B299,1)&lt;&gt;""))</f>
        <v>3</v>
      </c>
      <c r="N303" s="1">
        <f t="array" aca="1" ref="N303" ca="1">SUMPRODUCT((OFFSET(Calc2!$F$4,,,$F$26*B299,1)=F303)*(OFFSET(Calc2!$H$4,,,$F$26*B299,1)&lt;OFFSET(Calc2!$I$4,,,$F$26*B299,1)))+SUMPRODUCT((OFFSET(Calc2!$G$4,,,$F$26*B299,1)=F303)*(OFFSET(Calc2!$H$4,,,$F$26*B299,1)&gt;OFFSET(Calc2!$I$4,,,$F$26*B299,1)))</f>
        <v>5</v>
      </c>
      <c r="O303" s="132">
        <f ca="1">SUMPRODUCT((F303=OFFSET(Calc2!$F$4,,,$F$26*B299,1))*OFFSET(Calc2!$O$4,,,$F$26*B299,1))+SUMPRODUCT((F303=OFFSET(Calc2!$G$4,,,$F$26*B299,1))*OFFSET(Calc2!$P$4,,,$F$26*B299,1))</f>
        <v>0</v>
      </c>
      <c r="P303" s="2"/>
      <c r="Q303" s="2"/>
      <c r="R303" s="13">
        <f t="shared" ca="1" si="56"/>
        <v>15499996015</v>
      </c>
      <c r="S303" s="134">
        <f>Tie_Break!$D$9</f>
        <v>0</v>
      </c>
      <c r="T303" s="9">
        <f ca="1">RANK(R303,R301:R320)+(9-S303)/10000+(F303="")*1000</f>
        <v>11.0009</v>
      </c>
      <c r="U303" s="134"/>
      <c r="V303" s="134">
        <f ca="1">IF($K$24=0,"",IF(VLOOKUP(B303,C301:E320,3,0)=MAX(V$4:V302),VLOOKUP(B303,C301:E320,3,0),B303))</f>
        <v>3</v>
      </c>
      <c r="W303" s="4" t="str">
        <f ca="1">IF($K$24=0,Calc2!$C$6,VLOOKUP(B303,C301:N320,4,0))</f>
        <v>Borussia Dortmund</v>
      </c>
      <c r="X303" s="1">
        <f ca="1">INDEX(V274:V293,MATCH(W303,W274:W293,0))</f>
        <v>4</v>
      </c>
      <c r="Y303" s="1">
        <f t="shared" ca="1" si="59"/>
        <v>1</v>
      </c>
    </row>
    <row r="304" spans="2:25" x14ac:dyDescent="0.2">
      <c r="B304" s="1">
        <v>4</v>
      </c>
      <c r="C304" s="9">
        <f ca="1">RANK(D304,D301:D320,1)</f>
        <v>18</v>
      </c>
      <c r="D304" s="134">
        <f t="shared" ca="1" si="57"/>
        <v>18.303999999999998</v>
      </c>
      <c r="E304" s="134">
        <f ca="1">RANK(T304,T301:T320,1)</f>
        <v>18</v>
      </c>
      <c r="F304" s="187" t="str">
        <f>Calc2!$C$7</f>
        <v>1. FSV Mainz 05</v>
      </c>
      <c r="G304" s="1">
        <f ca="1">SUMIFS(OFFSET(Calc2!$H$4,,,$F$26*B299,1),OFFSET(Calc2!$F$4,,,$F$26*B299,1),F304)+SUMIFS(OFFSET(Calc2!$I$4,,,$F$26*B299,1),OFFSET(Calc2!$G$4,,,$F$26*B299,1),F304)</f>
        <v>11</v>
      </c>
      <c r="H304" s="1">
        <f ca="1">SUMIFS(OFFSET(Calc2!$I$4,,,$F$26*B299,1),OFFSET(Calc2!$F$4,,,$F$26*B299,1),F304)+SUMIFS(OFFSET(Calc2!$H$4,,,$F$26*B299,1),OFFSET(Calc2!$G$4,,,$F$26*B299,1),F304)</f>
        <v>23</v>
      </c>
      <c r="I304" s="134">
        <f t="shared" ca="1" si="55"/>
        <v>-12</v>
      </c>
      <c r="J304" s="12">
        <f ca="1">L304*Settings!$C$3+M304+O304</f>
        <v>6</v>
      </c>
      <c r="K304" s="1">
        <f t="shared" ca="1" si="58"/>
        <v>12</v>
      </c>
      <c r="L304" s="1">
        <f t="array" aca="1" ref="L304" ca="1">SUMPRODUCT((OFFSET(Calc2!$F$4,,,$F$26*B299,1)=F304)*(OFFSET(Calc2!$H$4,,,$F$26*B299,1)&gt;OFFSET(Calc2!$I$4,,,$F$26*B299,1)))+SUMPRODUCT((OFFSET(Calc2!$G$4,,,$F$26*B299,1)=F304)*(OFFSET(Calc2!$H$4,,,$F$26*B299,1)&lt;OFFSET(Calc2!$I$4,,,$F$26*B299,1)))</f>
        <v>1</v>
      </c>
      <c r="M304" s="1">
        <f t="array" aca="1" ref="M304" ca="1">SUMPRODUCT((OFFSET(Calc2!$F$4,,,$F$26*B299,2)=F304)*(OFFSET(Calc2!$H$4,,,$F$26*B299,1)=OFFSET(Calc2!$I$4,,,$F$26*B299,1))*(OFFSET(Calc2!$H$4,,,$F$26*B299,1)&lt;&gt;"")*(OFFSET(Calc2!$I$4,,,$F$26*B299,1)&lt;&gt;""))</f>
        <v>3</v>
      </c>
      <c r="N304" s="1">
        <f t="array" aca="1" ref="N304" ca="1">SUMPRODUCT((OFFSET(Calc2!$F$4,,,$F$26*B299,1)=F304)*(OFFSET(Calc2!$H$4,,,$F$26*B299,1)&lt;OFFSET(Calc2!$I$4,,,$F$26*B299,1)))+SUMPRODUCT((OFFSET(Calc2!$G$4,,,$F$26*B299,1)=F304)*(OFFSET(Calc2!$H$4,,,$F$26*B299,1)&gt;OFFSET(Calc2!$I$4,,,$F$26*B299,1)))</f>
        <v>8</v>
      </c>
      <c r="O304" s="132">
        <f ca="1">SUMPRODUCT((F304=OFFSET(Calc2!$F$4,,,$F$26*B299,1))*OFFSET(Calc2!$O$4,,,$F$26*B299,1))+SUMPRODUCT((F304=OFFSET(Calc2!$G$4,,,$F$26*B299,1))*OFFSET(Calc2!$P$4,,,$F$26*B299,1))</f>
        <v>0</v>
      </c>
      <c r="P304" s="2"/>
      <c r="Q304" s="2"/>
      <c r="R304" s="13">
        <f t="shared" ca="1" si="56"/>
        <v>6499988011</v>
      </c>
      <c r="S304" s="134">
        <f>Tie_Break!$D$10</f>
        <v>0</v>
      </c>
      <c r="T304" s="9">
        <f ca="1">RANK(R304,R301:R320)+(9-S304)/10000+(F304="")*1000</f>
        <v>18.000900000000001</v>
      </c>
      <c r="U304" s="134"/>
      <c r="V304" s="134">
        <f ca="1">IF($K$24=0,"",IF(VLOOKUP(B304,C301:E320,3,0)=MAX(V$4:V303),VLOOKUP(B304,C301:E320,3,0),B304))</f>
        <v>4</v>
      </c>
      <c r="W304" s="4" t="str">
        <f ca="1">IF($K$24=0,Calc2!$C$7,VLOOKUP(B304,C301:N320,4,0))</f>
        <v>Bayer 04 Leverkusen</v>
      </c>
      <c r="X304" s="1">
        <f ca="1">INDEX(V274:V293,MATCH(W304,W274:W293,0))</f>
        <v>3</v>
      </c>
      <c r="Y304" s="1">
        <f t="shared" ca="1" si="59"/>
        <v>-1</v>
      </c>
    </row>
    <row r="305" spans="2:25" x14ac:dyDescent="0.2">
      <c r="B305" s="1">
        <v>5</v>
      </c>
      <c r="C305" s="9">
        <f ca="1">RANK(D305,D301:D320,1)</f>
        <v>4</v>
      </c>
      <c r="D305" s="134">
        <f t="shared" ca="1" si="57"/>
        <v>4.3049999999999997</v>
      </c>
      <c r="E305" s="134">
        <f ca="1">RANK(T305,T301:T320,1)</f>
        <v>4</v>
      </c>
      <c r="F305" s="187" t="str">
        <f>Calc2!$C$8</f>
        <v>Bayer 04 Leverkusen</v>
      </c>
      <c r="G305" s="1">
        <f ca="1">SUMIFS(OFFSET(Calc2!$H$4,,,$F$26*B299,1),OFFSET(Calc2!$F$4,,,$F$26*B299,1),F305)+SUMIFS(OFFSET(Calc2!$I$4,,,$F$26*B299,1),OFFSET(Calc2!$G$4,,,$F$26*B299,1),F305)</f>
        <v>28</v>
      </c>
      <c r="H305" s="1">
        <f ca="1">SUMIFS(OFFSET(Calc2!$I$4,,,$F$26*B299,1),OFFSET(Calc2!$F$4,,,$F$26*B299,1),F305)+SUMIFS(OFFSET(Calc2!$H$4,,,$F$26*B299,1),OFFSET(Calc2!$G$4,,,$F$26*B299,1),F305)</f>
        <v>17</v>
      </c>
      <c r="I305" s="134">
        <f t="shared" ca="1" si="55"/>
        <v>11</v>
      </c>
      <c r="J305" s="12">
        <f ca="1">L305*Settings!$C$3+M305+O305</f>
        <v>23</v>
      </c>
      <c r="K305" s="1">
        <f t="shared" ca="1" si="58"/>
        <v>12</v>
      </c>
      <c r="L305" s="1">
        <f t="array" aca="1" ref="L305" ca="1">SUMPRODUCT((OFFSET(Calc2!$F$4,,,$F$26*B299,1)=F305)*(OFFSET(Calc2!$H$4,,,$F$26*B299,1)&gt;OFFSET(Calc2!$I$4,,,$F$26*B299,1)))+SUMPRODUCT((OFFSET(Calc2!$G$4,,,$F$26*B299,1)=F305)*(OFFSET(Calc2!$H$4,,,$F$26*B299,1)&lt;OFFSET(Calc2!$I$4,,,$F$26*B299,1)))</f>
        <v>7</v>
      </c>
      <c r="M305" s="1">
        <f t="array" aca="1" ref="M305" ca="1">SUMPRODUCT((OFFSET(Calc2!$F$4,,,$F$26*B299,2)=F305)*(OFFSET(Calc2!$H$4,,,$F$26*B299,1)=OFFSET(Calc2!$I$4,,,$F$26*B299,1))*(OFFSET(Calc2!$H$4,,,$F$26*B299,1)&lt;&gt;"")*(OFFSET(Calc2!$I$4,,,$F$26*B299,1)&lt;&gt;""))</f>
        <v>2</v>
      </c>
      <c r="N305" s="1">
        <f t="array" aca="1" ref="N305" ca="1">SUMPRODUCT((OFFSET(Calc2!$F$4,,,$F$26*B299,1)=F305)*(OFFSET(Calc2!$H$4,,,$F$26*B299,1)&lt;OFFSET(Calc2!$I$4,,,$F$26*B299,1)))+SUMPRODUCT((OFFSET(Calc2!$G$4,,,$F$26*B299,1)=F305)*(OFFSET(Calc2!$H$4,,,$F$26*B299,1)&gt;OFFSET(Calc2!$I$4,,,$F$26*B299,1)))</f>
        <v>3</v>
      </c>
      <c r="O305" s="132">
        <f ca="1">SUMPRODUCT((F305=OFFSET(Calc2!$F$4,,,$F$26*B299,1))*OFFSET(Calc2!$O$4,,,$F$26*B299,1))+SUMPRODUCT((F305=OFFSET(Calc2!$G$4,,,$F$26*B299,1))*OFFSET(Calc2!$P$4,,,$F$26*B299,1))</f>
        <v>0</v>
      </c>
      <c r="P305" s="2"/>
      <c r="Q305" s="2"/>
      <c r="R305" s="13">
        <f t="shared" ca="1" si="56"/>
        <v>23500011028</v>
      </c>
      <c r="S305" s="134">
        <f>Tie_Break!$D$11</f>
        <v>0</v>
      </c>
      <c r="T305" s="9">
        <f ca="1">RANK(R305,R301:R320)+(9-S305)/10000+(F305="")*1000</f>
        <v>4.0008999999999997</v>
      </c>
      <c r="U305" s="134"/>
      <c r="V305" s="134">
        <f ca="1">IF($K$24=0,"",IF(VLOOKUP(B305,C301:E320,3,0)=MAX(V$4:V304),VLOOKUP(B305,C301:E320,3,0),B305))</f>
        <v>5</v>
      </c>
      <c r="W305" s="4" t="str">
        <f ca="1">IF($K$24=0,Calc2!$C$8,VLOOKUP(B305,C301:N320,4,0))</f>
        <v>TSG Hoffenheim</v>
      </c>
      <c r="X305" s="1">
        <f ca="1">INDEX(V274:V293,MATCH(W305,W274:W293,0))</f>
        <v>7</v>
      </c>
      <c r="Y305" s="1">
        <f t="shared" ca="1" si="59"/>
        <v>1</v>
      </c>
    </row>
    <row r="306" spans="2:25" x14ac:dyDescent="0.2">
      <c r="B306" s="1">
        <v>6</v>
      </c>
      <c r="C306" s="9">
        <f ca="1">RANK(D306,D301:D320,1)</f>
        <v>3</v>
      </c>
      <c r="D306" s="134">
        <f t="shared" ca="1" si="57"/>
        <v>3.306</v>
      </c>
      <c r="E306" s="134">
        <f ca="1">RANK(T306,T301:T320,1)</f>
        <v>3</v>
      </c>
      <c r="F306" s="187" t="str">
        <f>Calc2!$C$9</f>
        <v>Borussia Dortmund</v>
      </c>
      <c r="G306" s="1">
        <f ca="1">SUMIFS(OFFSET(Calc2!$H$4,,,$F$26*B299,1),OFFSET(Calc2!$F$4,,,$F$26*B299,1),F306)+SUMIFS(OFFSET(Calc2!$I$4,,,$F$26*B299,1),OFFSET(Calc2!$G$4,,,$F$26*B299,1),F306)</f>
        <v>21</v>
      </c>
      <c r="H306" s="1">
        <f ca="1">SUMIFS(OFFSET(Calc2!$I$4,,,$F$26*B299,1),OFFSET(Calc2!$F$4,,,$F$26*B299,1),F306)+SUMIFS(OFFSET(Calc2!$H$4,,,$F$26*B299,1),OFFSET(Calc2!$G$4,,,$F$26*B299,1),F306)</f>
        <v>11</v>
      </c>
      <c r="I306" s="134">
        <f t="shared" ca="1" si="55"/>
        <v>10</v>
      </c>
      <c r="J306" s="12">
        <f ca="1">L306*Settings!$C$3+M306+O306</f>
        <v>25</v>
      </c>
      <c r="K306" s="1">
        <f t="shared" ca="1" si="58"/>
        <v>12</v>
      </c>
      <c r="L306" s="1">
        <f t="array" aca="1" ref="L306" ca="1">SUMPRODUCT((OFFSET(Calc2!$F$4,,,$F$26*B299,1)=F306)*(OFFSET(Calc2!$H$4,,,$F$26*B299,1)&gt;OFFSET(Calc2!$I$4,,,$F$26*B299,1)))+SUMPRODUCT((OFFSET(Calc2!$G$4,,,$F$26*B299,1)=F306)*(OFFSET(Calc2!$H$4,,,$F$26*B299,1)&lt;OFFSET(Calc2!$I$4,,,$F$26*B299,1)))</f>
        <v>7</v>
      </c>
      <c r="M306" s="1">
        <f t="array" aca="1" ref="M306" ca="1">SUMPRODUCT((OFFSET(Calc2!$F$4,,,$F$26*B299,2)=F306)*(OFFSET(Calc2!$H$4,,,$F$26*B299,1)=OFFSET(Calc2!$I$4,,,$F$26*B299,1))*(OFFSET(Calc2!$H$4,,,$F$26*B299,1)&lt;&gt;"")*(OFFSET(Calc2!$I$4,,,$F$26*B299,1)&lt;&gt;""))</f>
        <v>4</v>
      </c>
      <c r="N306" s="1">
        <f t="array" aca="1" ref="N306" ca="1">SUMPRODUCT((OFFSET(Calc2!$F$4,,,$F$26*B299,1)=F306)*(OFFSET(Calc2!$H$4,,,$F$26*B299,1)&lt;OFFSET(Calc2!$I$4,,,$F$26*B299,1)))+SUMPRODUCT((OFFSET(Calc2!$G$4,,,$F$26*B299,1)=F306)*(OFFSET(Calc2!$H$4,,,$F$26*B299,1)&gt;OFFSET(Calc2!$I$4,,,$F$26*B299,1)))</f>
        <v>1</v>
      </c>
      <c r="O306" s="132">
        <f ca="1">SUMPRODUCT((F306=OFFSET(Calc2!$F$4,,,$F$26*B299,1))*OFFSET(Calc2!$O$4,,,$F$26*B299,1))+SUMPRODUCT((F306=OFFSET(Calc2!$G$4,,,$F$26*B299,1))*OFFSET(Calc2!$P$4,,,$F$26*B299,1))</f>
        <v>0</v>
      </c>
      <c r="P306" s="2"/>
      <c r="Q306" s="2"/>
      <c r="R306" s="13">
        <f t="shared" ca="1" si="56"/>
        <v>25500010021</v>
      </c>
      <c r="S306" s="134">
        <f>Tie_Break!$D$12</f>
        <v>0</v>
      </c>
      <c r="T306" s="9">
        <f ca="1">RANK(R306,R301:R320)+(9-S306)/10000+(F306="")*1000</f>
        <v>3.0009000000000001</v>
      </c>
      <c r="U306" s="134"/>
      <c r="V306" s="134">
        <f ca="1">IF($K$24=0,"",IF(VLOOKUP(B306,C301:E320,3,0)=MAX(V$4:V305),VLOOKUP(B306,C301:E320,3,0),B306))</f>
        <v>6</v>
      </c>
      <c r="W306" s="4" t="str">
        <f ca="1">IF($K$24=0,Calc2!$C$9,VLOOKUP(B306,C301:N320,4,0))</f>
        <v>VfB Stuttgart</v>
      </c>
      <c r="X306" s="1">
        <f ca="1">INDEX(V274:V293,MATCH(W306,W274:W293,0))</f>
        <v>5</v>
      </c>
      <c r="Y306" s="1">
        <f t="shared" ca="1" si="59"/>
        <v>-1</v>
      </c>
    </row>
    <row r="307" spans="2:25" x14ac:dyDescent="0.2">
      <c r="B307" s="1">
        <v>7</v>
      </c>
      <c r="C307" s="9">
        <f ca="1">RANK(D307,D301:D320,1)</f>
        <v>12</v>
      </c>
      <c r="D307" s="134">
        <f t="shared" ca="1" si="57"/>
        <v>12.307</v>
      </c>
      <c r="E307" s="134">
        <f ca="1">RANK(T307,T301:T320,1)</f>
        <v>12</v>
      </c>
      <c r="F307" s="187" t="str">
        <f>Calc2!$C$10</f>
        <v>Borussia Mönchengladbach</v>
      </c>
      <c r="G307" s="1">
        <f ca="1">SUMIFS(OFFSET(Calc2!$H$4,,,$F$26*B299,1),OFFSET(Calc2!$F$4,,,$F$26*B299,1),F307)+SUMIFS(OFFSET(Calc2!$I$4,,,$F$26*B299,1),OFFSET(Calc2!$G$4,,,$F$26*B299,1),F307)</f>
        <v>16</v>
      </c>
      <c r="H307" s="1">
        <f ca="1">SUMIFS(OFFSET(Calc2!$I$4,,,$F$26*B299,1),OFFSET(Calc2!$F$4,,,$F$26*B299,1),F307)+SUMIFS(OFFSET(Calc2!$H$4,,,$F$26*B299,1),OFFSET(Calc2!$G$4,,,$F$26*B299,1),F307)</f>
        <v>19</v>
      </c>
      <c r="I307" s="134">
        <f t="shared" ca="1" si="55"/>
        <v>-3</v>
      </c>
      <c r="J307" s="12">
        <f ca="1">L307*Settings!$C$3+M307+O307</f>
        <v>13</v>
      </c>
      <c r="K307" s="1">
        <f t="shared" ca="1" si="58"/>
        <v>12</v>
      </c>
      <c r="L307" s="1">
        <f t="array" aca="1" ref="L307" ca="1">SUMPRODUCT((OFFSET(Calc2!$F$4,,,$F$26*B299,1)=F307)*(OFFSET(Calc2!$H$4,,,$F$26*B299,1)&gt;OFFSET(Calc2!$I$4,,,$F$26*B299,1)))+SUMPRODUCT((OFFSET(Calc2!$G$4,,,$F$26*B299,1)=F307)*(OFFSET(Calc2!$H$4,,,$F$26*B299,1)&lt;OFFSET(Calc2!$I$4,,,$F$26*B299,1)))</f>
        <v>3</v>
      </c>
      <c r="M307" s="1">
        <f t="array" aca="1" ref="M307" ca="1">SUMPRODUCT((OFFSET(Calc2!$F$4,,,$F$26*B299,2)=F307)*(OFFSET(Calc2!$H$4,,,$F$26*B299,1)=OFFSET(Calc2!$I$4,,,$F$26*B299,1))*(OFFSET(Calc2!$H$4,,,$F$26*B299,1)&lt;&gt;"")*(OFFSET(Calc2!$I$4,,,$F$26*B299,1)&lt;&gt;""))</f>
        <v>4</v>
      </c>
      <c r="N307" s="1">
        <f t="array" aca="1" ref="N307" ca="1">SUMPRODUCT((OFFSET(Calc2!$F$4,,,$F$26*B299,1)=F307)*(OFFSET(Calc2!$H$4,,,$F$26*B299,1)&lt;OFFSET(Calc2!$I$4,,,$F$26*B299,1)))+SUMPRODUCT((OFFSET(Calc2!$G$4,,,$F$26*B299,1)=F307)*(OFFSET(Calc2!$H$4,,,$F$26*B299,1)&gt;OFFSET(Calc2!$I$4,,,$F$26*B299,1)))</f>
        <v>5</v>
      </c>
      <c r="O307" s="132">
        <f ca="1">SUMPRODUCT((F307=OFFSET(Calc2!$F$4,,,$F$26*B299,1))*OFFSET(Calc2!$O$4,,,$F$26*B299,1))+SUMPRODUCT((F307=OFFSET(Calc2!$G$4,,,$F$26*B299,1))*OFFSET(Calc2!$P$4,,,$F$26*B299,1))</f>
        <v>0</v>
      </c>
      <c r="P307" s="2"/>
      <c r="Q307" s="2"/>
      <c r="R307" s="13">
        <f t="shared" ca="1" si="56"/>
        <v>13499997016</v>
      </c>
      <c r="S307" s="134">
        <f>Tie_Break!$D$13</f>
        <v>0</v>
      </c>
      <c r="T307" s="9">
        <f ca="1">RANK(R307,R301:R320)+(9-S307)/10000+(F307="")*1000</f>
        <v>12.0009</v>
      </c>
      <c r="U307" s="134"/>
      <c r="V307" s="134">
        <f ca="1">IF($K$24=0,"",IF(VLOOKUP(B307,C301:E320,3,0)=MAX(V$4:V306),VLOOKUP(B307,C301:E320,3,0),B307))</f>
        <v>7</v>
      </c>
      <c r="W307" s="4" t="str">
        <f ca="1">IF($K$24=0,Calc2!$C$10,VLOOKUP(B307,C301:N320,4,0))</f>
        <v>Eintracht Frankfurt</v>
      </c>
      <c r="X307" s="1">
        <f ca="1">INDEX(V274:V293,MATCH(W307,W274:W293,0))</f>
        <v>6</v>
      </c>
      <c r="Y307" s="1">
        <f t="shared" ca="1" si="59"/>
        <v>-1</v>
      </c>
    </row>
    <row r="308" spans="2:25" x14ac:dyDescent="0.2">
      <c r="B308" s="1">
        <v>8</v>
      </c>
      <c r="C308" s="9">
        <f ca="1">RANK(D308,D301:D320,1)</f>
        <v>7</v>
      </c>
      <c r="D308" s="134">
        <f t="shared" ca="1" si="57"/>
        <v>7.3079999999999998</v>
      </c>
      <c r="E308" s="134">
        <f ca="1">RANK(T308,T301:T320,1)</f>
        <v>7</v>
      </c>
      <c r="F308" s="187" t="str">
        <f>Calc2!$C$11</f>
        <v>Eintracht Frankfurt</v>
      </c>
      <c r="G308" s="1">
        <f ca="1">SUMIFS(OFFSET(Calc2!$H$4,,,$F$26*B299,1),OFFSET(Calc2!$F$4,,,$F$26*B299,1),F308)+SUMIFS(OFFSET(Calc2!$I$4,,,$F$26*B299,1),OFFSET(Calc2!$G$4,,,$F$26*B299,1),F308)</f>
        <v>28</v>
      </c>
      <c r="H308" s="1">
        <f ca="1">SUMIFS(OFFSET(Calc2!$I$4,,,$F$26*B299,1),OFFSET(Calc2!$F$4,,,$F$26*B299,1),F308)+SUMIFS(OFFSET(Calc2!$H$4,,,$F$26*B299,1),OFFSET(Calc2!$G$4,,,$F$26*B299,1),F308)</f>
        <v>23</v>
      </c>
      <c r="I308" s="134">
        <f t="shared" ca="1" si="55"/>
        <v>5</v>
      </c>
      <c r="J308" s="12">
        <f ca="1">L308*Settings!$C$3+M308+O308</f>
        <v>21</v>
      </c>
      <c r="K308" s="1">
        <f t="shared" ca="1" si="58"/>
        <v>12</v>
      </c>
      <c r="L308" s="1">
        <f t="array" aca="1" ref="L308" ca="1">SUMPRODUCT((OFFSET(Calc2!$F$4,,,$F$26*B299,1)=F308)*(OFFSET(Calc2!$H$4,,,$F$26*B299,1)&gt;OFFSET(Calc2!$I$4,,,$F$26*B299,1)))+SUMPRODUCT((OFFSET(Calc2!$G$4,,,$F$26*B299,1)=F308)*(OFFSET(Calc2!$H$4,,,$F$26*B299,1)&lt;OFFSET(Calc2!$I$4,,,$F$26*B299,1)))</f>
        <v>6</v>
      </c>
      <c r="M308" s="1">
        <f t="array" aca="1" ref="M308" ca="1">SUMPRODUCT((OFFSET(Calc2!$F$4,,,$F$26*B299,2)=F308)*(OFFSET(Calc2!$H$4,,,$F$26*B299,1)=OFFSET(Calc2!$I$4,,,$F$26*B299,1))*(OFFSET(Calc2!$H$4,,,$F$26*B299,1)&lt;&gt;"")*(OFFSET(Calc2!$I$4,,,$F$26*B299,1)&lt;&gt;""))</f>
        <v>3</v>
      </c>
      <c r="N308" s="1">
        <f t="array" aca="1" ref="N308" ca="1">SUMPRODUCT((OFFSET(Calc2!$F$4,,,$F$26*B299,1)=F308)*(OFFSET(Calc2!$H$4,,,$F$26*B299,1)&lt;OFFSET(Calc2!$I$4,,,$F$26*B299,1)))+SUMPRODUCT((OFFSET(Calc2!$G$4,,,$F$26*B299,1)=F308)*(OFFSET(Calc2!$H$4,,,$F$26*B299,1)&gt;OFFSET(Calc2!$I$4,,,$F$26*B299,1)))</f>
        <v>3</v>
      </c>
      <c r="O308" s="132">
        <f ca="1">SUMPRODUCT((F308=OFFSET(Calc2!$F$4,,,$F$26*B299,1))*OFFSET(Calc2!$O$4,,,$F$26*B299,1))+SUMPRODUCT((F308=OFFSET(Calc2!$G$4,,,$F$26*B299,1))*OFFSET(Calc2!$P$4,,,$F$26*B299,1))</f>
        <v>0</v>
      </c>
      <c r="P308" s="2"/>
      <c r="Q308" s="2"/>
      <c r="R308" s="13">
        <f t="shared" ca="1" si="56"/>
        <v>21500005028</v>
      </c>
      <c r="S308" s="134">
        <f>Tie_Break!$D$14</f>
        <v>0</v>
      </c>
      <c r="T308" s="9">
        <f ca="1">RANK(R308,R301:R320)+(9-S308)/10000+(F308="")*1000</f>
        <v>7.0008999999999997</v>
      </c>
      <c r="U308" s="134"/>
      <c r="V308" s="134">
        <f ca="1">IF($K$24=0,"",IF(VLOOKUP(B308,C301:E320,3,0)=MAX(V$4:V307),VLOOKUP(B308,C301:E320,3,0),B308))</f>
        <v>8</v>
      </c>
      <c r="W308" s="4" t="str">
        <f ca="1">IF($K$24=0,Calc2!$C$11,VLOOKUP(B308,C301:N320,4,0))</f>
        <v>SC Freiburg</v>
      </c>
      <c r="X308" s="1">
        <f ca="1">INDEX(V274:V293,MATCH(W308,W274:W293,0))</f>
        <v>11</v>
      </c>
      <c r="Y308" s="1">
        <f t="shared" ca="1" si="59"/>
        <v>1</v>
      </c>
    </row>
    <row r="309" spans="2:25" x14ac:dyDescent="0.2">
      <c r="B309" s="1">
        <v>9</v>
      </c>
      <c r="C309" s="9">
        <f ca="1">RANK(D309,D301:D320,1)</f>
        <v>14</v>
      </c>
      <c r="D309" s="134">
        <f t="shared" ca="1" si="57"/>
        <v>14.308999999999999</v>
      </c>
      <c r="E309" s="134">
        <f ca="1">RANK(T309,T301:T320,1)</f>
        <v>14</v>
      </c>
      <c r="F309" s="187" t="str">
        <f>Calc2!$C$12</f>
        <v>FC Augsburg</v>
      </c>
      <c r="G309" s="1">
        <f ca="1">SUMIFS(OFFSET(Calc2!$H$4,,,$F$26*B299,1),OFFSET(Calc2!$F$4,,,$F$26*B299,1),F309)+SUMIFS(OFFSET(Calc2!$I$4,,,$F$26*B299,1),OFFSET(Calc2!$G$4,,,$F$26*B299,1),F309)</f>
        <v>15</v>
      </c>
      <c r="H309" s="1">
        <f ca="1">SUMIFS(OFFSET(Calc2!$I$4,,,$F$26*B299,1),OFFSET(Calc2!$F$4,,,$F$26*B299,1),F309)+SUMIFS(OFFSET(Calc2!$H$4,,,$F$26*B299,1),OFFSET(Calc2!$G$4,,,$F$26*B299,1),F309)</f>
        <v>27</v>
      </c>
      <c r="I309" s="134">
        <f t="shared" ca="1" si="55"/>
        <v>-12</v>
      </c>
      <c r="J309" s="12">
        <f ca="1">L309*Settings!$C$3+M309+O309</f>
        <v>10</v>
      </c>
      <c r="K309" s="1">
        <f t="shared" ca="1" si="58"/>
        <v>12</v>
      </c>
      <c r="L309" s="1">
        <f t="array" aca="1" ref="L309" ca="1">SUMPRODUCT((OFFSET(Calc2!$F$4,,,$F$26*B299,1)=F309)*(OFFSET(Calc2!$H$4,,,$F$26*B299,1)&gt;OFFSET(Calc2!$I$4,,,$F$26*B299,1)))+SUMPRODUCT((OFFSET(Calc2!$G$4,,,$F$26*B299,1)=F309)*(OFFSET(Calc2!$H$4,,,$F$26*B299,1)&lt;OFFSET(Calc2!$I$4,,,$F$26*B299,1)))</f>
        <v>3</v>
      </c>
      <c r="M309" s="1">
        <f t="array" aca="1" ref="M309" ca="1">SUMPRODUCT((OFFSET(Calc2!$F$4,,,$F$26*B299,2)=F309)*(OFFSET(Calc2!$H$4,,,$F$26*B299,1)=OFFSET(Calc2!$I$4,,,$F$26*B299,1))*(OFFSET(Calc2!$H$4,,,$F$26*B299,1)&lt;&gt;"")*(OFFSET(Calc2!$I$4,,,$F$26*B299,1)&lt;&gt;""))</f>
        <v>1</v>
      </c>
      <c r="N309" s="1">
        <f t="array" aca="1" ref="N309" ca="1">SUMPRODUCT((OFFSET(Calc2!$F$4,,,$F$26*B299,1)=F309)*(OFFSET(Calc2!$H$4,,,$F$26*B299,1)&lt;OFFSET(Calc2!$I$4,,,$F$26*B299,1)))+SUMPRODUCT((OFFSET(Calc2!$G$4,,,$F$26*B299,1)=F309)*(OFFSET(Calc2!$H$4,,,$F$26*B299,1)&gt;OFFSET(Calc2!$I$4,,,$F$26*B299,1)))</f>
        <v>8</v>
      </c>
      <c r="O309" s="132">
        <f ca="1">SUMPRODUCT((F309=OFFSET(Calc2!$F$4,,,$F$26*B299,1))*OFFSET(Calc2!$O$4,,,$F$26*B299,1))+SUMPRODUCT((F309=OFFSET(Calc2!$G$4,,,$F$26*B299,1))*OFFSET(Calc2!$P$4,,,$F$26*B299,1))</f>
        <v>0</v>
      </c>
      <c r="P309" s="2"/>
      <c r="Q309" s="2"/>
      <c r="R309" s="13">
        <f t="shared" ca="1" si="56"/>
        <v>10499988015</v>
      </c>
      <c r="S309" s="134">
        <f>Tie_Break!$D$15</f>
        <v>0</v>
      </c>
      <c r="T309" s="9">
        <f ca="1">RANK(R309,R301:R320)+(9-S309)/10000+(F309="")*1000</f>
        <v>14.0009</v>
      </c>
      <c r="U309" s="134"/>
      <c r="V309" s="134">
        <f ca="1">IF($K$24=0,"",IF(VLOOKUP(B309,C301:E320,3,0)=MAX(V$4:V308),VLOOKUP(B309,C301:E320,3,0),B309))</f>
        <v>9</v>
      </c>
      <c r="W309" s="4" t="str">
        <f ca="1">IF($K$24=0,Calc2!$C$12,VLOOKUP(B309,C301:N320,4,0))</f>
        <v>SV Werder Bremen</v>
      </c>
      <c r="X309" s="1">
        <f ca="1">INDEX(V274:V293,MATCH(W309,W274:W293,0))</f>
        <v>9</v>
      </c>
      <c r="Y309" s="1">
        <f t="shared" ca="1" si="59"/>
        <v>0</v>
      </c>
    </row>
    <row r="310" spans="2:25" x14ac:dyDescent="0.2">
      <c r="B310" s="1">
        <v>10</v>
      </c>
      <c r="C310" s="9">
        <f ca="1">RANK(D310,D301:D320,1)</f>
        <v>1</v>
      </c>
      <c r="D310" s="134">
        <f t="shared" ca="1" si="57"/>
        <v>1.31</v>
      </c>
      <c r="E310" s="134">
        <f ca="1">RANK(T310,T301:T320,1)</f>
        <v>1</v>
      </c>
      <c r="F310" s="187" t="str">
        <f>Calc2!$C$13</f>
        <v>FC Bayern München</v>
      </c>
      <c r="G310" s="1">
        <f ca="1">SUMIFS(OFFSET(Calc2!$H$4,,,$F$26*B299,1),OFFSET(Calc2!$F$4,,,$F$26*B299,1),F310)+SUMIFS(OFFSET(Calc2!$I$4,,,$F$26*B299,1),OFFSET(Calc2!$G$4,,,$F$26*B299,1),F310)</f>
        <v>44</v>
      </c>
      <c r="H310" s="1">
        <f ca="1">SUMIFS(OFFSET(Calc2!$I$4,,,$F$26*B299,1),OFFSET(Calc2!$F$4,,,$F$26*B299,1),F310)+SUMIFS(OFFSET(Calc2!$H$4,,,$F$26*B299,1),OFFSET(Calc2!$G$4,,,$F$26*B299,1),F310)</f>
        <v>9</v>
      </c>
      <c r="I310" s="134">
        <f t="shared" ca="1" si="55"/>
        <v>35</v>
      </c>
      <c r="J310" s="12">
        <f ca="1">L310*Settings!$C$3+M310+O310</f>
        <v>34</v>
      </c>
      <c r="K310" s="1">
        <f t="shared" ca="1" si="58"/>
        <v>12</v>
      </c>
      <c r="L310" s="1">
        <f t="array" aca="1" ref="L310" ca="1">SUMPRODUCT((OFFSET(Calc2!$F$4,,,$F$26*B299,1)=F310)*(OFFSET(Calc2!$H$4,,,$F$26*B299,1)&gt;OFFSET(Calc2!$I$4,,,$F$26*B299,1)))+SUMPRODUCT((OFFSET(Calc2!$G$4,,,$F$26*B299,1)=F310)*(OFFSET(Calc2!$H$4,,,$F$26*B299,1)&lt;OFFSET(Calc2!$I$4,,,$F$26*B299,1)))</f>
        <v>11</v>
      </c>
      <c r="M310" s="1">
        <f t="array" aca="1" ref="M310" ca="1">SUMPRODUCT((OFFSET(Calc2!$F$4,,,$F$26*B299,2)=F310)*(OFFSET(Calc2!$H$4,,,$F$26*B299,1)=OFFSET(Calc2!$I$4,,,$F$26*B299,1))*(OFFSET(Calc2!$H$4,,,$F$26*B299,1)&lt;&gt;"")*(OFFSET(Calc2!$I$4,,,$F$26*B299,1)&lt;&gt;""))</f>
        <v>1</v>
      </c>
      <c r="N310" s="1">
        <f t="array" aca="1" ref="N310" ca="1">SUMPRODUCT((OFFSET(Calc2!$F$4,,,$F$26*B299,1)=F310)*(OFFSET(Calc2!$H$4,,,$F$26*B299,1)&lt;OFFSET(Calc2!$I$4,,,$F$26*B299,1)))+SUMPRODUCT((OFFSET(Calc2!$G$4,,,$F$26*B299,1)=F310)*(OFFSET(Calc2!$H$4,,,$F$26*B299,1)&gt;OFFSET(Calc2!$I$4,,,$F$26*B299,1)))</f>
        <v>0</v>
      </c>
      <c r="O310" s="132">
        <f ca="1">SUMPRODUCT((F310=OFFSET(Calc2!$F$4,,,$F$26*B299,1))*OFFSET(Calc2!$O$4,,,$F$26*B299,1))+SUMPRODUCT((F310=OFFSET(Calc2!$G$4,,,$F$26*B299,1))*OFFSET(Calc2!$P$4,,,$F$26*B299,1))</f>
        <v>0</v>
      </c>
      <c r="P310" s="2"/>
      <c r="Q310" s="2"/>
      <c r="R310" s="13">
        <f t="shared" ca="1" si="56"/>
        <v>34500035044</v>
      </c>
      <c r="S310" s="134">
        <f>Tie_Break!$D$16</f>
        <v>0</v>
      </c>
      <c r="T310" s="9">
        <f ca="1">RANK(R310,R301:R320)+(9-S310)/10000+(F310="")*1000</f>
        <v>1.0008999999999999</v>
      </c>
      <c r="U310" s="2"/>
      <c r="V310" s="134">
        <f ca="1">IF($K$24=0,"",IF(VLOOKUP(B310,C301:E320,3,0)=MAX(V$4:V309),VLOOKUP(B310,C301:E320,3,0),B310))</f>
        <v>10</v>
      </c>
      <c r="W310" s="4" t="str">
        <f ca="1">IF($K$24=0,Calc2!$C$13,VLOOKUP(B310,C301:N320,4,0))</f>
        <v>1. FC Köln</v>
      </c>
      <c r="X310" s="1">
        <f ca="1">INDEX(V274:V293,MATCH(W310,W274:W293,0))</f>
        <v>10</v>
      </c>
      <c r="Y310" s="1">
        <f t="shared" ca="1" si="59"/>
        <v>0</v>
      </c>
    </row>
    <row r="311" spans="2:25" x14ac:dyDescent="0.2">
      <c r="B311" s="1">
        <v>11</v>
      </c>
      <c r="C311" s="9">
        <f ca="1">RANK(D311,D301:D320,1)</f>
        <v>17</v>
      </c>
      <c r="D311" s="134">
        <f t="shared" ca="1" si="57"/>
        <v>17.311</v>
      </c>
      <c r="E311" s="134">
        <f ca="1">RANK(T311,T301:T320,1)</f>
        <v>17</v>
      </c>
      <c r="F311" s="187" t="str">
        <f>Calc2!$C$14</f>
        <v>FC St. Pauli</v>
      </c>
      <c r="G311" s="1">
        <f ca="1">SUMIFS(OFFSET(Calc2!$H$4,,,$F$26*B299,1),OFFSET(Calc2!$F$4,,,$F$26*B299,1),F311)+SUMIFS(OFFSET(Calc2!$I$4,,,$F$26*B299,1),OFFSET(Calc2!$G$4,,,$F$26*B299,1),F311)</f>
        <v>10</v>
      </c>
      <c r="H311" s="1">
        <f ca="1">SUMIFS(OFFSET(Calc2!$I$4,,,$F$26*B299,1),OFFSET(Calc2!$F$4,,,$F$26*B299,1),F311)+SUMIFS(OFFSET(Calc2!$H$4,,,$F$26*B299,1),OFFSET(Calc2!$G$4,,,$F$26*B299,1),F311)</f>
        <v>24</v>
      </c>
      <c r="I311" s="134">
        <f t="shared" ca="1" si="55"/>
        <v>-14</v>
      </c>
      <c r="J311" s="12">
        <f ca="1">L311*Settings!$C$3+M311+O311</f>
        <v>7</v>
      </c>
      <c r="K311" s="1">
        <f t="shared" ca="1" si="58"/>
        <v>12</v>
      </c>
      <c r="L311" s="1">
        <f t="array" aca="1" ref="L311" ca="1">SUMPRODUCT((OFFSET(Calc2!$F$4,,,$F$26*B299,1)=F311)*(OFFSET(Calc2!$H$4,,,$F$26*B299,1)&gt;OFFSET(Calc2!$I$4,,,$F$26*B299,1)))+SUMPRODUCT((OFFSET(Calc2!$G$4,,,$F$26*B299,1)=F311)*(OFFSET(Calc2!$H$4,,,$F$26*B299,1)&lt;OFFSET(Calc2!$I$4,,,$F$26*B299,1)))</f>
        <v>2</v>
      </c>
      <c r="M311" s="1">
        <f t="array" aca="1" ref="M311" ca="1">SUMPRODUCT((OFFSET(Calc2!$F$4,,,$F$26*B299,2)=F311)*(OFFSET(Calc2!$H$4,,,$F$26*B299,1)=OFFSET(Calc2!$I$4,,,$F$26*B299,1))*(OFFSET(Calc2!$H$4,,,$F$26*B299,1)&lt;&gt;"")*(OFFSET(Calc2!$I$4,,,$F$26*B299,1)&lt;&gt;""))</f>
        <v>1</v>
      </c>
      <c r="N311" s="1">
        <f t="array" aca="1" ref="N311" ca="1">SUMPRODUCT((OFFSET(Calc2!$F$4,,,$F$26*B299,1)=F311)*(OFFSET(Calc2!$H$4,,,$F$26*B299,1)&lt;OFFSET(Calc2!$I$4,,,$F$26*B299,1)))+SUMPRODUCT((OFFSET(Calc2!$G$4,,,$F$26*B299,1)=F311)*(OFFSET(Calc2!$H$4,,,$F$26*B299,1)&gt;OFFSET(Calc2!$I$4,,,$F$26*B299,1)))</f>
        <v>9</v>
      </c>
      <c r="O311" s="132">
        <f ca="1">SUMPRODUCT((F311=OFFSET(Calc2!$F$4,,,$F$26*B299,1))*OFFSET(Calc2!$O$4,,,$F$26*B299,1))+SUMPRODUCT((F311=OFFSET(Calc2!$G$4,,,$F$26*B299,1))*OFFSET(Calc2!$P$4,,,$F$26*B299,1))</f>
        <v>0</v>
      </c>
      <c r="P311" s="2"/>
      <c r="Q311" s="2"/>
      <c r="R311" s="13">
        <f t="shared" ca="1" si="56"/>
        <v>7499986010</v>
      </c>
      <c r="S311" s="134">
        <f>Tie_Break!$D$17</f>
        <v>0</v>
      </c>
      <c r="T311" s="9">
        <f ca="1">RANK(R311,R301:R320)+(9-S311)/10000+(F311="")*1000</f>
        <v>17.000900000000001</v>
      </c>
      <c r="U311" s="2"/>
      <c r="V311" s="134">
        <f ca="1">IF($K$24=0,"",IF(VLOOKUP(B311,C301:E320,3,0)=MAX(V$4:V310),VLOOKUP(B311,C301:E320,3,0),B311))</f>
        <v>11</v>
      </c>
      <c r="W311" s="4" t="str">
        <f ca="1">IF($K$24=0,Calc2!$C$14,VLOOKUP(B311,C301:N320,4,0))</f>
        <v>1. FC Union Berlin</v>
      </c>
      <c r="X311" s="1">
        <f ca="1">INDEX(V274:V293,MATCH(W311,W274:W293,0))</f>
        <v>8</v>
      </c>
      <c r="Y311" s="1">
        <f t="shared" ca="1" si="59"/>
        <v>-1</v>
      </c>
    </row>
    <row r="312" spans="2:25" x14ac:dyDescent="0.2">
      <c r="B312" s="1">
        <v>12</v>
      </c>
      <c r="C312" s="9">
        <f ca="1">RANK(D312,D301:D320,1)</f>
        <v>13</v>
      </c>
      <c r="D312" s="134">
        <f t="shared" ca="1" si="57"/>
        <v>13.311999999999999</v>
      </c>
      <c r="E312" s="134">
        <f ca="1">RANK(T312,T301:T320,1)</f>
        <v>13</v>
      </c>
      <c r="F312" s="187" t="str">
        <f>Calc2!$C$15</f>
        <v>Hamburger SV</v>
      </c>
      <c r="G312" s="1">
        <f ca="1">SUMIFS(OFFSET(Calc2!$H$4,,,$F$26*B299,1),OFFSET(Calc2!$F$4,,,$F$26*B299,1),F312)+SUMIFS(OFFSET(Calc2!$I$4,,,$F$26*B299,1),OFFSET(Calc2!$G$4,,,$F$26*B299,1),F312)</f>
        <v>11</v>
      </c>
      <c r="H312" s="1">
        <f ca="1">SUMIFS(OFFSET(Calc2!$I$4,,,$F$26*B299,1),OFFSET(Calc2!$F$4,,,$F$26*B299,1),F312)+SUMIFS(OFFSET(Calc2!$H$4,,,$F$26*B299,1),OFFSET(Calc2!$G$4,,,$F$26*B299,1),F312)</f>
        <v>18</v>
      </c>
      <c r="I312" s="134">
        <f t="shared" ca="1" si="55"/>
        <v>-7</v>
      </c>
      <c r="J312" s="12">
        <f ca="1">L312*Settings!$C$3+M312+O312</f>
        <v>12</v>
      </c>
      <c r="K312" s="1">
        <f t="shared" ca="1" si="58"/>
        <v>12</v>
      </c>
      <c r="L312" s="1">
        <f t="array" aca="1" ref="L312" ca="1">SUMPRODUCT((OFFSET(Calc2!$F$4,,,$F$26*B299,1)=F312)*(OFFSET(Calc2!$H$4,,,$F$26*B299,1)&gt;OFFSET(Calc2!$I$4,,,$F$26*B299,1)))+SUMPRODUCT((OFFSET(Calc2!$G$4,,,$F$26*B299,1)=F312)*(OFFSET(Calc2!$H$4,,,$F$26*B299,1)&lt;OFFSET(Calc2!$I$4,,,$F$26*B299,1)))</f>
        <v>3</v>
      </c>
      <c r="M312" s="1">
        <f t="array" aca="1" ref="M312" ca="1">SUMPRODUCT((OFFSET(Calc2!$F$4,,,$F$26*B299,2)=F312)*(OFFSET(Calc2!$H$4,,,$F$26*B299,1)=OFFSET(Calc2!$I$4,,,$F$26*B299,1))*(OFFSET(Calc2!$H$4,,,$F$26*B299,1)&lt;&gt;"")*(OFFSET(Calc2!$I$4,,,$F$26*B299,1)&lt;&gt;""))</f>
        <v>3</v>
      </c>
      <c r="N312" s="1">
        <f t="array" aca="1" ref="N312" ca="1">SUMPRODUCT((OFFSET(Calc2!$F$4,,,$F$26*B299,1)=F312)*(OFFSET(Calc2!$H$4,,,$F$26*B299,1)&lt;OFFSET(Calc2!$I$4,,,$F$26*B299,1)))+SUMPRODUCT((OFFSET(Calc2!$G$4,,,$F$26*B299,1)=F312)*(OFFSET(Calc2!$H$4,,,$F$26*B299,1)&gt;OFFSET(Calc2!$I$4,,,$F$26*B299,1)))</f>
        <v>6</v>
      </c>
      <c r="O312" s="132">
        <f ca="1">SUMPRODUCT((F312=OFFSET(Calc2!$F$4,,,$F$26*B299,1))*OFFSET(Calc2!$O$4,,,$F$26*B299,1))+SUMPRODUCT((F312=OFFSET(Calc2!$G$4,,,$F$26*B299,1))*OFFSET(Calc2!$P$4,,,$F$26*B299,1))</f>
        <v>0</v>
      </c>
      <c r="P312" s="2"/>
      <c r="Q312" s="2"/>
      <c r="R312" s="13">
        <f t="shared" ca="1" si="56"/>
        <v>12499993011</v>
      </c>
      <c r="S312" s="134">
        <f>Tie_Break!$D$18</f>
        <v>0</v>
      </c>
      <c r="T312" s="9">
        <f ca="1">RANK(R312,R301:R320)+(9-S312)/10000+(F312="")*1000</f>
        <v>13.0009</v>
      </c>
      <c r="U312" s="2"/>
      <c r="V312" s="134">
        <f ca="1">IF($K$24=0,"",IF(VLOOKUP(B312,C301:E320,3,0)=MAX(V$4:V311),VLOOKUP(B312,C301:E320,3,0),B312))</f>
        <v>12</v>
      </c>
      <c r="W312" s="4" t="str">
        <f ca="1">IF($K$24=0,Calc2!$C$15,VLOOKUP(B312,C301:N320,4,0))</f>
        <v>Borussia Mönchengladbach</v>
      </c>
      <c r="X312" s="1">
        <f ca="1">INDEX(V274:V293,MATCH(W312,W274:W293,0))</f>
        <v>12</v>
      </c>
      <c r="Y312" s="1">
        <f t="shared" ca="1" si="59"/>
        <v>0</v>
      </c>
    </row>
    <row r="313" spans="2:25" x14ac:dyDescent="0.2">
      <c r="B313" s="1">
        <v>13</v>
      </c>
      <c r="C313" s="9">
        <f ca="1">RANK(D313,D301:D320,1)</f>
        <v>2</v>
      </c>
      <c r="D313" s="134">
        <f t="shared" ca="1" si="57"/>
        <v>2.3130000000000002</v>
      </c>
      <c r="E313" s="134">
        <f ca="1">RANK(T313,T301:T320,1)</f>
        <v>2</v>
      </c>
      <c r="F313" s="187" t="str">
        <f>Calc2!$C$16</f>
        <v>RB Leipzig</v>
      </c>
      <c r="G313" s="1">
        <f ca="1">SUMIFS(OFFSET(Calc2!$H$4,,,$F$26*B299,1),OFFSET(Calc2!$F$4,,,$F$26*B299,1),F313)+SUMIFS(OFFSET(Calc2!$I$4,,,$F$26*B299,1),OFFSET(Calc2!$G$4,,,$F$26*B299,1),F313)</f>
        <v>22</v>
      </c>
      <c r="H313" s="1">
        <f ca="1">SUMIFS(OFFSET(Calc2!$I$4,,,$F$26*B299,1),OFFSET(Calc2!$F$4,,,$F$26*B299,1),F313)+SUMIFS(OFFSET(Calc2!$H$4,,,$F$26*B299,1),OFFSET(Calc2!$G$4,,,$F$26*B299,1),F313)</f>
        <v>13</v>
      </c>
      <c r="I313" s="134">
        <f t="shared" ca="1" si="55"/>
        <v>9</v>
      </c>
      <c r="J313" s="12">
        <f ca="1">L313*Settings!$C$3+M313+O313</f>
        <v>26</v>
      </c>
      <c r="K313" s="1">
        <f t="shared" ca="1" si="58"/>
        <v>12</v>
      </c>
      <c r="L313" s="1">
        <f t="array" aca="1" ref="L313" ca="1">SUMPRODUCT((OFFSET(Calc2!$F$4,,,$F$26*B299,1)=F313)*(OFFSET(Calc2!$H$4,,,$F$26*B299,1)&gt;OFFSET(Calc2!$I$4,,,$F$26*B299,1)))+SUMPRODUCT((OFFSET(Calc2!$G$4,,,$F$26*B299,1)=F313)*(OFFSET(Calc2!$H$4,,,$F$26*B299,1)&lt;OFFSET(Calc2!$I$4,,,$F$26*B299,1)))</f>
        <v>8</v>
      </c>
      <c r="M313" s="1">
        <f t="array" aca="1" ref="M313" ca="1">SUMPRODUCT((OFFSET(Calc2!$F$4,,,$F$26*B299,2)=F313)*(OFFSET(Calc2!$H$4,,,$F$26*B299,1)=OFFSET(Calc2!$I$4,,,$F$26*B299,1))*(OFFSET(Calc2!$H$4,,,$F$26*B299,1)&lt;&gt;"")*(OFFSET(Calc2!$I$4,,,$F$26*B299,1)&lt;&gt;""))</f>
        <v>2</v>
      </c>
      <c r="N313" s="1">
        <f t="array" aca="1" ref="N313" ca="1">SUMPRODUCT((OFFSET(Calc2!$F$4,,,$F$26*B299,1)=F313)*(OFFSET(Calc2!$H$4,,,$F$26*B299,1)&lt;OFFSET(Calc2!$I$4,,,$F$26*B299,1)))+SUMPRODUCT((OFFSET(Calc2!$G$4,,,$F$26*B299,1)=F313)*(OFFSET(Calc2!$H$4,,,$F$26*B299,1)&gt;OFFSET(Calc2!$I$4,,,$F$26*B299,1)))</f>
        <v>2</v>
      </c>
      <c r="O313" s="132">
        <f ca="1">SUMPRODUCT((F313=OFFSET(Calc2!$F$4,,,$F$26*B299,1))*OFFSET(Calc2!$O$4,,,$F$26*B299,1))+SUMPRODUCT((F313=OFFSET(Calc2!$G$4,,,$F$26*B299,1))*OFFSET(Calc2!$P$4,,,$F$26*B299,1))</f>
        <v>0</v>
      </c>
      <c r="P313" s="2"/>
      <c r="Q313" s="2"/>
      <c r="R313" s="13">
        <f t="shared" ca="1" si="56"/>
        <v>26500009022</v>
      </c>
      <c r="S313" s="134">
        <f>Tie_Break!$D$19</f>
        <v>0</v>
      </c>
      <c r="T313" s="9">
        <f ca="1">RANK(R313,R301:R320)+(9-S313)/10000+(F313="")*1000</f>
        <v>2.0009000000000001</v>
      </c>
      <c r="U313" s="1"/>
      <c r="V313" s="134">
        <f ca="1">IF($K$24=0,"",IF(VLOOKUP(B313,C301:E320,3,0)=MAX(V$4:V312),VLOOKUP(B313,C301:E320,3,0),B313))</f>
        <v>13</v>
      </c>
      <c r="W313" s="4" t="str">
        <f ca="1">IF($K$24=0,Calc2!$C$16,VLOOKUP(B313,C301:N320,4,0))</f>
        <v>Hamburger SV</v>
      </c>
      <c r="X313" s="1">
        <f ca="1">INDEX(V274:V293,MATCH(W313,W274:W293,0))</f>
        <v>14</v>
      </c>
      <c r="Y313" s="1">
        <f t="shared" ca="1" si="59"/>
        <v>1</v>
      </c>
    </row>
    <row r="314" spans="2:25" x14ac:dyDescent="0.2">
      <c r="B314" s="1">
        <v>14</v>
      </c>
      <c r="C314" s="9">
        <f ca="1">RANK(D314,D301:D320,1)</f>
        <v>8</v>
      </c>
      <c r="D314" s="134">
        <f t="shared" ca="1" si="57"/>
        <v>8.3140000000000001</v>
      </c>
      <c r="E314" s="134">
        <f ca="1">RANK(T314,T301:T320,1)</f>
        <v>8</v>
      </c>
      <c r="F314" s="187" t="str">
        <f>Calc2!$C$17</f>
        <v>SC Freiburg</v>
      </c>
      <c r="G314" s="1">
        <f ca="1">SUMIFS(OFFSET(Calc2!$H$4,,,$F$26*B299,1),OFFSET(Calc2!$F$4,,,$F$26*B299,1),F314)+SUMIFS(OFFSET(Calc2!$I$4,,,$F$26*B299,1),OFFSET(Calc2!$G$4,,,$F$26*B299,1),F314)</f>
        <v>19</v>
      </c>
      <c r="H314" s="1">
        <f ca="1">SUMIFS(OFFSET(Calc2!$I$4,,,$F$26*B299,1),OFFSET(Calc2!$F$4,,,$F$26*B299,1),F314)+SUMIFS(OFFSET(Calc2!$H$4,,,$F$26*B299,1),OFFSET(Calc2!$G$4,,,$F$26*B299,1),F314)</f>
        <v>20</v>
      </c>
      <c r="I314" s="134">
        <f t="shared" ca="1" si="55"/>
        <v>-1</v>
      </c>
      <c r="J314" s="12">
        <f ca="1">L314*Settings!$C$3+M314+O314</f>
        <v>16</v>
      </c>
      <c r="K314" s="1">
        <f t="shared" ca="1" si="58"/>
        <v>12</v>
      </c>
      <c r="L314" s="1">
        <f t="array" aca="1" ref="L314" ca="1">SUMPRODUCT((OFFSET(Calc2!$F$4,,,$F$26*B299,1)=F314)*(OFFSET(Calc2!$H$4,,,$F$26*B299,1)&gt;OFFSET(Calc2!$I$4,,,$F$26*B299,1)))+SUMPRODUCT((OFFSET(Calc2!$G$4,,,$F$26*B299,1)=F314)*(OFFSET(Calc2!$H$4,,,$F$26*B299,1)&lt;OFFSET(Calc2!$I$4,,,$F$26*B299,1)))</f>
        <v>4</v>
      </c>
      <c r="M314" s="1">
        <f t="array" aca="1" ref="M314" ca="1">SUMPRODUCT((OFFSET(Calc2!$F$4,,,$F$26*B299,2)=F314)*(OFFSET(Calc2!$H$4,,,$F$26*B299,1)=OFFSET(Calc2!$I$4,,,$F$26*B299,1))*(OFFSET(Calc2!$H$4,,,$F$26*B299,1)&lt;&gt;"")*(OFFSET(Calc2!$I$4,,,$F$26*B299,1)&lt;&gt;""))</f>
        <v>4</v>
      </c>
      <c r="N314" s="1">
        <f t="array" aca="1" ref="N314" ca="1">SUMPRODUCT((OFFSET(Calc2!$F$4,,,$F$26*B299,1)=F314)*(OFFSET(Calc2!$H$4,,,$F$26*B299,1)&lt;OFFSET(Calc2!$I$4,,,$F$26*B299,1)))+SUMPRODUCT((OFFSET(Calc2!$G$4,,,$F$26*B299,1)=F314)*(OFFSET(Calc2!$H$4,,,$F$26*B299,1)&gt;OFFSET(Calc2!$I$4,,,$F$26*B299,1)))</f>
        <v>4</v>
      </c>
      <c r="O314" s="132">
        <f ca="1">SUMPRODUCT((F314=OFFSET(Calc2!$F$4,,,$F$26*B299,1))*OFFSET(Calc2!$O$4,,,$F$26*B299,1))+SUMPRODUCT((F314=OFFSET(Calc2!$G$4,,,$F$26*B299,1))*OFFSET(Calc2!$P$4,,,$F$26*B299,1))</f>
        <v>0</v>
      </c>
      <c r="P314" s="2"/>
      <c r="Q314" s="2"/>
      <c r="R314" s="13">
        <f t="shared" ca="1" si="56"/>
        <v>16499999019</v>
      </c>
      <c r="S314" s="134">
        <f>Tie_Break!$D$20</f>
        <v>0</v>
      </c>
      <c r="T314" s="9">
        <f ca="1">RANK(R314,R301:R320)+(9-S314)/10000+(F314="")*1000</f>
        <v>8.0008999999999997</v>
      </c>
      <c r="U314" s="2"/>
      <c r="V314" s="134">
        <f ca="1">IF($K$24=0,"",IF(VLOOKUP(B314,C301:E320,3,0)=MAX(V$4:V313),VLOOKUP(B314,C301:E320,3,0),B314))</f>
        <v>14</v>
      </c>
      <c r="W314" s="4" t="str">
        <f ca="1">IF($K$24=0,Calc2!$C$17,VLOOKUP(B314,C301:N320,4,0))</f>
        <v>FC Augsburg</v>
      </c>
      <c r="X314" s="1">
        <f ca="1">INDEX(V274:V293,MATCH(W314,W274:W293,0))</f>
        <v>13</v>
      </c>
      <c r="Y314" s="1">
        <f t="shared" ca="1" si="59"/>
        <v>-1</v>
      </c>
    </row>
    <row r="315" spans="2:25" x14ac:dyDescent="0.2">
      <c r="B315" s="1">
        <v>15</v>
      </c>
      <c r="C315" s="9">
        <f ca="1">RANK(D315,D301:D320,1)</f>
        <v>9</v>
      </c>
      <c r="D315" s="134">
        <f t="shared" ca="1" si="57"/>
        <v>9.3149999999999995</v>
      </c>
      <c r="E315" s="134">
        <f ca="1">RANK(T315,T301:T320,1)</f>
        <v>9</v>
      </c>
      <c r="F315" s="187" t="str">
        <f>Calc2!$C$18</f>
        <v>SV Werder Bremen</v>
      </c>
      <c r="G315" s="1">
        <f ca="1">SUMIFS(OFFSET(Calc2!$H$4,,,$F$26*B299,1),OFFSET(Calc2!$F$4,,,$F$26*B299,1),F315)+SUMIFS(OFFSET(Calc2!$I$4,,,$F$26*B299,1),OFFSET(Calc2!$G$4,,,$F$26*B299,1),F315)</f>
        <v>16</v>
      </c>
      <c r="H315" s="1">
        <f ca="1">SUMIFS(OFFSET(Calc2!$I$4,,,$F$26*B299,1),OFFSET(Calc2!$F$4,,,$F$26*B299,1),F315)+SUMIFS(OFFSET(Calc2!$H$4,,,$F$26*B299,1),OFFSET(Calc2!$G$4,,,$F$26*B299,1),F315)</f>
        <v>21</v>
      </c>
      <c r="I315" s="134">
        <f t="shared" ca="1" si="55"/>
        <v>-5</v>
      </c>
      <c r="J315" s="12">
        <f ca="1">L315*Settings!$C$3+M315+O315</f>
        <v>16</v>
      </c>
      <c r="K315" s="1">
        <f t="shared" ca="1" si="58"/>
        <v>12</v>
      </c>
      <c r="L315" s="1">
        <f t="array" aca="1" ref="L315" ca="1">SUMPRODUCT((OFFSET(Calc2!$F$4,,,$F$26*B299,1)=F315)*(OFFSET(Calc2!$H$4,,,$F$26*B299,1)&gt;OFFSET(Calc2!$I$4,,,$F$26*B299,1)))+SUMPRODUCT((OFFSET(Calc2!$G$4,,,$F$26*B299,1)=F315)*(OFFSET(Calc2!$H$4,,,$F$26*B299,1)&lt;OFFSET(Calc2!$I$4,,,$F$26*B299,1)))</f>
        <v>4</v>
      </c>
      <c r="M315" s="1">
        <f t="array" aca="1" ref="M315" ca="1">SUMPRODUCT((OFFSET(Calc2!$F$4,,,$F$26*B299,2)=F315)*(OFFSET(Calc2!$H$4,,,$F$26*B299,1)=OFFSET(Calc2!$I$4,,,$F$26*B299,1))*(OFFSET(Calc2!$H$4,,,$F$26*B299,1)&lt;&gt;"")*(OFFSET(Calc2!$I$4,,,$F$26*B299,1)&lt;&gt;""))</f>
        <v>4</v>
      </c>
      <c r="N315" s="1">
        <f t="array" aca="1" ref="N315" ca="1">SUMPRODUCT((OFFSET(Calc2!$F$4,,,$F$26*B299,1)=F315)*(OFFSET(Calc2!$H$4,,,$F$26*B299,1)&lt;OFFSET(Calc2!$I$4,,,$F$26*B299,1)))+SUMPRODUCT((OFFSET(Calc2!$G$4,,,$F$26*B299,1)=F315)*(OFFSET(Calc2!$H$4,,,$F$26*B299,1)&gt;OFFSET(Calc2!$I$4,,,$F$26*B299,1)))</f>
        <v>4</v>
      </c>
      <c r="O315" s="132">
        <f ca="1">SUMPRODUCT((F315=OFFSET(Calc2!$F$4,,,$F$26*B299,1))*OFFSET(Calc2!$O$4,,,$F$26*B299,1))+SUMPRODUCT((F315=OFFSET(Calc2!$G$4,,,$F$26*B299,1))*OFFSET(Calc2!$P$4,,,$F$26*B299,1))</f>
        <v>0</v>
      </c>
      <c r="P315" s="2"/>
      <c r="Q315" s="2"/>
      <c r="R315" s="13">
        <f t="shared" ca="1" si="56"/>
        <v>16499995016</v>
      </c>
      <c r="S315" s="134">
        <f>Tie_Break!$D$21</f>
        <v>0</v>
      </c>
      <c r="T315" s="9">
        <f ca="1">RANK(R315,R301:R320)+(9-S315)/10000+(F315="")*1000</f>
        <v>9.0008999999999997</v>
      </c>
      <c r="U315" s="2"/>
      <c r="V315" s="134">
        <f ca="1">IF($K$24=0,"",IF(VLOOKUP(B315,C301:E320,3,0)=MAX(V$4:V314),VLOOKUP(B315,C301:E320,3,0),B315))</f>
        <v>15</v>
      </c>
      <c r="W315" s="4" t="str">
        <f ca="1">IF($K$24=0,Calc2!$C$18,VLOOKUP(B315,C301:N320,4,0))</f>
        <v>VfL Wolfsburg</v>
      </c>
      <c r="X315" s="1">
        <f ca="1">INDEX(V274:V293,MATCH(W315,W274:W293,0))</f>
        <v>15</v>
      </c>
      <c r="Y315" s="1">
        <f t="shared" ca="1" si="59"/>
        <v>0</v>
      </c>
    </row>
    <row r="316" spans="2:25" x14ac:dyDescent="0.2">
      <c r="B316" s="1">
        <v>16</v>
      </c>
      <c r="C316" s="9">
        <f ca="1">RANK(D316,D301:D320,1)</f>
        <v>5</v>
      </c>
      <c r="D316" s="134">
        <f t="shared" ca="1" si="57"/>
        <v>5.3159999999999998</v>
      </c>
      <c r="E316" s="134">
        <f ca="1">RANK(T316,T301:T320,1)</f>
        <v>5</v>
      </c>
      <c r="F316" s="187" t="str">
        <f>Calc2!$C$19</f>
        <v>TSG Hoffenheim</v>
      </c>
      <c r="G316" s="1">
        <f ca="1">SUMIFS(OFFSET(Calc2!$H$4,,,$F$26*B299,1),OFFSET(Calc2!$F$4,,,$F$26*B299,1),F316)+SUMIFS(OFFSET(Calc2!$I$4,,,$F$26*B299,1),OFFSET(Calc2!$G$4,,,$F$26*B299,1),F316)</f>
        <v>25</v>
      </c>
      <c r="H316" s="1">
        <f ca="1">SUMIFS(OFFSET(Calc2!$I$4,,,$F$26*B299,1),OFFSET(Calc2!$F$4,,,$F$26*B299,1),F316)+SUMIFS(OFFSET(Calc2!$H$4,,,$F$26*B299,1),OFFSET(Calc2!$G$4,,,$F$26*B299,1),F316)</f>
        <v>17</v>
      </c>
      <c r="I316" s="134">
        <f t="shared" ca="1" si="55"/>
        <v>8</v>
      </c>
      <c r="J316" s="12">
        <f ca="1">L316*Settings!$C$3+M316+O316</f>
        <v>23</v>
      </c>
      <c r="K316" s="1">
        <f t="shared" ca="1" si="58"/>
        <v>12</v>
      </c>
      <c r="L316" s="1">
        <f t="array" aca="1" ref="L316" ca="1">SUMPRODUCT((OFFSET(Calc2!$F$4,,,$F$26*B299,1)=F316)*(OFFSET(Calc2!$H$4,,,$F$26*B299,1)&gt;OFFSET(Calc2!$I$4,,,$F$26*B299,1)))+SUMPRODUCT((OFFSET(Calc2!$G$4,,,$F$26*B299,1)=F316)*(OFFSET(Calc2!$H$4,,,$F$26*B299,1)&lt;OFFSET(Calc2!$I$4,,,$F$26*B299,1)))</f>
        <v>7</v>
      </c>
      <c r="M316" s="1">
        <f t="array" aca="1" ref="M316" ca="1">SUMPRODUCT((OFFSET(Calc2!$F$4,,,$F$26*B299,2)=F316)*(OFFSET(Calc2!$H$4,,,$F$26*B299,1)=OFFSET(Calc2!$I$4,,,$F$26*B299,1))*(OFFSET(Calc2!$H$4,,,$F$26*B299,1)&lt;&gt;"")*(OFFSET(Calc2!$I$4,,,$F$26*B299,1)&lt;&gt;""))</f>
        <v>2</v>
      </c>
      <c r="N316" s="1">
        <f t="array" aca="1" ref="N316" ca="1">SUMPRODUCT((OFFSET(Calc2!$F$4,,,$F$26*B299,1)=F316)*(OFFSET(Calc2!$H$4,,,$F$26*B299,1)&lt;OFFSET(Calc2!$I$4,,,$F$26*B299,1)))+SUMPRODUCT((OFFSET(Calc2!$G$4,,,$F$26*B299,1)=F316)*(OFFSET(Calc2!$H$4,,,$F$26*B299,1)&gt;OFFSET(Calc2!$I$4,,,$F$26*B299,1)))</f>
        <v>3</v>
      </c>
      <c r="O316" s="132">
        <f ca="1">SUMPRODUCT((F316=OFFSET(Calc2!$F$4,,,$F$26*B299,1))*OFFSET(Calc2!$O$4,,,$F$26*B299,1))+SUMPRODUCT((F316=OFFSET(Calc2!$G$4,,,$F$26*B299,1))*OFFSET(Calc2!$P$4,,,$F$26*B299,1))</f>
        <v>0</v>
      </c>
      <c r="P316" s="2"/>
      <c r="Q316" s="2"/>
      <c r="R316" s="13">
        <f t="shared" ca="1" si="56"/>
        <v>23500008025</v>
      </c>
      <c r="S316" s="134">
        <f>Tie_Break!$D$22</f>
        <v>0</v>
      </c>
      <c r="T316" s="9">
        <f ca="1">RANK(R316,R301:R320)+(9-S316)/10000+(F316="")*1000</f>
        <v>5.0008999999999997</v>
      </c>
      <c r="U316" s="2"/>
      <c r="V316" s="134">
        <f ca="1">IF($K$24=0,"",IF(VLOOKUP(B316,C301:E320,3,0)=MAX(V$4:V315),VLOOKUP(B316,C301:E320,3,0),B316))</f>
        <v>16</v>
      </c>
      <c r="W316" s="4" t="str">
        <f ca="1">IF($K$24=0,Calc2!$C$19,VLOOKUP(B316,C301:N320,4,0))</f>
        <v>1. FC Heidenheim 1846</v>
      </c>
      <c r="X316" s="1">
        <f ca="1">INDEX(V274:V293,MATCH(W316,W274:W293,0))</f>
        <v>18</v>
      </c>
      <c r="Y316" s="1">
        <f t="shared" ca="1" si="59"/>
        <v>1</v>
      </c>
    </row>
    <row r="317" spans="2:25" x14ac:dyDescent="0.2">
      <c r="B317" s="1">
        <v>17</v>
      </c>
      <c r="C317" s="9">
        <f ca="1">RANK(D317,D301:D320,1)</f>
        <v>6</v>
      </c>
      <c r="D317" s="134">
        <f t="shared" ca="1" si="57"/>
        <v>6.3170000000000002</v>
      </c>
      <c r="E317" s="134">
        <f ca="1">RANK(T317,T301:T320,1)</f>
        <v>6</v>
      </c>
      <c r="F317" s="187" t="str">
        <f>Calc2!$C$20</f>
        <v>VfB Stuttgart</v>
      </c>
      <c r="G317" s="1">
        <f ca="1">SUMIFS(OFFSET(Calc2!$H$4,,,$F$26*B299,1),OFFSET(Calc2!$F$4,,,$F$26*B299,1),F317)+SUMIFS(OFFSET(Calc2!$I$4,,,$F$26*B299,1),OFFSET(Calc2!$G$4,,,$F$26*B299,1),F317)</f>
        <v>21</v>
      </c>
      <c r="H317" s="1">
        <f ca="1">SUMIFS(OFFSET(Calc2!$I$4,,,$F$26*B299,1),OFFSET(Calc2!$F$4,,,$F$26*B299,1),F317)+SUMIFS(OFFSET(Calc2!$H$4,,,$F$26*B299,1),OFFSET(Calc2!$G$4,,,$F$26*B299,1),F317)</f>
        <v>17</v>
      </c>
      <c r="I317" s="134">
        <f t="shared" ca="1" si="55"/>
        <v>4</v>
      </c>
      <c r="J317" s="12">
        <f ca="1">L317*Settings!$C$3+M317+O317</f>
        <v>22</v>
      </c>
      <c r="K317" s="1">
        <f t="shared" ca="1" si="58"/>
        <v>12</v>
      </c>
      <c r="L317" s="1">
        <f t="array" aca="1" ref="L317" ca="1">SUMPRODUCT((OFFSET(Calc2!$F$4,,,$F$26*B299,1)=F317)*(OFFSET(Calc2!$H$4,,,$F$26*B299,1)&gt;OFFSET(Calc2!$I$4,,,$F$26*B299,1)))+SUMPRODUCT((OFFSET(Calc2!$G$4,,,$F$26*B299,1)=F317)*(OFFSET(Calc2!$H$4,,,$F$26*B299,1)&lt;OFFSET(Calc2!$I$4,,,$F$26*B299,1)))</f>
        <v>7</v>
      </c>
      <c r="M317" s="1">
        <f t="array" aca="1" ref="M317" ca="1">SUMPRODUCT((OFFSET(Calc2!$F$4,,,$F$26*B299,2)=F317)*(OFFSET(Calc2!$H$4,,,$F$26*B299,1)=OFFSET(Calc2!$I$4,,,$F$26*B299,1))*(OFFSET(Calc2!$H$4,,,$F$26*B299,1)&lt;&gt;"")*(OFFSET(Calc2!$I$4,,,$F$26*B299,1)&lt;&gt;""))</f>
        <v>1</v>
      </c>
      <c r="N317" s="1">
        <f t="array" aca="1" ref="N317" ca="1">SUMPRODUCT((OFFSET(Calc2!$F$4,,,$F$26*B299,1)=F317)*(OFFSET(Calc2!$H$4,,,$F$26*B299,1)&lt;OFFSET(Calc2!$I$4,,,$F$26*B299,1)))+SUMPRODUCT((OFFSET(Calc2!$G$4,,,$F$26*B299,1)=F317)*(OFFSET(Calc2!$H$4,,,$F$26*B299,1)&gt;OFFSET(Calc2!$I$4,,,$F$26*B299,1)))</f>
        <v>4</v>
      </c>
      <c r="O317" s="132">
        <f ca="1">SUMPRODUCT((F317=OFFSET(Calc2!$F$4,,,$F$26*B299,1))*OFFSET(Calc2!$O$4,,,$F$26*B299,1))+SUMPRODUCT((F317=OFFSET(Calc2!$G$4,,,$F$26*B299,1))*OFFSET(Calc2!$P$4,,,$F$26*B299,1))</f>
        <v>0</v>
      </c>
      <c r="P317" s="2"/>
      <c r="Q317" s="2"/>
      <c r="R317" s="13">
        <f t="shared" ca="1" si="56"/>
        <v>22500004021</v>
      </c>
      <c r="S317" s="134">
        <f>Tie_Break!$D$23</f>
        <v>0</v>
      </c>
      <c r="T317" s="9">
        <f ca="1">RANK(R317,R301:R320)+(9-S317)/10000+(F317="")*1000</f>
        <v>6.0008999999999997</v>
      </c>
      <c r="U317" s="2"/>
      <c r="V317" s="134">
        <f ca="1">IF($K$24=0,"",IF(VLOOKUP(B317,C301:E320,3,0)=MAX(V$4:V316),VLOOKUP(B317,C301:E320,3,0),B317))</f>
        <v>17</v>
      </c>
      <c r="W317" s="4" t="str">
        <f ca="1">IF($K$24=0,Calc2!$C$20,VLOOKUP(B317,C301:N320,4,0))</f>
        <v>FC St. Pauli</v>
      </c>
      <c r="X317" s="1">
        <f ca="1">INDEX(V274:V293,MATCH(W317,W274:W293,0))</f>
        <v>16</v>
      </c>
      <c r="Y317" s="1">
        <f t="shared" ca="1" si="59"/>
        <v>-1</v>
      </c>
    </row>
    <row r="318" spans="2:25" x14ac:dyDescent="0.2">
      <c r="B318" s="1">
        <v>18</v>
      </c>
      <c r="C318" s="9">
        <f ca="1">RANK(D318,D301:D320,1)</f>
        <v>15</v>
      </c>
      <c r="D318" s="134">
        <f t="shared" ca="1" si="57"/>
        <v>15.318</v>
      </c>
      <c r="E318" s="134">
        <f ca="1">RANK(T318,T301:T320,1)</f>
        <v>15</v>
      </c>
      <c r="F318" s="187" t="str">
        <f>Calc2!$C$21</f>
        <v>VfL Wolfsburg</v>
      </c>
      <c r="G318" s="1">
        <f ca="1">SUMIFS(OFFSET(Calc2!$H$4,,,$F$26*B299,1),OFFSET(Calc2!$F$4,,,$F$26*B299,1),F318)+SUMIFS(OFFSET(Calc2!$I$4,,,$F$26*B299,1),OFFSET(Calc2!$G$4,,,$F$26*B299,1),F318)</f>
        <v>14</v>
      </c>
      <c r="H318" s="1">
        <f ca="1">SUMIFS(OFFSET(Calc2!$I$4,,,$F$26*B299,1),OFFSET(Calc2!$F$4,,,$F$26*B299,1),F318)+SUMIFS(OFFSET(Calc2!$H$4,,,$F$26*B299,1),OFFSET(Calc2!$G$4,,,$F$26*B299,1),F318)</f>
        <v>22</v>
      </c>
      <c r="I318" s="134">
        <f t="shared" ca="1" si="55"/>
        <v>-8</v>
      </c>
      <c r="J318" s="12">
        <f ca="1">L318*Settings!$C$3+M318+O318</f>
        <v>9</v>
      </c>
      <c r="K318" s="1">
        <f t="shared" ca="1" si="58"/>
        <v>12</v>
      </c>
      <c r="L318" s="1">
        <f t="array" aca="1" ref="L318" ca="1">SUMPRODUCT((OFFSET(Calc2!$F$4,,,$F$26*B299,1)=F318)*(OFFSET(Calc2!$H$4,,,$F$26*B299,1)&gt;OFFSET(Calc2!$I$4,,,$F$26*B299,1)))+SUMPRODUCT((OFFSET(Calc2!$G$4,,,$F$26*B299,1)=F318)*(OFFSET(Calc2!$H$4,,,$F$26*B299,1)&lt;OFFSET(Calc2!$I$4,,,$F$26*B299,1)))</f>
        <v>2</v>
      </c>
      <c r="M318" s="1">
        <f t="array" aca="1" ref="M318" ca="1">SUMPRODUCT((OFFSET(Calc2!$F$4,,,$F$26*B299,2)=F318)*(OFFSET(Calc2!$H$4,,,$F$26*B299,1)=OFFSET(Calc2!$I$4,,,$F$26*B299,1))*(OFFSET(Calc2!$H$4,,,$F$26*B299,1)&lt;&gt;"")*(OFFSET(Calc2!$I$4,,,$F$26*B299,1)&lt;&gt;""))</f>
        <v>3</v>
      </c>
      <c r="N318" s="1">
        <f t="array" aca="1" ref="N318" ca="1">SUMPRODUCT((OFFSET(Calc2!$F$4,,,$F$26*B299,1)=F318)*(OFFSET(Calc2!$H$4,,,$F$26*B299,1)&lt;OFFSET(Calc2!$I$4,,,$F$26*B299,1)))+SUMPRODUCT((OFFSET(Calc2!$G$4,,,$F$26*B299,1)=F318)*(OFFSET(Calc2!$H$4,,,$F$26*B299,1)&gt;OFFSET(Calc2!$I$4,,,$F$26*B299,1)))</f>
        <v>7</v>
      </c>
      <c r="O318" s="132">
        <f ca="1">SUMPRODUCT((F318=OFFSET(Calc2!$F$4,,,$F$26*B299,1))*OFFSET(Calc2!$O$4,,,$F$26*B299,1))+SUMPRODUCT((F318=OFFSET(Calc2!$G$4,,,$F$26*B299,1))*OFFSET(Calc2!$P$4,,,$F$26*B299,1))</f>
        <v>0</v>
      </c>
      <c r="P318" s="2"/>
      <c r="Q318" s="2"/>
      <c r="R318" s="13">
        <f t="shared" ca="1" si="56"/>
        <v>9499992014</v>
      </c>
      <c r="S318" s="134">
        <f>Tie_Break!$D$24</f>
        <v>0</v>
      </c>
      <c r="T318" s="9">
        <f ca="1">RANK(R318,R301:R320)+(9-S318)/10000+(F318="")*1000</f>
        <v>15.0009</v>
      </c>
      <c r="U318" s="2"/>
      <c r="V318" s="134">
        <f ca="1">IF($K$24=0,"",IF(VLOOKUP(B318,C301:E320,3,0)=MAX(V$4:V317),VLOOKUP(B318,C301:E320,3,0),B318))</f>
        <v>18</v>
      </c>
      <c r="W318" s="4" t="str">
        <f ca="1">IF($K$24=0,Calc2!$C$21,VLOOKUP(B318,C301:N320,4,0))</f>
        <v>1. FSV Mainz 05</v>
      </c>
      <c r="X318" s="1">
        <f ca="1">INDEX(V274:V293,MATCH(W318,W274:W293,0))</f>
        <v>17</v>
      </c>
      <c r="Y318" s="1">
        <f t="shared" ca="1" si="59"/>
        <v>-1</v>
      </c>
    </row>
    <row r="319" spans="2:25" x14ac:dyDescent="0.2">
      <c r="B319" s="1">
        <v>19</v>
      </c>
      <c r="C319" s="9">
        <f ca="1">RANK(D319,D301:D320,1)</f>
        <v>19</v>
      </c>
      <c r="D319" s="134">
        <f t="shared" ca="1" si="57"/>
        <v>19.318999999999999</v>
      </c>
      <c r="E319" s="134">
        <f ca="1">RANK(T319,T301:T320,1)</f>
        <v>19</v>
      </c>
      <c r="F319" s="187" t="str">
        <f>Calc2!$C$22</f>
        <v/>
      </c>
      <c r="G319" s="1">
        <f ca="1">SUMIFS(OFFSET(Calc2!$H$4,,,$F$26*B299,1),OFFSET(Calc2!$F$4,,,$F$26*B299,1),F319)+SUMIFS(OFFSET(Calc2!$I$4,,,$F$26*B299,1),OFFSET(Calc2!$G$4,,,$F$26*B299,1),F319)</f>
        <v>0</v>
      </c>
      <c r="H319" s="1">
        <f ca="1">SUMIFS(OFFSET(Calc2!$I$4,,,$F$26*B299,1),OFFSET(Calc2!$F$4,,,$F$26*B299,1),F319)+SUMIFS(OFFSET(Calc2!$H$4,,,$F$26*B299,1),OFFSET(Calc2!$G$4,,,$F$26*B299,1),F319)</f>
        <v>0</v>
      </c>
      <c r="I319" s="134">
        <f t="shared" ca="1" si="55"/>
        <v>0</v>
      </c>
      <c r="J319" s="12">
        <f ca="1">L319*Settings!$C$3+M319+O319</f>
        <v>0</v>
      </c>
      <c r="K319" s="1">
        <f t="shared" ca="1" si="58"/>
        <v>0</v>
      </c>
      <c r="L319" s="1">
        <f t="array" aca="1" ref="L319" ca="1">SUMPRODUCT((OFFSET(Calc2!$F$4,,,$F$26*B299,1)=F319)*(OFFSET(Calc2!$H$4,,,$F$26*B299,1)&gt;OFFSET(Calc2!$I$4,,,$F$26*B299,1)))+SUMPRODUCT((OFFSET(Calc2!$G$4,,,$F$26*B299,1)=F319)*(OFFSET(Calc2!$H$4,,,$F$26*B299,1)&lt;OFFSET(Calc2!$I$4,,,$F$26*B299,1)))</f>
        <v>0</v>
      </c>
      <c r="M319" s="1">
        <f t="array" aca="1" ref="M319" ca="1">SUMPRODUCT((OFFSET(Calc2!$F$4,,,$F$26*B299,2)=F319)*(OFFSET(Calc2!$H$4,,,$F$26*B299,1)=OFFSET(Calc2!$I$4,,,$F$26*B299,1))*(OFFSET(Calc2!$H$4,,,$F$26*B299,1)&lt;&gt;"")*(OFFSET(Calc2!$I$4,,,$F$26*B299,1)&lt;&gt;""))</f>
        <v>0</v>
      </c>
      <c r="N319" s="1">
        <f t="array" aca="1" ref="N319" ca="1">SUMPRODUCT((OFFSET(Calc2!$F$4,,,$F$26*B299,1)=F319)*(OFFSET(Calc2!$H$4,,,$F$26*B299,1)&lt;OFFSET(Calc2!$I$4,,,$F$26*B299,1)))+SUMPRODUCT((OFFSET(Calc2!$G$4,,,$F$26*B299,1)=F319)*(OFFSET(Calc2!$H$4,,,$F$26*B299,1)&gt;OFFSET(Calc2!$I$4,,,$F$26*B299,1)))</f>
        <v>0</v>
      </c>
      <c r="O319" s="132">
        <f ca="1">SUMPRODUCT((F319=OFFSET(Calc2!$F$4,,,$F$26*B299,1))*OFFSET(Calc2!$O$4,,,$F$26*B299,1))+SUMPRODUCT((F319=OFFSET(Calc2!$G$4,,,$F$26*B299,1))*OFFSET(Calc2!$P$4,,,$F$26*B299,1))</f>
        <v>0</v>
      </c>
      <c r="P319" s="2"/>
      <c r="Q319" s="2"/>
      <c r="R319" s="13">
        <f t="shared" ca="1" si="56"/>
        <v>500000000</v>
      </c>
      <c r="S319" s="134">
        <f>Tie_Break!$D$25</f>
        <v>0</v>
      </c>
      <c r="T319" s="9">
        <f ca="1">RANK(R319,R301:R320)+(9-S319)/10000+(F319="")*1000</f>
        <v>1019.0009</v>
      </c>
      <c r="U319" s="2"/>
      <c r="V319" s="134">
        <f ca="1">IF($K$24=0,"",IF(VLOOKUP(B319,C301:E320,3,0)=MAX(V$4:V318),VLOOKUP(B319,C301:E320,3,0),B319))</f>
        <v>19</v>
      </c>
      <c r="W319" s="4" t="str">
        <f ca="1">IF($K$24=0,Calc2!$C$22,VLOOKUP(B319,C301:N320,4,0))</f>
        <v/>
      </c>
      <c r="X319" s="1">
        <f ca="1">INDEX(V274:V293,MATCH(W319,W274:W293,0))</f>
        <v>19</v>
      </c>
      <c r="Y319" s="1">
        <f t="shared" ca="1" si="59"/>
        <v>0</v>
      </c>
    </row>
    <row r="320" spans="2:25" ht="12.75" thickBot="1" x14ac:dyDescent="0.25">
      <c r="B320" s="1">
        <v>20</v>
      </c>
      <c r="C320" s="10">
        <f ca="1">RANK(D320,D301:D320,1)</f>
        <v>20</v>
      </c>
      <c r="D320" s="134">
        <f t="shared" ca="1" si="57"/>
        <v>19.32</v>
      </c>
      <c r="E320" s="134">
        <f ca="1">RANK(T320,T301:T320,1)</f>
        <v>19</v>
      </c>
      <c r="F320" s="187" t="str">
        <f>Calc2!$C$23</f>
        <v/>
      </c>
      <c r="G320" s="1">
        <f ca="1">SUMIFS(OFFSET(Calc2!$H$4,,,$F$26*B299,1),OFFSET(Calc2!$F$4,,,$F$26*B299,1),F320)+SUMIFS(OFFSET(Calc2!$I$4,,,$F$26*B299,1),OFFSET(Calc2!$G$4,,,$F$26*B299,1),F320)</f>
        <v>0</v>
      </c>
      <c r="H320" s="1">
        <f ca="1">SUMIFS(OFFSET(Calc2!$I$4,,,$F$26*B299,1),OFFSET(Calc2!$F$4,,,$F$26*B299,1),F320)+SUMIFS(OFFSET(Calc2!$H$4,,,$F$26*B299,1),OFFSET(Calc2!$G$4,,,$F$26*B299,1),F320)</f>
        <v>0</v>
      </c>
      <c r="I320" s="134">
        <f t="shared" ca="1" si="55"/>
        <v>0</v>
      </c>
      <c r="J320" s="12">
        <f ca="1">L320*Settings!$C$3+M320+O320</f>
        <v>0</v>
      </c>
      <c r="K320" s="1">
        <f t="shared" ca="1" si="58"/>
        <v>0</v>
      </c>
      <c r="L320" s="1">
        <f t="array" aca="1" ref="L320" ca="1">SUMPRODUCT((OFFSET(Calc2!$F$4,,,$F$26*B299,1)=F320)*(OFFSET(Calc2!$H$4,,,$F$26*B299,1)&gt;OFFSET(Calc2!$I$4,,,$F$26*B299,1)))+SUMPRODUCT((OFFSET(Calc2!$G$4,,,$F$26*B299,1)=F320)*(OFFSET(Calc2!$H$4,,,$F$26*B299,1)&lt;OFFSET(Calc2!$I$4,,,$F$26*B299,1)))</f>
        <v>0</v>
      </c>
      <c r="M320" s="1">
        <f t="array" aca="1" ref="M320" ca="1">SUMPRODUCT((OFFSET(Calc2!$F$4,,,$F$26*B299,2)=F320)*(OFFSET(Calc2!$H$4,,,$F$26*B299,1)=OFFSET(Calc2!$I$4,,,$F$26*B299,1))*(OFFSET(Calc2!$H$4,,,$F$26*B299,1)&lt;&gt;"")*(OFFSET(Calc2!$I$4,,,$F$26*B299,1)&lt;&gt;""))</f>
        <v>0</v>
      </c>
      <c r="N320" s="1">
        <f t="array" aca="1" ref="N320" ca="1">SUMPRODUCT((OFFSET(Calc2!$F$4,,,$F$26*B299,1)=F320)*(OFFSET(Calc2!$H$4,,,$F$26*B299,1)&lt;OFFSET(Calc2!$I$4,,,$F$26*B299,1)))+SUMPRODUCT((OFFSET(Calc2!$G$4,,,$F$26*B299,1)=F320)*(OFFSET(Calc2!$H$4,,,$F$26*B299,1)&gt;OFFSET(Calc2!$I$4,,,$F$26*B299,1)))</f>
        <v>0</v>
      </c>
      <c r="O320" s="132">
        <f ca="1">SUMPRODUCT((F320=OFFSET(Calc2!$F$4,,,$F$26*B299,1))*OFFSET(Calc2!$O$4,,,$F$26*B299,1))+SUMPRODUCT((F320=OFFSET(Calc2!$G$4,,,$F$26*B299,1))*OFFSET(Calc2!$P$4,,,$F$26*B299,1))</f>
        <v>0</v>
      </c>
      <c r="P320" s="2"/>
      <c r="Q320" s="2"/>
      <c r="R320" s="13">
        <f t="shared" ca="1" si="56"/>
        <v>500000000</v>
      </c>
      <c r="S320" s="134">
        <f>Tie_Break!$D$26</f>
        <v>0</v>
      </c>
      <c r="T320" s="10">
        <f ca="1">RANK(R320,R301:R320)+(9-S320)/10000+(F320="")*1000</f>
        <v>1019.0009</v>
      </c>
      <c r="U320" s="2"/>
      <c r="V320" s="134">
        <f ca="1">IF($K$24=0,"",IF(VLOOKUP(B320,C301:E320,3,0)=MAX(V$4:V319),VLOOKUP(B320,C301:E320,3,0),B320))</f>
        <v>19</v>
      </c>
      <c r="W320" s="4" t="str">
        <f ca="1">IF($K$24=0,Calc2!$C$23,VLOOKUP(B320,C301:N320,4,0))</f>
        <v/>
      </c>
      <c r="X320" s="1">
        <f ca="1">INDEX(V274:V293,MATCH(W320,W274:W293,0))</f>
        <v>19</v>
      </c>
      <c r="Y320" s="1">
        <f t="shared" ca="1" si="59"/>
        <v>0</v>
      </c>
    </row>
    <row r="321" spans="2:25" ht="12.75" thickTop="1" x14ac:dyDescent="0.2">
      <c r="X321" s="1"/>
      <c r="Y321" s="1"/>
    </row>
    <row r="322" spans="2:25" x14ac:dyDescent="0.2">
      <c r="X322" s="1"/>
      <c r="Y322" s="1"/>
    </row>
    <row r="323" spans="2:25" x14ac:dyDescent="0.2">
      <c r="X323" s="1"/>
      <c r="Y323" s="1"/>
    </row>
    <row r="324" spans="2:25" x14ac:dyDescent="0.2">
      <c r="X324" s="1"/>
      <c r="Y324" s="1"/>
    </row>
    <row r="325" spans="2:25" ht="12.75" thickBot="1" x14ac:dyDescent="0.25">
      <c r="X325" s="1"/>
      <c r="Y325" s="1"/>
    </row>
    <row r="326" spans="2:25" ht="12.75" thickBot="1" x14ac:dyDescent="0.25">
      <c r="B326" s="410">
        <v>13</v>
      </c>
      <c r="C326" s="134"/>
      <c r="D326" s="134"/>
      <c r="E326" s="134"/>
      <c r="F326" s="187"/>
      <c r="G326" s="1"/>
      <c r="H326" s="1"/>
      <c r="I326" s="1"/>
      <c r="J326" s="1"/>
      <c r="K326" s="1"/>
      <c r="L326" s="1"/>
      <c r="M326" s="1"/>
      <c r="N326" s="134"/>
      <c r="O326" s="1"/>
      <c r="P326" s="1"/>
      <c r="Q326" s="1"/>
      <c r="R326" s="2"/>
      <c r="S326" s="2"/>
      <c r="T326" s="2"/>
      <c r="U326" s="2"/>
      <c r="V326" s="2"/>
      <c r="W326" s="2"/>
      <c r="X326" s="1"/>
      <c r="Y326" s="1"/>
    </row>
    <row r="327" spans="2:25" ht="15.75" thickBot="1" x14ac:dyDescent="0.25">
      <c r="B327" s="1"/>
      <c r="C327" s="134"/>
      <c r="D327" s="134"/>
      <c r="E327" s="134"/>
      <c r="F327" s="11" t="s">
        <v>90</v>
      </c>
      <c r="G327" s="42" t="s">
        <v>95</v>
      </c>
      <c r="H327" s="42" t="s">
        <v>96</v>
      </c>
      <c r="I327" s="11" t="s">
        <v>97</v>
      </c>
      <c r="J327" s="11" t="s">
        <v>98</v>
      </c>
      <c r="K327" s="11" t="s">
        <v>91</v>
      </c>
      <c r="L327" s="12" t="s">
        <v>92</v>
      </c>
      <c r="M327" s="12" t="s">
        <v>93</v>
      </c>
      <c r="N327" s="12" t="s">
        <v>94</v>
      </c>
      <c r="O327" s="12" t="s">
        <v>534</v>
      </c>
      <c r="P327" s="2"/>
      <c r="Q327" s="11"/>
      <c r="R327" s="133" t="s">
        <v>99</v>
      </c>
      <c r="S327" s="6" t="s">
        <v>483</v>
      </c>
      <c r="T327" s="120" t="s">
        <v>146</v>
      </c>
      <c r="U327" s="134"/>
      <c r="V327" s="134"/>
      <c r="W327" s="132"/>
      <c r="X327" s="120" t="s">
        <v>575</v>
      </c>
      <c r="Y327" s="1"/>
    </row>
    <row r="328" spans="2:25" ht="12.75" thickTop="1" x14ac:dyDescent="0.2">
      <c r="B328" s="1">
        <v>1</v>
      </c>
      <c r="C328" s="8">
        <f ca="1">RANK(D328,D328:D347,1)</f>
        <v>16</v>
      </c>
      <c r="D328" s="134">
        <f ca="1">E328+ROW()/1000</f>
        <v>16.327999999999999</v>
      </c>
      <c r="E328" s="134">
        <f ca="1">RANK(T328,T328:T347,1)</f>
        <v>16</v>
      </c>
      <c r="F328" s="187" t="str">
        <f>Calc2!$C$4</f>
        <v>1. FC Heidenheim 1846</v>
      </c>
      <c r="G328" s="1">
        <f ca="1">SUMIFS(OFFSET(Calc2!$H$4,,,$F$26*B326,1),OFFSET(Calc2!$F$4,,,$F$26*B326,1),F328)+SUMIFS(OFFSET(Calc2!$I$4,,,$F$26*B326,1),OFFSET(Calc2!$G$4,,,$F$26*B326,1),F328)</f>
        <v>12</v>
      </c>
      <c r="H328" s="1">
        <f ca="1">SUMIFS(OFFSET(Calc2!$I$4,,,$F$26*B326,1),OFFSET(Calc2!$F$4,,,$F$26*B326,1),F328)+SUMIFS(OFFSET(Calc2!$H$4,,,$F$26*B326,1),OFFSET(Calc2!$G$4,,,$F$26*B326,1),F328)</f>
        <v>28</v>
      </c>
      <c r="I328" s="134">
        <f t="shared" ref="I328:I347" ca="1" si="60">G328-H328</f>
        <v>-16</v>
      </c>
      <c r="J328" s="12">
        <f ca="1">L328*Settings!$C$3+M328+O328</f>
        <v>11</v>
      </c>
      <c r="K328" s="1">
        <f ca="1">L328+M328+N328</f>
        <v>13</v>
      </c>
      <c r="L328" s="1">
        <f t="array" aca="1" ref="L328" ca="1">SUMPRODUCT((OFFSET(Calc2!$F$4,,,$F$26*B326,1)=F328)*(OFFSET(Calc2!$H$4,,,$F$26*B326,1)&gt;OFFSET(Calc2!$I$4,,,$F$26*B326,1)))+SUMPRODUCT((OFFSET(Calc2!$G$4,,,$F$26*B326,1)=F328)*(OFFSET(Calc2!$H$4,,,$F$26*B326,1)&lt;OFFSET(Calc2!$I$4,,,$F$26*B326,1)))</f>
        <v>3</v>
      </c>
      <c r="M328" s="1">
        <f t="array" aca="1" ref="M328" ca="1">SUMPRODUCT((OFFSET(Calc2!$F$4,,,$F$26*B326,2)=F328)*(OFFSET(Calc2!$H$4,,,$F$26*B326,1)=OFFSET(Calc2!$I$4,,,$F$26*B326,1))*(OFFSET(Calc2!$H$4,,,$F$26*B326,1)&lt;&gt;"")*(OFFSET(Calc2!$I$4,,,$F$26*B326,1)&lt;&gt;""))</f>
        <v>2</v>
      </c>
      <c r="N328" s="1">
        <f t="array" aca="1" ref="N328" ca="1">SUMPRODUCT((OFFSET(Calc2!$F$4,,,$F$26*B326,1)=F328)*(OFFSET(Calc2!$H$4,,,$F$26*B326,1)&lt;OFFSET(Calc2!$I$4,,,$F$26*B326,1)))+SUMPRODUCT((OFFSET(Calc2!$G$4,,,$F$26*B326,1)=F328)*(OFFSET(Calc2!$H$4,,,$F$26*B326,1)&gt;OFFSET(Calc2!$I$4,,,$F$26*B326,1)))</f>
        <v>8</v>
      </c>
      <c r="O328" s="132">
        <f ca="1">SUMPRODUCT((F328=OFFSET(Calc2!$F$4,,,$F$26*B326,1))*OFFSET(Calc2!$O$4,,,$F$26*B326,1))+SUMPRODUCT((F328=OFFSET(Calc2!$G$4,,,$F$26*B326,1))*OFFSET(Calc2!$P$4,,,$F$26*B326,1))</f>
        <v>0</v>
      </c>
      <c r="P328" s="2"/>
      <c r="Q328" s="2"/>
      <c r="R328" s="13">
        <f t="shared" ref="R328:R347" ca="1" si="61">J328*FactorPts+(I328+GDzero)*FactorGD+G328*FactorGF</f>
        <v>11499984012</v>
      </c>
      <c r="S328" s="134">
        <f>Tie_Break!$D$7</f>
        <v>0</v>
      </c>
      <c r="T328" s="8">
        <f ca="1">RANK(R328,R328:R347)+(9-S328)/10000+(F328="")*1000</f>
        <v>16.000900000000001</v>
      </c>
      <c r="U328" s="134"/>
      <c r="V328" s="134">
        <f ca="1">IF($K$24=0,"",1)</f>
        <v>1</v>
      </c>
      <c r="W328" s="4" t="str">
        <f ca="1">IF($K$24=0,Calc2!$C$4,VLOOKUP(B328,C328:N347,4,0))</f>
        <v>FC Bayern München</v>
      </c>
      <c r="X328" s="1">
        <f ca="1">INDEX(V301:V320,MATCH(W328,W301:W320,0))</f>
        <v>1</v>
      </c>
      <c r="Y328" s="1">
        <f ca="1">IF(X328&gt;V328,1,IF(X328&lt;V328,-1,0))</f>
        <v>0</v>
      </c>
    </row>
    <row r="329" spans="2:25" x14ac:dyDescent="0.2">
      <c r="B329" s="1">
        <v>2</v>
      </c>
      <c r="C329" s="9">
        <f ca="1">RANK(D329,D328:D347,1)</f>
        <v>8</v>
      </c>
      <c r="D329" s="134">
        <f t="shared" ref="D329:D347" ca="1" si="62">E329+ROW()/1000</f>
        <v>8.3290000000000006</v>
      </c>
      <c r="E329" s="134">
        <f ca="1">RANK(T329,T328:T347,1)</f>
        <v>8</v>
      </c>
      <c r="F329" s="187" t="str">
        <f>Calc2!$C$5</f>
        <v>1. FC Köln</v>
      </c>
      <c r="G329" s="1">
        <f ca="1">SUMIFS(OFFSET(Calc2!$H$4,,,$F$26*B326,1),OFFSET(Calc2!$F$4,,,$F$26*B326,1),F329)+SUMIFS(OFFSET(Calc2!$I$4,,,$F$26*B326,1),OFFSET(Calc2!$G$4,,,$F$26*B326,1),F329)</f>
        <v>22</v>
      </c>
      <c r="H329" s="1">
        <f ca="1">SUMIFS(OFFSET(Calc2!$I$4,,,$F$26*B326,1),OFFSET(Calc2!$F$4,,,$F$26*B326,1),F329)+SUMIFS(OFFSET(Calc2!$H$4,,,$F$26*B326,1),OFFSET(Calc2!$G$4,,,$F$26*B326,1),F329)</f>
        <v>21</v>
      </c>
      <c r="I329" s="134">
        <f t="shared" ca="1" si="60"/>
        <v>1</v>
      </c>
      <c r="J329" s="12">
        <f ca="1">L329*Settings!$C$3+M329+O329</f>
        <v>16</v>
      </c>
      <c r="K329" s="1">
        <f t="shared" ref="K329:K347" ca="1" si="63">L329+M329+N329</f>
        <v>13</v>
      </c>
      <c r="L329" s="1">
        <f t="array" aca="1" ref="L329" ca="1">SUMPRODUCT((OFFSET(Calc2!$F$4,,,$F$26*B326,1)=F329)*(OFFSET(Calc2!$H$4,,,$F$26*B326,1)&gt;OFFSET(Calc2!$I$4,,,$F$26*B326,1)))+SUMPRODUCT((OFFSET(Calc2!$G$4,,,$F$26*B326,1)=F329)*(OFFSET(Calc2!$H$4,,,$F$26*B326,1)&lt;OFFSET(Calc2!$I$4,,,$F$26*B326,1)))</f>
        <v>4</v>
      </c>
      <c r="M329" s="1">
        <f t="array" aca="1" ref="M329" ca="1">SUMPRODUCT((OFFSET(Calc2!$F$4,,,$F$26*B326,2)=F329)*(OFFSET(Calc2!$H$4,,,$F$26*B326,1)=OFFSET(Calc2!$I$4,,,$F$26*B326,1))*(OFFSET(Calc2!$H$4,,,$F$26*B326,1)&lt;&gt;"")*(OFFSET(Calc2!$I$4,,,$F$26*B326,1)&lt;&gt;""))</f>
        <v>4</v>
      </c>
      <c r="N329" s="1">
        <f t="array" aca="1" ref="N329" ca="1">SUMPRODUCT((OFFSET(Calc2!$F$4,,,$F$26*B326,1)=F329)*(OFFSET(Calc2!$H$4,,,$F$26*B326,1)&lt;OFFSET(Calc2!$I$4,,,$F$26*B326,1)))+SUMPRODUCT((OFFSET(Calc2!$G$4,,,$F$26*B326,1)=F329)*(OFFSET(Calc2!$H$4,,,$F$26*B326,1)&gt;OFFSET(Calc2!$I$4,,,$F$26*B326,1)))</f>
        <v>5</v>
      </c>
      <c r="O329" s="132">
        <f ca="1">SUMPRODUCT((F329=OFFSET(Calc2!$F$4,,,$F$26*B326,1))*OFFSET(Calc2!$O$4,,,$F$26*B326,1))+SUMPRODUCT((F329=OFFSET(Calc2!$G$4,,,$F$26*B326,1))*OFFSET(Calc2!$P$4,,,$F$26*B326,1))</f>
        <v>0</v>
      </c>
      <c r="P329" s="2"/>
      <c r="Q329" s="2"/>
      <c r="R329" s="13">
        <f t="shared" ca="1" si="61"/>
        <v>16500001022</v>
      </c>
      <c r="S329" s="134">
        <f>Tie_Break!$D$8</f>
        <v>0</v>
      </c>
      <c r="T329" s="9">
        <f ca="1">RANK(R329,R328:R347)+(9-S329)/10000+(F329="")*1000</f>
        <v>8.0008999999999997</v>
      </c>
      <c r="U329" s="134"/>
      <c r="V329" s="134">
        <f ca="1">IF($K$24=0,"",IF(VLOOKUP(B329,C328:E347,3,0)=MAX(V$4:V328),VLOOKUP(B329,C328:E347,3,0),B329))</f>
        <v>2</v>
      </c>
      <c r="W329" s="4" t="str">
        <f ca="1">IF($K$24=0,Calc2!$C$5,VLOOKUP(B329,C328:N347,4,0))</f>
        <v>RB Leipzig</v>
      </c>
      <c r="X329" s="1">
        <f ca="1">INDEX(V301:V320,MATCH(W329,W301:W320,0))</f>
        <v>2</v>
      </c>
      <c r="Y329" s="1">
        <f t="shared" ref="Y329:Y347" ca="1" si="64">IF(X329&gt;V329,1,IF(X329&lt;V329,-1,0))</f>
        <v>0</v>
      </c>
    </row>
    <row r="330" spans="2:25" x14ac:dyDescent="0.2">
      <c r="B330" s="1">
        <v>3</v>
      </c>
      <c r="C330" s="9">
        <f ca="1">RANK(D330,D328:D347,1)</f>
        <v>12</v>
      </c>
      <c r="D330" s="134">
        <f t="shared" ca="1" si="62"/>
        <v>12.33</v>
      </c>
      <c r="E330" s="134">
        <f ca="1">RANK(T330,T328:T347,1)</f>
        <v>12</v>
      </c>
      <c r="F330" s="187" t="str">
        <f>Calc2!$C$6</f>
        <v>1. FC Union Berlin</v>
      </c>
      <c r="G330" s="1">
        <f ca="1">SUMIFS(OFFSET(Calc2!$H$4,,,$F$26*B326,1),OFFSET(Calc2!$F$4,,,$F$26*B326,1),F330)+SUMIFS(OFFSET(Calc2!$I$4,,,$F$26*B326,1),OFFSET(Calc2!$G$4,,,$F$26*B326,1),F330)</f>
        <v>16</v>
      </c>
      <c r="H330" s="1">
        <f ca="1">SUMIFS(OFFSET(Calc2!$I$4,,,$F$26*B326,1),OFFSET(Calc2!$F$4,,,$F$26*B326,1),F330)+SUMIFS(OFFSET(Calc2!$H$4,,,$F$26*B326,1),OFFSET(Calc2!$G$4,,,$F$26*B326,1),F330)</f>
        <v>22</v>
      </c>
      <c r="I330" s="134">
        <f t="shared" ca="1" si="60"/>
        <v>-6</v>
      </c>
      <c r="J330" s="12">
        <f ca="1">L330*Settings!$C$3+M330+O330</f>
        <v>15</v>
      </c>
      <c r="K330" s="1">
        <f t="shared" ca="1" si="63"/>
        <v>13</v>
      </c>
      <c r="L330" s="1">
        <f t="array" aca="1" ref="L330" ca="1">SUMPRODUCT((OFFSET(Calc2!$F$4,,,$F$26*B326,1)=F330)*(OFFSET(Calc2!$H$4,,,$F$26*B326,1)&gt;OFFSET(Calc2!$I$4,,,$F$26*B326,1)))+SUMPRODUCT((OFFSET(Calc2!$G$4,,,$F$26*B326,1)=F330)*(OFFSET(Calc2!$H$4,,,$F$26*B326,1)&lt;OFFSET(Calc2!$I$4,,,$F$26*B326,1)))</f>
        <v>4</v>
      </c>
      <c r="M330" s="1">
        <f t="array" aca="1" ref="M330" ca="1">SUMPRODUCT((OFFSET(Calc2!$F$4,,,$F$26*B326,2)=F330)*(OFFSET(Calc2!$H$4,,,$F$26*B326,1)=OFFSET(Calc2!$I$4,,,$F$26*B326,1))*(OFFSET(Calc2!$H$4,,,$F$26*B326,1)&lt;&gt;"")*(OFFSET(Calc2!$I$4,,,$F$26*B326,1)&lt;&gt;""))</f>
        <v>3</v>
      </c>
      <c r="N330" s="1">
        <f t="array" aca="1" ref="N330" ca="1">SUMPRODUCT((OFFSET(Calc2!$F$4,,,$F$26*B326,1)=F330)*(OFFSET(Calc2!$H$4,,,$F$26*B326,1)&lt;OFFSET(Calc2!$I$4,,,$F$26*B326,1)))+SUMPRODUCT((OFFSET(Calc2!$G$4,,,$F$26*B326,1)=F330)*(OFFSET(Calc2!$H$4,,,$F$26*B326,1)&gt;OFFSET(Calc2!$I$4,,,$F$26*B326,1)))</f>
        <v>6</v>
      </c>
      <c r="O330" s="132">
        <f ca="1">SUMPRODUCT((F330=OFFSET(Calc2!$F$4,,,$F$26*B326,1))*OFFSET(Calc2!$O$4,,,$F$26*B326,1))+SUMPRODUCT((F330=OFFSET(Calc2!$G$4,,,$F$26*B326,1))*OFFSET(Calc2!$P$4,,,$F$26*B326,1))</f>
        <v>0</v>
      </c>
      <c r="P330" s="2"/>
      <c r="Q330" s="2"/>
      <c r="R330" s="13">
        <f t="shared" ca="1" si="61"/>
        <v>15499994016</v>
      </c>
      <c r="S330" s="134">
        <f>Tie_Break!$D$9</f>
        <v>0</v>
      </c>
      <c r="T330" s="9">
        <f ca="1">RANK(R330,R328:R347)+(9-S330)/10000+(F330="")*1000</f>
        <v>12.0009</v>
      </c>
      <c r="U330" s="134"/>
      <c r="V330" s="134">
        <f ca="1">IF($K$24=0,"",IF(VLOOKUP(B330,C328:E347,3,0)=MAX(V$4:V329),VLOOKUP(B330,C328:E347,3,0),B330))</f>
        <v>3</v>
      </c>
      <c r="W330" s="4" t="str">
        <f ca="1">IF($K$24=0,Calc2!$C$6,VLOOKUP(B330,C328:N347,4,0))</f>
        <v>Borussia Dortmund</v>
      </c>
      <c r="X330" s="1">
        <f ca="1">INDEX(V301:V320,MATCH(W330,W301:W320,0))</f>
        <v>3</v>
      </c>
      <c r="Y330" s="1">
        <f t="shared" ca="1" si="64"/>
        <v>0</v>
      </c>
    </row>
    <row r="331" spans="2:25" x14ac:dyDescent="0.2">
      <c r="B331" s="1">
        <v>4</v>
      </c>
      <c r="C331" s="9">
        <f ca="1">RANK(D331,D328:D347,1)</f>
        <v>18</v>
      </c>
      <c r="D331" s="134">
        <f t="shared" ca="1" si="62"/>
        <v>18.331</v>
      </c>
      <c r="E331" s="134">
        <f ca="1">RANK(T331,T328:T347,1)</f>
        <v>18</v>
      </c>
      <c r="F331" s="187" t="str">
        <f>Calc2!$C$7</f>
        <v>1. FSV Mainz 05</v>
      </c>
      <c r="G331" s="1">
        <f ca="1">SUMIFS(OFFSET(Calc2!$H$4,,,$F$26*B326,1),OFFSET(Calc2!$F$4,,,$F$26*B326,1),F331)+SUMIFS(OFFSET(Calc2!$I$4,,,$F$26*B326,1),OFFSET(Calc2!$G$4,,,$F$26*B326,1),F331)</f>
        <v>11</v>
      </c>
      <c r="H331" s="1">
        <f ca="1">SUMIFS(OFFSET(Calc2!$I$4,,,$F$26*B326,1),OFFSET(Calc2!$F$4,,,$F$26*B326,1),F331)+SUMIFS(OFFSET(Calc2!$H$4,,,$F$26*B326,1),OFFSET(Calc2!$G$4,,,$F$26*B326,1),F331)</f>
        <v>24</v>
      </c>
      <c r="I331" s="134">
        <f t="shared" ca="1" si="60"/>
        <v>-13</v>
      </c>
      <c r="J331" s="12">
        <f ca="1">L331*Settings!$C$3+M331+O331</f>
        <v>6</v>
      </c>
      <c r="K331" s="1">
        <f t="shared" ca="1" si="63"/>
        <v>13</v>
      </c>
      <c r="L331" s="1">
        <f t="array" aca="1" ref="L331" ca="1">SUMPRODUCT((OFFSET(Calc2!$F$4,,,$F$26*B326,1)=F331)*(OFFSET(Calc2!$H$4,,,$F$26*B326,1)&gt;OFFSET(Calc2!$I$4,,,$F$26*B326,1)))+SUMPRODUCT((OFFSET(Calc2!$G$4,,,$F$26*B326,1)=F331)*(OFFSET(Calc2!$H$4,,,$F$26*B326,1)&lt;OFFSET(Calc2!$I$4,,,$F$26*B326,1)))</f>
        <v>1</v>
      </c>
      <c r="M331" s="1">
        <f t="array" aca="1" ref="M331" ca="1">SUMPRODUCT((OFFSET(Calc2!$F$4,,,$F$26*B326,2)=F331)*(OFFSET(Calc2!$H$4,,,$F$26*B326,1)=OFFSET(Calc2!$I$4,,,$F$26*B326,1))*(OFFSET(Calc2!$H$4,,,$F$26*B326,1)&lt;&gt;"")*(OFFSET(Calc2!$I$4,,,$F$26*B326,1)&lt;&gt;""))</f>
        <v>3</v>
      </c>
      <c r="N331" s="1">
        <f t="array" aca="1" ref="N331" ca="1">SUMPRODUCT((OFFSET(Calc2!$F$4,,,$F$26*B326,1)=F331)*(OFFSET(Calc2!$H$4,,,$F$26*B326,1)&lt;OFFSET(Calc2!$I$4,,,$F$26*B326,1)))+SUMPRODUCT((OFFSET(Calc2!$G$4,,,$F$26*B326,1)=F331)*(OFFSET(Calc2!$H$4,,,$F$26*B326,1)&gt;OFFSET(Calc2!$I$4,,,$F$26*B326,1)))</f>
        <v>9</v>
      </c>
      <c r="O331" s="132">
        <f ca="1">SUMPRODUCT((F331=OFFSET(Calc2!$F$4,,,$F$26*B326,1))*OFFSET(Calc2!$O$4,,,$F$26*B326,1))+SUMPRODUCT((F331=OFFSET(Calc2!$G$4,,,$F$26*B326,1))*OFFSET(Calc2!$P$4,,,$F$26*B326,1))</f>
        <v>0</v>
      </c>
      <c r="P331" s="2"/>
      <c r="Q331" s="2"/>
      <c r="R331" s="13">
        <f t="shared" ca="1" si="61"/>
        <v>6499987011</v>
      </c>
      <c r="S331" s="134">
        <f>Tie_Break!$D$10</f>
        <v>0</v>
      </c>
      <c r="T331" s="9">
        <f ca="1">RANK(R331,R328:R347)+(9-S331)/10000+(F331="")*1000</f>
        <v>18.000900000000001</v>
      </c>
      <c r="U331" s="134"/>
      <c r="V331" s="134">
        <f ca="1">IF($K$24=0,"",IF(VLOOKUP(B331,C328:E347,3,0)=MAX(V$4:V330),VLOOKUP(B331,C328:E347,3,0),B331))</f>
        <v>4</v>
      </c>
      <c r="W331" s="4" t="str">
        <f ca="1">IF($K$24=0,Calc2!$C$7,VLOOKUP(B331,C328:N347,4,0))</f>
        <v>Bayer 04 Leverkusen</v>
      </c>
      <c r="X331" s="1">
        <f ca="1">INDEX(V301:V320,MATCH(W331,W301:W320,0))</f>
        <v>4</v>
      </c>
      <c r="Y331" s="1">
        <f t="shared" ca="1" si="64"/>
        <v>0</v>
      </c>
    </row>
    <row r="332" spans="2:25" x14ac:dyDescent="0.2">
      <c r="B332" s="1">
        <v>5</v>
      </c>
      <c r="C332" s="9">
        <f ca="1">RANK(D332,D328:D347,1)</f>
        <v>4</v>
      </c>
      <c r="D332" s="134">
        <f t="shared" ca="1" si="62"/>
        <v>4.3319999999999999</v>
      </c>
      <c r="E332" s="134">
        <f ca="1">RANK(T332,T328:T347,1)</f>
        <v>4</v>
      </c>
      <c r="F332" s="187" t="str">
        <f>Calc2!$C$8</f>
        <v>Bayer 04 Leverkusen</v>
      </c>
      <c r="G332" s="1">
        <f ca="1">SUMIFS(OFFSET(Calc2!$H$4,,,$F$26*B326,1),OFFSET(Calc2!$F$4,,,$F$26*B326,1),F332)+SUMIFS(OFFSET(Calc2!$I$4,,,$F$26*B326,1),OFFSET(Calc2!$G$4,,,$F$26*B326,1),F332)</f>
        <v>28</v>
      </c>
      <c r="H332" s="1">
        <f ca="1">SUMIFS(OFFSET(Calc2!$I$4,,,$F$26*B326,1),OFFSET(Calc2!$F$4,,,$F$26*B326,1),F332)+SUMIFS(OFFSET(Calc2!$H$4,,,$F$26*B326,1),OFFSET(Calc2!$G$4,,,$F$26*B326,1),F332)</f>
        <v>19</v>
      </c>
      <c r="I332" s="134">
        <f t="shared" ca="1" si="60"/>
        <v>9</v>
      </c>
      <c r="J332" s="12">
        <f ca="1">L332*Settings!$C$3+M332+O332</f>
        <v>23</v>
      </c>
      <c r="K332" s="1">
        <f t="shared" ca="1" si="63"/>
        <v>13</v>
      </c>
      <c r="L332" s="1">
        <f t="array" aca="1" ref="L332" ca="1">SUMPRODUCT((OFFSET(Calc2!$F$4,,,$F$26*B326,1)=F332)*(OFFSET(Calc2!$H$4,,,$F$26*B326,1)&gt;OFFSET(Calc2!$I$4,,,$F$26*B326,1)))+SUMPRODUCT((OFFSET(Calc2!$G$4,,,$F$26*B326,1)=F332)*(OFFSET(Calc2!$H$4,,,$F$26*B326,1)&lt;OFFSET(Calc2!$I$4,,,$F$26*B326,1)))</f>
        <v>7</v>
      </c>
      <c r="M332" s="1">
        <f t="array" aca="1" ref="M332" ca="1">SUMPRODUCT((OFFSET(Calc2!$F$4,,,$F$26*B326,2)=F332)*(OFFSET(Calc2!$H$4,,,$F$26*B326,1)=OFFSET(Calc2!$I$4,,,$F$26*B326,1))*(OFFSET(Calc2!$H$4,,,$F$26*B326,1)&lt;&gt;"")*(OFFSET(Calc2!$I$4,,,$F$26*B326,1)&lt;&gt;""))</f>
        <v>2</v>
      </c>
      <c r="N332" s="1">
        <f t="array" aca="1" ref="N332" ca="1">SUMPRODUCT((OFFSET(Calc2!$F$4,,,$F$26*B326,1)=F332)*(OFFSET(Calc2!$H$4,,,$F$26*B326,1)&lt;OFFSET(Calc2!$I$4,,,$F$26*B326,1)))+SUMPRODUCT((OFFSET(Calc2!$G$4,,,$F$26*B326,1)=F332)*(OFFSET(Calc2!$H$4,,,$F$26*B326,1)&gt;OFFSET(Calc2!$I$4,,,$F$26*B326,1)))</f>
        <v>4</v>
      </c>
      <c r="O332" s="132">
        <f ca="1">SUMPRODUCT((F332=OFFSET(Calc2!$F$4,,,$F$26*B326,1))*OFFSET(Calc2!$O$4,,,$F$26*B326,1))+SUMPRODUCT((F332=OFFSET(Calc2!$G$4,,,$F$26*B326,1))*OFFSET(Calc2!$P$4,,,$F$26*B326,1))</f>
        <v>0</v>
      </c>
      <c r="P332" s="2"/>
      <c r="Q332" s="2"/>
      <c r="R332" s="13">
        <f t="shared" ca="1" si="61"/>
        <v>23500009028</v>
      </c>
      <c r="S332" s="134">
        <f>Tie_Break!$D$11</f>
        <v>0</v>
      </c>
      <c r="T332" s="9">
        <f ca="1">RANK(R332,R328:R347)+(9-S332)/10000+(F332="")*1000</f>
        <v>4.0008999999999997</v>
      </c>
      <c r="U332" s="134"/>
      <c r="V332" s="134">
        <f ca="1">IF($K$24=0,"",IF(VLOOKUP(B332,C328:E347,3,0)=MAX(V$4:V331),VLOOKUP(B332,C328:E347,3,0),B332))</f>
        <v>5</v>
      </c>
      <c r="W332" s="4" t="str">
        <f ca="1">IF($K$24=0,Calc2!$C$8,VLOOKUP(B332,C328:N347,4,0))</f>
        <v>TSG Hoffenheim</v>
      </c>
      <c r="X332" s="1">
        <f ca="1">INDEX(V301:V320,MATCH(W332,W301:W320,0))</f>
        <v>5</v>
      </c>
      <c r="Y332" s="1">
        <f t="shared" ca="1" si="64"/>
        <v>0</v>
      </c>
    </row>
    <row r="333" spans="2:25" x14ac:dyDescent="0.2">
      <c r="B333" s="1">
        <v>6</v>
      </c>
      <c r="C333" s="9">
        <f ca="1">RANK(D333,D328:D347,1)</f>
        <v>3</v>
      </c>
      <c r="D333" s="134">
        <f t="shared" ca="1" si="62"/>
        <v>3.3330000000000002</v>
      </c>
      <c r="E333" s="134">
        <f ca="1">RANK(T333,T328:T347,1)</f>
        <v>3</v>
      </c>
      <c r="F333" s="187" t="str">
        <f>Calc2!$C$9</f>
        <v>Borussia Dortmund</v>
      </c>
      <c r="G333" s="1">
        <f ca="1">SUMIFS(OFFSET(Calc2!$H$4,,,$F$26*B326,1),OFFSET(Calc2!$F$4,,,$F$26*B326,1),F333)+SUMIFS(OFFSET(Calc2!$I$4,,,$F$26*B326,1),OFFSET(Calc2!$G$4,,,$F$26*B326,1),F333)</f>
        <v>23</v>
      </c>
      <c r="H333" s="1">
        <f ca="1">SUMIFS(OFFSET(Calc2!$I$4,,,$F$26*B326,1),OFFSET(Calc2!$F$4,,,$F$26*B326,1),F333)+SUMIFS(OFFSET(Calc2!$H$4,,,$F$26*B326,1),OFFSET(Calc2!$G$4,,,$F$26*B326,1),F333)</f>
        <v>11</v>
      </c>
      <c r="I333" s="134">
        <f t="shared" ca="1" si="60"/>
        <v>12</v>
      </c>
      <c r="J333" s="12">
        <f ca="1">L333*Settings!$C$3+M333+O333</f>
        <v>28</v>
      </c>
      <c r="K333" s="1">
        <f t="shared" ca="1" si="63"/>
        <v>13</v>
      </c>
      <c r="L333" s="1">
        <f t="array" aca="1" ref="L333" ca="1">SUMPRODUCT((OFFSET(Calc2!$F$4,,,$F$26*B326,1)=F333)*(OFFSET(Calc2!$H$4,,,$F$26*B326,1)&gt;OFFSET(Calc2!$I$4,,,$F$26*B326,1)))+SUMPRODUCT((OFFSET(Calc2!$G$4,,,$F$26*B326,1)=F333)*(OFFSET(Calc2!$H$4,,,$F$26*B326,1)&lt;OFFSET(Calc2!$I$4,,,$F$26*B326,1)))</f>
        <v>8</v>
      </c>
      <c r="M333" s="1">
        <f t="array" aca="1" ref="M333" ca="1">SUMPRODUCT((OFFSET(Calc2!$F$4,,,$F$26*B326,2)=F333)*(OFFSET(Calc2!$H$4,,,$F$26*B326,1)=OFFSET(Calc2!$I$4,,,$F$26*B326,1))*(OFFSET(Calc2!$H$4,,,$F$26*B326,1)&lt;&gt;"")*(OFFSET(Calc2!$I$4,,,$F$26*B326,1)&lt;&gt;""))</f>
        <v>4</v>
      </c>
      <c r="N333" s="1">
        <f t="array" aca="1" ref="N333" ca="1">SUMPRODUCT((OFFSET(Calc2!$F$4,,,$F$26*B326,1)=F333)*(OFFSET(Calc2!$H$4,,,$F$26*B326,1)&lt;OFFSET(Calc2!$I$4,,,$F$26*B326,1)))+SUMPRODUCT((OFFSET(Calc2!$G$4,,,$F$26*B326,1)=F333)*(OFFSET(Calc2!$H$4,,,$F$26*B326,1)&gt;OFFSET(Calc2!$I$4,,,$F$26*B326,1)))</f>
        <v>1</v>
      </c>
      <c r="O333" s="132">
        <f ca="1">SUMPRODUCT((F333=OFFSET(Calc2!$F$4,,,$F$26*B326,1))*OFFSET(Calc2!$O$4,,,$F$26*B326,1))+SUMPRODUCT((F333=OFFSET(Calc2!$G$4,,,$F$26*B326,1))*OFFSET(Calc2!$P$4,,,$F$26*B326,1))</f>
        <v>0</v>
      </c>
      <c r="P333" s="2"/>
      <c r="Q333" s="2"/>
      <c r="R333" s="13">
        <f t="shared" ca="1" si="61"/>
        <v>28500012023</v>
      </c>
      <c r="S333" s="134">
        <f>Tie_Break!$D$12</f>
        <v>0</v>
      </c>
      <c r="T333" s="9">
        <f ca="1">RANK(R333,R328:R347)+(9-S333)/10000+(F333="")*1000</f>
        <v>3.0009000000000001</v>
      </c>
      <c r="U333" s="134"/>
      <c r="V333" s="134">
        <f ca="1">IF($K$24=0,"",IF(VLOOKUP(B333,C328:E347,3,0)=MAX(V$4:V332),VLOOKUP(B333,C328:E347,3,0),B333))</f>
        <v>6</v>
      </c>
      <c r="W333" s="4" t="str">
        <f ca="1">IF($K$24=0,Calc2!$C$9,VLOOKUP(B333,C328:N347,4,0))</f>
        <v>VfB Stuttgart</v>
      </c>
      <c r="X333" s="1">
        <f ca="1">INDEX(V301:V320,MATCH(W333,W301:W320,0))</f>
        <v>6</v>
      </c>
      <c r="Y333" s="1">
        <f t="shared" ca="1" si="64"/>
        <v>0</v>
      </c>
    </row>
    <row r="334" spans="2:25" x14ac:dyDescent="0.2">
      <c r="B334" s="1">
        <v>7</v>
      </c>
      <c r="C334" s="9">
        <f ca="1">RANK(D334,D328:D347,1)</f>
        <v>10</v>
      </c>
      <c r="D334" s="134">
        <f t="shared" ca="1" si="62"/>
        <v>10.334</v>
      </c>
      <c r="E334" s="134">
        <f ca="1">RANK(T334,T328:T347,1)</f>
        <v>10</v>
      </c>
      <c r="F334" s="187" t="str">
        <f>Calc2!$C$10</f>
        <v>Borussia Mönchengladbach</v>
      </c>
      <c r="G334" s="1">
        <f ca="1">SUMIFS(OFFSET(Calc2!$H$4,,,$F$26*B326,1),OFFSET(Calc2!$F$4,,,$F$26*B326,1),F334)+SUMIFS(OFFSET(Calc2!$I$4,,,$F$26*B326,1),OFFSET(Calc2!$G$4,,,$F$26*B326,1),F334)</f>
        <v>17</v>
      </c>
      <c r="H334" s="1">
        <f ca="1">SUMIFS(OFFSET(Calc2!$I$4,,,$F$26*B326,1),OFFSET(Calc2!$F$4,,,$F$26*B326,1),F334)+SUMIFS(OFFSET(Calc2!$H$4,,,$F$26*B326,1),OFFSET(Calc2!$G$4,,,$F$26*B326,1),F334)</f>
        <v>19</v>
      </c>
      <c r="I334" s="134">
        <f t="shared" ca="1" si="60"/>
        <v>-2</v>
      </c>
      <c r="J334" s="12">
        <f ca="1">L334*Settings!$C$3+M334+O334</f>
        <v>16</v>
      </c>
      <c r="K334" s="1">
        <f t="shared" ca="1" si="63"/>
        <v>13</v>
      </c>
      <c r="L334" s="1">
        <f t="array" aca="1" ref="L334" ca="1">SUMPRODUCT((OFFSET(Calc2!$F$4,,,$F$26*B326,1)=F334)*(OFFSET(Calc2!$H$4,,,$F$26*B326,1)&gt;OFFSET(Calc2!$I$4,,,$F$26*B326,1)))+SUMPRODUCT((OFFSET(Calc2!$G$4,,,$F$26*B326,1)=F334)*(OFFSET(Calc2!$H$4,,,$F$26*B326,1)&lt;OFFSET(Calc2!$I$4,,,$F$26*B326,1)))</f>
        <v>4</v>
      </c>
      <c r="M334" s="1">
        <f t="array" aca="1" ref="M334" ca="1">SUMPRODUCT((OFFSET(Calc2!$F$4,,,$F$26*B326,2)=F334)*(OFFSET(Calc2!$H$4,,,$F$26*B326,1)=OFFSET(Calc2!$I$4,,,$F$26*B326,1))*(OFFSET(Calc2!$H$4,,,$F$26*B326,1)&lt;&gt;"")*(OFFSET(Calc2!$I$4,,,$F$26*B326,1)&lt;&gt;""))</f>
        <v>4</v>
      </c>
      <c r="N334" s="1">
        <f t="array" aca="1" ref="N334" ca="1">SUMPRODUCT((OFFSET(Calc2!$F$4,,,$F$26*B326,1)=F334)*(OFFSET(Calc2!$H$4,,,$F$26*B326,1)&lt;OFFSET(Calc2!$I$4,,,$F$26*B326,1)))+SUMPRODUCT((OFFSET(Calc2!$G$4,,,$F$26*B326,1)=F334)*(OFFSET(Calc2!$H$4,,,$F$26*B326,1)&gt;OFFSET(Calc2!$I$4,,,$F$26*B326,1)))</f>
        <v>5</v>
      </c>
      <c r="O334" s="132">
        <f ca="1">SUMPRODUCT((F334=OFFSET(Calc2!$F$4,,,$F$26*B326,1))*OFFSET(Calc2!$O$4,,,$F$26*B326,1))+SUMPRODUCT((F334=OFFSET(Calc2!$G$4,,,$F$26*B326,1))*OFFSET(Calc2!$P$4,,,$F$26*B326,1))</f>
        <v>0</v>
      </c>
      <c r="P334" s="2"/>
      <c r="Q334" s="2"/>
      <c r="R334" s="13">
        <f t="shared" ca="1" si="61"/>
        <v>16499998017</v>
      </c>
      <c r="S334" s="134">
        <f>Tie_Break!$D$13</f>
        <v>0</v>
      </c>
      <c r="T334" s="9">
        <f ca="1">RANK(R334,R328:R347)+(9-S334)/10000+(F334="")*1000</f>
        <v>10.0009</v>
      </c>
      <c r="U334" s="134"/>
      <c r="V334" s="134">
        <f ca="1">IF($K$24=0,"",IF(VLOOKUP(B334,C328:E347,3,0)=MAX(V$4:V333),VLOOKUP(B334,C328:E347,3,0),B334))</f>
        <v>7</v>
      </c>
      <c r="W334" s="4" t="str">
        <f ca="1">IF($K$24=0,Calc2!$C$10,VLOOKUP(B334,C328:N347,4,0))</f>
        <v>Eintracht Frankfurt</v>
      </c>
      <c r="X334" s="1">
        <f ca="1">INDEX(V301:V320,MATCH(W334,W301:W320,0))</f>
        <v>7</v>
      </c>
      <c r="Y334" s="1">
        <f t="shared" ca="1" si="64"/>
        <v>0</v>
      </c>
    </row>
    <row r="335" spans="2:25" x14ac:dyDescent="0.2">
      <c r="B335" s="1">
        <v>8</v>
      </c>
      <c r="C335" s="9">
        <f ca="1">RANK(D335,D328:D347,1)</f>
        <v>7</v>
      </c>
      <c r="D335" s="134">
        <f t="shared" ca="1" si="62"/>
        <v>7.335</v>
      </c>
      <c r="E335" s="134">
        <f ca="1">RANK(T335,T328:T347,1)</f>
        <v>7</v>
      </c>
      <c r="F335" s="187" t="str">
        <f>Calc2!$C$11</f>
        <v>Eintracht Frankfurt</v>
      </c>
      <c r="G335" s="1">
        <f ca="1">SUMIFS(OFFSET(Calc2!$H$4,,,$F$26*B326,1),OFFSET(Calc2!$F$4,,,$F$26*B326,1),F335)+SUMIFS(OFFSET(Calc2!$I$4,,,$F$26*B326,1),OFFSET(Calc2!$G$4,,,$F$26*B326,1),F335)</f>
        <v>28</v>
      </c>
      <c r="H335" s="1">
        <f ca="1">SUMIFS(OFFSET(Calc2!$I$4,,,$F$26*B326,1),OFFSET(Calc2!$F$4,,,$F$26*B326,1),F335)+SUMIFS(OFFSET(Calc2!$H$4,,,$F$26*B326,1),OFFSET(Calc2!$G$4,,,$F$26*B326,1),F335)</f>
        <v>29</v>
      </c>
      <c r="I335" s="134">
        <f t="shared" ca="1" si="60"/>
        <v>-1</v>
      </c>
      <c r="J335" s="12">
        <f ca="1">L335*Settings!$C$3+M335+O335</f>
        <v>21</v>
      </c>
      <c r="K335" s="1">
        <f t="shared" ca="1" si="63"/>
        <v>13</v>
      </c>
      <c r="L335" s="1">
        <f t="array" aca="1" ref="L335" ca="1">SUMPRODUCT((OFFSET(Calc2!$F$4,,,$F$26*B326,1)=F335)*(OFFSET(Calc2!$H$4,,,$F$26*B326,1)&gt;OFFSET(Calc2!$I$4,,,$F$26*B326,1)))+SUMPRODUCT((OFFSET(Calc2!$G$4,,,$F$26*B326,1)=F335)*(OFFSET(Calc2!$H$4,,,$F$26*B326,1)&lt;OFFSET(Calc2!$I$4,,,$F$26*B326,1)))</f>
        <v>6</v>
      </c>
      <c r="M335" s="1">
        <f t="array" aca="1" ref="M335" ca="1">SUMPRODUCT((OFFSET(Calc2!$F$4,,,$F$26*B326,2)=F335)*(OFFSET(Calc2!$H$4,,,$F$26*B326,1)=OFFSET(Calc2!$I$4,,,$F$26*B326,1))*(OFFSET(Calc2!$H$4,,,$F$26*B326,1)&lt;&gt;"")*(OFFSET(Calc2!$I$4,,,$F$26*B326,1)&lt;&gt;""))</f>
        <v>3</v>
      </c>
      <c r="N335" s="1">
        <f t="array" aca="1" ref="N335" ca="1">SUMPRODUCT((OFFSET(Calc2!$F$4,,,$F$26*B326,1)=F335)*(OFFSET(Calc2!$H$4,,,$F$26*B326,1)&lt;OFFSET(Calc2!$I$4,,,$F$26*B326,1)))+SUMPRODUCT((OFFSET(Calc2!$G$4,,,$F$26*B326,1)=F335)*(OFFSET(Calc2!$H$4,,,$F$26*B326,1)&gt;OFFSET(Calc2!$I$4,,,$F$26*B326,1)))</f>
        <v>4</v>
      </c>
      <c r="O335" s="132">
        <f ca="1">SUMPRODUCT((F335=OFFSET(Calc2!$F$4,,,$F$26*B326,1))*OFFSET(Calc2!$O$4,,,$F$26*B326,1))+SUMPRODUCT((F335=OFFSET(Calc2!$G$4,,,$F$26*B326,1))*OFFSET(Calc2!$P$4,,,$F$26*B326,1))</f>
        <v>0</v>
      </c>
      <c r="P335" s="2"/>
      <c r="Q335" s="2"/>
      <c r="R335" s="13">
        <f t="shared" ca="1" si="61"/>
        <v>21499999028</v>
      </c>
      <c r="S335" s="134">
        <f>Tie_Break!$D$14</f>
        <v>0</v>
      </c>
      <c r="T335" s="9">
        <f ca="1">RANK(R335,R328:R347)+(9-S335)/10000+(F335="")*1000</f>
        <v>7.0008999999999997</v>
      </c>
      <c r="U335" s="134"/>
      <c r="V335" s="134">
        <f ca="1">IF($K$24=0,"",IF(VLOOKUP(B335,C328:E347,3,0)=MAX(V$4:V334),VLOOKUP(B335,C328:E347,3,0),B335))</f>
        <v>8</v>
      </c>
      <c r="W335" s="4" t="str">
        <f ca="1">IF($K$24=0,Calc2!$C$11,VLOOKUP(B335,C328:N347,4,0))</f>
        <v>1. FC Köln</v>
      </c>
      <c r="X335" s="1">
        <f ca="1">INDEX(V301:V320,MATCH(W335,W301:W320,0))</f>
        <v>10</v>
      </c>
      <c r="Y335" s="1">
        <f t="shared" ca="1" si="64"/>
        <v>1</v>
      </c>
    </row>
    <row r="336" spans="2:25" x14ac:dyDescent="0.2">
      <c r="B336" s="1">
        <v>9</v>
      </c>
      <c r="C336" s="9">
        <f ca="1">RANK(D336,D328:D347,1)</f>
        <v>14</v>
      </c>
      <c r="D336" s="134">
        <f t="shared" ca="1" si="62"/>
        <v>14.336</v>
      </c>
      <c r="E336" s="134">
        <f ca="1">RANK(T336,T328:T347,1)</f>
        <v>14</v>
      </c>
      <c r="F336" s="187" t="str">
        <f>Calc2!$C$12</f>
        <v>FC Augsburg</v>
      </c>
      <c r="G336" s="1">
        <f ca="1">SUMIFS(OFFSET(Calc2!$H$4,,,$F$26*B326,1),OFFSET(Calc2!$F$4,,,$F$26*B326,1),F336)+SUMIFS(OFFSET(Calc2!$I$4,,,$F$26*B326,1),OFFSET(Calc2!$G$4,,,$F$26*B326,1),F336)</f>
        <v>17</v>
      </c>
      <c r="H336" s="1">
        <f ca="1">SUMIFS(OFFSET(Calc2!$I$4,,,$F$26*B326,1),OFFSET(Calc2!$F$4,,,$F$26*B326,1),F336)+SUMIFS(OFFSET(Calc2!$H$4,,,$F$26*B326,1),OFFSET(Calc2!$G$4,,,$F$26*B326,1),F336)</f>
        <v>27</v>
      </c>
      <c r="I336" s="134">
        <f t="shared" ca="1" si="60"/>
        <v>-10</v>
      </c>
      <c r="J336" s="12">
        <f ca="1">L336*Settings!$C$3+M336+O336</f>
        <v>13</v>
      </c>
      <c r="K336" s="1">
        <f t="shared" ca="1" si="63"/>
        <v>13</v>
      </c>
      <c r="L336" s="1">
        <f t="array" aca="1" ref="L336" ca="1">SUMPRODUCT((OFFSET(Calc2!$F$4,,,$F$26*B326,1)=F336)*(OFFSET(Calc2!$H$4,,,$F$26*B326,1)&gt;OFFSET(Calc2!$I$4,,,$F$26*B326,1)))+SUMPRODUCT((OFFSET(Calc2!$G$4,,,$F$26*B326,1)=F336)*(OFFSET(Calc2!$H$4,,,$F$26*B326,1)&lt;OFFSET(Calc2!$I$4,,,$F$26*B326,1)))</f>
        <v>4</v>
      </c>
      <c r="M336" s="1">
        <f t="array" aca="1" ref="M336" ca="1">SUMPRODUCT((OFFSET(Calc2!$F$4,,,$F$26*B326,2)=F336)*(OFFSET(Calc2!$H$4,,,$F$26*B326,1)=OFFSET(Calc2!$I$4,,,$F$26*B326,1))*(OFFSET(Calc2!$H$4,,,$F$26*B326,1)&lt;&gt;"")*(OFFSET(Calc2!$I$4,,,$F$26*B326,1)&lt;&gt;""))</f>
        <v>1</v>
      </c>
      <c r="N336" s="1">
        <f t="array" aca="1" ref="N336" ca="1">SUMPRODUCT((OFFSET(Calc2!$F$4,,,$F$26*B326,1)=F336)*(OFFSET(Calc2!$H$4,,,$F$26*B326,1)&lt;OFFSET(Calc2!$I$4,,,$F$26*B326,1)))+SUMPRODUCT((OFFSET(Calc2!$G$4,,,$F$26*B326,1)=F336)*(OFFSET(Calc2!$H$4,,,$F$26*B326,1)&gt;OFFSET(Calc2!$I$4,,,$F$26*B326,1)))</f>
        <v>8</v>
      </c>
      <c r="O336" s="132">
        <f ca="1">SUMPRODUCT((F336=OFFSET(Calc2!$F$4,,,$F$26*B326,1))*OFFSET(Calc2!$O$4,,,$F$26*B326,1))+SUMPRODUCT((F336=OFFSET(Calc2!$G$4,,,$F$26*B326,1))*OFFSET(Calc2!$P$4,,,$F$26*B326,1))</f>
        <v>0</v>
      </c>
      <c r="P336" s="2"/>
      <c r="Q336" s="2"/>
      <c r="R336" s="13">
        <f t="shared" ca="1" si="61"/>
        <v>13499990017</v>
      </c>
      <c r="S336" s="134">
        <f>Tie_Break!$D$15</f>
        <v>0</v>
      </c>
      <c r="T336" s="9">
        <f ca="1">RANK(R336,R328:R347)+(9-S336)/10000+(F336="")*1000</f>
        <v>14.0009</v>
      </c>
      <c r="U336" s="134"/>
      <c r="V336" s="134">
        <f ca="1">IF($K$24=0,"",IF(VLOOKUP(B336,C328:E347,3,0)=MAX(V$4:V335),VLOOKUP(B336,C328:E347,3,0),B336))</f>
        <v>9</v>
      </c>
      <c r="W336" s="4" t="str">
        <f ca="1">IF($K$24=0,Calc2!$C$12,VLOOKUP(B336,C328:N347,4,0))</f>
        <v>SC Freiburg</v>
      </c>
      <c r="X336" s="1">
        <f ca="1">INDEX(V301:V320,MATCH(W336,W301:W320,0))</f>
        <v>8</v>
      </c>
      <c r="Y336" s="1">
        <f t="shared" ca="1" si="64"/>
        <v>-1</v>
      </c>
    </row>
    <row r="337" spans="2:25" x14ac:dyDescent="0.2">
      <c r="B337" s="1">
        <v>10</v>
      </c>
      <c r="C337" s="9">
        <f ca="1">RANK(D337,D328:D347,1)</f>
        <v>1</v>
      </c>
      <c r="D337" s="134">
        <f t="shared" ca="1" si="62"/>
        <v>1.337</v>
      </c>
      <c r="E337" s="134">
        <f ca="1">RANK(T337,T328:T347,1)</f>
        <v>1</v>
      </c>
      <c r="F337" s="187" t="str">
        <f>Calc2!$C$13</f>
        <v>FC Bayern München</v>
      </c>
      <c r="G337" s="1">
        <f ca="1">SUMIFS(OFFSET(Calc2!$H$4,,,$F$26*B326,1),OFFSET(Calc2!$F$4,,,$F$26*B326,1),F337)+SUMIFS(OFFSET(Calc2!$I$4,,,$F$26*B326,1),OFFSET(Calc2!$G$4,,,$F$26*B326,1),F337)</f>
        <v>49</v>
      </c>
      <c r="H337" s="1">
        <f ca="1">SUMIFS(OFFSET(Calc2!$I$4,,,$F$26*B326,1),OFFSET(Calc2!$F$4,,,$F$26*B326,1),F337)+SUMIFS(OFFSET(Calc2!$H$4,,,$F$26*B326,1),OFFSET(Calc2!$G$4,,,$F$26*B326,1),F337)</f>
        <v>9</v>
      </c>
      <c r="I337" s="134">
        <f t="shared" ca="1" si="60"/>
        <v>40</v>
      </c>
      <c r="J337" s="12">
        <f ca="1">L337*Settings!$C$3+M337+O337</f>
        <v>37</v>
      </c>
      <c r="K337" s="1">
        <f t="shared" ca="1" si="63"/>
        <v>13</v>
      </c>
      <c r="L337" s="1">
        <f t="array" aca="1" ref="L337" ca="1">SUMPRODUCT((OFFSET(Calc2!$F$4,,,$F$26*B326,1)=F337)*(OFFSET(Calc2!$H$4,,,$F$26*B326,1)&gt;OFFSET(Calc2!$I$4,,,$F$26*B326,1)))+SUMPRODUCT((OFFSET(Calc2!$G$4,,,$F$26*B326,1)=F337)*(OFFSET(Calc2!$H$4,,,$F$26*B326,1)&lt;OFFSET(Calc2!$I$4,,,$F$26*B326,1)))</f>
        <v>12</v>
      </c>
      <c r="M337" s="1">
        <f t="array" aca="1" ref="M337" ca="1">SUMPRODUCT((OFFSET(Calc2!$F$4,,,$F$26*B326,2)=F337)*(OFFSET(Calc2!$H$4,,,$F$26*B326,1)=OFFSET(Calc2!$I$4,,,$F$26*B326,1))*(OFFSET(Calc2!$H$4,,,$F$26*B326,1)&lt;&gt;"")*(OFFSET(Calc2!$I$4,,,$F$26*B326,1)&lt;&gt;""))</f>
        <v>1</v>
      </c>
      <c r="N337" s="1">
        <f t="array" aca="1" ref="N337" ca="1">SUMPRODUCT((OFFSET(Calc2!$F$4,,,$F$26*B326,1)=F337)*(OFFSET(Calc2!$H$4,,,$F$26*B326,1)&lt;OFFSET(Calc2!$I$4,,,$F$26*B326,1)))+SUMPRODUCT((OFFSET(Calc2!$G$4,,,$F$26*B326,1)=F337)*(OFFSET(Calc2!$H$4,,,$F$26*B326,1)&gt;OFFSET(Calc2!$I$4,,,$F$26*B326,1)))</f>
        <v>0</v>
      </c>
      <c r="O337" s="132">
        <f ca="1">SUMPRODUCT((F337=OFFSET(Calc2!$F$4,,,$F$26*B326,1))*OFFSET(Calc2!$O$4,,,$F$26*B326,1))+SUMPRODUCT((F337=OFFSET(Calc2!$G$4,,,$F$26*B326,1))*OFFSET(Calc2!$P$4,,,$F$26*B326,1))</f>
        <v>0</v>
      </c>
      <c r="P337" s="2"/>
      <c r="Q337" s="2"/>
      <c r="R337" s="13">
        <f t="shared" ca="1" si="61"/>
        <v>37500040049</v>
      </c>
      <c r="S337" s="134">
        <f>Tie_Break!$D$16</f>
        <v>0</v>
      </c>
      <c r="T337" s="9">
        <f ca="1">RANK(R337,R328:R347)+(9-S337)/10000+(F337="")*1000</f>
        <v>1.0008999999999999</v>
      </c>
      <c r="U337" s="2"/>
      <c r="V337" s="134">
        <f ca="1">IF($K$24=0,"",IF(VLOOKUP(B337,C328:E347,3,0)=MAX(V$4:V336),VLOOKUP(B337,C328:E347,3,0),B337))</f>
        <v>10</v>
      </c>
      <c r="W337" s="4" t="str">
        <f ca="1">IF($K$24=0,Calc2!$C$13,VLOOKUP(B337,C328:N347,4,0))</f>
        <v>Borussia Mönchengladbach</v>
      </c>
      <c r="X337" s="1">
        <f ca="1">INDEX(V301:V320,MATCH(W337,W301:W320,0))</f>
        <v>12</v>
      </c>
      <c r="Y337" s="1">
        <f t="shared" ca="1" si="64"/>
        <v>1</v>
      </c>
    </row>
    <row r="338" spans="2:25" x14ac:dyDescent="0.2">
      <c r="B338" s="1">
        <v>11</v>
      </c>
      <c r="C338" s="9">
        <f ca="1">RANK(D338,D328:D347,1)</f>
        <v>17</v>
      </c>
      <c r="D338" s="134">
        <f t="shared" ca="1" si="62"/>
        <v>17.338000000000001</v>
      </c>
      <c r="E338" s="134">
        <f ca="1">RANK(T338,T328:T347,1)</f>
        <v>17</v>
      </c>
      <c r="F338" s="187" t="str">
        <f>Calc2!$C$14</f>
        <v>FC St. Pauli</v>
      </c>
      <c r="G338" s="1">
        <f ca="1">SUMIFS(OFFSET(Calc2!$H$4,,,$F$26*B326,1),OFFSET(Calc2!$F$4,,,$F$26*B326,1),F338)+SUMIFS(OFFSET(Calc2!$I$4,,,$F$26*B326,1),OFFSET(Calc2!$G$4,,,$F$26*B326,1),F338)</f>
        <v>11</v>
      </c>
      <c r="H338" s="1">
        <f ca="1">SUMIFS(OFFSET(Calc2!$I$4,,,$F$26*B326,1),OFFSET(Calc2!$F$4,,,$F$26*B326,1),F338)+SUMIFS(OFFSET(Calc2!$H$4,,,$F$26*B326,1),OFFSET(Calc2!$G$4,,,$F$26*B326,1),F338)</f>
        <v>25</v>
      </c>
      <c r="I338" s="134">
        <f t="shared" ca="1" si="60"/>
        <v>-14</v>
      </c>
      <c r="J338" s="12">
        <f ca="1">L338*Settings!$C$3+M338+O338</f>
        <v>8</v>
      </c>
      <c r="K338" s="1">
        <f t="shared" ca="1" si="63"/>
        <v>13</v>
      </c>
      <c r="L338" s="1">
        <f t="array" aca="1" ref="L338" ca="1">SUMPRODUCT((OFFSET(Calc2!$F$4,,,$F$26*B326,1)=F338)*(OFFSET(Calc2!$H$4,,,$F$26*B326,1)&gt;OFFSET(Calc2!$I$4,,,$F$26*B326,1)))+SUMPRODUCT((OFFSET(Calc2!$G$4,,,$F$26*B326,1)=F338)*(OFFSET(Calc2!$H$4,,,$F$26*B326,1)&lt;OFFSET(Calc2!$I$4,,,$F$26*B326,1)))</f>
        <v>2</v>
      </c>
      <c r="M338" s="1">
        <f t="array" aca="1" ref="M338" ca="1">SUMPRODUCT((OFFSET(Calc2!$F$4,,,$F$26*B326,2)=F338)*(OFFSET(Calc2!$H$4,,,$F$26*B326,1)=OFFSET(Calc2!$I$4,,,$F$26*B326,1))*(OFFSET(Calc2!$H$4,,,$F$26*B326,1)&lt;&gt;"")*(OFFSET(Calc2!$I$4,,,$F$26*B326,1)&lt;&gt;""))</f>
        <v>2</v>
      </c>
      <c r="N338" s="1">
        <f t="array" aca="1" ref="N338" ca="1">SUMPRODUCT((OFFSET(Calc2!$F$4,,,$F$26*B326,1)=F338)*(OFFSET(Calc2!$H$4,,,$F$26*B326,1)&lt;OFFSET(Calc2!$I$4,,,$F$26*B326,1)))+SUMPRODUCT((OFFSET(Calc2!$G$4,,,$F$26*B326,1)=F338)*(OFFSET(Calc2!$H$4,,,$F$26*B326,1)&gt;OFFSET(Calc2!$I$4,,,$F$26*B326,1)))</f>
        <v>9</v>
      </c>
      <c r="O338" s="132">
        <f ca="1">SUMPRODUCT((F338=OFFSET(Calc2!$F$4,,,$F$26*B326,1))*OFFSET(Calc2!$O$4,,,$F$26*B326,1))+SUMPRODUCT((F338=OFFSET(Calc2!$G$4,,,$F$26*B326,1))*OFFSET(Calc2!$P$4,,,$F$26*B326,1))</f>
        <v>0</v>
      </c>
      <c r="P338" s="2"/>
      <c r="Q338" s="2"/>
      <c r="R338" s="13">
        <f t="shared" ca="1" si="61"/>
        <v>8499986011</v>
      </c>
      <c r="S338" s="134">
        <f>Tie_Break!$D$17</f>
        <v>0</v>
      </c>
      <c r="T338" s="9">
        <f ca="1">RANK(R338,R328:R347)+(9-S338)/10000+(F338="")*1000</f>
        <v>17.000900000000001</v>
      </c>
      <c r="U338" s="2"/>
      <c r="V338" s="134">
        <f ca="1">IF($K$24=0,"",IF(VLOOKUP(B338,C328:E347,3,0)=MAX(V$4:V337),VLOOKUP(B338,C328:E347,3,0),B338))</f>
        <v>11</v>
      </c>
      <c r="W338" s="4" t="str">
        <f ca="1">IF($K$24=0,Calc2!$C$14,VLOOKUP(B338,C328:N347,4,0))</f>
        <v>SV Werder Bremen</v>
      </c>
      <c r="X338" s="1">
        <f ca="1">INDEX(V301:V320,MATCH(W338,W301:W320,0))</f>
        <v>9</v>
      </c>
      <c r="Y338" s="1">
        <f t="shared" ca="1" si="64"/>
        <v>-1</v>
      </c>
    </row>
    <row r="339" spans="2:25" x14ac:dyDescent="0.2">
      <c r="B339" s="1">
        <v>12</v>
      </c>
      <c r="C339" s="9">
        <f ca="1">RANK(D339,D328:D347,1)</f>
        <v>13</v>
      </c>
      <c r="D339" s="134">
        <f t="shared" ca="1" si="62"/>
        <v>13.339</v>
      </c>
      <c r="E339" s="134">
        <f ca="1">RANK(T339,T328:T347,1)</f>
        <v>13</v>
      </c>
      <c r="F339" s="187" t="str">
        <f>Calc2!$C$15</f>
        <v>Hamburger SV</v>
      </c>
      <c r="G339" s="1">
        <f ca="1">SUMIFS(OFFSET(Calc2!$H$4,,,$F$26*B326,1),OFFSET(Calc2!$F$4,,,$F$26*B326,1),F339)+SUMIFS(OFFSET(Calc2!$I$4,,,$F$26*B326,1),OFFSET(Calc2!$G$4,,,$F$26*B326,1),F339)</f>
        <v>14</v>
      </c>
      <c r="H339" s="1">
        <f ca="1">SUMIFS(OFFSET(Calc2!$I$4,,,$F$26*B326,1),OFFSET(Calc2!$F$4,,,$F$26*B326,1),F339)+SUMIFS(OFFSET(Calc2!$H$4,,,$F$26*B326,1),OFFSET(Calc2!$G$4,,,$F$26*B326,1),F339)</f>
        <v>20</v>
      </c>
      <c r="I339" s="134">
        <f t="shared" ca="1" si="60"/>
        <v>-6</v>
      </c>
      <c r="J339" s="12">
        <f ca="1">L339*Settings!$C$3+M339+O339</f>
        <v>15</v>
      </c>
      <c r="K339" s="1">
        <f t="shared" ca="1" si="63"/>
        <v>13</v>
      </c>
      <c r="L339" s="1">
        <f t="array" aca="1" ref="L339" ca="1">SUMPRODUCT((OFFSET(Calc2!$F$4,,,$F$26*B326,1)=F339)*(OFFSET(Calc2!$H$4,,,$F$26*B326,1)&gt;OFFSET(Calc2!$I$4,,,$F$26*B326,1)))+SUMPRODUCT((OFFSET(Calc2!$G$4,,,$F$26*B326,1)=F339)*(OFFSET(Calc2!$H$4,,,$F$26*B326,1)&lt;OFFSET(Calc2!$I$4,,,$F$26*B326,1)))</f>
        <v>4</v>
      </c>
      <c r="M339" s="1">
        <f t="array" aca="1" ref="M339" ca="1">SUMPRODUCT((OFFSET(Calc2!$F$4,,,$F$26*B326,2)=F339)*(OFFSET(Calc2!$H$4,,,$F$26*B326,1)=OFFSET(Calc2!$I$4,,,$F$26*B326,1))*(OFFSET(Calc2!$H$4,,,$F$26*B326,1)&lt;&gt;"")*(OFFSET(Calc2!$I$4,,,$F$26*B326,1)&lt;&gt;""))</f>
        <v>3</v>
      </c>
      <c r="N339" s="1">
        <f t="array" aca="1" ref="N339" ca="1">SUMPRODUCT((OFFSET(Calc2!$F$4,,,$F$26*B326,1)=F339)*(OFFSET(Calc2!$H$4,,,$F$26*B326,1)&lt;OFFSET(Calc2!$I$4,,,$F$26*B326,1)))+SUMPRODUCT((OFFSET(Calc2!$G$4,,,$F$26*B326,1)=F339)*(OFFSET(Calc2!$H$4,,,$F$26*B326,1)&gt;OFFSET(Calc2!$I$4,,,$F$26*B326,1)))</f>
        <v>6</v>
      </c>
      <c r="O339" s="132">
        <f ca="1">SUMPRODUCT((F339=OFFSET(Calc2!$F$4,,,$F$26*B326,1))*OFFSET(Calc2!$O$4,,,$F$26*B326,1))+SUMPRODUCT((F339=OFFSET(Calc2!$G$4,,,$F$26*B326,1))*OFFSET(Calc2!$P$4,,,$F$26*B326,1))</f>
        <v>0</v>
      </c>
      <c r="P339" s="2"/>
      <c r="Q339" s="2"/>
      <c r="R339" s="13">
        <f t="shared" ca="1" si="61"/>
        <v>15499994014</v>
      </c>
      <c r="S339" s="134">
        <f>Tie_Break!$D$18</f>
        <v>0</v>
      </c>
      <c r="T339" s="9">
        <f ca="1">RANK(R339,R328:R347)+(9-S339)/10000+(F339="")*1000</f>
        <v>13.0009</v>
      </c>
      <c r="U339" s="2"/>
      <c r="V339" s="134">
        <f ca="1">IF($K$24=0,"",IF(VLOOKUP(B339,C328:E347,3,0)=MAX(V$4:V338),VLOOKUP(B339,C328:E347,3,0),B339))</f>
        <v>12</v>
      </c>
      <c r="W339" s="4" t="str">
        <f ca="1">IF($K$24=0,Calc2!$C$15,VLOOKUP(B339,C328:N347,4,0))</f>
        <v>1. FC Union Berlin</v>
      </c>
      <c r="X339" s="1">
        <f ca="1">INDEX(V301:V320,MATCH(W339,W301:W320,0))</f>
        <v>11</v>
      </c>
      <c r="Y339" s="1">
        <f t="shared" ca="1" si="64"/>
        <v>-1</v>
      </c>
    </row>
    <row r="340" spans="2:25" x14ac:dyDescent="0.2">
      <c r="B340" s="1">
        <v>13</v>
      </c>
      <c r="C340" s="9">
        <f ca="1">RANK(D340,D328:D347,1)</f>
        <v>2</v>
      </c>
      <c r="D340" s="134">
        <f t="shared" ca="1" si="62"/>
        <v>2.34</v>
      </c>
      <c r="E340" s="134">
        <f ca="1">RANK(T340,T328:T347,1)</f>
        <v>2</v>
      </c>
      <c r="F340" s="187" t="str">
        <f>Calc2!$C$16</f>
        <v>RB Leipzig</v>
      </c>
      <c r="G340" s="1">
        <f ca="1">SUMIFS(OFFSET(Calc2!$H$4,,,$F$26*B326,1),OFFSET(Calc2!$F$4,,,$F$26*B326,1),F340)+SUMIFS(OFFSET(Calc2!$I$4,,,$F$26*B326,1),OFFSET(Calc2!$G$4,,,$F$26*B326,1),F340)</f>
        <v>28</v>
      </c>
      <c r="H340" s="1">
        <f ca="1">SUMIFS(OFFSET(Calc2!$I$4,,,$F$26*B326,1),OFFSET(Calc2!$F$4,,,$F$26*B326,1),F340)+SUMIFS(OFFSET(Calc2!$H$4,,,$F$26*B326,1),OFFSET(Calc2!$G$4,,,$F$26*B326,1),F340)</f>
        <v>13</v>
      </c>
      <c r="I340" s="134">
        <f t="shared" ca="1" si="60"/>
        <v>15</v>
      </c>
      <c r="J340" s="12">
        <f ca="1">L340*Settings!$C$3+M340+O340</f>
        <v>29</v>
      </c>
      <c r="K340" s="1">
        <f t="shared" ca="1" si="63"/>
        <v>13</v>
      </c>
      <c r="L340" s="1">
        <f t="array" aca="1" ref="L340" ca="1">SUMPRODUCT((OFFSET(Calc2!$F$4,,,$F$26*B326,1)=F340)*(OFFSET(Calc2!$H$4,,,$F$26*B326,1)&gt;OFFSET(Calc2!$I$4,,,$F$26*B326,1)))+SUMPRODUCT((OFFSET(Calc2!$G$4,,,$F$26*B326,1)=F340)*(OFFSET(Calc2!$H$4,,,$F$26*B326,1)&lt;OFFSET(Calc2!$I$4,,,$F$26*B326,1)))</f>
        <v>9</v>
      </c>
      <c r="M340" s="1">
        <f t="array" aca="1" ref="M340" ca="1">SUMPRODUCT((OFFSET(Calc2!$F$4,,,$F$26*B326,2)=F340)*(OFFSET(Calc2!$H$4,,,$F$26*B326,1)=OFFSET(Calc2!$I$4,,,$F$26*B326,1))*(OFFSET(Calc2!$H$4,,,$F$26*B326,1)&lt;&gt;"")*(OFFSET(Calc2!$I$4,,,$F$26*B326,1)&lt;&gt;""))</f>
        <v>2</v>
      </c>
      <c r="N340" s="1">
        <f t="array" aca="1" ref="N340" ca="1">SUMPRODUCT((OFFSET(Calc2!$F$4,,,$F$26*B326,1)=F340)*(OFFSET(Calc2!$H$4,,,$F$26*B326,1)&lt;OFFSET(Calc2!$I$4,,,$F$26*B326,1)))+SUMPRODUCT((OFFSET(Calc2!$G$4,,,$F$26*B326,1)=F340)*(OFFSET(Calc2!$H$4,,,$F$26*B326,1)&gt;OFFSET(Calc2!$I$4,,,$F$26*B326,1)))</f>
        <v>2</v>
      </c>
      <c r="O340" s="132">
        <f ca="1">SUMPRODUCT((F340=OFFSET(Calc2!$F$4,,,$F$26*B326,1))*OFFSET(Calc2!$O$4,,,$F$26*B326,1))+SUMPRODUCT((F340=OFFSET(Calc2!$G$4,,,$F$26*B326,1))*OFFSET(Calc2!$P$4,,,$F$26*B326,1))</f>
        <v>0</v>
      </c>
      <c r="P340" s="2"/>
      <c r="Q340" s="2"/>
      <c r="R340" s="13">
        <f t="shared" ca="1" si="61"/>
        <v>29500015028</v>
      </c>
      <c r="S340" s="134">
        <f>Tie_Break!$D$19</f>
        <v>0</v>
      </c>
      <c r="T340" s="9">
        <f ca="1">RANK(R340,R328:R347)+(9-S340)/10000+(F340="")*1000</f>
        <v>2.0009000000000001</v>
      </c>
      <c r="U340" s="1"/>
      <c r="V340" s="134">
        <f ca="1">IF($K$24=0,"",IF(VLOOKUP(B340,C328:E347,3,0)=MAX(V$4:V339),VLOOKUP(B340,C328:E347,3,0),B340))</f>
        <v>13</v>
      </c>
      <c r="W340" s="4" t="str">
        <f ca="1">IF($K$24=0,Calc2!$C$16,VLOOKUP(B340,C328:N347,4,0))</f>
        <v>Hamburger SV</v>
      </c>
      <c r="X340" s="1">
        <f ca="1">INDEX(V301:V320,MATCH(W340,W301:W320,0))</f>
        <v>13</v>
      </c>
      <c r="Y340" s="1">
        <f t="shared" ca="1" si="64"/>
        <v>0</v>
      </c>
    </row>
    <row r="341" spans="2:25" x14ac:dyDescent="0.2">
      <c r="B341" s="1">
        <v>14</v>
      </c>
      <c r="C341" s="9">
        <f ca="1">RANK(D341,D328:D347,1)</f>
        <v>9</v>
      </c>
      <c r="D341" s="134">
        <f t="shared" ca="1" si="62"/>
        <v>9.3409999999999993</v>
      </c>
      <c r="E341" s="134">
        <f ca="1">RANK(T341,T328:T347,1)</f>
        <v>9</v>
      </c>
      <c r="F341" s="187" t="str">
        <f>Calc2!$C$17</f>
        <v>SC Freiburg</v>
      </c>
      <c r="G341" s="1">
        <f ca="1">SUMIFS(OFFSET(Calc2!$H$4,,,$F$26*B326,1),OFFSET(Calc2!$F$4,,,$F$26*B326,1),F341)+SUMIFS(OFFSET(Calc2!$I$4,,,$F$26*B326,1),OFFSET(Calc2!$G$4,,,$F$26*B326,1),F341)</f>
        <v>20</v>
      </c>
      <c r="H341" s="1">
        <f ca="1">SUMIFS(OFFSET(Calc2!$I$4,,,$F$26*B326,1),OFFSET(Calc2!$F$4,,,$F$26*B326,1),F341)+SUMIFS(OFFSET(Calc2!$H$4,,,$F$26*B326,1),OFFSET(Calc2!$G$4,,,$F$26*B326,1),F341)</f>
        <v>22</v>
      </c>
      <c r="I341" s="134">
        <f t="shared" ca="1" si="60"/>
        <v>-2</v>
      </c>
      <c r="J341" s="12">
        <f ca="1">L341*Settings!$C$3+M341+O341</f>
        <v>16</v>
      </c>
      <c r="K341" s="1">
        <f t="shared" ca="1" si="63"/>
        <v>13</v>
      </c>
      <c r="L341" s="1">
        <f t="array" aca="1" ref="L341" ca="1">SUMPRODUCT((OFFSET(Calc2!$F$4,,,$F$26*B326,1)=F341)*(OFFSET(Calc2!$H$4,,,$F$26*B326,1)&gt;OFFSET(Calc2!$I$4,,,$F$26*B326,1)))+SUMPRODUCT((OFFSET(Calc2!$G$4,,,$F$26*B326,1)=F341)*(OFFSET(Calc2!$H$4,,,$F$26*B326,1)&lt;OFFSET(Calc2!$I$4,,,$F$26*B326,1)))</f>
        <v>4</v>
      </c>
      <c r="M341" s="1">
        <f t="array" aca="1" ref="M341" ca="1">SUMPRODUCT((OFFSET(Calc2!$F$4,,,$F$26*B326,2)=F341)*(OFFSET(Calc2!$H$4,,,$F$26*B326,1)=OFFSET(Calc2!$I$4,,,$F$26*B326,1))*(OFFSET(Calc2!$H$4,,,$F$26*B326,1)&lt;&gt;"")*(OFFSET(Calc2!$I$4,,,$F$26*B326,1)&lt;&gt;""))</f>
        <v>4</v>
      </c>
      <c r="N341" s="1">
        <f t="array" aca="1" ref="N341" ca="1">SUMPRODUCT((OFFSET(Calc2!$F$4,,,$F$26*B326,1)=F341)*(OFFSET(Calc2!$H$4,,,$F$26*B326,1)&lt;OFFSET(Calc2!$I$4,,,$F$26*B326,1)))+SUMPRODUCT((OFFSET(Calc2!$G$4,,,$F$26*B326,1)=F341)*(OFFSET(Calc2!$H$4,,,$F$26*B326,1)&gt;OFFSET(Calc2!$I$4,,,$F$26*B326,1)))</f>
        <v>5</v>
      </c>
      <c r="O341" s="132">
        <f ca="1">SUMPRODUCT((F341=OFFSET(Calc2!$F$4,,,$F$26*B326,1))*OFFSET(Calc2!$O$4,,,$F$26*B326,1))+SUMPRODUCT((F341=OFFSET(Calc2!$G$4,,,$F$26*B326,1))*OFFSET(Calc2!$P$4,,,$F$26*B326,1))</f>
        <v>0</v>
      </c>
      <c r="P341" s="2"/>
      <c r="Q341" s="2"/>
      <c r="R341" s="13">
        <f t="shared" ca="1" si="61"/>
        <v>16499998020</v>
      </c>
      <c r="S341" s="134">
        <f>Tie_Break!$D$20</f>
        <v>0</v>
      </c>
      <c r="T341" s="9">
        <f ca="1">RANK(R341,R328:R347)+(9-S341)/10000+(F341="")*1000</f>
        <v>9.0008999999999997</v>
      </c>
      <c r="U341" s="2"/>
      <c r="V341" s="134">
        <f ca="1">IF($K$24=0,"",IF(VLOOKUP(B341,C328:E347,3,0)=MAX(V$4:V340),VLOOKUP(B341,C328:E347,3,0),B341))</f>
        <v>14</v>
      </c>
      <c r="W341" s="4" t="str">
        <f ca="1">IF($K$24=0,Calc2!$C$17,VLOOKUP(B341,C328:N347,4,0))</f>
        <v>FC Augsburg</v>
      </c>
      <c r="X341" s="1">
        <f ca="1">INDEX(V301:V320,MATCH(W341,W301:W320,0))</f>
        <v>14</v>
      </c>
      <c r="Y341" s="1">
        <f t="shared" ca="1" si="64"/>
        <v>0</v>
      </c>
    </row>
    <row r="342" spans="2:25" x14ac:dyDescent="0.2">
      <c r="B342" s="1">
        <v>15</v>
      </c>
      <c r="C342" s="9">
        <f ca="1">RANK(D342,D328:D347,1)</f>
        <v>11</v>
      </c>
      <c r="D342" s="134">
        <f t="shared" ca="1" si="62"/>
        <v>11.342000000000001</v>
      </c>
      <c r="E342" s="134">
        <f ca="1">RANK(T342,T328:T347,1)</f>
        <v>11</v>
      </c>
      <c r="F342" s="187" t="str">
        <f>Calc2!$C$18</f>
        <v>SV Werder Bremen</v>
      </c>
      <c r="G342" s="1">
        <f ca="1">SUMIFS(OFFSET(Calc2!$H$4,,,$F$26*B326,1),OFFSET(Calc2!$F$4,,,$F$26*B326,1),F342)+SUMIFS(OFFSET(Calc2!$I$4,,,$F$26*B326,1),OFFSET(Calc2!$G$4,,,$F$26*B326,1),F342)</f>
        <v>18</v>
      </c>
      <c r="H342" s="1">
        <f ca="1">SUMIFS(OFFSET(Calc2!$I$4,,,$F$26*B326,1),OFFSET(Calc2!$F$4,,,$F$26*B326,1),F342)+SUMIFS(OFFSET(Calc2!$H$4,,,$F$26*B326,1),OFFSET(Calc2!$G$4,,,$F$26*B326,1),F342)</f>
        <v>24</v>
      </c>
      <c r="I342" s="134">
        <f t="shared" ca="1" si="60"/>
        <v>-6</v>
      </c>
      <c r="J342" s="12">
        <f ca="1">L342*Settings!$C$3+M342+O342</f>
        <v>16</v>
      </c>
      <c r="K342" s="1">
        <f t="shared" ca="1" si="63"/>
        <v>13</v>
      </c>
      <c r="L342" s="1">
        <f t="array" aca="1" ref="L342" ca="1">SUMPRODUCT((OFFSET(Calc2!$F$4,,,$F$26*B326,1)=F342)*(OFFSET(Calc2!$H$4,,,$F$26*B326,1)&gt;OFFSET(Calc2!$I$4,,,$F$26*B326,1)))+SUMPRODUCT((OFFSET(Calc2!$G$4,,,$F$26*B326,1)=F342)*(OFFSET(Calc2!$H$4,,,$F$26*B326,1)&lt;OFFSET(Calc2!$I$4,,,$F$26*B326,1)))</f>
        <v>4</v>
      </c>
      <c r="M342" s="1">
        <f t="array" aca="1" ref="M342" ca="1">SUMPRODUCT((OFFSET(Calc2!$F$4,,,$F$26*B326,2)=F342)*(OFFSET(Calc2!$H$4,,,$F$26*B326,1)=OFFSET(Calc2!$I$4,,,$F$26*B326,1))*(OFFSET(Calc2!$H$4,,,$F$26*B326,1)&lt;&gt;"")*(OFFSET(Calc2!$I$4,,,$F$26*B326,1)&lt;&gt;""))</f>
        <v>4</v>
      </c>
      <c r="N342" s="1">
        <f t="array" aca="1" ref="N342" ca="1">SUMPRODUCT((OFFSET(Calc2!$F$4,,,$F$26*B326,1)=F342)*(OFFSET(Calc2!$H$4,,,$F$26*B326,1)&lt;OFFSET(Calc2!$I$4,,,$F$26*B326,1)))+SUMPRODUCT((OFFSET(Calc2!$G$4,,,$F$26*B326,1)=F342)*(OFFSET(Calc2!$H$4,,,$F$26*B326,1)&gt;OFFSET(Calc2!$I$4,,,$F$26*B326,1)))</f>
        <v>5</v>
      </c>
      <c r="O342" s="132">
        <f ca="1">SUMPRODUCT((F342=OFFSET(Calc2!$F$4,,,$F$26*B326,1))*OFFSET(Calc2!$O$4,,,$F$26*B326,1))+SUMPRODUCT((F342=OFFSET(Calc2!$G$4,,,$F$26*B326,1))*OFFSET(Calc2!$P$4,,,$F$26*B326,1))</f>
        <v>0</v>
      </c>
      <c r="P342" s="2"/>
      <c r="Q342" s="2"/>
      <c r="R342" s="13">
        <f t="shared" ca="1" si="61"/>
        <v>16499994018</v>
      </c>
      <c r="S342" s="134">
        <f>Tie_Break!$D$21</f>
        <v>0</v>
      </c>
      <c r="T342" s="9">
        <f ca="1">RANK(R342,R328:R347)+(9-S342)/10000+(F342="")*1000</f>
        <v>11.0009</v>
      </c>
      <c r="U342" s="2"/>
      <c r="V342" s="134">
        <f ca="1">IF($K$24=0,"",IF(VLOOKUP(B342,C328:E347,3,0)=MAX(V$4:V341),VLOOKUP(B342,C328:E347,3,0),B342))</f>
        <v>15</v>
      </c>
      <c r="W342" s="4" t="str">
        <f ca="1">IF($K$24=0,Calc2!$C$18,VLOOKUP(B342,C328:N347,4,0))</f>
        <v>VfL Wolfsburg</v>
      </c>
      <c r="X342" s="1">
        <f ca="1">INDEX(V301:V320,MATCH(W342,W301:W320,0))</f>
        <v>15</v>
      </c>
      <c r="Y342" s="1">
        <f t="shared" ca="1" si="64"/>
        <v>0</v>
      </c>
    </row>
    <row r="343" spans="2:25" x14ac:dyDescent="0.2">
      <c r="B343" s="1">
        <v>16</v>
      </c>
      <c r="C343" s="9">
        <f ca="1">RANK(D343,D328:D347,1)</f>
        <v>5</v>
      </c>
      <c r="D343" s="134">
        <f t="shared" ca="1" si="62"/>
        <v>5.343</v>
      </c>
      <c r="E343" s="134">
        <f ca="1">RANK(T343,T328:T347,1)</f>
        <v>5</v>
      </c>
      <c r="F343" s="187" t="str">
        <f>Calc2!$C$19</f>
        <v>TSG Hoffenheim</v>
      </c>
      <c r="G343" s="1">
        <f ca="1">SUMIFS(OFFSET(Calc2!$H$4,,,$F$26*B326,1),OFFSET(Calc2!$F$4,,,$F$26*B326,1),F343)+SUMIFS(OFFSET(Calc2!$I$4,,,$F$26*B326,1),OFFSET(Calc2!$G$4,,,$F$26*B326,1),F343)</f>
        <v>25</v>
      </c>
      <c r="H343" s="1">
        <f ca="1">SUMIFS(OFFSET(Calc2!$I$4,,,$F$26*B326,1),OFFSET(Calc2!$F$4,,,$F$26*B326,1),F343)+SUMIFS(OFFSET(Calc2!$H$4,,,$F$26*B326,1),OFFSET(Calc2!$G$4,,,$F$26*B326,1),F343)</f>
        <v>19</v>
      </c>
      <c r="I343" s="134">
        <f t="shared" ca="1" si="60"/>
        <v>6</v>
      </c>
      <c r="J343" s="12">
        <f ca="1">L343*Settings!$C$3+M343+O343</f>
        <v>23</v>
      </c>
      <c r="K343" s="1">
        <f t="shared" ca="1" si="63"/>
        <v>13</v>
      </c>
      <c r="L343" s="1">
        <f t="array" aca="1" ref="L343" ca="1">SUMPRODUCT((OFFSET(Calc2!$F$4,,,$F$26*B326,1)=F343)*(OFFSET(Calc2!$H$4,,,$F$26*B326,1)&gt;OFFSET(Calc2!$I$4,,,$F$26*B326,1)))+SUMPRODUCT((OFFSET(Calc2!$G$4,,,$F$26*B326,1)=F343)*(OFFSET(Calc2!$H$4,,,$F$26*B326,1)&lt;OFFSET(Calc2!$I$4,,,$F$26*B326,1)))</f>
        <v>7</v>
      </c>
      <c r="M343" s="1">
        <f t="array" aca="1" ref="M343" ca="1">SUMPRODUCT((OFFSET(Calc2!$F$4,,,$F$26*B326,2)=F343)*(OFFSET(Calc2!$H$4,,,$F$26*B326,1)=OFFSET(Calc2!$I$4,,,$F$26*B326,1))*(OFFSET(Calc2!$H$4,,,$F$26*B326,1)&lt;&gt;"")*(OFFSET(Calc2!$I$4,,,$F$26*B326,1)&lt;&gt;""))</f>
        <v>2</v>
      </c>
      <c r="N343" s="1">
        <f t="array" aca="1" ref="N343" ca="1">SUMPRODUCT((OFFSET(Calc2!$F$4,,,$F$26*B326,1)=F343)*(OFFSET(Calc2!$H$4,,,$F$26*B326,1)&lt;OFFSET(Calc2!$I$4,,,$F$26*B326,1)))+SUMPRODUCT((OFFSET(Calc2!$G$4,,,$F$26*B326,1)=F343)*(OFFSET(Calc2!$H$4,,,$F$26*B326,1)&gt;OFFSET(Calc2!$I$4,,,$F$26*B326,1)))</f>
        <v>4</v>
      </c>
      <c r="O343" s="132">
        <f ca="1">SUMPRODUCT((F343=OFFSET(Calc2!$F$4,,,$F$26*B326,1))*OFFSET(Calc2!$O$4,,,$F$26*B326,1))+SUMPRODUCT((F343=OFFSET(Calc2!$G$4,,,$F$26*B326,1))*OFFSET(Calc2!$P$4,,,$F$26*B326,1))</f>
        <v>0</v>
      </c>
      <c r="P343" s="2"/>
      <c r="Q343" s="2"/>
      <c r="R343" s="13">
        <f t="shared" ca="1" si="61"/>
        <v>23500006025</v>
      </c>
      <c r="S343" s="134">
        <f>Tie_Break!$D$22</f>
        <v>0</v>
      </c>
      <c r="T343" s="9">
        <f ca="1">RANK(R343,R328:R347)+(9-S343)/10000+(F343="")*1000</f>
        <v>5.0008999999999997</v>
      </c>
      <c r="U343" s="2"/>
      <c r="V343" s="134">
        <f ca="1">IF($K$24=0,"",IF(VLOOKUP(B343,C328:E347,3,0)=MAX(V$4:V342),VLOOKUP(B343,C328:E347,3,0),B343))</f>
        <v>16</v>
      </c>
      <c r="W343" s="4" t="str">
        <f ca="1">IF($K$24=0,Calc2!$C$19,VLOOKUP(B343,C328:N347,4,0))</f>
        <v>1. FC Heidenheim 1846</v>
      </c>
      <c r="X343" s="1">
        <f ca="1">INDEX(V301:V320,MATCH(W343,W301:W320,0))</f>
        <v>16</v>
      </c>
      <c r="Y343" s="1">
        <f t="shared" ca="1" si="64"/>
        <v>0</v>
      </c>
    </row>
    <row r="344" spans="2:25" x14ac:dyDescent="0.2">
      <c r="B344" s="1">
        <v>17</v>
      </c>
      <c r="C344" s="9">
        <f ca="1">RANK(D344,D328:D347,1)</f>
        <v>6</v>
      </c>
      <c r="D344" s="134">
        <f t="shared" ca="1" si="62"/>
        <v>6.3440000000000003</v>
      </c>
      <c r="E344" s="134">
        <f ca="1">RANK(T344,T328:T347,1)</f>
        <v>6</v>
      </c>
      <c r="F344" s="187" t="str">
        <f>Calc2!$C$20</f>
        <v>VfB Stuttgart</v>
      </c>
      <c r="G344" s="1">
        <f ca="1">SUMIFS(OFFSET(Calc2!$H$4,,,$F$26*B326,1),OFFSET(Calc2!$F$4,,,$F$26*B326,1),F344)+SUMIFS(OFFSET(Calc2!$I$4,,,$F$26*B326,1),OFFSET(Calc2!$G$4,,,$F$26*B326,1),F344)</f>
        <v>21</v>
      </c>
      <c r="H344" s="1">
        <f ca="1">SUMIFS(OFFSET(Calc2!$I$4,,,$F$26*B326,1),OFFSET(Calc2!$F$4,,,$F$26*B326,1),F344)+SUMIFS(OFFSET(Calc2!$H$4,,,$F$26*B326,1),OFFSET(Calc2!$G$4,,,$F$26*B326,1),F344)</f>
        <v>22</v>
      </c>
      <c r="I344" s="134">
        <f t="shared" ca="1" si="60"/>
        <v>-1</v>
      </c>
      <c r="J344" s="12">
        <f ca="1">L344*Settings!$C$3+M344+O344</f>
        <v>22</v>
      </c>
      <c r="K344" s="1">
        <f t="shared" ca="1" si="63"/>
        <v>13</v>
      </c>
      <c r="L344" s="1">
        <f t="array" aca="1" ref="L344" ca="1">SUMPRODUCT((OFFSET(Calc2!$F$4,,,$F$26*B326,1)=F344)*(OFFSET(Calc2!$H$4,,,$F$26*B326,1)&gt;OFFSET(Calc2!$I$4,,,$F$26*B326,1)))+SUMPRODUCT((OFFSET(Calc2!$G$4,,,$F$26*B326,1)=F344)*(OFFSET(Calc2!$H$4,,,$F$26*B326,1)&lt;OFFSET(Calc2!$I$4,,,$F$26*B326,1)))</f>
        <v>7</v>
      </c>
      <c r="M344" s="1">
        <f t="array" aca="1" ref="M344" ca="1">SUMPRODUCT((OFFSET(Calc2!$F$4,,,$F$26*B326,2)=F344)*(OFFSET(Calc2!$H$4,,,$F$26*B326,1)=OFFSET(Calc2!$I$4,,,$F$26*B326,1))*(OFFSET(Calc2!$H$4,,,$F$26*B326,1)&lt;&gt;"")*(OFFSET(Calc2!$I$4,,,$F$26*B326,1)&lt;&gt;""))</f>
        <v>1</v>
      </c>
      <c r="N344" s="1">
        <f t="array" aca="1" ref="N344" ca="1">SUMPRODUCT((OFFSET(Calc2!$F$4,,,$F$26*B326,1)=F344)*(OFFSET(Calc2!$H$4,,,$F$26*B326,1)&lt;OFFSET(Calc2!$I$4,,,$F$26*B326,1)))+SUMPRODUCT((OFFSET(Calc2!$G$4,,,$F$26*B326,1)=F344)*(OFFSET(Calc2!$H$4,,,$F$26*B326,1)&gt;OFFSET(Calc2!$I$4,,,$F$26*B326,1)))</f>
        <v>5</v>
      </c>
      <c r="O344" s="132">
        <f ca="1">SUMPRODUCT((F344=OFFSET(Calc2!$F$4,,,$F$26*B326,1))*OFFSET(Calc2!$O$4,,,$F$26*B326,1))+SUMPRODUCT((F344=OFFSET(Calc2!$G$4,,,$F$26*B326,1))*OFFSET(Calc2!$P$4,,,$F$26*B326,1))</f>
        <v>0</v>
      </c>
      <c r="P344" s="2"/>
      <c r="Q344" s="2"/>
      <c r="R344" s="13">
        <f t="shared" ca="1" si="61"/>
        <v>22499999021</v>
      </c>
      <c r="S344" s="134">
        <f>Tie_Break!$D$23</f>
        <v>0</v>
      </c>
      <c r="T344" s="9">
        <f ca="1">RANK(R344,R328:R347)+(9-S344)/10000+(F344="")*1000</f>
        <v>6.0008999999999997</v>
      </c>
      <c r="U344" s="2"/>
      <c r="V344" s="134">
        <f ca="1">IF($K$24=0,"",IF(VLOOKUP(B344,C328:E347,3,0)=MAX(V$4:V343),VLOOKUP(B344,C328:E347,3,0),B344))</f>
        <v>17</v>
      </c>
      <c r="W344" s="4" t="str">
        <f ca="1">IF($K$24=0,Calc2!$C$20,VLOOKUP(B344,C328:N347,4,0))</f>
        <v>FC St. Pauli</v>
      </c>
      <c r="X344" s="1">
        <f ca="1">INDEX(V301:V320,MATCH(W344,W301:W320,0))</f>
        <v>17</v>
      </c>
      <c r="Y344" s="1">
        <f t="shared" ca="1" si="64"/>
        <v>0</v>
      </c>
    </row>
    <row r="345" spans="2:25" x14ac:dyDescent="0.2">
      <c r="B345" s="1">
        <v>18</v>
      </c>
      <c r="C345" s="9">
        <f ca="1">RANK(D345,D328:D347,1)</f>
        <v>15</v>
      </c>
      <c r="D345" s="134">
        <f t="shared" ca="1" si="62"/>
        <v>15.345000000000001</v>
      </c>
      <c r="E345" s="134">
        <f ca="1">RANK(T345,T328:T347,1)</f>
        <v>15</v>
      </c>
      <c r="F345" s="187" t="str">
        <f>Calc2!$C$21</f>
        <v>VfL Wolfsburg</v>
      </c>
      <c r="G345" s="1">
        <f ca="1">SUMIFS(OFFSET(Calc2!$H$4,,,$F$26*B326,1),OFFSET(Calc2!$F$4,,,$F$26*B326,1),F345)+SUMIFS(OFFSET(Calc2!$I$4,,,$F$26*B326,1),OFFSET(Calc2!$G$4,,,$F$26*B326,1),F345)</f>
        <v>17</v>
      </c>
      <c r="H345" s="1">
        <f ca="1">SUMIFS(OFFSET(Calc2!$I$4,,,$F$26*B326,1),OFFSET(Calc2!$F$4,,,$F$26*B326,1),F345)+SUMIFS(OFFSET(Calc2!$H$4,,,$F$26*B326,1),OFFSET(Calc2!$G$4,,,$F$26*B326,1),F345)</f>
        <v>23</v>
      </c>
      <c r="I345" s="134">
        <f t="shared" ca="1" si="60"/>
        <v>-6</v>
      </c>
      <c r="J345" s="12">
        <f ca="1">L345*Settings!$C$3+M345+O345</f>
        <v>12</v>
      </c>
      <c r="K345" s="1">
        <f t="shared" ca="1" si="63"/>
        <v>13</v>
      </c>
      <c r="L345" s="1">
        <f t="array" aca="1" ref="L345" ca="1">SUMPRODUCT((OFFSET(Calc2!$F$4,,,$F$26*B326,1)=F345)*(OFFSET(Calc2!$H$4,,,$F$26*B326,1)&gt;OFFSET(Calc2!$I$4,,,$F$26*B326,1)))+SUMPRODUCT((OFFSET(Calc2!$G$4,,,$F$26*B326,1)=F345)*(OFFSET(Calc2!$H$4,,,$F$26*B326,1)&lt;OFFSET(Calc2!$I$4,,,$F$26*B326,1)))</f>
        <v>3</v>
      </c>
      <c r="M345" s="1">
        <f t="array" aca="1" ref="M345" ca="1">SUMPRODUCT((OFFSET(Calc2!$F$4,,,$F$26*B326,2)=F345)*(OFFSET(Calc2!$H$4,,,$F$26*B326,1)=OFFSET(Calc2!$I$4,,,$F$26*B326,1))*(OFFSET(Calc2!$H$4,,,$F$26*B326,1)&lt;&gt;"")*(OFFSET(Calc2!$I$4,,,$F$26*B326,1)&lt;&gt;""))</f>
        <v>3</v>
      </c>
      <c r="N345" s="1">
        <f t="array" aca="1" ref="N345" ca="1">SUMPRODUCT((OFFSET(Calc2!$F$4,,,$F$26*B326,1)=F345)*(OFFSET(Calc2!$H$4,,,$F$26*B326,1)&lt;OFFSET(Calc2!$I$4,,,$F$26*B326,1)))+SUMPRODUCT((OFFSET(Calc2!$G$4,,,$F$26*B326,1)=F345)*(OFFSET(Calc2!$H$4,,,$F$26*B326,1)&gt;OFFSET(Calc2!$I$4,,,$F$26*B326,1)))</f>
        <v>7</v>
      </c>
      <c r="O345" s="132">
        <f ca="1">SUMPRODUCT((F345=OFFSET(Calc2!$F$4,,,$F$26*B326,1))*OFFSET(Calc2!$O$4,,,$F$26*B326,1))+SUMPRODUCT((F345=OFFSET(Calc2!$G$4,,,$F$26*B326,1))*OFFSET(Calc2!$P$4,,,$F$26*B326,1))</f>
        <v>0</v>
      </c>
      <c r="P345" s="2"/>
      <c r="Q345" s="2"/>
      <c r="R345" s="13">
        <f t="shared" ca="1" si="61"/>
        <v>12499994017</v>
      </c>
      <c r="S345" s="134">
        <f>Tie_Break!$D$24</f>
        <v>0</v>
      </c>
      <c r="T345" s="9">
        <f ca="1">RANK(R345,R328:R347)+(9-S345)/10000+(F345="")*1000</f>
        <v>15.0009</v>
      </c>
      <c r="U345" s="2"/>
      <c r="V345" s="134">
        <f ca="1">IF($K$24=0,"",IF(VLOOKUP(B345,C328:E347,3,0)=MAX(V$4:V344),VLOOKUP(B345,C328:E347,3,0),B345))</f>
        <v>18</v>
      </c>
      <c r="W345" s="4" t="str">
        <f ca="1">IF($K$24=0,Calc2!$C$21,VLOOKUP(B345,C328:N347,4,0))</f>
        <v>1. FSV Mainz 05</v>
      </c>
      <c r="X345" s="1">
        <f ca="1">INDEX(V301:V320,MATCH(W345,W301:W320,0))</f>
        <v>18</v>
      </c>
      <c r="Y345" s="1">
        <f t="shared" ca="1" si="64"/>
        <v>0</v>
      </c>
    </row>
    <row r="346" spans="2:25" x14ac:dyDescent="0.2">
      <c r="B346" s="1">
        <v>19</v>
      </c>
      <c r="C346" s="9">
        <f ca="1">RANK(D346,D328:D347,1)</f>
        <v>19</v>
      </c>
      <c r="D346" s="134">
        <f t="shared" ca="1" si="62"/>
        <v>19.346</v>
      </c>
      <c r="E346" s="134">
        <f ca="1">RANK(T346,T328:T347,1)</f>
        <v>19</v>
      </c>
      <c r="F346" s="187" t="str">
        <f>Calc2!$C$22</f>
        <v/>
      </c>
      <c r="G346" s="1">
        <f ca="1">SUMIFS(OFFSET(Calc2!$H$4,,,$F$26*B326,1),OFFSET(Calc2!$F$4,,,$F$26*B326,1),F346)+SUMIFS(OFFSET(Calc2!$I$4,,,$F$26*B326,1),OFFSET(Calc2!$G$4,,,$F$26*B326,1),F346)</f>
        <v>0</v>
      </c>
      <c r="H346" s="1">
        <f ca="1">SUMIFS(OFFSET(Calc2!$I$4,,,$F$26*B326,1),OFFSET(Calc2!$F$4,,,$F$26*B326,1),F346)+SUMIFS(OFFSET(Calc2!$H$4,,,$F$26*B326,1),OFFSET(Calc2!$G$4,,,$F$26*B326,1),F346)</f>
        <v>0</v>
      </c>
      <c r="I346" s="134">
        <f t="shared" ca="1" si="60"/>
        <v>0</v>
      </c>
      <c r="J346" s="12">
        <f ca="1">L346*Settings!$C$3+M346+O346</f>
        <v>0</v>
      </c>
      <c r="K346" s="1">
        <f t="shared" ca="1" si="63"/>
        <v>0</v>
      </c>
      <c r="L346" s="1">
        <f t="array" aca="1" ref="L346" ca="1">SUMPRODUCT((OFFSET(Calc2!$F$4,,,$F$26*B326,1)=F346)*(OFFSET(Calc2!$H$4,,,$F$26*B326,1)&gt;OFFSET(Calc2!$I$4,,,$F$26*B326,1)))+SUMPRODUCT((OFFSET(Calc2!$G$4,,,$F$26*B326,1)=F346)*(OFFSET(Calc2!$H$4,,,$F$26*B326,1)&lt;OFFSET(Calc2!$I$4,,,$F$26*B326,1)))</f>
        <v>0</v>
      </c>
      <c r="M346" s="1">
        <f t="array" aca="1" ref="M346" ca="1">SUMPRODUCT((OFFSET(Calc2!$F$4,,,$F$26*B326,2)=F346)*(OFFSET(Calc2!$H$4,,,$F$26*B326,1)=OFFSET(Calc2!$I$4,,,$F$26*B326,1))*(OFFSET(Calc2!$H$4,,,$F$26*B326,1)&lt;&gt;"")*(OFFSET(Calc2!$I$4,,,$F$26*B326,1)&lt;&gt;""))</f>
        <v>0</v>
      </c>
      <c r="N346" s="1">
        <f t="array" aca="1" ref="N346" ca="1">SUMPRODUCT((OFFSET(Calc2!$F$4,,,$F$26*B326,1)=F346)*(OFFSET(Calc2!$H$4,,,$F$26*B326,1)&lt;OFFSET(Calc2!$I$4,,,$F$26*B326,1)))+SUMPRODUCT((OFFSET(Calc2!$G$4,,,$F$26*B326,1)=F346)*(OFFSET(Calc2!$H$4,,,$F$26*B326,1)&gt;OFFSET(Calc2!$I$4,,,$F$26*B326,1)))</f>
        <v>0</v>
      </c>
      <c r="O346" s="132">
        <f ca="1">SUMPRODUCT((F346=OFFSET(Calc2!$F$4,,,$F$26*B326,1))*OFFSET(Calc2!$O$4,,,$F$26*B326,1))+SUMPRODUCT((F346=OFFSET(Calc2!$G$4,,,$F$26*B326,1))*OFFSET(Calc2!$P$4,,,$F$26*B326,1))</f>
        <v>0</v>
      </c>
      <c r="P346" s="2"/>
      <c r="Q346" s="2"/>
      <c r="R346" s="13">
        <f t="shared" ca="1" si="61"/>
        <v>500000000</v>
      </c>
      <c r="S346" s="134">
        <f>Tie_Break!$D$25</f>
        <v>0</v>
      </c>
      <c r="T346" s="9">
        <f ca="1">RANK(R346,R328:R347)+(9-S346)/10000+(F346="")*1000</f>
        <v>1019.0009</v>
      </c>
      <c r="U346" s="2"/>
      <c r="V346" s="134">
        <f ca="1">IF($K$24=0,"",IF(VLOOKUP(B346,C328:E347,3,0)=MAX(V$4:V345),VLOOKUP(B346,C328:E347,3,0),B346))</f>
        <v>19</v>
      </c>
      <c r="W346" s="4" t="str">
        <f ca="1">IF($K$24=0,Calc2!$C$22,VLOOKUP(B346,C328:N347,4,0))</f>
        <v/>
      </c>
      <c r="X346" s="1">
        <f ca="1">INDEX(V301:V320,MATCH(W346,W301:W320,0))</f>
        <v>19</v>
      </c>
      <c r="Y346" s="1">
        <f t="shared" ca="1" si="64"/>
        <v>0</v>
      </c>
    </row>
    <row r="347" spans="2:25" ht="12.75" thickBot="1" x14ac:dyDescent="0.25">
      <c r="B347" s="1">
        <v>20</v>
      </c>
      <c r="C347" s="10">
        <f ca="1">RANK(D347,D328:D347,1)</f>
        <v>20</v>
      </c>
      <c r="D347" s="134">
        <f t="shared" ca="1" si="62"/>
        <v>19.347000000000001</v>
      </c>
      <c r="E347" s="134">
        <f ca="1">RANK(T347,T328:T347,1)</f>
        <v>19</v>
      </c>
      <c r="F347" s="187" t="str">
        <f>Calc2!$C$23</f>
        <v/>
      </c>
      <c r="G347" s="1">
        <f ca="1">SUMIFS(OFFSET(Calc2!$H$4,,,$F$26*B326,1),OFFSET(Calc2!$F$4,,,$F$26*B326,1),F347)+SUMIFS(OFFSET(Calc2!$I$4,,,$F$26*B326,1),OFFSET(Calc2!$G$4,,,$F$26*B326,1),F347)</f>
        <v>0</v>
      </c>
      <c r="H347" s="1">
        <f ca="1">SUMIFS(OFFSET(Calc2!$I$4,,,$F$26*B326,1),OFFSET(Calc2!$F$4,,,$F$26*B326,1),F347)+SUMIFS(OFFSET(Calc2!$H$4,,,$F$26*B326,1),OFFSET(Calc2!$G$4,,,$F$26*B326,1),F347)</f>
        <v>0</v>
      </c>
      <c r="I347" s="134">
        <f t="shared" ca="1" si="60"/>
        <v>0</v>
      </c>
      <c r="J347" s="12">
        <f ca="1">L347*Settings!$C$3+M347+O347</f>
        <v>0</v>
      </c>
      <c r="K347" s="1">
        <f t="shared" ca="1" si="63"/>
        <v>0</v>
      </c>
      <c r="L347" s="1">
        <f t="array" aca="1" ref="L347" ca="1">SUMPRODUCT((OFFSET(Calc2!$F$4,,,$F$26*B326,1)=F347)*(OFFSET(Calc2!$H$4,,,$F$26*B326,1)&gt;OFFSET(Calc2!$I$4,,,$F$26*B326,1)))+SUMPRODUCT((OFFSET(Calc2!$G$4,,,$F$26*B326,1)=F347)*(OFFSET(Calc2!$H$4,,,$F$26*B326,1)&lt;OFFSET(Calc2!$I$4,,,$F$26*B326,1)))</f>
        <v>0</v>
      </c>
      <c r="M347" s="1">
        <f t="array" aca="1" ref="M347" ca="1">SUMPRODUCT((OFFSET(Calc2!$F$4,,,$F$26*B326,2)=F347)*(OFFSET(Calc2!$H$4,,,$F$26*B326,1)=OFFSET(Calc2!$I$4,,,$F$26*B326,1))*(OFFSET(Calc2!$H$4,,,$F$26*B326,1)&lt;&gt;"")*(OFFSET(Calc2!$I$4,,,$F$26*B326,1)&lt;&gt;""))</f>
        <v>0</v>
      </c>
      <c r="N347" s="1">
        <f t="array" aca="1" ref="N347" ca="1">SUMPRODUCT((OFFSET(Calc2!$F$4,,,$F$26*B326,1)=F347)*(OFFSET(Calc2!$H$4,,,$F$26*B326,1)&lt;OFFSET(Calc2!$I$4,,,$F$26*B326,1)))+SUMPRODUCT((OFFSET(Calc2!$G$4,,,$F$26*B326,1)=F347)*(OFFSET(Calc2!$H$4,,,$F$26*B326,1)&gt;OFFSET(Calc2!$I$4,,,$F$26*B326,1)))</f>
        <v>0</v>
      </c>
      <c r="O347" s="132">
        <f ca="1">SUMPRODUCT((F347=OFFSET(Calc2!$F$4,,,$F$26*B326,1))*OFFSET(Calc2!$O$4,,,$F$26*B326,1))+SUMPRODUCT((F347=OFFSET(Calc2!$G$4,,,$F$26*B326,1))*OFFSET(Calc2!$P$4,,,$F$26*B326,1))</f>
        <v>0</v>
      </c>
      <c r="P347" s="2"/>
      <c r="Q347" s="2"/>
      <c r="R347" s="13">
        <f t="shared" ca="1" si="61"/>
        <v>500000000</v>
      </c>
      <c r="S347" s="134">
        <f>Tie_Break!$D$26</f>
        <v>0</v>
      </c>
      <c r="T347" s="10">
        <f ca="1">RANK(R347,R328:R347)+(9-S347)/10000+(F347="")*1000</f>
        <v>1019.0009</v>
      </c>
      <c r="U347" s="2"/>
      <c r="V347" s="134">
        <f ca="1">IF($K$24=0,"",IF(VLOOKUP(B347,C328:E347,3,0)=MAX(V$4:V346),VLOOKUP(B347,C328:E347,3,0),B347))</f>
        <v>19</v>
      </c>
      <c r="W347" s="4" t="str">
        <f ca="1">IF($K$24=0,Calc2!$C$23,VLOOKUP(B347,C328:N347,4,0))</f>
        <v/>
      </c>
      <c r="X347" s="1">
        <f ca="1">INDEX(V301:V320,MATCH(W347,W301:W320,0))</f>
        <v>19</v>
      </c>
      <c r="Y347" s="1">
        <f t="shared" ca="1" si="64"/>
        <v>0</v>
      </c>
    </row>
    <row r="348" spans="2:25" ht="12.75" thickTop="1" x14ac:dyDescent="0.2">
      <c r="X348" s="1"/>
      <c r="Y348" s="1"/>
    </row>
    <row r="349" spans="2:25" x14ac:dyDescent="0.2">
      <c r="X349" s="1"/>
      <c r="Y349" s="1"/>
    </row>
    <row r="350" spans="2:25" x14ac:dyDescent="0.2">
      <c r="X350" s="1"/>
      <c r="Y350" s="1"/>
    </row>
    <row r="351" spans="2:25" x14ac:dyDescent="0.2">
      <c r="X351" s="1"/>
      <c r="Y351" s="1"/>
    </row>
    <row r="352" spans="2:25" ht="12.75" thickBot="1" x14ac:dyDescent="0.25">
      <c r="X352" s="1"/>
      <c r="Y352" s="1"/>
    </row>
    <row r="353" spans="2:25" ht="12.75" thickBot="1" x14ac:dyDescent="0.25">
      <c r="B353" s="410">
        <v>14</v>
      </c>
      <c r="C353" s="134"/>
      <c r="D353" s="134"/>
      <c r="E353" s="134"/>
      <c r="F353" s="187"/>
      <c r="G353" s="1"/>
      <c r="H353" s="1"/>
      <c r="I353" s="1"/>
      <c r="J353" s="1"/>
      <c r="K353" s="1"/>
      <c r="L353" s="1"/>
      <c r="M353" s="1"/>
      <c r="N353" s="134"/>
      <c r="O353" s="1"/>
      <c r="P353" s="1"/>
      <c r="Q353" s="1"/>
      <c r="R353" s="2"/>
      <c r="S353" s="2"/>
      <c r="T353" s="2"/>
      <c r="U353" s="2"/>
      <c r="V353" s="2"/>
      <c r="W353" s="2"/>
      <c r="X353" s="1"/>
      <c r="Y353" s="1"/>
    </row>
    <row r="354" spans="2:25" ht="15.75" thickBot="1" x14ac:dyDescent="0.25">
      <c r="B354" s="1"/>
      <c r="C354" s="134"/>
      <c r="D354" s="134"/>
      <c r="E354" s="134"/>
      <c r="F354" s="11" t="s">
        <v>90</v>
      </c>
      <c r="G354" s="42" t="s">
        <v>95</v>
      </c>
      <c r="H354" s="42" t="s">
        <v>96</v>
      </c>
      <c r="I354" s="11" t="s">
        <v>97</v>
      </c>
      <c r="J354" s="11" t="s">
        <v>98</v>
      </c>
      <c r="K354" s="11" t="s">
        <v>91</v>
      </c>
      <c r="L354" s="12" t="s">
        <v>92</v>
      </c>
      <c r="M354" s="12" t="s">
        <v>93</v>
      </c>
      <c r="N354" s="12" t="s">
        <v>94</v>
      </c>
      <c r="O354" s="12" t="s">
        <v>534</v>
      </c>
      <c r="P354" s="2"/>
      <c r="Q354" s="11"/>
      <c r="R354" s="133" t="s">
        <v>99</v>
      </c>
      <c r="S354" s="6" t="s">
        <v>483</v>
      </c>
      <c r="T354" s="120" t="s">
        <v>146</v>
      </c>
      <c r="U354" s="134"/>
      <c r="V354" s="134"/>
      <c r="W354" s="132"/>
      <c r="X354" s="120" t="s">
        <v>575</v>
      </c>
      <c r="Y354" s="1"/>
    </row>
    <row r="355" spans="2:25" ht="12.75" thickTop="1" x14ac:dyDescent="0.2">
      <c r="B355" s="1">
        <v>1</v>
      </c>
      <c r="C355" s="8">
        <f ca="1">RANK(D355,D355:D374,1)</f>
        <v>17</v>
      </c>
      <c r="D355" s="134">
        <f ca="1">E355+ROW()/1000</f>
        <v>17.355</v>
      </c>
      <c r="E355" s="134">
        <f ca="1">RANK(T355,T355:T374,1)</f>
        <v>17</v>
      </c>
      <c r="F355" s="187" t="str">
        <f>Calc2!$C$4</f>
        <v>1. FC Heidenheim 1846</v>
      </c>
      <c r="G355" s="1">
        <f ca="1">SUMIFS(OFFSET(Calc2!$H$4,,,$F$26*B353,1),OFFSET(Calc2!$F$4,,,$F$26*B353,1),F355)+SUMIFS(OFFSET(Calc2!$I$4,,,$F$26*B353,1),OFFSET(Calc2!$G$4,,,$F$26*B353,1),F355)</f>
        <v>13</v>
      </c>
      <c r="H355" s="1">
        <f ca="1">SUMIFS(OFFSET(Calc2!$I$4,,,$F$26*B353,1),OFFSET(Calc2!$F$4,,,$F$26*B353,1),F355)+SUMIFS(OFFSET(Calc2!$H$4,,,$F$26*B353,1),OFFSET(Calc2!$G$4,,,$F$26*B353,1),F355)</f>
        <v>30</v>
      </c>
      <c r="I355" s="134">
        <f t="shared" ref="I355:I374" ca="1" si="65">G355-H355</f>
        <v>-17</v>
      </c>
      <c r="J355" s="12">
        <f ca="1">L355*Settings!$C$3+M355+O355</f>
        <v>11</v>
      </c>
      <c r="K355" s="1">
        <f ca="1">L355+M355+N355</f>
        <v>14</v>
      </c>
      <c r="L355" s="1">
        <f t="array" aca="1" ref="L355" ca="1">SUMPRODUCT((OFFSET(Calc2!$F$4,,,$F$26*B353,1)=F355)*(OFFSET(Calc2!$H$4,,,$F$26*B353,1)&gt;OFFSET(Calc2!$I$4,,,$F$26*B353,1)))+SUMPRODUCT((OFFSET(Calc2!$G$4,,,$F$26*B353,1)=F355)*(OFFSET(Calc2!$H$4,,,$F$26*B353,1)&lt;OFFSET(Calc2!$I$4,,,$F$26*B353,1)))</f>
        <v>3</v>
      </c>
      <c r="M355" s="1">
        <f t="array" aca="1" ref="M355" ca="1">SUMPRODUCT((OFFSET(Calc2!$F$4,,,$F$26*B353,2)=F355)*(OFFSET(Calc2!$H$4,,,$F$26*B353,1)=OFFSET(Calc2!$I$4,,,$F$26*B353,1))*(OFFSET(Calc2!$H$4,,,$F$26*B353,1)&lt;&gt;"")*(OFFSET(Calc2!$I$4,,,$F$26*B353,1)&lt;&gt;""))</f>
        <v>2</v>
      </c>
      <c r="N355" s="1">
        <f t="array" aca="1" ref="N355" ca="1">SUMPRODUCT((OFFSET(Calc2!$F$4,,,$F$26*B353,1)=F355)*(OFFSET(Calc2!$H$4,,,$F$26*B353,1)&lt;OFFSET(Calc2!$I$4,,,$F$26*B353,1)))+SUMPRODUCT((OFFSET(Calc2!$G$4,,,$F$26*B353,1)=F355)*(OFFSET(Calc2!$H$4,,,$F$26*B353,1)&gt;OFFSET(Calc2!$I$4,,,$F$26*B353,1)))</f>
        <v>9</v>
      </c>
      <c r="O355" s="132">
        <f ca="1">SUMPRODUCT((F355=OFFSET(Calc2!$F$4,,,$F$26*B353,1))*OFFSET(Calc2!$O$4,,,$F$26*B353,1))+SUMPRODUCT((F355=OFFSET(Calc2!$G$4,,,$F$26*B353,1))*OFFSET(Calc2!$P$4,,,$F$26*B353,1))</f>
        <v>0</v>
      </c>
      <c r="P355" s="2"/>
      <c r="Q355" s="2"/>
      <c r="R355" s="13">
        <f t="shared" ref="R355:R374" ca="1" si="66">J355*FactorPts+(I355+GDzero)*FactorGD+G355*FactorGF</f>
        <v>11499983013</v>
      </c>
      <c r="S355" s="134">
        <f>Tie_Break!$D$7</f>
        <v>0</v>
      </c>
      <c r="T355" s="8">
        <f ca="1">RANK(R355,R355:R374)+(9-S355)/10000+(F355="")*1000</f>
        <v>17.000900000000001</v>
      </c>
      <c r="U355" s="134"/>
      <c r="V355" s="134">
        <f ca="1">IF($K$24=0,"",1)</f>
        <v>1</v>
      </c>
      <c r="W355" s="4" t="str">
        <f ca="1">IF($K$24=0,Calc2!$C$4,VLOOKUP(B355,C355:N374,4,0))</f>
        <v>FC Bayern München</v>
      </c>
      <c r="X355" s="1">
        <f ca="1">INDEX(V328:V347,MATCH(W355,W328:W347,0))</f>
        <v>1</v>
      </c>
      <c r="Y355" s="1">
        <f ca="1">IF(X355&gt;V355,1,IF(X355&lt;V355,-1,0))</f>
        <v>0</v>
      </c>
    </row>
    <row r="356" spans="2:25" x14ac:dyDescent="0.2">
      <c r="B356" s="1">
        <v>2</v>
      </c>
      <c r="C356" s="9">
        <f ca="1">RANK(D356,D355:D374,1)</f>
        <v>10</v>
      </c>
      <c r="D356" s="134">
        <f t="shared" ref="D356:D374" ca="1" si="67">E356+ROW()/1000</f>
        <v>10.356</v>
      </c>
      <c r="E356" s="134">
        <f ca="1">RANK(T356,T355:T374,1)</f>
        <v>10</v>
      </c>
      <c r="F356" s="187" t="str">
        <f>Calc2!$C$5</f>
        <v>1. FC Köln</v>
      </c>
      <c r="G356" s="1">
        <f ca="1">SUMIFS(OFFSET(Calc2!$H$4,,,$F$26*B353,1),OFFSET(Calc2!$F$4,,,$F$26*B353,1),F356)+SUMIFS(OFFSET(Calc2!$I$4,,,$F$26*B353,1),OFFSET(Calc2!$G$4,,,$F$26*B353,1),F356)</f>
        <v>22</v>
      </c>
      <c r="H356" s="1">
        <f ca="1">SUMIFS(OFFSET(Calc2!$I$4,,,$F$26*B353,1),OFFSET(Calc2!$F$4,,,$F$26*B353,1),F356)+SUMIFS(OFFSET(Calc2!$H$4,,,$F$26*B353,1),OFFSET(Calc2!$G$4,,,$F$26*B353,1),F356)</f>
        <v>23</v>
      </c>
      <c r="I356" s="134">
        <f t="shared" ca="1" si="65"/>
        <v>-1</v>
      </c>
      <c r="J356" s="12">
        <f ca="1">L356*Settings!$C$3+M356+O356</f>
        <v>16</v>
      </c>
      <c r="K356" s="1">
        <f t="shared" ref="K356:K374" ca="1" si="68">L356+M356+N356</f>
        <v>14</v>
      </c>
      <c r="L356" s="1">
        <f t="array" aca="1" ref="L356" ca="1">SUMPRODUCT((OFFSET(Calc2!$F$4,,,$F$26*B353,1)=F356)*(OFFSET(Calc2!$H$4,,,$F$26*B353,1)&gt;OFFSET(Calc2!$I$4,,,$F$26*B353,1)))+SUMPRODUCT((OFFSET(Calc2!$G$4,,,$F$26*B353,1)=F356)*(OFFSET(Calc2!$H$4,,,$F$26*B353,1)&lt;OFFSET(Calc2!$I$4,,,$F$26*B353,1)))</f>
        <v>4</v>
      </c>
      <c r="M356" s="1">
        <f t="array" aca="1" ref="M356" ca="1">SUMPRODUCT((OFFSET(Calc2!$F$4,,,$F$26*B353,2)=F356)*(OFFSET(Calc2!$H$4,,,$F$26*B353,1)=OFFSET(Calc2!$I$4,,,$F$26*B353,1))*(OFFSET(Calc2!$H$4,,,$F$26*B353,1)&lt;&gt;"")*(OFFSET(Calc2!$I$4,,,$F$26*B353,1)&lt;&gt;""))</f>
        <v>4</v>
      </c>
      <c r="N356" s="1">
        <f t="array" aca="1" ref="N356" ca="1">SUMPRODUCT((OFFSET(Calc2!$F$4,,,$F$26*B353,1)=F356)*(OFFSET(Calc2!$H$4,,,$F$26*B353,1)&lt;OFFSET(Calc2!$I$4,,,$F$26*B353,1)))+SUMPRODUCT((OFFSET(Calc2!$G$4,,,$F$26*B353,1)=F356)*(OFFSET(Calc2!$H$4,,,$F$26*B353,1)&gt;OFFSET(Calc2!$I$4,,,$F$26*B353,1)))</f>
        <v>6</v>
      </c>
      <c r="O356" s="132">
        <f ca="1">SUMPRODUCT((F356=OFFSET(Calc2!$F$4,,,$F$26*B353,1))*OFFSET(Calc2!$O$4,,,$F$26*B353,1))+SUMPRODUCT((F356=OFFSET(Calc2!$G$4,,,$F$26*B353,1))*OFFSET(Calc2!$P$4,,,$F$26*B353,1))</f>
        <v>0</v>
      </c>
      <c r="P356" s="2"/>
      <c r="Q356" s="2"/>
      <c r="R356" s="13">
        <f t="shared" ca="1" si="66"/>
        <v>16499999022</v>
      </c>
      <c r="S356" s="134">
        <f>Tie_Break!$D$8</f>
        <v>0</v>
      </c>
      <c r="T356" s="9">
        <f ca="1">RANK(R356,R355:R374)+(9-S356)/10000+(F356="")*1000</f>
        <v>10.0009</v>
      </c>
      <c r="U356" s="134"/>
      <c r="V356" s="134">
        <f ca="1">IF($K$24=0,"",IF(VLOOKUP(B356,C355:E374,3,0)=MAX(V$4:V355),VLOOKUP(B356,C355:E374,3,0),B356))</f>
        <v>2</v>
      </c>
      <c r="W356" s="4" t="str">
        <f ca="1">IF($K$24=0,Calc2!$C$5,VLOOKUP(B356,C355:N374,4,0))</f>
        <v>RB Leipzig</v>
      </c>
      <c r="X356" s="1">
        <f ca="1">INDEX(V328:V347,MATCH(W356,W328:W347,0))</f>
        <v>2</v>
      </c>
      <c r="Y356" s="1">
        <f t="shared" ref="Y356:Y374" ca="1" si="69">IF(X356&gt;V356,1,IF(X356&lt;V356,-1,0))</f>
        <v>0</v>
      </c>
    </row>
    <row r="357" spans="2:25" x14ac:dyDescent="0.2">
      <c r="B357" s="1">
        <v>3</v>
      </c>
      <c r="C357" s="9">
        <f ca="1">RANK(D357,D355:D374,1)</f>
        <v>8</v>
      </c>
      <c r="D357" s="134">
        <f t="shared" ca="1" si="67"/>
        <v>8.3569999999999993</v>
      </c>
      <c r="E357" s="134">
        <f ca="1">RANK(T357,T355:T374,1)</f>
        <v>8</v>
      </c>
      <c r="F357" s="187" t="str">
        <f>Calc2!$C$6</f>
        <v>1. FC Union Berlin</v>
      </c>
      <c r="G357" s="1">
        <f ca="1">SUMIFS(OFFSET(Calc2!$H$4,,,$F$26*B353,1),OFFSET(Calc2!$F$4,,,$F$26*B353,1),F357)+SUMIFS(OFFSET(Calc2!$I$4,,,$F$26*B353,1),OFFSET(Calc2!$G$4,,,$F$26*B353,1),F357)</f>
        <v>19</v>
      </c>
      <c r="H357" s="1">
        <f ca="1">SUMIFS(OFFSET(Calc2!$I$4,,,$F$26*B353,1),OFFSET(Calc2!$F$4,,,$F$26*B353,1),F357)+SUMIFS(OFFSET(Calc2!$H$4,,,$F$26*B353,1),OFFSET(Calc2!$G$4,,,$F$26*B353,1),F357)</f>
        <v>23</v>
      </c>
      <c r="I357" s="134">
        <f t="shared" ca="1" si="65"/>
        <v>-4</v>
      </c>
      <c r="J357" s="12">
        <f ca="1">L357*Settings!$C$3+M357+O357</f>
        <v>18</v>
      </c>
      <c r="K357" s="1">
        <f t="shared" ca="1" si="68"/>
        <v>14</v>
      </c>
      <c r="L357" s="1">
        <f t="array" aca="1" ref="L357" ca="1">SUMPRODUCT((OFFSET(Calc2!$F$4,,,$F$26*B353,1)=F357)*(OFFSET(Calc2!$H$4,,,$F$26*B353,1)&gt;OFFSET(Calc2!$I$4,,,$F$26*B353,1)))+SUMPRODUCT((OFFSET(Calc2!$G$4,,,$F$26*B353,1)=F357)*(OFFSET(Calc2!$H$4,,,$F$26*B353,1)&lt;OFFSET(Calc2!$I$4,,,$F$26*B353,1)))</f>
        <v>5</v>
      </c>
      <c r="M357" s="1">
        <f t="array" aca="1" ref="M357" ca="1">SUMPRODUCT((OFFSET(Calc2!$F$4,,,$F$26*B353,2)=F357)*(OFFSET(Calc2!$H$4,,,$F$26*B353,1)=OFFSET(Calc2!$I$4,,,$F$26*B353,1))*(OFFSET(Calc2!$H$4,,,$F$26*B353,1)&lt;&gt;"")*(OFFSET(Calc2!$I$4,,,$F$26*B353,1)&lt;&gt;""))</f>
        <v>3</v>
      </c>
      <c r="N357" s="1">
        <f t="array" aca="1" ref="N357" ca="1">SUMPRODUCT((OFFSET(Calc2!$F$4,,,$F$26*B353,1)=F357)*(OFFSET(Calc2!$H$4,,,$F$26*B353,1)&lt;OFFSET(Calc2!$I$4,,,$F$26*B353,1)))+SUMPRODUCT((OFFSET(Calc2!$G$4,,,$F$26*B353,1)=F357)*(OFFSET(Calc2!$H$4,,,$F$26*B353,1)&gt;OFFSET(Calc2!$I$4,,,$F$26*B353,1)))</f>
        <v>6</v>
      </c>
      <c r="O357" s="132">
        <f ca="1">SUMPRODUCT((F357=OFFSET(Calc2!$F$4,,,$F$26*B353,1))*OFFSET(Calc2!$O$4,,,$F$26*B353,1))+SUMPRODUCT((F357=OFFSET(Calc2!$G$4,,,$F$26*B353,1))*OFFSET(Calc2!$P$4,,,$F$26*B353,1))</f>
        <v>0</v>
      </c>
      <c r="P357" s="2"/>
      <c r="Q357" s="2"/>
      <c r="R357" s="13">
        <f t="shared" ca="1" si="66"/>
        <v>18499996019</v>
      </c>
      <c r="S357" s="134">
        <f>Tie_Break!$D$9</f>
        <v>0</v>
      </c>
      <c r="T357" s="9">
        <f ca="1">RANK(R357,R355:R374)+(9-S357)/10000+(F357="")*1000</f>
        <v>8.0008999999999997</v>
      </c>
      <c r="U357" s="134"/>
      <c r="V357" s="134">
        <f ca="1">IF($K$24=0,"",IF(VLOOKUP(B357,C355:E374,3,0)=MAX(V$4:V356),VLOOKUP(B357,C355:E374,3,0),B357))</f>
        <v>3</v>
      </c>
      <c r="W357" s="4" t="str">
        <f ca="1">IF($K$24=0,Calc2!$C$6,VLOOKUP(B357,C355:N374,4,0))</f>
        <v>Borussia Dortmund</v>
      </c>
      <c r="X357" s="1">
        <f ca="1">INDEX(V328:V347,MATCH(W357,W328:W347,0))</f>
        <v>3</v>
      </c>
      <c r="Y357" s="1">
        <f t="shared" ca="1" si="69"/>
        <v>0</v>
      </c>
    </row>
    <row r="358" spans="2:25" x14ac:dyDescent="0.2">
      <c r="B358" s="1">
        <v>4</v>
      </c>
      <c r="C358" s="9">
        <f ca="1">RANK(D358,D355:D374,1)</f>
        <v>18</v>
      </c>
      <c r="D358" s="134">
        <f t="shared" ca="1" si="67"/>
        <v>18.358000000000001</v>
      </c>
      <c r="E358" s="134">
        <f ca="1">RANK(T358,T355:T374,1)</f>
        <v>18</v>
      </c>
      <c r="F358" s="187" t="str">
        <f>Calc2!$C$7</f>
        <v>1. FSV Mainz 05</v>
      </c>
      <c r="G358" s="1">
        <f ca="1">SUMIFS(OFFSET(Calc2!$H$4,,,$F$26*B353,1),OFFSET(Calc2!$F$4,,,$F$26*B353,1),F358)+SUMIFS(OFFSET(Calc2!$I$4,,,$F$26*B353,1),OFFSET(Calc2!$G$4,,,$F$26*B353,1),F358)</f>
        <v>13</v>
      </c>
      <c r="H358" s="1">
        <f ca="1">SUMIFS(OFFSET(Calc2!$I$4,,,$F$26*B353,1),OFFSET(Calc2!$F$4,,,$F$26*B353,1),F358)+SUMIFS(OFFSET(Calc2!$H$4,,,$F$26*B353,1),OFFSET(Calc2!$G$4,,,$F$26*B353,1),F358)</f>
        <v>26</v>
      </c>
      <c r="I358" s="134">
        <f t="shared" ca="1" si="65"/>
        <v>-13</v>
      </c>
      <c r="J358" s="12">
        <f ca="1">L358*Settings!$C$3+M358+O358</f>
        <v>7</v>
      </c>
      <c r="K358" s="1">
        <f t="shared" ca="1" si="68"/>
        <v>14</v>
      </c>
      <c r="L358" s="1">
        <f t="array" aca="1" ref="L358" ca="1">SUMPRODUCT((OFFSET(Calc2!$F$4,,,$F$26*B353,1)=F358)*(OFFSET(Calc2!$H$4,,,$F$26*B353,1)&gt;OFFSET(Calc2!$I$4,,,$F$26*B353,1)))+SUMPRODUCT((OFFSET(Calc2!$G$4,,,$F$26*B353,1)=F358)*(OFFSET(Calc2!$H$4,,,$F$26*B353,1)&lt;OFFSET(Calc2!$I$4,,,$F$26*B353,1)))</f>
        <v>1</v>
      </c>
      <c r="M358" s="1">
        <f t="array" aca="1" ref="M358" ca="1">SUMPRODUCT((OFFSET(Calc2!$F$4,,,$F$26*B353,2)=F358)*(OFFSET(Calc2!$H$4,,,$F$26*B353,1)=OFFSET(Calc2!$I$4,,,$F$26*B353,1))*(OFFSET(Calc2!$H$4,,,$F$26*B353,1)&lt;&gt;"")*(OFFSET(Calc2!$I$4,,,$F$26*B353,1)&lt;&gt;""))</f>
        <v>4</v>
      </c>
      <c r="N358" s="1">
        <f t="array" aca="1" ref="N358" ca="1">SUMPRODUCT((OFFSET(Calc2!$F$4,,,$F$26*B353,1)=F358)*(OFFSET(Calc2!$H$4,,,$F$26*B353,1)&lt;OFFSET(Calc2!$I$4,,,$F$26*B353,1)))+SUMPRODUCT((OFFSET(Calc2!$G$4,,,$F$26*B353,1)=F358)*(OFFSET(Calc2!$H$4,,,$F$26*B353,1)&gt;OFFSET(Calc2!$I$4,,,$F$26*B353,1)))</f>
        <v>9</v>
      </c>
      <c r="O358" s="132">
        <f ca="1">SUMPRODUCT((F358=OFFSET(Calc2!$F$4,,,$F$26*B353,1))*OFFSET(Calc2!$O$4,,,$F$26*B353,1))+SUMPRODUCT((F358=OFFSET(Calc2!$G$4,,,$F$26*B353,1))*OFFSET(Calc2!$P$4,,,$F$26*B353,1))</f>
        <v>0</v>
      </c>
      <c r="P358" s="2"/>
      <c r="Q358" s="2"/>
      <c r="R358" s="13">
        <f t="shared" ca="1" si="66"/>
        <v>7499987013</v>
      </c>
      <c r="S358" s="134">
        <f>Tie_Break!$D$10</f>
        <v>0</v>
      </c>
      <c r="T358" s="9">
        <f ca="1">RANK(R358,R355:R374)+(9-S358)/10000+(F358="")*1000</f>
        <v>18.000900000000001</v>
      </c>
      <c r="U358" s="134"/>
      <c r="V358" s="134">
        <f ca="1">IF($K$24=0,"",IF(VLOOKUP(B358,C355:E374,3,0)=MAX(V$4:V357),VLOOKUP(B358,C355:E374,3,0),B358))</f>
        <v>4</v>
      </c>
      <c r="W358" s="4" t="str">
        <f ca="1">IF($K$24=0,Calc2!$C$7,VLOOKUP(B358,C355:N374,4,0))</f>
        <v>Bayer 04 Leverkusen</v>
      </c>
      <c r="X358" s="1">
        <f ca="1">INDEX(V328:V347,MATCH(W358,W328:W347,0))</f>
        <v>4</v>
      </c>
      <c r="Y358" s="1">
        <f t="shared" ca="1" si="69"/>
        <v>0</v>
      </c>
    </row>
    <row r="359" spans="2:25" x14ac:dyDescent="0.2">
      <c r="B359" s="1">
        <v>5</v>
      </c>
      <c r="C359" s="9">
        <f ca="1">RANK(D359,D355:D374,1)</f>
        <v>4</v>
      </c>
      <c r="D359" s="134">
        <f t="shared" ca="1" si="67"/>
        <v>4.359</v>
      </c>
      <c r="E359" s="134">
        <f ca="1">RANK(T359,T355:T374,1)</f>
        <v>4</v>
      </c>
      <c r="F359" s="187" t="str">
        <f>Calc2!$C$8</f>
        <v>Bayer 04 Leverkusen</v>
      </c>
      <c r="G359" s="1">
        <f ca="1">SUMIFS(OFFSET(Calc2!$H$4,,,$F$26*B353,1),OFFSET(Calc2!$F$4,,,$F$26*B353,1),F359)+SUMIFS(OFFSET(Calc2!$I$4,,,$F$26*B353,1),OFFSET(Calc2!$G$4,,,$F$26*B353,1),F359)</f>
        <v>30</v>
      </c>
      <c r="H359" s="1">
        <f ca="1">SUMIFS(OFFSET(Calc2!$I$4,,,$F$26*B353,1),OFFSET(Calc2!$F$4,,,$F$26*B353,1),F359)+SUMIFS(OFFSET(Calc2!$H$4,,,$F$26*B353,1),OFFSET(Calc2!$G$4,,,$F$26*B353,1),F359)</f>
        <v>19</v>
      </c>
      <c r="I359" s="134">
        <f t="shared" ca="1" si="65"/>
        <v>11</v>
      </c>
      <c r="J359" s="12">
        <f ca="1">L359*Settings!$C$3+M359+O359</f>
        <v>26</v>
      </c>
      <c r="K359" s="1">
        <f t="shared" ca="1" si="68"/>
        <v>14</v>
      </c>
      <c r="L359" s="1">
        <f t="array" aca="1" ref="L359" ca="1">SUMPRODUCT((OFFSET(Calc2!$F$4,,,$F$26*B353,1)=F359)*(OFFSET(Calc2!$H$4,,,$F$26*B353,1)&gt;OFFSET(Calc2!$I$4,,,$F$26*B353,1)))+SUMPRODUCT((OFFSET(Calc2!$G$4,,,$F$26*B353,1)=F359)*(OFFSET(Calc2!$H$4,,,$F$26*B353,1)&lt;OFFSET(Calc2!$I$4,,,$F$26*B353,1)))</f>
        <v>8</v>
      </c>
      <c r="M359" s="1">
        <f t="array" aca="1" ref="M359" ca="1">SUMPRODUCT((OFFSET(Calc2!$F$4,,,$F$26*B353,2)=F359)*(OFFSET(Calc2!$H$4,,,$F$26*B353,1)=OFFSET(Calc2!$I$4,,,$F$26*B353,1))*(OFFSET(Calc2!$H$4,,,$F$26*B353,1)&lt;&gt;"")*(OFFSET(Calc2!$I$4,,,$F$26*B353,1)&lt;&gt;""))</f>
        <v>2</v>
      </c>
      <c r="N359" s="1">
        <f t="array" aca="1" ref="N359" ca="1">SUMPRODUCT((OFFSET(Calc2!$F$4,,,$F$26*B353,1)=F359)*(OFFSET(Calc2!$H$4,,,$F$26*B353,1)&lt;OFFSET(Calc2!$I$4,,,$F$26*B353,1)))+SUMPRODUCT((OFFSET(Calc2!$G$4,,,$F$26*B353,1)=F359)*(OFFSET(Calc2!$H$4,,,$F$26*B353,1)&gt;OFFSET(Calc2!$I$4,,,$F$26*B353,1)))</f>
        <v>4</v>
      </c>
      <c r="O359" s="132">
        <f ca="1">SUMPRODUCT((F359=OFFSET(Calc2!$F$4,,,$F$26*B353,1))*OFFSET(Calc2!$O$4,,,$F$26*B353,1))+SUMPRODUCT((F359=OFFSET(Calc2!$G$4,,,$F$26*B353,1))*OFFSET(Calc2!$P$4,,,$F$26*B353,1))</f>
        <v>0</v>
      </c>
      <c r="P359" s="2"/>
      <c r="Q359" s="2"/>
      <c r="R359" s="13">
        <f t="shared" ca="1" si="66"/>
        <v>26500011030</v>
      </c>
      <c r="S359" s="134">
        <f>Tie_Break!$D$11</f>
        <v>0</v>
      </c>
      <c r="T359" s="9">
        <f ca="1">RANK(R359,R355:R374)+(9-S359)/10000+(F359="")*1000</f>
        <v>4.0008999999999997</v>
      </c>
      <c r="U359" s="134"/>
      <c r="V359" s="134">
        <f ca="1">IF($K$24=0,"",IF(VLOOKUP(B359,C355:E374,3,0)=MAX(V$4:V358),VLOOKUP(B359,C355:E374,3,0),B359))</f>
        <v>5</v>
      </c>
      <c r="W359" s="4" t="str">
        <f ca="1">IF($K$24=0,Calc2!$C$8,VLOOKUP(B359,C355:N374,4,0))</f>
        <v>TSG Hoffenheim</v>
      </c>
      <c r="X359" s="1">
        <f ca="1">INDEX(V328:V347,MATCH(W359,W328:W347,0))</f>
        <v>5</v>
      </c>
      <c r="Y359" s="1">
        <f t="shared" ca="1" si="69"/>
        <v>0</v>
      </c>
    </row>
    <row r="360" spans="2:25" x14ac:dyDescent="0.2">
      <c r="B360" s="1">
        <v>6</v>
      </c>
      <c r="C360" s="9">
        <f ca="1">RANK(D360,D355:D374,1)</f>
        <v>3</v>
      </c>
      <c r="D360" s="134">
        <f t="shared" ca="1" si="67"/>
        <v>3.36</v>
      </c>
      <c r="E360" s="134">
        <f ca="1">RANK(T360,T355:T374,1)</f>
        <v>3</v>
      </c>
      <c r="F360" s="187" t="str">
        <f>Calc2!$C$9</f>
        <v>Borussia Dortmund</v>
      </c>
      <c r="G360" s="1">
        <f ca="1">SUMIFS(OFFSET(Calc2!$H$4,,,$F$26*B353,1),OFFSET(Calc2!$F$4,,,$F$26*B353,1),F360)+SUMIFS(OFFSET(Calc2!$I$4,,,$F$26*B353,1),OFFSET(Calc2!$G$4,,,$F$26*B353,1),F360)</f>
        <v>24</v>
      </c>
      <c r="H360" s="1">
        <f ca="1">SUMIFS(OFFSET(Calc2!$I$4,,,$F$26*B353,1),OFFSET(Calc2!$F$4,,,$F$26*B353,1),F360)+SUMIFS(OFFSET(Calc2!$H$4,,,$F$26*B353,1),OFFSET(Calc2!$G$4,,,$F$26*B353,1),F360)</f>
        <v>12</v>
      </c>
      <c r="I360" s="134">
        <f t="shared" ca="1" si="65"/>
        <v>12</v>
      </c>
      <c r="J360" s="12">
        <f ca="1">L360*Settings!$C$3+M360+O360</f>
        <v>29</v>
      </c>
      <c r="K360" s="1">
        <f t="shared" ca="1" si="68"/>
        <v>14</v>
      </c>
      <c r="L360" s="1">
        <f t="array" aca="1" ref="L360" ca="1">SUMPRODUCT((OFFSET(Calc2!$F$4,,,$F$26*B353,1)=F360)*(OFFSET(Calc2!$H$4,,,$F$26*B353,1)&gt;OFFSET(Calc2!$I$4,,,$F$26*B353,1)))+SUMPRODUCT((OFFSET(Calc2!$G$4,,,$F$26*B353,1)=F360)*(OFFSET(Calc2!$H$4,,,$F$26*B353,1)&lt;OFFSET(Calc2!$I$4,,,$F$26*B353,1)))</f>
        <v>8</v>
      </c>
      <c r="M360" s="1">
        <f t="array" aca="1" ref="M360" ca="1">SUMPRODUCT((OFFSET(Calc2!$F$4,,,$F$26*B353,2)=F360)*(OFFSET(Calc2!$H$4,,,$F$26*B353,1)=OFFSET(Calc2!$I$4,,,$F$26*B353,1))*(OFFSET(Calc2!$H$4,,,$F$26*B353,1)&lt;&gt;"")*(OFFSET(Calc2!$I$4,,,$F$26*B353,1)&lt;&gt;""))</f>
        <v>5</v>
      </c>
      <c r="N360" s="1">
        <f t="array" aca="1" ref="N360" ca="1">SUMPRODUCT((OFFSET(Calc2!$F$4,,,$F$26*B353,1)=F360)*(OFFSET(Calc2!$H$4,,,$F$26*B353,1)&lt;OFFSET(Calc2!$I$4,,,$F$26*B353,1)))+SUMPRODUCT((OFFSET(Calc2!$G$4,,,$F$26*B353,1)=F360)*(OFFSET(Calc2!$H$4,,,$F$26*B353,1)&gt;OFFSET(Calc2!$I$4,,,$F$26*B353,1)))</f>
        <v>1</v>
      </c>
      <c r="O360" s="132">
        <f ca="1">SUMPRODUCT((F360=OFFSET(Calc2!$F$4,,,$F$26*B353,1))*OFFSET(Calc2!$O$4,,,$F$26*B353,1))+SUMPRODUCT((F360=OFFSET(Calc2!$G$4,,,$F$26*B353,1))*OFFSET(Calc2!$P$4,,,$F$26*B353,1))</f>
        <v>0</v>
      </c>
      <c r="P360" s="2"/>
      <c r="Q360" s="2"/>
      <c r="R360" s="13">
        <f t="shared" ca="1" si="66"/>
        <v>29500012024</v>
      </c>
      <c r="S360" s="134">
        <f>Tie_Break!$D$12</f>
        <v>0</v>
      </c>
      <c r="T360" s="9">
        <f ca="1">RANK(R360,R355:R374)+(9-S360)/10000+(F360="")*1000</f>
        <v>3.0009000000000001</v>
      </c>
      <c r="U360" s="134"/>
      <c r="V360" s="134">
        <f ca="1">IF($K$24=0,"",IF(VLOOKUP(B360,C355:E374,3,0)=MAX(V$4:V359),VLOOKUP(B360,C355:E374,3,0),B360))</f>
        <v>6</v>
      </c>
      <c r="W360" s="4" t="str">
        <f ca="1">IF($K$24=0,Calc2!$C$9,VLOOKUP(B360,C355:N374,4,0))</f>
        <v>VfB Stuttgart</v>
      </c>
      <c r="X360" s="1">
        <f ca="1">INDEX(V328:V347,MATCH(W360,W328:W347,0))</f>
        <v>6</v>
      </c>
      <c r="Y360" s="1">
        <f t="shared" ca="1" si="69"/>
        <v>0</v>
      </c>
    </row>
    <row r="361" spans="2:25" x14ac:dyDescent="0.2">
      <c r="B361" s="1">
        <v>7</v>
      </c>
      <c r="C361" s="9">
        <f ca="1">RANK(D361,D355:D374,1)</f>
        <v>11</v>
      </c>
      <c r="D361" s="134">
        <f t="shared" ca="1" si="67"/>
        <v>11.361000000000001</v>
      </c>
      <c r="E361" s="134">
        <f ca="1">RANK(T361,T355:T374,1)</f>
        <v>11</v>
      </c>
      <c r="F361" s="187" t="str">
        <f>Calc2!$C$10</f>
        <v>Borussia Mönchengladbach</v>
      </c>
      <c r="G361" s="1">
        <f ca="1">SUMIFS(OFFSET(Calc2!$H$4,,,$F$26*B353,1),OFFSET(Calc2!$F$4,,,$F$26*B353,1),F361)+SUMIFS(OFFSET(Calc2!$I$4,,,$F$26*B353,1),OFFSET(Calc2!$G$4,,,$F$26*B353,1),F361)</f>
        <v>18</v>
      </c>
      <c r="H361" s="1">
        <f ca="1">SUMIFS(OFFSET(Calc2!$I$4,,,$F$26*B353,1),OFFSET(Calc2!$F$4,,,$F$26*B353,1),F361)+SUMIFS(OFFSET(Calc2!$H$4,,,$F$26*B353,1),OFFSET(Calc2!$G$4,,,$F$26*B353,1),F361)</f>
        <v>22</v>
      </c>
      <c r="I361" s="134">
        <f t="shared" ca="1" si="65"/>
        <v>-4</v>
      </c>
      <c r="J361" s="12">
        <f ca="1">L361*Settings!$C$3+M361+O361</f>
        <v>16</v>
      </c>
      <c r="K361" s="1">
        <f t="shared" ca="1" si="68"/>
        <v>14</v>
      </c>
      <c r="L361" s="1">
        <f t="array" aca="1" ref="L361" ca="1">SUMPRODUCT((OFFSET(Calc2!$F$4,,,$F$26*B353,1)=F361)*(OFFSET(Calc2!$H$4,,,$F$26*B353,1)&gt;OFFSET(Calc2!$I$4,,,$F$26*B353,1)))+SUMPRODUCT((OFFSET(Calc2!$G$4,,,$F$26*B353,1)=F361)*(OFFSET(Calc2!$H$4,,,$F$26*B353,1)&lt;OFFSET(Calc2!$I$4,,,$F$26*B353,1)))</f>
        <v>4</v>
      </c>
      <c r="M361" s="1">
        <f t="array" aca="1" ref="M361" ca="1">SUMPRODUCT((OFFSET(Calc2!$F$4,,,$F$26*B353,2)=F361)*(OFFSET(Calc2!$H$4,,,$F$26*B353,1)=OFFSET(Calc2!$I$4,,,$F$26*B353,1))*(OFFSET(Calc2!$H$4,,,$F$26*B353,1)&lt;&gt;"")*(OFFSET(Calc2!$I$4,,,$F$26*B353,1)&lt;&gt;""))</f>
        <v>4</v>
      </c>
      <c r="N361" s="1">
        <f t="array" aca="1" ref="N361" ca="1">SUMPRODUCT((OFFSET(Calc2!$F$4,,,$F$26*B353,1)=F361)*(OFFSET(Calc2!$H$4,,,$F$26*B353,1)&lt;OFFSET(Calc2!$I$4,,,$F$26*B353,1)))+SUMPRODUCT((OFFSET(Calc2!$G$4,,,$F$26*B353,1)=F361)*(OFFSET(Calc2!$H$4,,,$F$26*B353,1)&gt;OFFSET(Calc2!$I$4,,,$F$26*B353,1)))</f>
        <v>6</v>
      </c>
      <c r="O361" s="132">
        <f ca="1">SUMPRODUCT((F361=OFFSET(Calc2!$F$4,,,$F$26*B353,1))*OFFSET(Calc2!$O$4,,,$F$26*B353,1))+SUMPRODUCT((F361=OFFSET(Calc2!$G$4,,,$F$26*B353,1))*OFFSET(Calc2!$P$4,,,$F$26*B353,1))</f>
        <v>0</v>
      </c>
      <c r="P361" s="2"/>
      <c r="Q361" s="2"/>
      <c r="R361" s="13">
        <f t="shared" ca="1" si="66"/>
        <v>16499996018</v>
      </c>
      <c r="S361" s="134">
        <f>Tie_Break!$D$13</f>
        <v>0</v>
      </c>
      <c r="T361" s="9">
        <f ca="1">RANK(R361,R355:R374)+(9-S361)/10000+(F361="")*1000</f>
        <v>11.0009</v>
      </c>
      <c r="U361" s="134"/>
      <c r="V361" s="134">
        <f ca="1">IF($K$24=0,"",IF(VLOOKUP(B361,C355:E374,3,0)=MAX(V$4:V360),VLOOKUP(B361,C355:E374,3,0),B361))</f>
        <v>7</v>
      </c>
      <c r="W361" s="4" t="str">
        <f ca="1">IF($K$24=0,Calc2!$C$10,VLOOKUP(B361,C355:N374,4,0))</f>
        <v>Eintracht Frankfurt</v>
      </c>
      <c r="X361" s="1">
        <f ca="1">INDEX(V328:V347,MATCH(W361,W328:W347,0))</f>
        <v>7</v>
      </c>
      <c r="Y361" s="1">
        <f t="shared" ca="1" si="69"/>
        <v>0</v>
      </c>
    </row>
    <row r="362" spans="2:25" x14ac:dyDescent="0.2">
      <c r="B362" s="1">
        <v>8</v>
      </c>
      <c r="C362" s="9">
        <f ca="1">RANK(D362,D355:D374,1)</f>
        <v>7</v>
      </c>
      <c r="D362" s="134">
        <f t="shared" ca="1" si="67"/>
        <v>7.3620000000000001</v>
      </c>
      <c r="E362" s="134">
        <f ca="1">RANK(T362,T355:T374,1)</f>
        <v>7</v>
      </c>
      <c r="F362" s="187" t="str">
        <f>Calc2!$C$11</f>
        <v>Eintracht Frankfurt</v>
      </c>
      <c r="G362" s="1">
        <f ca="1">SUMIFS(OFFSET(Calc2!$H$4,,,$F$26*B353,1),OFFSET(Calc2!$F$4,,,$F$26*B353,1),F362)+SUMIFS(OFFSET(Calc2!$I$4,,,$F$26*B353,1),OFFSET(Calc2!$G$4,,,$F$26*B353,1),F362)</f>
        <v>29</v>
      </c>
      <c r="H362" s="1">
        <f ca="1">SUMIFS(OFFSET(Calc2!$I$4,,,$F$26*B353,1),OFFSET(Calc2!$F$4,,,$F$26*B353,1),F362)+SUMIFS(OFFSET(Calc2!$H$4,,,$F$26*B353,1),OFFSET(Calc2!$G$4,,,$F$26*B353,1),F362)</f>
        <v>29</v>
      </c>
      <c r="I362" s="134">
        <f t="shared" ca="1" si="65"/>
        <v>0</v>
      </c>
      <c r="J362" s="12">
        <f ca="1">L362*Settings!$C$3+M362+O362</f>
        <v>24</v>
      </c>
      <c r="K362" s="1">
        <f t="shared" ca="1" si="68"/>
        <v>14</v>
      </c>
      <c r="L362" s="1">
        <f t="array" aca="1" ref="L362" ca="1">SUMPRODUCT((OFFSET(Calc2!$F$4,,,$F$26*B353,1)=F362)*(OFFSET(Calc2!$H$4,,,$F$26*B353,1)&gt;OFFSET(Calc2!$I$4,,,$F$26*B353,1)))+SUMPRODUCT((OFFSET(Calc2!$G$4,,,$F$26*B353,1)=F362)*(OFFSET(Calc2!$H$4,,,$F$26*B353,1)&lt;OFFSET(Calc2!$I$4,,,$F$26*B353,1)))</f>
        <v>7</v>
      </c>
      <c r="M362" s="1">
        <f t="array" aca="1" ref="M362" ca="1">SUMPRODUCT((OFFSET(Calc2!$F$4,,,$F$26*B353,2)=F362)*(OFFSET(Calc2!$H$4,,,$F$26*B353,1)=OFFSET(Calc2!$I$4,,,$F$26*B353,1))*(OFFSET(Calc2!$H$4,,,$F$26*B353,1)&lt;&gt;"")*(OFFSET(Calc2!$I$4,,,$F$26*B353,1)&lt;&gt;""))</f>
        <v>3</v>
      </c>
      <c r="N362" s="1">
        <f t="array" aca="1" ref="N362" ca="1">SUMPRODUCT((OFFSET(Calc2!$F$4,,,$F$26*B353,1)=F362)*(OFFSET(Calc2!$H$4,,,$F$26*B353,1)&lt;OFFSET(Calc2!$I$4,,,$F$26*B353,1)))+SUMPRODUCT((OFFSET(Calc2!$G$4,,,$F$26*B353,1)=F362)*(OFFSET(Calc2!$H$4,,,$F$26*B353,1)&gt;OFFSET(Calc2!$I$4,,,$F$26*B353,1)))</f>
        <v>4</v>
      </c>
      <c r="O362" s="132">
        <f ca="1">SUMPRODUCT((F362=OFFSET(Calc2!$F$4,,,$F$26*B353,1))*OFFSET(Calc2!$O$4,,,$F$26*B353,1))+SUMPRODUCT((F362=OFFSET(Calc2!$G$4,,,$F$26*B353,1))*OFFSET(Calc2!$P$4,,,$F$26*B353,1))</f>
        <v>0</v>
      </c>
      <c r="P362" s="2"/>
      <c r="Q362" s="2"/>
      <c r="R362" s="13">
        <f t="shared" ca="1" si="66"/>
        <v>24500000029</v>
      </c>
      <c r="S362" s="134">
        <f>Tie_Break!$D$14</f>
        <v>0</v>
      </c>
      <c r="T362" s="9">
        <f ca="1">RANK(R362,R355:R374)+(9-S362)/10000+(F362="")*1000</f>
        <v>7.0008999999999997</v>
      </c>
      <c r="U362" s="134"/>
      <c r="V362" s="134">
        <f ca="1">IF($K$24=0,"",IF(VLOOKUP(B362,C355:E374,3,0)=MAX(V$4:V361),VLOOKUP(B362,C355:E374,3,0),B362))</f>
        <v>8</v>
      </c>
      <c r="W362" s="4" t="str">
        <f ca="1">IF($K$24=0,Calc2!$C$11,VLOOKUP(B362,C355:N374,4,0))</f>
        <v>1. FC Union Berlin</v>
      </c>
      <c r="X362" s="1">
        <f ca="1">INDEX(V328:V347,MATCH(W362,W328:W347,0))</f>
        <v>12</v>
      </c>
      <c r="Y362" s="1">
        <f t="shared" ca="1" si="69"/>
        <v>1</v>
      </c>
    </row>
    <row r="363" spans="2:25" x14ac:dyDescent="0.2">
      <c r="B363" s="1">
        <v>9</v>
      </c>
      <c r="C363" s="9">
        <f ca="1">RANK(D363,D355:D374,1)</f>
        <v>15</v>
      </c>
      <c r="D363" s="134">
        <f t="shared" ca="1" si="67"/>
        <v>15.363</v>
      </c>
      <c r="E363" s="134">
        <f ca="1">RANK(T363,T355:T374,1)</f>
        <v>15</v>
      </c>
      <c r="F363" s="187" t="str">
        <f>Calc2!$C$12</f>
        <v>FC Augsburg</v>
      </c>
      <c r="G363" s="1">
        <f ca="1">SUMIFS(OFFSET(Calc2!$H$4,,,$F$26*B353,1),OFFSET(Calc2!$F$4,,,$F$26*B353,1),F363)+SUMIFS(OFFSET(Calc2!$I$4,,,$F$26*B353,1),OFFSET(Calc2!$G$4,,,$F$26*B353,1),F363)</f>
        <v>17</v>
      </c>
      <c r="H363" s="1">
        <f ca="1">SUMIFS(OFFSET(Calc2!$I$4,,,$F$26*B353,1),OFFSET(Calc2!$F$4,,,$F$26*B353,1),F363)+SUMIFS(OFFSET(Calc2!$H$4,,,$F$26*B353,1),OFFSET(Calc2!$G$4,,,$F$26*B353,1),F363)</f>
        <v>28</v>
      </c>
      <c r="I363" s="134">
        <f t="shared" ca="1" si="65"/>
        <v>-11</v>
      </c>
      <c r="J363" s="12">
        <f ca="1">L363*Settings!$C$3+M363+O363</f>
        <v>13</v>
      </c>
      <c r="K363" s="1">
        <f t="shared" ca="1" si="68"/>
        <v>14</v>
      </c>
      <c r="L363" s="1">
        <f t="array" aca="1" ref="L363" ca="1">SUMPRODUCT((OFFSET(Calc2!$F$4,,,$F$26*B353,1)=F363)*(OFFSET(Calc2!$H$4,,,$F$26*B353,1)&gt;OFFSET(Calc2!$I$4,,,$F$26*B353,1)))+SUMPRODUCT((OFFSET(Calc2!$G$4,,,$F$26*B353,1)=F363)*(OFFSET(Calc2!$H$4,,,$F$26*B353,1)&lt;OFFSET(Calc2!$I$4,,,$F$26*B353,1)))</f>
        <v>4</v>
      </c>
      <c r="M363" s="1">
        <f t="array" aca="1" ref="M363" ca="1">SUMPRODUCT((OFFSET(Calc2!$F$4,,,$F$26*B353,2)=F363)*(OFFSET(Calc2!$H$4,,,$F$26*B353,1)=OFFSET(Calc2!$I$4,,,$F$26*B353,1))*(OFFSET(Calc2!$H$4,,,$F$26*B353,1)&lt;&gt;"")*(OFFSET(Calc2!$I$4,,,$F$26*B353,1)&lt;&gt;""))</f>
        <v>1</v>
      </c>
      <c r="N363" s="1">
        <f t="array" aca="1" ref="N363" ca="1">SUMPRODUCT((OFFSET(Calc2!$F$4,,,$F$26*B353,1)=F363)*(OFFSET(Calc2!$H$4,,,$F$26*B353,1)&lt;OFFSET(Calc2!$I$4,,,$F$26*B353,1)))+SUMPRODUCT((OFFSET(Calc2!$G$4,,,$F$26*B353,1)=F363)*(OFFSET(Calc2!$H$4,,,$F$26*B353,1)&gt;OFFSET(Calc2!$I$4,,,$F$26*B353,1)))</f>
        <v>9</v>
      </c>
      <c r="O363" s="132">
        <f ca="1">SUMPRODUCT((F363=OFFSET(Calc2!$F$4,,,$F$26*B353,1))*OFFSET(Calc2!$O$4,,,$F$26*B353,1))+SUMPRODUCT((F363=OFFSET(Calc2!$G$4,,,$F$26*B353,1))*OFFSET(Calc2!$P$4,,,$F$26*B353,1))</f>
        <v>0</v>
      </c>
      <c r="P363" s="2"/>
      <c r="Q363" s="2"/>
      <c r="R363" s="13">
        <f t="shared" ca="1" si="66"/>
        <v>13499989017</v>
      </c>
      <c r="S363" s="134">
        <f>Tie_Break!$D$15</f>
        <v>0</v>
      </c>
      <c r="T363" s="9">
        <f ca="1">RANK(R363,R355:R374)+(9-S363)/10000+(F363="")*1000</f>
        <v>15.0009</v>
      </c>
      <c r="U363" s="134"/>
      <c r="V363" s="134">
        <f ca="1">IF($K$24=0,"",IF(VLOOKUP(B363,C355:E374,3,0)=MAX(V$4:V362),VLOOKUP(B363,C355:E374,3,0),B363))</f>
        <v>9</v>
      </c>
      <c r="W363" s="4" t="str">
        <f ca="1">IF($K$24=0,Calc2!$C$12,VLOOKUP(B363,C355:N374,4,0))</f>
        <v>SC Freiburg</v>
      </c>
      <c r="X363" s="1">
        <f ca="1">INDEX(V328:V347,MATCH(W363,W328:W347,0))</f>
        <v>9</v>
      </c>
      <c r="Y363" s="1">
        <f t="shared" ca="1" si="69"/>
        <v>0</v>
      </c>
    </row>
    <row r="364" spans="2:25" x14ac:dyDescent="0.2">
      <c r="B364" s="1">
        <v>10</v>
      </c>
      <c r="C364" s="9">
        <f ca="1">RANK(D364,D355:D374,1)</f>
        <v>1</v>
      </c>
      <c r="D364" s="134">
        <f t="shared" ca="1" si="67"/>
        <v>1.3639999999999999</v>
      </c>
      <c r="E364" s="134">
        <f ca="1">RANK(T364,T355:T374,1)</f>
        <v>1</v>
      </c>
      <c r="F364" s="187" t="str">
        <f>Calc2!$C$13</f>
        <v>FC Bayern München</v>
      </c>
      <c r="G364" s="1">
        <f ca="1">SUMIFS(OFFSET(Calc2!$H$4,,,$F$26*B353,1),OFFSET(Calc2!$F$4,,,$F$26*B353,1),F364)+SUMIFS(OFFSET(Calc2!$I$4,,,$F$26*B353,1),OFFSET(Calc2!$G$4,,,$F$26*B353,1),F364)</f>
        <v>51</v>
      </c>
      <c r="H364" s="1">
        <f ca="1">SUMIFS(OFFSET(Calc2!$I$4,,,$F$26*B353,1),OFFSET(Calc2!$F$4,,,$F$26*B353,1),F364)+SUMIFS(OFFSET(Calc2!$H$4,,,$F$26*B353,1),OFFSET(Calc2!$G$4,,,$F$26*B353,1),F364)</f>
        <v>11</v>
      </c>
      <c r="I364" s="134">
        <f t="shared" ca="1" si="65"/>
        <v>40</v>
      </c>
      <c r="J364" s="12">
        <f ca="1">L364*Settings!$C$3+M364+O364</f>
        <v>38</v>
      </c>
      <c r="K364" s="1">
        <f t="shared" ca="1" si="68"/>
        <v>14</v>
      </c>
      <c r="L364" s="1">
        <f t="array" aca="1" ref="L364" ca="1">SUMPRODUCT((OFFSET(Calc2!$F$4,,,$F$26*B353,1)=F364)*(OFFSET(Calc2!$H$4,,,$F$26*B353,1)&gt;OFFSET(Calc2!$I$4,,,$F$26*B353,1)))+SUMPRODUCT((OFFSET(Calc2!$G$4,,,$F$26*B353,1)=F364)*(OFFSET(Calc2!$H$4,,,$F$26*B353,1)&lt;OFFSET(Calc2!$I$4,,,$F$26*B353,1)))</f>
        <v>12</v>
      </c>
      <c r="M364" s="1">
        <f t="array" aca="1" ref="M364" ca="1">SUMPRODUCT((OFFSET(Calc2!$F$4,,,$F$26*B353,2)=F364)*(OFFSET(Calc2!$H$4,,,$F$26*B353,1)=OFFSET(Calc2!$I$4,,,$F$26*B353,1))*(OFFSET(Calc2!$H$4,,,$F$26*B353,1)&lt;&gt;"")*(OFFSET(Calc2!$I$4,,,$F$26*B353,1)&lt;&gt;""))</f>
        <v>2</v>
      </c>
      <c r="N364" s="1">
        <f t="array" aca="1" ref="N364" ca="1">SUMPRODUCT((OFFSET(Calc2!$F$4,,,$F$26*B353,1)=F364)*(OFFSET(Calc2!$H$4,,,$F$26*B353,1)&lt;OFFSET(Calc2!$I$4,,,$F$26*B353,1)))+SUMPRODUCT((OFFSET(Calc2!$G$4,,,$F$26*B353,1)=F364)*(OFFSET(Calc2!$H$4,,,$F$26*B353,1)&gt;OFFSET(Calc2!$I$4,,,$F$26*B353,1)))</f>
        <v>0</v>
      </c>
      <c r="O364" s="132">
        <f ca="1">SUMPRODUCT((F364=OFFSET(Calc2!$F$4,,,$F$26*B353,1))*OFFSET(Calc2!$O$4,,,$F$26*B353,1))+SUMPRODUCT((F364=OFFSET(Calc2!$G$4,,,$F$26*B353,1))*OFFSET(Calc2!$P$4,,,$F$26*B353,1))</f>
        <v>0</v>
      </c>
      <c r="P364" s="2"/>
      <c r="Q364" s="2"/>
      <c r="R364" s="13">
        <f t="shared" ca="1" si="66"/>
        <v>38500040051</v>
      </c>
      <c r="S364" s="134">
        <f>Tie_Break!$D$16</f>
        <v>0</v>
      </c>
      <c r="T364" s="9">
        <f ca="1">RANK(R364,R355:R374)+(9-S364)/10000+(F364="")*1000</f>
        <v>1.0008999999999999</v>
      </c>
      <c r="U364" s="2"/>
      <c r="V364" s="134">
        <f ca="1">IF($K$24=0,"",IF(VLOOKUP(B364,C355:E374,3,0)=MAX(V$4:V363),VLOOKUP(B364,C355:E374,3,0),B364))</f>
        <v>10</v>
      </c>
      <c r="W364" s="4" t="str">
        <f ca="1">IF($K$24=0,Calc2!$C$13,VLOOKUP(B364,C355:N374,4,0))</f>
        <v>1. FC Köln</v>
      </c>
      <c r="X364" s="1">
        <f ca="1">INDEX(V328:V347,MATCH(W364,W328:W347,0))</f>
        <v>8</v>
      </c>
      <c r="Y364" s="1">
        <f t="shared" ca="1" si="69"/>
        <v>-1</v>
      </c>
    </row>
    <row r="365" spans="2:25" x14ac:dyDescent="0.2">
      <c r="B365" s="1">
        <v>11</v>
      </c>
      <c r="C365" s="9">
        <f ca="1">RANK(D365,D355:D374,1)</f>
        <v>16</v>
      </c>
      <c r="D365" s="134">
        <f t="shared" ca="1" si="67"/>
        <v>16.364999999999998</v>
      </c>
      <c r="E365" s="134">
        <f ca="1">RANK(T365,T355:T374,1)</f>
        <v>16</v>
      </c>
      <c r="F365" s="187" t="str">
        <f>Calc2!$C$14</f>
        <v>FC St. Pauli</v>
      </c>
      <c r="G365" s="1">
        <f ca="1">SUMIFS(OFFSET(Calc2!$H$4,,,$F$26*B353,1),OFFSET(Calc2!$F$4,,,$F$26*B353,1),F365)+SUMIFS(OFFSET(Calc2!$I$4,,,$F$26*B353,1),OFFSET(Calc2!$G$4,,,$F$26*B353,1),F365)</f>
        <v>13</v>
      </c>
      <c r="H365" s="1">
        <f ca="1">SUMIFS(OFFSET(Calc2!$I$4,,,$F$26*B353,1),OFFSET(Calc2!$F$4,,,$F$26*B353,1),F365)+SUMIFS(OFFSET(Calc2!$H$4,,,$F$26*B353,1),OFFSET(Calc2!$G$4,,,$F$26*B353,1),F365)</f>
        <v>26</v>
      </c>
      <c r="I365" s="134">
        <f t="shared" ca="1" si="65"/>
        <v>-13</v>
      </c>
      <c r="J365" s="12">
        <f ca="1">L365*Settings!$C$3+M365+O365</f>
        <v>11</v>
      </c>
      <c r="K365" s="1">
        <f t="shared" ca="1" si="68"/>
        <v>14</v>
      </c>
      <c r="L365" s="1">
        <f t="array" aca="1" ref="L365" ca="1">SUMPRODUCT((OFFSET(Calc2!$F$4,,,$F$26*B353,1)=F365)*(OFFSET(Calc2!$H$4,,,$F$26*B353,1)&gt;OFFSET(Calc2!$I$4,,,$F$26*B353,1)))+SUMPRODUCT((OFFSET(Calc2!$G$4,,,$F$26*B353,1)=F365)*(OFFSET(Calc2!$H$4,,,$F$26*B353,1)&lt;OFFSET(Calc2!$I$4,,,$F$26*B353,1)))</f>
        <v>3</v>
      </c>
      <c r="M365" s="1">
        <f t="array" aca="1" ref="M365" ca="1">SUMPRODUCT((OFFSET(Calc2!$F$4,,,$F$26*B353,2)=F365)*(OFFSET(Calc2!$H$4,,,$F$26*B353,1)=OFFSET(Calc2!$I$4,,,$F$26*B353,1))*(OFFSET(Calc2!$H$4,,,$F$26*B353,1)&lt;&gt;"")*(OFFSET(Calc2!$I$4,,,$F$26*B353,1)&lt;&gt;""))</f>
        <v>2</v>
      </c>
      <c r="N365" s="1">
        <f t="array" aca="1" ref="N365" ca="1">SUMPRODUCT((OFFSET(Calc2!$F$4,,,$F$26*B353,1)=F365)*(OFFSET(Calc2!$H$4,,,$F$26*B353,1)&lt;OFFSET(Calc2!$I$4,,,$F$26*B353,1)))+SUMPRODUCT((OFFSET(Calc2!$G$4,,,$F$26*B353,1)=F365)*(OFFSET(Calc2!$H$4,,,$F$26*B353,1)&gt;OFFSET(Calc2!$I$4,,,$F$26*B353,1)))</f>
        <v>9</v>
      </c>
      <c r="O365" s="132">
        <f ca="1">SUMPRODUCT((F365=OFFSET(Calc2!$F$4,,,$F$26*B353,1))*OFFSET(Calc2!$O$4,,,$F$26*B353,1))+SUMPRODUCT((F365=OFFSET(Calc2!$G$4,,,$F$26*B353,1))*OFFSET(Calc2!$P$4,,,$F$26*B353,1))</f>
        <v>0</v>
      </c>
      <c r="P365" s="2"/>
      <c r="Q365" s="2"/>
      <c r="R365" s="13">
        <f t="shared" ca="1" si="66"/>
        <v>11499987013</v>
      </c>
      <c r="S365" s="134">
        <f>Tie_Break!$D$17</f>
        <v>0</v>
      </c>
      <c r="T365" s="9">
        <f ca="1">RANK(R365,R355:R374)+(9-S365)/10000+(F365="")*1000</f>
        <v>16.000900000000001</v>
      </c>
      <c r="U365" s="2"/>
      <c r="V365" s="134">
        <f ca="1">IF($K$24=0,"",IF(VLOOKUP(B365,C355:E374,3,0)=MAX(V$4:V364),VLOOKUP(B365,C355:E374,3,0),B365))</f>
        <v>11</v>
      </c>
      <c r="W365" s="4" t="str">
        <f ca="1">IF($K$24=0,Calc2!$C$14,VLOOKUP(B365,C355:N374,4,0))</f>
        <v>Borussia Mönchengladbach</v>
      </c>
      <c r="X365" s="1">
        <f ca="1">INDEX(V328:V347,MATCH(W365,W328:W347,0))</f>
        <v>10</v>
      </c>
      <c r="Y365" s="1">
        <f t="shared" ca="1" si="69"/>
        <v>-1</v>
      </c>
    </row>
    <row r="366" spans="2:25" x14ac:dyDescent="0.2">
      <c r="B366" s="1">
        <v>12</v>
      </c>
      <c r="C366" s="9">
        <f ca="1">RANK(D366,D355:D374,1)</f>
        <v>14</v>
      </c>
      <c r="D366" s="134">
        <f t="shared" ca="1" si="67"/>
        <v>14.366</v>
      </c>
      <c r="E366" s="134">
        <f ca="1">RANK(T366,T355:T374,1)</f>
        <v>14</v>
      </c>
      <c r="F366" s="187" t="str">
        <f>Calc2!$C$15</f>
        <v>Hamburger SV</v>
      </c>
      <c r="G366" s="1">
        <f ca="1">SUMIFS(OFFSET(Calc2!$H$4,,,$F$26*B353,1),OFFSET(Calc2!$F$4,,,$F$26*B353,1),F366)+SUMIFS(OFFSET(Calc2!$I$4,,,$F$26*B353,1),OFFSET(Calc2!$G$4,,,$F$26*B353,1),F366)</f>
        <v>15</v>
      </c>
      <c r="H366" s="1">
        <f ca="1">SUMIFS(OFFSET(Calc2!$I$4,,,$F$26*B353,1),OFFSET(Calc2!$F$4,,,$F$26*B353,1),F366)+SUMIFS(OFFSET(Calc2!$H$4,,,$F$26*B353,1),OFFSET(Calc2!$G$4,,,$F$26*B353,1),F366)</f>
        <v>24</v>
      </c>
      <c r="I366" s="134">
        <f t="shared" ca="1" si="65"/>
        <v>-9</v>
      </c>
      <c r="J366" s="12">
        <f ca="1">L366*Settings!$C$3+M366+O366</f>
        <v>15</v>
      </c>
      <c r="K366" s="1">
        <f t="shared" ca="1" si="68"/>
        <v>14</v>
      </c>
      <c r="L366" s="1">
        <f t="array" aca="1" ref="L366" ca="1">SUMPRODUCT((OFFSET(Calc2!$F$4,,,$F$26*B353,1)=F366)*(OFFSET(Calc2!$H$4,,,$F$26*B353,1)&gt;OFFSET(Calc2!$I$4,,,$F$26*B353,1)))+SUMPRODUCT((OFFSET(Calc2!$G$4,,,$F$26*B353,1)=F366)*(OFFSET(Calc2!$H$4,,,$F$26*B353,1)&lt;OFFSET(Calc2!$I$4,,,$F$26*B353,1)))</f>
        <v>4</v>
      </c>
      <c r="M366" s="1">
        <f t="array" aca="1" ref="M366" ca="1">SUMPRODUCT((OFFSET(Calc2!$F$4,,,$F$26*B353,2)=F366)*(OFFSET(Calc2!$H$4,,,$F$26*B353,1)=OFFSET(Calc2!$I$4,,,$F$26*B353,1))*(OFFSET(Calc2!$H$4,,,$F$26*B353,1)&lt;&gt;"")*(OFFSET(Calc2!$I$4,,,$F$26*B353,1)&lt;&gt;""))</f>
        <v>3</v>
      </c>
      <c r="N366" s="1">
        <f t="array" aca="1" ref="N366" ca="1">SUMPRODUCT((OFFSET(Calc2!$F$4,,,$F$26*B353,1)=F366)*(OFFSET(Calc2!$H$4,,,$F$26*B353,1)&lt;OFFSET(Calc2!$I$4,,,$F$26*B353,1)))+SUMPRODUCT((OFFSET(Calc2!$G$4,,,$F$26*B353,1)=F366)*(OFFSET(Calc2!$H$4,,,$F$26*B353,1)&gt;OFFSET(Calc2!$I$4,,,$F$26*B353,1)))</f>
        <v>7</v>
      </c>
      <c r="O366" s="132">
        <f ca="1">SUMPRODUCT((F366=OFFSET(Calc2!$F$4,,,$F$26*B353,1))*OFFSET(Calc2!$O$4,,,$F$26*B353,1))+SUMPRODUCT((F366=OFFSET(Calc2!$G$4,,,$F$26*B353,1))*OFFSET(Calc2!$P$4,,,$F$26*B353,1))</f>
        <v>0</v>
      </c>
      <c r="P366" s="2"/>
      <c r="Q366" s="2"/>
      <c r="R366" s="13">
        <f t="shared" ca="1" si="66"/>
        <v>15499991015</v>
      </c>
      <c r="S366" s="134">
        <f>Tie_Break!$D$18</f>
        <v>0</v>
      </c>
      <c r="T366" s="9">
        <f ca="1">RANK(R366,R355:R374)+(9-S366)/10000+(F366="")*1000</f>
        <v>14.0009</v>
      </c>
      <c r="U366" s="2"/>
      <c r="V366" s="134">
        <f ca="1">IF($K$24=0,"",IF(VLOOKUP(B366,C355:E374,3,0)=MAX(V$4:V365),VLOOKUP(B366,C355:E374,3,0),B366))</f>
        <v>12</v>
      </c>
      <c r="W366" s="4" t="str">
        <f ca="1">IF($K$24=0,Calc2!$C$15,VLOOKUP(B366,C355:N374,4,0))</f>
        <v>SV Werder Bremen</v>
      </c>
      <c r="X366" s="1">
        <f ca="1">INDEX(V328:V347,MATCH(W366,W328:W347,0))</f>
        <v>11</v>
      </c>
      <c r="Y366" s="1">
        <f t="shared" ca="1" si="69"/>
        <v>-1</v>
      </c>
    </row>
    <row r="367" spans="2:25" x14ac:dyDescent="0.2">
      <c r="B367" s="1">
        <v>13</v>
      </c>
      <c r="C367" s="9">
        <f ca="1">RANK(D367,D355:D374,1)</f>
        <v>2</v>
      </c>
      <c r="D367" s="134">
        <f t="shared" ca="1" si="67"/>
        <v>2.367</v>
      </c>
      <c r="E367" s="134">
        <f ca="1">RANK(T367,T355:T374,1)</f>
        <v>2</v>
      </c>
      <c r="F367" s="187" t="str">
        <f>Calc2!$C$16</f>
        <v>RB Leipzig</v>
      </c>
      <c r="G367" s="1">
        <f ca="1">SUMIFS(OFFSET(Calc2!$H$4,,,$F$26*B353,1),OFFSET(Calc2!$F$4,,,$F$26*B353,1),F367)+SUMIFS(OFFSET(Calc2!$I$4,,,$F$26*B353,1),OFFSET(Calc2!$G$4,,,$F$26*B353,1),F367)</f>
        <v>29</v>
      </c>
      <c r="H367" s="1">
        <f ca="1">SUMIFS(OFFSET(Calc2!$I$4,,,$F$26*B353,1),OFFSET(Calc2!$F$4,,,$F$26*B353,1),F367)+SUMIFS(OFFSET(Calc2!$H$4,,,$F$26*B353,1),OFFSET(Calc2!$G$4,,,$F$26*B353,1),F367)</f>
        <v>16</v>
      </c>
      <c r="I367" s="134">
        <f t="shared" ca="1" si="65"/>
        <v>13</v>
      </c>
      <c r="J367" s="12">
        <f ca="1">L367*Settings!$C$3+M367+O367</f>
        <v>29</v>
      </c>
      <c r="K367" s="1">
        <f t="shared" ca="1" si="68"/>
        <v>14</v>
      </c>
      <c r="L367" s="1">
        <f t="array" aca="1" ref="L367" ca="1">SUMPRODUCT((OFFSET(Calc2!$F$4,,,$F$26*B353,1)=F367)*(OFFSET(Calc2!$H$4,,,$F$26*B353,1)&gt;OFFSET(Calc2!$I$4,,,$F$26*B353,1)))+SUMPRODUCT((OFFSET(Calc2!$G$4,,,$F$26*B353,1)=F367)*(OFFSET(Calc2!$H$4,,,$F$26*B353,1)&lt;OFFSET(Calc2!$I$4,,,$F$26*B353,1)))</f>
        <v>9</v>
      </c>
      <c r="M367" s="1">
        <f t="array" aca="1" ref="M367" ca="1">SUMPRODUCT((OFFSET(Calc2!$F$4,,,$F$26*B353,2)=F367)*(OFFSET(Calc2!$H$4,,,$F$26*B353,1)=OFFSET(Calc2!$I$4,,,$F$26*B353,1))*(OFFSET(Calc2!$H$4,,,$F$26*B353,1)&lt;&gt;"")*(OFFSET(Calc2!$I$4,,,$F$26*B353,1)&lt;&gt;""))</f>
        <v>2</v>
      </c>
      <c r="N367" s="1">
        <f t="array" aca="1" ref="N367" ca="1">SUMPRODUCT((OFFSET(Calc2!$F$4,,,$F$26*B353,1)=F367)*(OFFSET(Calc2!$H$4,,,$F$26*B353,1)&lt;OFFSET(Calc2!$I$4,,,$F$26*B353,1)))+SUMPRODUCT((OFFSET(Calc2!$G$4,,,$F$26*B353,1)=F367)*(OFFSET(Calc2!$H$4,,,$F$26*B353,1)&gt;OFFSET(Calc2!$I$4,,,$F$26*B353,1)))</f>
        <v>3</v>
      </c>
      <c r="O367" s="132">
        <f ca="1">SUMPRODUCT((F367=OFFSET(Calc2!$F$4,,,$F$26*B353,1))*OFFSET(Calc2!$O$4,,,$F$26*B353,1))+SUMPRODUCT((F367=OFFSET(Calc2!$G$4,,,$F$26*B353,1))*OFFSET(Calc2!$P$4,,,$F$26*B353,1))</f>
        <v>0</v>
      </c>
      <c r="P367" s="2"/>
      <c r="Q367" s="2"/>
      <c r="R367" s="13">
        <f t="shared" ca="1" si="66"/>
        <v>29500013029</v>
      </c>
      <c r="S367" s="134">
        <f>Tie_Break!$D$19</f>
        <v>0</v>
      </c>
      <c r="T367" s="9">
        <f ca="1">RANK(R367,R355:R374)+(9-S367)/10000+(F367="")*1000</f>
        <v>2.0009000000000001</v>
      </c>
      <c r="U367" s="1"/>
      <c r="V367" s="134">
        <f ca="1">IF($K$24=0,"",IF(VLOOKUP(B367,C355:E374,3,0)=MAX(V$4:V366),VLOOKUP(B367,C355:E374,3,0),B367))</f>
        <v>13</v>
      </c>
      <c r="W367" s="4" t="str">
        <f ca="1">IF($K$24=0,Calc2!$C$16,VLOOKUP(B367,C355:N374,4,0))</f>
        <v>VfL Wolfsburg</v>
      </c>
      <c r="X367" s="1">
        <f ca="1">INDEX(V328:V347,MATCH(W367,W328:W347,0))</f>
        <v>15</v>
      </c>
      <c r="Y367" s="1">
        <f t="shared" ca="1" si="69"/>
        <v>1</v>
      </c>
    </row>
    <row r="368" spans="2:25" x14ac:dyDescent="0.2">
      <c r="B368" s="1">
        <v>14</v>
      </c>
      <c r="C368" s="9">
        <f ca="1">RANK(D368,D355:D374,1)</f>
        <v>9</v>
      </c>
      <c r="D368" s="134">
        <f t="shared" ca="1" si="67"/>
        <v>9.3680000000000003</v>
      </c>
      <c r="E368" s="134">
        <f ca="1">RANK(T368,T355:T374,1)</f>
        <v>9</v>
      </c>
      <c r="F368" s="187" t="str">
        <f>Calc2!$C$17</f>
        <v>SC Freiburg</v>
      </c>
      <c r="G368" s="1">
        <f ca="1">SUMIFS(OFFSET(Calc2!$H$4,,,$F$26*B353,1),OFFSET(Calc2!$F$4,,,$F$26*B353,1),F368)+SUMIFS(OFFSET(Calc2!$I$4,,,$F$26*B353,1),OFFSET(Calc2!$G$4,,,$F$26*B353,1),F368)</f>
        <v>21</v>
      </c>
      <c r="H368" s="1">
        <f ca="1">SUMIFS(OFFSET(Calc2!$I$4,,,$F$26*B353,1),OFFSET(Calc2!$F$4,,,$F$26*B353,1),F368)+SUMIFS(OFFSET(Calc2!$H$4,,,$F$26*B353,1),OFFSET(Calc2!$G$4,,,$F$26*B353,1),F368)</f>
        <v>23</v>
      </c>
      <c r="I368" s="134">
        <f t="shared" ca="1" si="65"/>
        <v>-2</v>
      </c>
      <c r="J368" s="12">
        <f ca="1">L368*Settings!$C$3+M368+O368</f>
        <v>17</v>
      </c>
      <c r="K368" s="1">
        <f t="shared" ca="1" si="68"/>
        <v>14</v>
      </c>
      <c r="L368" s="1">
        <f t="array" aca="1" ref="L368" ca="1">SUMPRODUCT((OFFSET(Calc2!$F$4,,,$F$26*B353,1)=F368)*(OFFSET(Calc2!$H$4,,,$F$26*B353,1)&gt;OFFSET(Calc2!$I$4,,,$F$26*B353,1)))+SUMPRODUCT((OFFSET(Calc2!$G$4,,,$F$26*B353,1)=F368)*(OFFSET(Calc2!$H$4,,,$F$26*B353,1)&lt;OFFSET(Calc2!$I$4,,,$F$26*B353,1)))</f>
        <v>4</v>
      </c>
      <c r="M368" s="1">
        <f t="array" aca="1" ref="M368" ca="1">SUMPRODUCT((OFFSET(Calc2!$F$4,,,$F$26*B353,2)=F368)*(OFFSET(Calc2!$H$4,,,$F$26*B353,1)=OFFSET(Calc2!$I$4,,,$F$26*B353,1))*(OFFSET(Calc2!$H$4,,,$F$26*B353,1)&lt;&gt;"")*(OFFSET(Calc2!$I$4,,,$F$26*B353,1)&lt;&gt;""))</f>
        <v>5</v>
      </c>
      <c r="N368" s="1">
        <f t="array" aca="1" ref="N368" ca="1">SUMPRODUCT((OFFSET(Calc2!$F$4,,,$F$26*B353,1)=F368)*(OFFSET(Calc2!$H$4,,,$F$26*B353,1)&lt;OFFSET(Calc2!$I$4,,,$F$26*B353,1)))+SUMPRODUCT((OFFSET(Calc2!$G$4,,,$F$26*B353,1)=F368)*(OFFSET(Calc2!$H$4,,,$F$26*B353,1)&gt;OFFSET(Calc2!$I$4,,,$F$26*B353,1)))</f>
        <v>5</v>
      </c>
      <c r="O368" s="132">
        <f ca="1">SUMPRODUCT((F368=OFFSET(Calc2!$F$4,,,$F$26*B353,1))*OFFSET(Calc2!$O$4,,,$F$26*B353,1))+SUMPRODUCT((F368=OFFSET(Calc2!$G$4,,,$F$26*B353,1))*OFFSET(Calc2!$P$4,,,$F$26*B353,1))</f>
        <v>0</v>
      </c>
      <c r="P368" s="2"/>
      <c r="Q368" s="2"/>
      <c r="R368" s="13">
        <f t="shared" ca="1" si="66"/>
        <v>17499998021</v>
      </c>
      <c r="S368" s="134">
        <f>Tie_Break!$D$20</f>
        <v>0</v>
      </c>
      <c r="T368" s="9">
        <f ca="1">RANK(R368,R355:R374)+(9-S368)/10000+(F368="")*1000</f>
        <v>9.0008999999999997</v>
      </c>
      <c r="U368" s="2"/>
      <c r="V368" s="134">
        <f ca="1">IF($K$24=0,"",IF(VLOOKUP(B368,C355:E374,3,0)=MAX(V$4:V367),VLOOKUP(B368,C355:E374,3,0),B368))</f>
        <v>14</v>
      </c>
      <c r="W368" s="4" t="str">
        <f ca="1">IF($K$24=0,Calc2!$C$17,VLOOKUP(B368,C355:N374,4,0))</f>
        <v>Hamburger SV</v>
      </c>
      <c r="X368" s="1">
        <f ca="1">INDEX(V328:V347,MATCH(W368,W328:W347,0))</f>
        <v>13</v>
      </c>
      <c r="Y368" s="1">
        <f t="shared" ca="1" si="69"/>
        <v>-1</v>
      </c>
    </row>
    <row r="369" spans="2:25" x14ac:dyDescent="0.2">
      <c r="B369" s="1">
        <v>15</v>
      </c>
      <c r="C369" s="9">
        <f ca="1">RANK(D369,D355:D374,1)</f>
        <v>12</v>
      </c>
      <c r="D369" s="134">
        <f t="shared" ca="1" si="67"/>
        <v>12.369</v>
      </c>
      <c r="E369" s="134">
        <f ca="1">RANK(T369,T355:T374,1)</f>
        <v>12</v>
      </c>
      <c r="F369" s="187" t="str">
        <f>Calc2!$C$18</f>
        <v>SV Werder Bremen</v>
      </c>
      <c r="G369" s="1">
        <f ca="1">SUMIFS(OFFSET(Calc2!$H$4,,,$F$26*B353,1),OFFSET(Calc2!$F$4,,,$F$26*B353,1),F369)+SUMIFS(OFFSET(Calc2!$I$4,,,$F$26*B353,1),OFFSET(Calc2!$G$4,,,$F$26*B353,1),F369)</f>
        <v>18</v>
      </c>
      <c r="H369" s="1">
        <f ca="1">SUMIFS(OFFSET(Calc2!$I$4,,,$F$26*B353,1),OFFSET(Calc2!$F$4,,,$F$26*B353,1),F369)+SUMIFS(OFFSET(Calc2!$H$4,,,$F$26*B353,1),OFFSET(Calc2!$G$4,,,$F$26*B353,1),F369)</f>
        <v>28</v>
      </c>
      <c r="I369" s="134">
        <f t="shared" ca="1" si="65"/>
        <v>-10</v>
      </c>
      <c r="J369" s="12">
        <f ca="1">L369*Settings!$C$3+M369+O369</f>
        <v>16</v>
      </c>
      <c r="K369" s="1">
        <f t="shared" ca="1" si="68"/>
        <v>14</v>
      </c>
      <c r="L369" s="1">
        <f t="array" aca="1" ref="L369" ca="1">SUMPRODUCT((OFFSET(Calc2!$F$4,,,$F$26*B353,1)=F369)*(OFFSET(Calc2!$H$4,,,$F$26*B353,1)&gt;OFFSET(Calc2!$I$4,,,$F$26*B353,1)))+SUMPRODUCT((OFFSET(Calc2!$G$4,,,$F$26*B353,1)=F369)*(OFFSET(Calc2!$H$4,,,$F$26*B353,1)&lt;OFFSET(Calc2!$I$4,,,$F$26*B353,1)))</f>
        <v>4</v>
      </c>
      <c r="M369" s="1">
        <f t="array" aca="1" ref="M369" ca="1">SUMPRODUCT((OFFSET(Calc2!$F$4,,,$F$26*B353,2)=F369)*(OFFSET(Calc2!$H$4,,,$F$26*B353,1)=OFFSET(Calc2!$I$4,,,$F$26*B353,1))*(OFFSET(Calc2!$H$4,,,$F$26*B353,1)&lt;&gt;"")*(OFFSET(Calc2!$I$4,,,$F$26*B353,1)&lt;&gt;""))</f>
        <v>4</v>
      </c>
      <c r="N369" s="1">
        <f t="array" aca="1" ref="N369" ca="1">SUMPRODUCT((OFFSET(Calc2!$F$4,,,$F$26*B353,1)=F369)*(OFFSET(Calc2!$H$4,,,$F$26*B353,1)&lt;OFFSET(Calc2!$I$4,,,$F$26*B353,1)))+SUMPRODUCT((OFFSET(Calc2!$G$4,,,$F$26*B353,1)=F369)*(OFFSET(Calc2!$H$4,,,$F$26*B353,1)&gt;OFFSET(Calc2!$I$4,,,$F$26*B353,1)))</f>
        <v>6</v>
      </c>
      <c r="O369" s="132">
        <f ca="1">SUMPRODUCT((F369=OFFSET(Calc2!$F$4,,,$F$26*B353,1))*OFFSET(Calc2!$O$4,,,$F$26*B353,1))+SUMPRODUCT((F369=OFFSET(Calc2!$G$4,,,$F$26*B353,1))*OFFSET(Calc2!$P$4,,,$F$26*B353,1))</f>
        <v>0</v>
      </c>
      <c r="P369" s="2"/>
      <c r="Q369" s="2"/>
      <c r="R369" s="13">
        <f t="shared" ca="1" si="66"/>
        <v>16499990018</v>
      </c>
      <c r="S369" s="134">
        <f>Tie_Break!$D$21</f>
        <v>0</v>
      </c>
      <c r="T369" s="9">
        <f ca="1">RANK(R369,R355:R374)+(9-S369)/10000+(F369="")*1000</f>
        <v>12.0009</v>
      </c>
      <c r="U369" s="2"/>
      <c r="V369" s="134">
        <f ca="1">IF($K$24=0,"",IF(VLOOKUP(B369,C355:E374,3,0)=MAX(V$4:V368),VLOOKUP(B369,C355:E374,3,0),B369))</f>
        <v>15</v>
      </c>
      <c r="W369" s="4" t="str">
        <f ca="1">IF($K$24=0,Calc2!$C$18,VLOOKUP(B369,C355:N374,4,0))</f>
        <v>FC Augsburg</v>
      </c>
      <c r="X369" s="1">
        <f ca="1">INDEX(V328:V347,MATCH(W369,W328:W347,0))</f>
        <v>14</v>
      </c>
      <c r="Y369" s="1">
        <f t="shared" ca="1" si="69"/>
        <v>-1</v>
      </c>
    </row>
    <row r="370" spans="2:25" x14ac:dyDescent="0.2">
      <c r="B370" s="1">
        <v>16</v>
      </c>
      <c r="C370" s="9">
        <f ca="1">RANK(D370,D355:D374,1)</f>
        <v>5</v>
      </c>
      <c r="D370" s="134">
        <f t="shared" ca="1" si="67"/>
        <v>5.37</v>
      </c>
      <c r="E370" s="134">
        <f ca="1">RANK(T370,T355:T374,1)</f>
        <v>5</v>
      </c>
      <c r="F370" s="187" t="str">
        <f>Calc2!$C$19</f>
        <v>TSG Hoffenheim</v>
      </c>
      <c r="G370" s="1">
        <f ca="1">SUMIFS(OFFSET(Calc2!$H$4,,,$F$26*B353,1),OFFSET(Calc2!$F$4,,,$F$26*B353,1),F370)+SUMIFS(OFFSET(Calc2!$I$4,,,$F$26*B353,1),OFFSET(Calc2!$G$4,,,$F$26*B353,1),F370)</f>
        <v>29</v>
      </c>
      <c r="H370" s="1">
        <f ca="1">SUMIFS(OFFSET(Calc2!$I$4,,,$F$26*B353,1),OFFSET(Calc2!$F$4,,,$F$26*B353,1),F370)+SUMIFS(OFFSET(Calc2!$H$4,,,$F$26*B353,1),OFFSET(Calc2!$G$4,,,$F$26*B353,1),F370)</f>
        <v>20</v>
      </c>
      <c r="I370" s="134">
        <f t="shared" ca="1" si="65"/>
        <v>9</v>
      </c>
      <c r="J370" s="12">
        <f ca="1">L370*Settings!$C$3+M370+O370</f>
        <v>26</v>
      </c>
      <c r="K370" s="1">
        <f t="shared" ca="1" si="68"/>
        <v>14</v>
      </c>
      <c r="L370" s="1">
        <f t="array" aca="1" ref="L370" ca="1">SUMPRODUCT((OFFSET(Calc2!$F$4,,,$F$26*B353,1)=F370)*(OFFSET(Calc2!$H$4,,,$F$26*B353,1)&gt;OFFSET(Calc2!$I$4,,,$F$26*B353,1)))+SUMPRODUCT((OFFSET(Calc2!$G$4,,,$F$26*B353,1)=F370)*(OFFSET(Calc2!$H$4,,,$F$26*B353,1)&lt;OFFSET(Calc2!$I$4,,,$F$26*B353,1)))</f>
        <v>8</v>
      </c>
      <c r="M370" s="1">
        <f t="array" aca="1" ref="M370" ca="1">SUMPRODUCT((OFFSET(Calc2!$F$4,,,$F$26*B353,2)=F370)*(OFFSET(Calc2!$H$4,,,$F$26*B353,1)=OFFSET(Calc2!$I$4,,,$F$26*B353,1))*(OFFSET(Calc2!$H$4,,,$F$26*B353,1)&lt;&gt;"")*(OFFSET(Calc2!$I$4,,,$F$26*B353,1)&lt;&gt;""))</f>
        <v>2</v>
      </c>
      <c r="N370" s="1">
        <f t="array" aca="1" ref="N370" ca="1">SUMPRODUCT((OFFSET(Calc2!$F$4,,,$F$26*B353,1)=F370)*(OFFSET(Calc2!$H$4,,,$F$26*B353,1)&lt;OFFSET(Calc2!$I$4,,,$F$26*B353,1)))+SUMPRODUCT((OFFSET(Calc2!$G$4,,,$F$26*B353,1)=F370)*(OFFSET(Calc2!$H$4,,,$F$26*B353,1)&gt;OFFSET(Calc2!$I$4,,,$F$26*B353,1)))</f>
        <v>4</v>
      </c>
      <c r="O370" s="132">
        <f ca="1">SUMPRODUCT((F370=OFFSET(Calc2!$F$4,,,$F$26*B353,1))*OFFSET(Calc2!$O$4,,,$F$26*B353,1))+SUMPRODUCT((F370=OFFSET(Calc2!$G$4,,,$F$26*B353,1))*OFFSET(Calc2!$P$4,,,$F$26*B353,1))</f>
        <v>0</v>
      </c>
      <c r="P370" s="2"/>
      <c r="Q370" s="2"/>
      <c r="R370" s="13">
        <f t="shared" ca="1" si="66"/>
        <v>26500009029</v>
      </c>
      <c r="S370" s="134">
        <f>Tie_Break!$D$22</f>
        <v>0</v>
      </c>
      <c r="T370" s="9">
        <f ca="1">RANK(R370,R355:R374)+(9-S370)/10000+(F370="")*1000</f>
        <v>5.0008999999999997</v>
      </c>
      <c r="U370" s="2"/>
      <c r="V370" s="134">
        <f ca="1">IF($K$24=0,"",IF(VLOOKUP(B370,C355:E374,3,0)=MAX(V$4:V369),VLOOKUP(B370,C355:E374,3,0),B370))</f>
        <v>16</v>
      </c>
      <c r="W370" s="4" t="str">
        <f ca="1">IF($K$24=0,Calc2!$C$19,VLOOKUP(B370,C355:N374,4,0))</f>
        <v>FC St. Pauli</v>
      </c>
      <c r="X370" s="1">
        <f ca="1">INDEX(V328:V347,MATCH(W370,W328:W347,0))</f>
        <v>17</v>
      </c>
      <c r="Y370" s="1">
        <f t="shared" ca="1" si="69"/>
        <v>1</v>
      </c>
    </row>
    <row r="371" spans="2:25" x14ac:dyDescent="0.2">
      <c r="B371" s="1">
        <v>17</v>
      </c>
      <c r="C371" s="9">
        <f ca="1">RANK(D371,D355:D374,1)</f>
        <v>6</v>
      </c>
      <c r="D371" s="134">
        <f t="shared" ca="1" si="67"/>
        <v>6.3710000000000004</v>
      </c>
      <c r="E371" s="134">
        <f ca="1">RANK(T371,T355:T374,1)</f>
        <v>6</v>
      </c>
      <c r="F371" s="187" t="str">
        <f>Calc2!$C$20</f>
        <v>VfB Stuttgart</v>
      </c>
      <c r="G371" s="1">
        <f ca="1">SUMIFS(OFFSET(Calc2!$H$4,,,$F$26*B353,1),OFFSET(Calc2!$F$4,,,$F$26*B353,1),F371)+SUMIFS(OFFSET(Calc2!$I$4,,,$F$26*B353,1),OFFSET(Calc2!$G$4,,,$F$26*B353,1),F371)</f>
        <v>25</v>
      </c>
      <c r="H371" s="1">
        <f ca="1">SUMIFS(OFFSET(Calc2!$I$4,,,$F$26*B353,1),OFFSET(Calc2!$F$4,,,$F$26*B353,1),F371)+SUMIFS(OFFSET(Calc2!$H$4,,,$F$26*B353,1),OFFSET(Calc2!$G$4,,,$F$26*B353,1),F371)</f>
        <v>22</v>
      </c>
      <c r="I371" s="134">
        <f t="shared" ca="1" si="65"/>
        <v>3</v>
      </c>
      <c r="J371" s="12">
        <f ca="1">L371*Settings!$C$3+M371+O371</f>
        <v>25</v>
      </c>
      <c r="K371" s="1">
        <f t="shared" ca="1" si="68"/>
        <v>14</v>
      </c>
      <c r="L371" s="1">
        <f t="array" aca="1" ref="L371" ca="1">SUMPRODUCT((OFFSET(Calc2!$F$4,,,$F$26*B353,1)=F371)*(OFFSET(Calc2!$H$4,,,$F$26*B353,1)&gt;OFFSET(Calc2!$I$4,,,$F$26*B353,1)))+SUMPRODUCT((OFFSET(Calc2!$G$4,,,$F$26*B353,1)=F371)*(OFFSET(Calc2!$H$4,,,$F$26*B353,1)&lt;OFFSET(Calc2!$I$4,,,$F$26*B353,1)))</f>
        <v>8</v>
      </c>
      <c r="M371" s="1">
        <f t="array" aca="1" ref="M371" ca="1">SUMPRODUCT((OFFSET(Calc2!$F$4,,,$F$26*B353,2)=F371)*(OFFSET(Calc2!$H$4,,,$F$26*B353,1)=OFFSET(Calc2!$I$4,,,$F$26*B353,1))*(OFFSET(Calc2!$H$4,,,$F$26*B353,1)&lt;&gt;"")*(OFFSET(Calc2!$I$4,,,$F$26*B353,1)&lt;&gt;""))</f>
        <v>1</v>
      </c>
      <c r="N371" s="1">
        <f t="array" aca="1" ref="N371" ca="1">SUMPRODUCT((OFFSET(Calc2!$F$4,,,$F$26*B353,1)=F371)*(OFFSET(Calc2!$H$4,,,$F$26*B353,1)&lt;OFFSET(Calc2!$I$4,,,$F$26*B353,1)))+SUMPRODUCT((OFFSET(Calc2!$G$4,,,$F$26*B353,1)=F371)*(OFFSET(Calc2!$H$4,,,$F$26*B353,1)&gt;OFFSET(Calc2!$I$4,,,$F$26*B353,1)))</f>
        <v>5</v>
      </c>
      <c r="O371" s="132">
        <f ca="1">SUMPRODUCT((F371=OFFSET(Calc2!$F$4,,,$F$26*B353,1))*OFFSET(Calc2!$O$4,,,$F$26*B353,1))+SUMPRODUCT((F371=OFFSET(Calc2!$G$4,,,$F$26*B353,1))*OFFSET(Calc2!$P$4,,,$F$26*B353,1))</f>
        <v>0</v>
      </c>
      <c r="P371" s="2"/>
      <c r="Q371" s="2"/>
      <c r="R371" s="13">
        <f t="shared" ca="1" si="66"/>
        <v>25500003025</v>
      </c>
      <c r="S371" s="134">
        <f>Tie_Break!$D$23</f>
        <v>0</v>
      </c>
      <c r="T371" s="9">
        <f ca="1">RANK(R371,R355:R374)+(9-S371)/10000+(F371="")*1000</f>
        <v>6.0008999999999997</v>
      </c>
      <c r="U371" s="2"/>
      <c r="V371" s="134">
        <f ca="1">IF($K$24=0,"",IF(VLOOKUP(B371,C355:E374,3,0)=MAX(V$4:V370),VLOOKUP(B371,C355:E374,3,0),B371))</f>
        <v>17</v>
      </c>
      <c r="W371" s="4" t="str">
        <f ca="1">IF($K$24=0,Calc2!$C$20,VLOOKUP(B371,C355:N374,4,0))</f>
        <v>1. FC Heidenheim 1846</v>
      </c>
      <c r="X371" s="1">
        <f ca="1">INDEX(V328:V347,MATCH(W371,W328:W347,0))</f>
        <v>16</v>
      </c>
      <c r="Y371" s="1">
        <f t="shared" ca="1" si="69"/>
        <v>-1</v>
      </c>
    </row>
    <row r="372" spans="2:25" x14ac:dyDescent="0.2">
      <c r="B372" s="1">
        <v>18</v>
      </c>
      <c r="C372" s="9">
        <f ca="1">RANK(D372,D355:D374,1)</f>
        <v>13</v>
      </c>
      <c r="D372" s="134">
        <f t="shared" ca="1" si="67"/>
        <v>13.372</v>
      </c>
      <c r="E372" s="134">
        <f ca="1">RANK(T372,T355:T374,1)</f>
        <v>13</v>
      </c>
      <c r="F372" s="187" t="str">
        <f>Calc2!$C$21</f>
        <v>VfL Wolfsburg</v>
      </c>
      <c r="G372" s="1">
        <f ca="1">SUMIFS(OFFSET(Calc2!$H$4,,,$F$26*B353,1),OFFSET(Calc2!$F$4,,,$F$26*B353,1),F372)+SUMIFS(OFFSET(Calc2!$I$4,,,$F$26*B353,1),OFFSET(Calc2!$G$4,,,$F$26*B353,1),F372)</f>
        <v>20</v>
      </c>
      <c r="H372" s="1">
        <f ca="1">SUMIFS(OFFSET(Calc2!$I$4,,,$F$26*B353,1),OFFSET(Calc2!$F$4,,,$F$26*B353,1),F372)+SUMIFS(OFFSET(Calc2!$H$4,,,$F$26*B353,1),OFFSET(Calc2!$G$4,,,$F$26*B353,1),F372)</f>
        <v>24</v>
      </c>
      <c r="I372" s="134">
        <f t="shared" ca="1" si="65"/>
        <v>-4</v>
      </c>
      <c r="J372" s="12">
        <f ca="1">L372*Settings!$C$3+M372+O372</f>
        <v>15</v>
      </c>
      <c r="K372" s="1">
        <f t="shared" ca="1" si="68"/>
        <v>14</v>
      </c>
      <c r="L372" s="1">
        <f t="array" aca="1" ref="L372" ca="1">SUMPRODUCT((OFFSET(Calc2!$F$4,,,$F$26*B353,1)=F372)*(OFFSET(Calc2!$H$4,,,$F$26*B353,1)&gt;OFFSET(Calc2!$I$4,,,$F$26*B353,1)))+SUMPRODUCT((OFFSET(Calc2!$G$4,,,$F$26*B353,1)=F372)*(OFFSET(Calc2!$H$4,,,$F$26*B353,1)&lt;OFFSET(Calc2!$I$4,,,$F$26*B353,1)))</f>
        <v>4</v>
      </c>
      <c r="M372" s="1">
        <f t="array" aca="1" ref="M372" ca="1">SUMPRODUCT((OFFSET(Calc2!$F$4,,,$F$26*B353,2)=F372)*(OFFSET(Calc2!$H$4,,,$F$26*B353,1)=OFFSET(Calc2!$I$4,,,$F$26*B353,1))*(OFFSET(Calc2!$H$4,,,$F$26*B353,1)&lt;&gt;"")*(OFFSET(Calc2!$I$4,,,$F$26*B353,1)&lt;&gt;""))</f>
        <v>3</v>
      </c>
      <c r="N372" s="1">
        <f t="array" aca="1" ref="N372" ca="1">SUMPRODUCT((OFFSET(Calc2!$F$4,,,$F$26*B353,1)=F372)*(OFFSET(Calc2!$H$4,,,$F$26*B353,1)&lt;OFFSET(Calc2!$I$4,,,$F$26*B353,1)))+SUMPRODUCT((OFFSET(Calc2!$G$4,,,$F$26*B353,1)=F372)*(OFFSET(Calc2!$H$4,,,$F$26*B353,1)&gt;OFFSET(Calc2!$I$4,,,$F$26*B353,1)))</f>
        <v>7</v>
      </c>
      <c r="O372" s="132">
        <f ca="1">SUMPRODUCT((F372=OFFSET(Calc2!$F$4,,,$F$26*B353,1))*OFFSET(Calc2!$O$4,,,$F$26*B353,1))+SUMPRODUCT((F372=OFFSET(Calc2!$G$4,,,$F$26*B353,1))*OFFSET(Calc2!$P$4,,,$F$26*B353,1))</f>
        <v>0</v>
      </c>
      <c r="P372" s="2"/>
      <c r="Q372" s="2"/>
      <c r="R372" s="13">
        <f t="shared" ca="1" si="66"/>
        <v>15499996020</v>
      </c>
      <c r="S372" s="134">
        <f>Tie_Break!$D$24</f>
        <v>0</v>
      </c>
      <c r="T372" s="9">
        <f ca="1">RANK(R372,R355:R374)+(9-S372)/10000+(F372="")*1000</f>
        <v>13.0009</v>
      </c>
      <c r="U372" s="2"/>
      <c r="V372" s="134">
        <f ca="1">IF($K$24=0,"",IF(VLOOKUP(B372,C355:E374,3,0)=MAX(V$4:V371),VLOOKUP(B372,C355:E374,3,0),B372))</f>
        <v>18</v>
      </c>
      <c r="W372" s="4" t="str">
        <f ca="1">IF($K$24=0,Calc2!$C$21,VLOOKUP(B372,C355:N374,4,0))</f>
        <v>1. FSV Mainz 05</v>
      </c>
      <c r="X372" s="1">
        <f ca="1">INDEX(V328:V347,MATCH(W372,W328:W347,0))</f>
        <v>18</v>
      </c>
      <c r="Y372" s="1">
        <f t="shared" ca="1" si="69"/>
        <v>0</v>
      </c>
    </row>
    <row r="373" spans="2:25" x14ac:dyDescent="0.2">
      <c r="B373" s="1">
        <v>19</v>
      </c>
      <c r="C373" s="9">
        <f ca="1">RANK(D373,D355:D374,1)</f>
        <v>19</v>
      </c>
      <c r="D373" s="134">
        <f t="shared" ca="1" si="67"/>
        <v>19.373000000000001</v>
      </c>
      <c r="E373" s="134">
        <f ca="1">RANK(T373,T355:T374,1)</f>
        <v>19</v>
      </c>
      <c r="F373" s="187" t="str">
        <f>Calc2!$C$22</f>
        <v/>
      </c>
      <c r="G373" s="1">
        <f ca="1">SUMIFS(OFFSET(Calc2!$H$4,,,$F$26*B353,1),OFFSET(Calc2!$F$4,,,$F$26*B353,1),F373)+SUMIFS(OFFSET(Calc2!$I$4,,,$F$26*B353,1),OFFSET(Calc2!$G$4,,,$F$26*B353,1),F373)</f>
        <v>0</v>
      </c>
      <c r="H373" s="1">
        <f ca="1">SUMIFS(OFFSET(Calc2!$I$4,,,$F$26*B353,1),OFFSET(Calc2!$F$4,,,$F$26*B353,1),F373)+SUMIFS(OFFSET(Calc2!$H$4,,,$F$26*B353,1),OFFSET(Calc2!$G$4,,,$F$26*B353,1),F373)</f>
        <v>0</v>
      </c>
      <c r="I373" s="134">
        <f t="shared" ca="1" si="65"/>
        <v>0</v>
      </c>
      <c r="J373" s="12">
        <f ca="1">L373*Settings!$C$3+M373+O373</f>
        <v>0</v>
      </c>
      <c r="K373" s="1">
        <f t="shared" ca="1" si="68"/>
        <v>0</v>
      </c>
      <c r="L373" s="1">
        <f t="array" aca="1" ref="L373" ca="1">SUMPRODUCT((OFFSET(Calc2!$F$4,,,$F$26*B353,1)=F373)*(OFFSET(Calc2!$H$4,,,$F$26*B353,1)&gt;OFFSET(Calc2!$I$4,,,$F$26*B353,1)))+SUMPRODUCT((OFFSET(Calc2!$G$4,,,$F$26*B353,1)=F373)*(OFFSET(Calc2!$H$4,,,$F$26*B353,1)&lt;OFFSET(Calc2!$I$4,,,$F$26*B353,1)))</f>
        <v>0</v>
      </c>
      <c r="M373" s="1">
        <f t="array" aca="1" ref="M373" ca="1">SUMPRODUCT((OFFSET(Calc2!$F$4,,,$F$26*B353,2)=F373)*(OFFSET(Calc2!$H$4,,,$F$26*B353,1)=OFFSET(Calc2!$I$4,,,$F$26*B353,1))*(OFFSET(Calc2!$H$4,,,$F$26*B353,1)&lt;&gt;"")*(OFFSET(Calc2!$I$4,,,$F$26*B353,1)&lt;&gt;""))</f>
        <v>0</v>
      </c>
      <c r="N373" s="1">
        <f t="array" aca="1" ref="N373" ca="1">SUMPRODUCT((OFFSET(Calc2!$F$4,,,$F$26*B353,1)=F373)*(OFFSET(Calc2!$H$4,,,$F$26*B353,1)&lt;OFFSET(Calc2!$I$4,,,$F$26*B353,1)))+SUMPRODUCT((OFFSET(Calc2!$G$4,,,$F$26*B353,1)=F373)*(OFFSET(Calc2!$H$4,,,$F$26*B353,1)&gt;OFFSET(Calc2!$I$4,,,$F$26*B353,1)))</f>
        <v>0</v>
      </c>
      <c r="O373" s="132">
        <f ca="1">SUMPRODUCT((F373=OFFSET(Calc2!$F$4,,,$F$26*B353,1))*OFFSET(Calc2!$O$4,,,$F$26*B353,1))+SUMPRODUCT((F373=OFFSET(Calc2!$G$4,,,$F$26*B353,1))*OFFSET(Calc2!$P$4,,,$F$26*B353,1))</f>
        <v>0</v>
      </c>
      <c r="P373" s="2"/>
      <c r="Q373" s="2"/>
      <c r="R373" s="13">
        <f t="shared" ca="1" si="66"/>
        <v>500000000</v>
      </c>
      <c r="S373" s="134">
        <f>Tie_Break!$D$25</f>
        <v>0</v>
      </c>
      <c r="T373" s="9">
        <f ca="1">RANK(R373,R355:R374)+(9-S373)/10000+(F373="")*1000</f>
        <v>1019.0009</v>
      </c>
      <c r="U373" s="2"/>
      <c r="V373" s="134">
        <f ca="1">IF($K$24=0,"",IF(VLOOKUP(B373,C355:E374,3,0)=MAX(V$4:V372),VLOOKUP(B373,C355:E374,3,0),B373))</f>
        <v>19</v>
      </c>
      <c r="W373" s="4" t="str">
        <f ca="1">IF($K$24=0,Calc2!$C$22,VLOOKUP(B373,C355:N374,4,0))</f>
        <v/>
      </c>
      <c r="X373" s="1">
        <f ca="1">INDEX(V328:V347,MATCH(W373,W328:W347,0))</f>
        <v>19</v>
      </c>
      <c r="Y373" s="1">
        <f t="shared" ca="1" si="69"/>
        <v>0</v>
      </c>
    </row>
    <row r="374" spans="2:25" ht="12.75" thickBot="1" x14ac:dyDescent="0.25">
      <c r="B374" s="1">
        <v>20</v>
      </c>
      <c r="C374" s="10">
        <f ca="1">RANK(D374,D355:D374,1)</f>
        <v>20</v>
      </c>
      <c r="D374" s="134">
        <f t="shared" ca="1" si="67"/>
        <v>19.373999999999999</v>
      </c>
      <c r="E374" s="134">
        <f ca="1">RANK(T374,T355:T374,1)</f>
        <v>19</v>
      </c>
      <c r="F374" s="187" t="str">
        <f>Calc2!$C$23</f>
        <v/>
      </c>
      <c r="G374" s="1">
        <f ca="1">SUMIFS(OFFSET(Calc2!$H$4,,,$F$26*B353,1),OFFSET(Calc2!$F$4,,,$F$26*B353,1),F374)+SUMIFS(OFFSET(Calc2!$I$4,,,$F$26*B353,1),OFFSET(Calc2!$G$4,,,$F$26*B353,1),F374)</f>
        <v>0</v>
      </c>
      <c r="H374" s="1">
        <f ca="1">SUMIFS(OFFSET(Calc2!$I$4,,,$F$26*B353,1),OFFSET(Calc2!$F$4,,,$F$26*B353,1),F374)+SUMIFS(OFFSET(Calc2!$H$4,,,$F$26*B353,1),OFFSET(Calc2!$G$4,,,$F$26*B353,1),F374)</f>
        <v>0</v>
      </c>
      <c r="I374" s="134">
        <f t="shared" ca="1" si="65"/>
        <v>0</v>
      </c>
      <c r="J374" s="12">
        <f ca="1">L374*Settings!$C$3+M374+O374</f>
        <v>0</v>
      </c>
      <c r="K374" s="1">
        <f t="shared" ca="1" si="68"/>
        <v>0</v>
      </c>
      <c r="L374" s="1">
        <f t="array" aca="1" ref="L374" ca="1">SUMPRODUCT((OFFSET(Calc2!$F$4,,,$F$26*B353,1)=F374)*(OFFSET(Calc2!$H$4,,,$F$26*B353,1)&gt;OFFSET(Calc2!$I$4,,,$F$26*B353,1)))+SUMPRODUCT((OFFSET(Calc2!$G$4,,,$F$26*B353,1)=F374)*(OFFSET(Calc2!$H$4,,,$F$26*B353,1)&lt;OFFSET(Calc2!$I$4,,,$F$26*B353,1)))</f>
        <v>0</v>
      </c>
      <c r="M374" s="1">
        <f t="array" aca="1" ref="M374" ca="1">SUMPRODUCT((OFFSET(Calc2!$F$4,,,$F$26*B353,2)=F374)*(OFFSET(Calc2!$H$4,,,$F$26*B353,1)=OFFSET(Calc2!$I$4,,,$F$26*B353,1))*(OFFSET(Calc2!$H$4,,,$F$26*B353,1)&lt;&gt;"")*(OFFSET(Calc2!$I$4,,,$F$26*B353,1)&lt;&gt;""))</f>
        <v>0</v>
      </c>
      <c r="N374" s="1">
        <f t="array" aca="1" ref="N374" ca="1">SUMPRODUCT((OFFSET(Calc2!$F$4,,,$F$26*B353,1)=F374)*(OFFSET(Calc2!$H$4,,,$F$26*B353,1)&lt;OFFSET(Calc2!$I$4,,,$F$26*B353,1)))+SUMPRODUCT((OFFSET(Calc2!$G$4,,,$F$26*B353,1)=F374)*(OFFSET(Calc2!$H$4,,,$F$26*B353,1)&gt;OFFSET(Calc2!$I$4,,,$F$26*B353,1)))</f>
        <v>0</v>
      </c>
      <c r="O374" s="132">
        <f ca="1">SUMPRODUCT((F374=OFFSET(Calc2!$F$4,,,$F$26*B353,1))*OFFSET(Calc2!$O$4,,,$F$26*B353,1))+SUMPRODUCT((F374=OFFSET(Calc2!$G$4,,,$F$26*B353,1))*OFFSET(Calc2!$P$4,,,$F$26*B353,1))</f>
        <v>0</v>
      </c>
      <c r="P374" s="2"/>
      <c r="Q374" s="2"/>
      <c r="R374" s="13">
        <f t="shared" ca="1" si="66"/>
        <v>500000000</v>
      </c>
      <c r="S374" s="134">
        <f>Tie_Break!$D$26</f>
        <v>0</v>
      </c>
      <c r="T374" s="10">
        <f ca="1">RANK(R374,R355:R374)+(9-S374)/10000+(F374="")*1000</f>
        <v>1019.0009</v>
      </c>
      <c r="U374" s="2"/>
      <c r="V374" s="134">
        <f ca="1">IF($K$24=0,"",IF(VLOOKUP(B374,C355:E374,3,0)=MAX(V$4:V373),VLOOKUP(B374,C355:E374,3,0),B374))</f>
        <v>19</v>
      </c>
      <c r="W374" s="4" t="str">
        <f ca="1">IF($K$24=0,Calc2!$C$23,VLOOKUP(B374,C355:N374,4,0))</f>
        <v/>
      </c>
      <c r="X374" s="1">
        <f ca="1">INDEX(V328:V347,MATCH(W374,W328:W347,0))</f>
        <v>19</v>
      </c>
      <c r="Y374" s="1">
        <f t="shared" ca="1" si="69"/>
        <v>0</v>
      </c>
    </row>
    <row r="375" spans="2:25" ht="12.75" thickTop="1" x14ac:dyDescent="0.2"/>
    <row r="379" spans="2:25" ht="12.75" thickBot="1" x14ac:dyDescent="0.25"/>
    <row r="380" spans="2:25" ht="12.75" thickBot="1" x14ac:dyDescent="0.25">
      <c r="B380" s="410">
        <v>15</v>
      </c>
      <c r="C380" s="134"/>
      <c r="D380" s="134"/>
      <c r="E380" s="134"/>
      <c r="F380" s="187"/>
      <c r="G380" s="1"/>
      <c r="H380" s="1"/>
      <c r="I380" s="1"/>
      <c r="J380" s="1"/>
      <c r="K380" s="1"/>
      <c r="L380" s="1"/>
      <c r="M380" s="1"/>
      <c r="N380" s="134"/>
      <c r="O380" s="1"/>
      <c r="P380" s="1"/>
      <c r="Q380" s="1"/>
      <c r="R380" s="2"/>
      <c r="S380" s="2"/>
      <c r="T380" s="2"/>
      <c r="U380" s="2"/>
      <c r="V380" s="2"/>
      <c r="W380" s="2"/>
    </row>
    <row r="381" spans="2:25" ht="15.75" thickBot="1" x14ac:dyDescent="0.25">
      <c r="B381" s="1"/>
      <c r="C381" s="134"/>
      <c r="D381" s="134"/>
      <c r="E381" s="134"/>
      <c r="F381" s="11" t="s">
        <v>90</v>
      </c>
      <c r="G381" s="42" t="s">
        <v>95</v>
      </c>
      <c r="H381" s="42" t="s">
        <v>96</v>
      </c>
      <c r="I381" s="11" t="s">
        <v>97</v>
      </c>
      <c r="J381" s="11" t="s">
        <v>98</v>
      </c>
      <c r="K381" s="11" t="s">
        <v>91</v>
      </c>
      <c r="L381" s="12" t="s">
        <v>92</v>
      </c>
      <c r="M381" s="12" t="s">
        <v>93</v>
      </c>
      <c r="N381" s="12" t="s">
        <v>94</v>
      </c>
      <c r="O381" s="12" t="s">
        <v>534</v>
      </c>
      <c r="P381" s="2"/>
      <c r="Q381" s="11"/>
      <c r="R381" s="133" t="s">
        <v>99</v>
      </c>
      <c r="S381" s="6" t="s">
        <v>483</v>
      </c>
      <c r="T381" s="120" t="s">
        <v>146</v>
      </c>
      <c r="U381" s="134"/>
      <c r="V381" s="134"/>
      <c r="W381" s="132"/>
      <c r="X381" s="120" t="s">
        <v>575</v>
      </c>
      <c r="Y381" s="1"/>
    </row>
    <row r="382" spans="2:25" ht="12.75" thickTop="1" x14ac:dyDescent="0.2">
      <c r="B382" s="1">
        <v>1</v>
      </c>
      <c r="C382" s="8">
        <f ca="1">RANK(D382,D382:D401,1)</f>
        <v>17</v>
      </c>
      <c r="D382" s="134">
        <f ca="1">E382+ROW()/1000</f>
        <v>17.382000000000001</v>
      </c>
      <c r="E382" s="134">
        <f ca="1">RANK(T382,T382:T401,1)</f>
        <v>17</v>
      </c>
      <c r="F382" s="187" t="str">
        <f>Calc2!$C$4</f>
        <v>1. FC Heidenheim 1846</v>
      </c>
      <c r="G382" s="1">
        <f ca="1">SUMIFS(OFFSET(Calc2!$H$4,,,$F$26*B380,1),OFFSET(Calc2!$F$4,,,$F$26*B380,1),F382)+SUMIFS(OFFSET(Calc2!$I$4,,,$F$26*B380,1),OFFSET(Calc2!$G$4,,,$F$26*B380,1),F382)</f>
        <v>13</v>
      </c>
      <c r="H382" s="1">
        <f ca="1">SUMIFS(OFFSET(Calc2!$I$4,,,$F$26*B380,1),OFFSET(Calc2!$F$4,,,$F$26*B380,1),F382)+SUMIFS(OFFSET(Calc2!$H$4,,,$F$26*B380,1),OFFSET(Calc2!$G$4,,,$F$26*B380,1),F382)</f>
        <v>34</v>
      </c>
      <c r="I382" s="134">
        <f t="shared" ref="I382:I401" ca="1" si="70">G382-H382</f>
        <v>-21</v>
      </c>
      <c r="J382" s="12">
        <f ca="1">L382*Settings!$C$3+M382+O382</f>
        <v>11</v>
      </c>
      <c r="K382" s="1">
        <f ca="1">L382+M382+N382</f>
        <v>15</v>
      </c>
      <c r="L382" s="1">
        <f t="array" aca="1" ref="L382" ca="1">SUMPRODUCT((OFFSET(Calc2!$F$4,,,$F$26*B380,1)=F382)*(OFFSET(Calc2!$H$4,,,$F$26*B380,1)&gt;OFFSET(Calc2!$I$4,,,$F$26*B380,1)))+SUMPRODUCT((OFFSET(Calc2!$G$4,,,$F$26*B380,1)=F382)*(OFFSET(Calc2!$H$4,,,$F$26*B380,1)&lt;OFFSET(Calc2!$I$4,,,$F$26*B380,1)))</f>
        <v>3</v>
      </c>
      <c r="M382" s="1">
        <f t="array" aca="1" ref="M382" ca="1">SUMPRODUCT((OFFSET(Calc2!$F$4,,,$F$26*B380,2)=F382)*(OFFSET(Calc2!$H$4,,,$F$26*B380,1)=OFFSET(Calc2!$I$4,,,$F$26*B380,1))*(OFFSET(Calc2!$H$4,,,$F$26*B380,1)&lt;&gt;"")*(OFFSET(Calc2!$I$4,,,$F$26*B380,1)&lt;&gt;""))</f>
        <v>2</v>
      </c>
      <c r="N382" s="1">
        <f t="array" aca="1" ref="N382" ca="1">SUMPRODUCT((OFFSET(Calc2!$F$4,,,$F$26*B380,1)=F382)*(OFFSET(Calc2!$H$4,,,$F$26*B380,1)&lt;OFFSET(Calc2!$I$4,,,$F$26*B380,1)))+SUMPRODUCT((OFFSET(Calc2!$G$4,,,$F$26*B380,1)=F382)*(OFFSET(Calc2!$H$4,,,$F$26*B380,1)&gt;OFFSET(Calc2!$I$4,,,$F$26*B380,1)))</f>
        <v>10</v>
      </c>
      <c r="O382" s="132">
        <f ca="1">SUMPRODUCT((F382=OFFSET(Calc2!$F$4,,,$F$26*B380,1))*OFFSET(Calc2!$O$4,,,$F$26*B380,1))+SUMPRODUCT((F382=OFFSET(Calc2!$G$4,,,$F$26*B380,1))*OFFSET(Calc2!$P$4,,,$F$26*B380,1))</f>
        <v>0</v>
      </c>
      <c r="P382" s="2"/>
      <c r="Q382" s="2"/>
      <c r="R382" s="13">
        <f t="shared" ref="R382:R401" ca="1" si="71">J382*FactorPts+(I382+GDzero)*FactorGD+G382*FactorGF</f>
        <v>11499979013</v>
      </c>
      <c r="S382" s="134">
        <f>Tie_Break!$D$7</f>
        <v>0</v>
      </c>
      <c r="T382" s="8">
        <f ca="1">RANK(R382,R382:R401)+(9-S382)/10000+(F382="")*1000</f>
        <v>17.000900000000001</v>
      </c>
      <c r="U382" s="134"/>
      <c r="V382" s="134">
        <f ca="1">IF($K$24=0,"",1)</f>
        <v>1</v>
      </c>
      <c r="W382" s="4" t="str">
        <f ca="1">IF($K$24=0,Calc2!$C$4,VLOOKUP(B382,C382:N401,4,0))</f>
        <v>FC Bayern München</v>
      </c>
      <c r="X382" s="1">
        <f ca="1">INDEX(V355:V374,MATCH(W382,W355:W374,0))</f>
        <v>1</v>
      </c>
      <c r="Y382" s="1">
        <f ca="1">IF(X382&gt;V382,1,IF(X382&lt;V382,-1,0))</f>
        <v>0</v>
      </c>
    </row>
    <row r="383" spans="2:25" x14ac:dyDescent="0.2">
      <c r="B383" s="1">
        <v>2</v>
      </c>
      <c r="C383" s="9">
        <f ca="1">RANK(D383,D382:D401,1)</f>
        <v>11</v>
      </c>
      <c r="D383" s="134">
        <f t="shared" ref="D383:D401" ca="1" si="72">E383+ROW()/1000</f>
        <v>11.382999999999999</v>
      </c>
      <c r="E383" s="134">
        <f ca="1">RANK(T383,T382:T401,1)</f>
        <v>11</v>
      </c>
      <c r="F383" s="187" t="str">
        <f>Calc2!$C$5</f>
        <v>1. FC Köln</v>
      </c>
      <c r="G383" s="1">
        <f ca="1">SUMIFS(OFFSET(Calc2!$H$4,,,$F$26*B380,1),OFFSET(Calc2!$F$4,,,$F$26*B380,1),F383)+SUMIFS(OFFSET(Calc2!$I$4,,,$F$26*B380,1),OFFSET(Calc2!$G$4,,,$F$26*B380,1),F383)</f>
        <v>22</v>
      </c>
      <c r="H383" s="1">
        <f ca="1">SUMIFS(OFFSET(Calc2!$I$4,,,$F$26*B380,1),OFFSET(Calc2!$F$4,,,$F$26*B380,1),F383)+SUMIFS(OFFSET(Calc2!$H$4,,,$F$26*B380,1),OFFSET(Calc2!$G$4,,,$F$26*B380,1),F383)</f>
        <v>24</v>
      </c>
      <c r="I383" s="134">
        <f t="shared" ca="1" si="70"/>
        <v>-2</v>
      </c>
      <c r="J383" s="12">
        <f ca="1">L383*Settings!$C$3+M383+O383</f>
        <v>16</v>
      </c>
      <c r="K383" s="1">
        <f t="shared" ref="K383:K401" ca="1" si="73">L383+M383+N383</f>
        <v>15</v>
      </c>
      <c r="L383" s="1">
        <f t="array" aca="1" ref="L383" ca="1">SUMPRODUCT((OFFSET(Calc2!$F$4,,,$F$26*B380,1)=F383)*(OFFSET(Calc2!$H$4,,,$F$26*B380,1)&gt;OFFSET(Calc2!$I$4,,,$F$26*B380,1)))+SUMPRODUCT((OFFSET(Calc2!$G$4,,,$F$26*B380,1)=F383)*(OFFSET(Calc2!$H$4,,,$F$26*B380,1)&lt;OFFSET(Calc2!$I$4,,,$F$26*B380,1)))</f>
        <v>4</v>
      </c>
      <c r="M383" s="1">
        <f t="array" aca="1" ref="M383" ca="1">SUMPRODUCT((OFFSET(Calc2!$F$4,,,$F$26*B380,2)=F383)*(OFFSET(Calc2!$H$4,,,$F$26*B380,1)=OFFSET(Calc2!$I$4,,,$F$26*B380,1))*(OFFSET(Calc2!$H$4,,,$F$26*B380,1)&lt;&gt;"")*(OFFSET(Calc2!$I$4,,,$F$26*B380,1)&lt;&gt;""))</f>
        <v>4</v>
      </c>
      <c r="N383" s="1">
        <f t="array" aca="1" ref="N383" ca="1">SUMPRODUCT((OFFSET(Calc2!$F$4,,,$F$26*B380,1)=F383)*(OFFSET(Calc2!$H$4,,,$F$26*B380,1)&lt;OFFSET(Calc2!$I$4,,,$F$26*B380,1)))+SUMPRODUCT((OFFSET(Calc2!$G$4,,,$F$26*B380,1)=F383)*(OFFSET(Calc2!$H$4,,,$F$26*B380,1)&gt;OFFSET(Calc2!$I$4,,,$F$26*B380,1)))</f>
        <v>7</v>
      </c>
      <c r="O383" s="132">
        <f ca="1">SUMPRODUCT((F383=OFFSET(Calc2!$F$4,,,$F$26*B380,1))*OFFSET(Calc2!$O$4,,,$F$26*B380,1))+SUMPRODUCT((F383=OFFSET(Calc2!$G$4,,,$F$26*B380,1))*OFFSET(Calc2!$P$4,,,$F$26*B380,1))</f>
        <v>0</v>
      </c>
      <c r="P383" s="2"/>
      <c r="Q383" s="2"/>
      <c r="R383" s="13">
        <f t="shared" ca="1" si="71"/>
        <v>16499998022</v>
      </c>
      <c r="S383" s="134">
        <f>Tie_Break!$D$8</f>
        <v>0</v>
      </c>
      <c r="T383" s="9">
        <f ca="1">RANK(R383,R382:R401)+(9-S383)/10000+(F383="")*1000</f>
        <v>11.0009</v>
      </c>
      <c r="U383" s="134"/>
      <c r="V383" s="134">
        <f ca="1">IF($K$24=0,"",IF(VLOOKUP(B383,C382:E401,3,0)=MAX(V$4:V382),VLOOKUP(B383,C382:E401,3,0),B383))</f>
        <v>2</v>
      </c>
      <c r="W383" s="4" t="str">
        <f ca="1">IF($K$24=0,Calc2!$C$5,VLOOKUP(B383,C382:N401,4,0))</f>
        <v>Borussia Dortmund</v>
      </c>
      <c r="X383" s="1">
        <f ca="1">INDEX(V355:V374,MATCH(W383,W355:W374,0))</f>
        <v>3</v>
      </c>
      <c r="Y383" s="1">
        <f t="shared" ref="Y383:Y401" ca="1" si="74">IF(X383&gt;V383,1,IF(X383&lt;V383,-1,0))</f>
        <v>1</v>
      </c>
    </row>
    <row r="384" spans="2:25" x14ac:dyDescent="0.2">
      <c r="B384" s="1">
        <v>3</v>
      </c>
      <c r="C384" s="9">
        <f ca="1">RANK(D384,D382:D401,1)</f>
        <v>8</v>
      </c>
      <c r="D384" s="134">
        <f t="shared" ca="1" si="72"/>
        <v>8.3840000000000003</v>
      </c>
      <c r="E384" s="134">
        <f ca="1">RANK(T384,T382:T401,1)</f>
        <v>8</v>
      </c>
      <c r="F384" s="187" t="str">
        <f>Calc2!$C$6</f>
        <v>1. FC Union Berlin</v>
      </c>
      <c r="G384" s="1">
        <f ca="1">SUMIFS(OFFSET(Calc2!$H$4,,,$F$26*B380,1),OFFSET(Calc2!$F$4,,,$F$26*B380,1),F384)+SUMIFS(OFFSET(Calc2!$I$4,,,$F$26*B380,1),OFFSET(Calc2!$G$4,,,$F$26*B380,1),F384)</f>
        <v>20</v>
      </c>
      <c r="H384" s="1">
        <f ca="1">SUMIFS(OFFSET(Calc2!$I$4,,,$F$26*B380,1),OFFSET(Calc2!$F$4,,,$F$26*B380,1),F384)+SUMIFS(OFFSET(Calc2!$H$4,,,$F$26*B380,1),OFFSET(Calc2!$G$4,,,$F$26*B380,1),F384)</f>
        <v>23</v>
      </c>
      <c r="I384" s="134">
        <f t="shared" ca="1" si="70"/>
        <v>-3</v>
      </c>
      <c r="J384" s="12">
        <f ca="1">L384*Settings!$C$3+M384+O384</f>
        <v>21</v>
      </c>
      <c r="K384" s="1">
        <f t="shared" ca="1" si="73"/>
        <v>15</v>
      </c>
      <c r="L384" s="1">
        <f t="array" aca="1" ref="L384" ca="1">SUMPRODUCT((OFFSET(Calc2!$F$4,,,$F$26*B380,1)=F384)*(OFFSET(Calc2!$H$4,,,$F$26*B380,1)&gt;OFFSET(Calc2!$I$4,,,$F$26*B380,1)))+SUMPRODUCT((OFFSET(Calc2!$G$4,,,$F$26*B380,1)=F384)*(OFFSET(Calc2!$H$4,,,$F$26*B380,1)&lt;OFFSET(Calc2!$I$4,,,$F$26*B380,1)))</f>
        <v>6</v>
      </c>
      <c r="M384" s="1">
        <f t="array" aca="1" ref="M384" ca="1">SUMPRODUCT((OFFSET(Calc2!$F$4,,,$F$26*B380,2)=F384)*(OFFSET(Calc2!$H$4,,,$F$26*B380,1)=OFFSET(Calc2!$I$4,,,$F$26*B380,1))*(OFFSET(Calc2!$H$4,,,$F$26*B380,1)&lt;&gt;"")*(OFFSET(Calc2!$I$4,,,$F$26*B380,1)&lt;&gt;""))</f>
        <v>3</v>
      </c>
      <c r="N384" s="1">
        <f t="array" aca="1" ref="N384" ca="1">SUMPRODUCT((OFFSET(Calc2!$F$4,,,$F$26*B380,1)=F384)*(OFFSET(Calc2!$H$4,,,$F$26*B380,1)&lt;OFFSET(Calc2!$I$4,,,$F$26*B380,1)))+SUMPRODUCT((OFFSET(Calc2!$G$4,,,$F$26*B380,1)=F384)*(OFFSET(Calc2!$H$4,,,$F$26*B380,1)&gt;OFFSET(Calc2!$I$4,,,$F$26*B380,1)))</f>
        <v>6</v>
      </c>
      <c r="O384" s="132">
        <f ca="1">SUMPRODUCT((F384=OFFSET(Calc2!$F$4,,,$F$26*B380,1))*OFFSET(Calc2!$O$4,,,$F$26*B380,1))+SUMPRODUCT((F384=OFFSET(Calc2!$G$4,,,$F$26*B380,1))*OFFSET(Calc2!$P$4,,,$F$26*B380,1))</f>
        <v>0</v>
      </c>
      <c r="P384" s="2"/>
      <c r="Q384" s="2"/>
      <c r="R384" s="13">
        <f t="shared" ca="1" si="71"/>
        <v>21499997020</v>
      </c>
      <c r="S384" s="134">
        <f>Tie_Break!$D$9</f>
        <v>0</v>
      </c>
      <c r="T384" s="9">
        <f ca="1">RANK(R384,R382:R401)+(9-S384)/10000+(F384="")*1000</f>
        <v>8.0008999999999997</v>
      </c>
      <c r="U384" s="134"/>
      <c r="V384" s="134">
        <f ca="1">IF($K$24=0,"",IF(VLOOKUP(B384,C382:E401,3,0)=MAX(V$4:V383),VLOOKUP(B384,C382:E401,3,0),B384))</f>
        <v>3</v>
      </c>
      <c r="W384" s="4" t="str">
        <f ca="1">IF($K$24=0,Calc2!$C$6,VLOOKUP(B384,C382:N401,4,0))</f>
        <v>Bayer 04 Leverkusen</v>
      </c>
      <c r="X384" s="1">
        <f ca="1">INDEX(V355:V374,MATCH(W384,W355:W374,0))</f>
        <v>4</v>
      </c>
      <c r="Y384" s="1">
        <f t="shared" ca="1" si="74"/>
        <v>1</v>
      </c>
    </row>
    <row r="385" spans="2:25" x14ac:dyDescent="0.2">
      <c r="B385" s="1">
        <v>4</v>
      </c>
      <c r="C385" s="9">
        <f ca="1">RANK(D385,D382:D401,1)</f>
        <v>18</v>
      </c>
      <c r="D385" s="134">
        <f t="shared" ca="1" si="72"/>
        <v>18.385000000000002</v>
      </c>
      <c r="E385" s="134">
        <f ca="1">RANK(T385,T382:T401,1)</f>
        <v>18</v>
      </c>
      <c r="F385" s="187" t="str">
        <f>Calc2!$C$7</f>
        <v>1. FSV Mainz 05</v>
      </c>
      <c r="G385" s="1">
        <f ca="1">SUMIFS(OFFSET(Calc2!$H$4,,,$F$26*B380,1),OFFSET(Calc2!$F$4,,,$F$26*B380,1),F385)+SUMIFS(OFFSET(Calc2!$I$4,,,$F$26*B380,1),OFFSET(Calc2!$G$4,,,$F$26*B380,1),F385)</f>
        <v>13</v>
      </c>
      <c r="H385" s="1">
        <f ca="1">SUMIFS(OFFSET(Calc2!$I$4,,,$F$26*B380,1),OFFSET(Calc2!$F$4,,,$F$26*B380,1),F385)+SUMIFS(OFFSET(Calc2!$H$4,,,$F$26*B380,1),OFFSET(Calc2!$G$4,,,$F$26*B380,1),F385)</f>
        <v>26</v>
      </c>
      <c r="I385" s="134">
        <f t="shared" ca="1" si="70"/>
        <v>-13</v>
      </c>
      <c r="J385" s="12">
        <f ca="1">L385*Settings!$C$3+M385+O385</f>
        <v>8</v>
      </c>
      <c r="K385" s="1">
        <f t="shared" ca="1" si="73"/>
        <v>15</v>
      </c>
      <c r="L385" s="1">
        <f t="array" aca="1" ref="L385" ca="1">SUMPRODUCT((OFFSET(Calc2!$F$4,,,$F$26*B380,1)=F385)*(OFFSET(Calc2!$H$4,,,$F$26*B380,1)&gt;OFFSET(Calc2!$I$4,,,$F$26*B380,1)))+SUMPRODUCT((OFFSET(Calc2!$G$4,,,$F$26*B380,1)=F385)*(OFFSET(Calc2!$H$4,,,$F$26*B380,1)&lt;OFFSET(Calc2!$I$4,,,$F$26*B380,1)))</f>
        <v>1</v>
      </c>
      <c r="M385" s="1">
        <f t="array" aca="1" ref="M385" ca="1">SUMPRODUCT((OFFSET(Calc2!$F$4,,,$F$26*B380,2)=F385)*(OFFSET(Calc2!$H$4,,,$F$26*B380,1)=OFFSET(Calc2!$I$4,,,$F$26*B380,1))*(OFFSET(Calc2!$H$4,,,$F$26*B380,1)&lt;&gt;"")*(OFFSET(Calc2!$I$4,,,$F$26*B380,1)&lt;&gt;""))</f>
        <v>5</v>
      </c>
      <c r="N385" s="1">
        <f t="array" aca="1" ref="N385" ca="1">SUMPRODUCT((OFFSET(Calc2!$F$4,,,$F$26*B380,1)=F385)*(OFFSET(Calc2!$H$4,,,$F$26*B380,1)&lt;OFFSET(Calc2!$I$4,,,$F$26*B380,1)))+SUMPRODUCT((OFFSET(Calc2!$G$4,,,$F$26*B380,1)=F385)*(OFFSET(Calc2!$H$4,,,$F$26*B380,1)&gt;OFFSET(Calc2!$I$4,,,$F$26*B380,1)))</f>
        <v>9</v>
      </c>
      <c r="O385" s="132">
        <f ca="1">SUMPRODUCT((F385=OFFSET(Calc2!$F$4,,,$F$26*B380,1))*OFFSET(Calc2!$O$4,,,$F$26*B380,1))+SUMPRODUCT((F385=OFFSET(Calc2!$G$4,,,$F$26*B380,1))*OFFSET(Calc2!$P$4,,,$F$26*B380,1))</f>
        <v>0</v>
      </c>
      <c r="P385" s="2"/>
      <c r="Q385" s="2"/>
      <c r="R385" s="13">
        <f t="shared" ca="1" si="71"/>
        <v>8499987013</v>
      </c>
      <c r="S385" s="134">
        <f>Tie_Break!$D$10</f>
        <v>0</v>
      </c>
      <c r="T385" s="9">
        <f ca="1">RANK(R385,R382:R401)+(9-S385)/10000+(F385="")*1000</f>
        <v>18.000900000000001</v>
      </c>
      <c r="U385" s="134"/>
      <c r="V385" s="134">
        <f ca="1">IF($K$24=0,"",IF(VLOOKUP(B385,C382:E401,3,0)=MAX(V$4:V384),VLOOKUP(B385,C382:E401,3,0),B385))</f>
        <v>4</v>
      </c>
      <c r="W385" s="4" t="str">
        <f ca="1">IF($K$24=0,Calc2!$C$7,VLOOKUP(B385,C382:N401,4,0))</f>
        <v>RB Leipzig</v>
      </c>
      <c r="X385" s="1">
        <f ca="1">INDEX(V355:V374,MATCH(W385,W355:W374,0))</f>
        <v>2</v>
      </c>
      <c r="Y385" s="1">
        <f t="shared" ca="1" si="74"/>
        <v>-1</v>
      </c>
    </row>
    <row r="386" spans="2:25" x14ac:dyDescent="0.2">
      <c r="B386" s="1">
        <v>5</v>
      </c>
      <c r="C386" s="9">
        <f ca="1">RANK(D386,D382:D401,1)</f>
        <v>3</v>
      </c>
      <c r="D386" s="134">
        <f t="shared" ca="1" si="72"/>
        <v>3.3860000000000001</v>
      </c>
      <c r="E386" s="134">
        <f ca="1">RANK(T386,T382:T401,1)</f>
        <v>3</v>
      </c>
      <c r="F386" s="187" t="str">
        <f>Calc2!$C$8</f>
        <v>Bayer 04 Leverkusen</v>
      </c>
      <c r="G386" s="1">
        <f ca="1">SUMIFS(OFFSET(Calc2!$H$4,,,$F$26*B380,1),OFFSET(Calc2!$F$4,,,$F$26*B380,1),F386)+SUMIFS(OFFSET(Calc2!$I$4,,,$F$26*B380,1),OFFSET(Calc2!$G$4,,,$F$26*B380,1),F386)</f>
        <v>33</v>
      </c>
      <c r="H386" s="1">
        <f ca="1">SUMIFS(OFFSET(Calc2!$I$4,,,$F$26*B380,1),OFFSET(Calc2!$F$4,,,$F$26*B380,1),F386)+SUMIFS(OFFSET(Calc2!$H$4,,,$F$26*B380,1),OFFSET(Calc2!$G$4,,,$F$26*B380,1),F386)</f>
        <v>20</v>
      </c>
      <c r="I386" s="134">
        <f t="shared" ca="1" si="70"/>
        <v>13</v>
      </c>
      <c r="J386" s="12">
        <f ca="1">L386*Settings!$C$3+M386+O386</f>
        <v>29</v>
      </c>
      <c r="K386" s="1">
        <f t="shared" ca="1" si="73"/>
        <v>15</v>
      </c>
      <c r="L386" s="1">
        <f t="array" aca="1" ref="L386" ca="1">SUMPRODUCT((OFFSET(Calc2!$F$4,,,$F$26*B380,1)=F386)*(OFFSET(Calc2!$H$4,,,$F$26*B380,1)&gt;OFFSET(Calc2!$I$4,,,$F$26*B380,1)))+SUMPRODUCT((OFFSET(Calc2!$G$4,,,$F$26*B380,1)=F386)*(OFFSET(Calc2!$H$4,,,$F$26*B380,1)&lt;OFFSET(Calc2!$I$4,,,$F$26*B380,1)))</f>
        <v>9</v>
      </c>
      <c r="M386" s="1">
        <f t="array" aca="1" ref="M386" ca="1">SUMPRODUCT((OFFSET(Calc2!$F$4,,,$F$26*B380,2)=F386)*(OFFSET(Calc2!$H$4,,,$F$26*B380,1)=OFFSET(Calc2!$I$4,,,$F$26*B380,1))*(OFFSET(Calc2!$H$4,,,$F$26*B380,1)&lt;&gt;"")*(OFFSET(Calc2!$I$4,,,$F$26*B380,1)&lt;&gt;""))</f>
        <v>2</v>
      </c>
      <c r="N386" s="1">
        <f t="array" aca="1" ref="N386" ca="1">SUMPRODUCT((OFFSET(Calc2!$F$4,,,$F$26*B380,1)=F386)*(OFFSET(Calc2!$H$4,,,$F$26*B380,1)&lt;OFFSET(Calc2!$I$4,,,$F$26*B380,1)))+SUMPRODUCT((OFFSET(Calc2!$G$4,,,$F$26*B380,1)=F386)*(OFFSET(Calc2!$H$4,,,$F$26*B380,1)&gt;OFFSET(Calc2!$I$4,,,$F$26*B380,1)))</f>
        <v>4</v>
      </c>
      <c r="O386" s="132">
        <f ca="1">SUMPRODUCT((F386=OFFSET(Calc2!$F$4,,,$F$26*B380,1))*OFFSET(Calc2!$O$4,,,$F$26*B380,1))+SUMPRODUCT((F386=OFFSET(Calc2!$G$4,,,$F$26*B380,1))*OFFSET(Calc2!$P$4,,,$F$26*B380,1))</f>
        <v>0</v>
      </c>
      <c r="P386" s="2"/>
      <c r="Q386" s="2"/>
      <c r="R386" s="13">
        <f t="shared" ca="1" si="71"/>
        <v>29500013033</v>
      </c>
      <c r="S386" s="134">
        <f>Tie_Break!$D$11</f>
        <v>0</v>
      </c>
      <c r="T386" s="9">
        <f ca="1">RANK(R386,R382:R401)+(9-S386)/10000+(F386="")*1000</f>
        <v>3.0009000000000001</v>
      </c>
      <c r="U386" s="134"/>
      <c r="V386" s="134">
        <f ca="1">IF($K$24=0,"",IF(VLOOKUP(B386,C382:E401,3,0)=MAX(V$4:V385),VLOOKUP(B386,C382:E401,3,0),B386))</f>
        <v>5</v>
      </c>
      <c r="W386" s="4" t="str">
        <f ca="1">IF($K$24=0,Calc2!$C$8,VLOOKUP(B386,C382:N401,4,0))</f>
        <v>TSG Hoffenheim</v>
      </c>
      <c r="X386" s="1">
        <f ca="1">INDEX(V355:V374,MATCH(W386,W355:W374,0))</f>
        <v>5</v>
      </c>
      <c r="Y386" s="1">
        <f t="shared" ca="1" si="74"/>
        <v>0</v>
      </c>
    </row>
    <row r="387" spans="2:25" x14ac:dyDescent="0.2">
      <c r="B387" s="1">
        <v>6</v>
      </c>
      <c r="C387" s="9">
        <f ca="1">RANK(D387,D382:D401,1)</f>
        <v>2</v>
      </c>
      <c r="D387" s="134">
        <f t="shared" ca="1" si="72"/>
        <v>2.387</v>
      </c>
      <c r="E387" s="134">
        <f ca="1">RANK(T387,T382:T401,1)</f>
        <v>2</v>
      </c>
      <c r="F387" s="187" t="str">
        <f>Calc2!$C$9</f>
        <v>Borussia Dortmund</v>
      </c>
      <c r="G387" s="1">
        <f ca="1">SUMIFS(OFFSET(Calc2!$H$4,,,$F$26*B380,1),OFFSET(Calc2!$F$4,,,$F$26*B380,1),F387)+SUMIFS(OFFSET(Calc2!$I$4,,,$F$26*B380,1),OFFSET(Calc2!$G$4,,,$F$26*B380,1),F387)</f>
        <v>26</v>
      </c>
      <c r="H387" s="1">
        <f ca="1">SUMIFS(OFFSET(Calc2!$I$4,,,$F$26*B380,1),OFFSET(Calc2!$F$4,,,$F$26*B380,1),F387)+SUMIFS(OFFSET(Calc2!$H$4,,,$F$26*B380,1),OFFSET(Calc2!$G$4,,,$F$26*B380,1),F387)</f>
        <v>12</v>
      </c>
      <c r="I387" s="134">
        <f t="shared" ca="1" si="70"/>
        <v>14</v>
      </c>
      <c r="J387" s="12">
        <f ca="1">L387*Settings!$C$3+M387+O387</f>
        <v>32</v>
      </c>
      <c r="K387" s="1">
        <f t="shared" ca="1" si="73"/>
        <v>15</v>
      </c>
      <c r="L387" s="1">
        <f t="array" aca="1" ref="L387" ca="1">SUMPRODUCT((OFFSET(Calc2!$F$4,,,$F$26*B380,1)=F387)*(OFFSET(Calc2!$H$4,,,$F$26*B380,1)&gt;OFFSET(Calc2!$I$4,,,$F$26*B380,1)))+SUMPRODUCT((OFFSET(Calc2!$G$4,,,$F$26*B380,1)=F387)*(OFFSET(Calc2!$H$4,,,$F$26*B380,1)&lt;OFFSET(Calc2!$I$4,,,$F$26*B380,1)))</f>
        <v>9</v>
      </c>
      <c r="M387" s="1">
        <f t="array" aca="1" ref="M387" ca="1">SUMPRODUCT((OFFSET(Calc2!$F$4,,,$F$26*B380,2)=F387)*(OFFSET(Calc2!$H$4,,,$F$26*B380,1)=OFFSET(Calc2!$I$4,,,$F$26*B380,1))*(OFFSET(Calc2!$H$4,,,$F$26*B380,1)&lt;&gt;"")*(OFFSET(Calc2!$I$4,,,$F$26*B380,1)&lt;&gt;""))</f>
        <v>5</v>
      </c>
      <c r="N387" s="1">
        <f t="array" aca="1" ref="N387" ca="1">SUMPRODUCT((OFFSET(Calc2!$F$4,,,$F$26*B380,1)=F387)*(OFFSET(Calc2!$H$4,,,$F$26*B380,1)&lt;OFFSET(Calc2!$I$4,,,$F$26*B380,1)))+SUMPRODUCT((OFFSET(Calc2!$G$4,,,$F$26*B380,1)=F387)*(OFFSET(Calc2!$H$4,,,$F$26*B380,1)&gt;OFFSET(Calc2!$I$4,,,$F$26*B380,1)))</f>
        <v>1</v>
      </c>
      <c r="O387" s="132">
        <f ca="1">SUMPRODUCT((F387=OFFSET(Calc2!$F$4,,,$F$26*B380,1))*OFFSET(Calc2!$O$4,,,$F$26*B380,1))+SUMPRODUCT((F387=OFFSET(Calc2!$G$4,,,$F$26*B380,1))*OFFSET(Calc2!$P$4,,,$F$26*B380,1))</f>
        <v>0</v>
      </c>
      <c r="P387" s="2"/>
      <c r="Q387" s="2"/>
      <c r="R387" s="13">
        <f t="shared" ca="1" si="71"/>
        <v>32500014026</v>
      </c>
      <c r="S387" s="134">
        <f>Tie_Break!$D$12</f>
        <v>0</v>
      </c>
      <c r="T387" s="9">
        <f ca="1">RANK(R387,R382:R401)+(9-S387)/10000+(F387="")*1000</f>
        <v>2.0009000000000001</v>
      </c>
      <c r="U387" s="134"/>
      <c r="V387" s="134">
        <f ca="1">IF($K$24=0,"",IF(VLOOKUP(B387,C382:E401,3,0)=MAX(V$4:V386),VLOOKUP(B387,C382:E401,3,0),B387))</f>
        <v>6</v>
      </c>
      <c r="W387" s="4" t="str">
        <f ca="1">IF($K$24=0,Calc2!$C$9,VLOOKUP(B387,C382:N401,4,0))</f>
        <v>VfB Stuttgart</v>
      </c>
      <c r="X387" s="1">
        <f ca="1">INDEX(V355:V374,MATCH(W387,W355:W374,0))</f>
        <v>6</v>
      </c>
      <c r="Y387" s="1">
        <f t="shared" ca="1" si="74"/>
        <v>0</v>
      </c>
    </row>
    <row r="388" spans="2:25" x14ac:dyDescent="0.2">
      <c r="B388" s="1">
        <v>7</v>
      </c>
      <c r="C388" s="9">
        <f ca="1">RANK(D388,D382:D401,1)</f>
        <v>12</v>
      </c>
      <c r="D388" s="134">
        <f t="shared" ca="1" si="72"/>
        <v>12.388</v>
      </c>
      <c r="E388" s="134">
        <f ca="1">RANK(T388,T382:T401,1)</f>
        <v>12</v>
      </c>
      <c r="F388" s="187" t="str">
        <f>Calc2!$C$10</f>
        <v>Borussia Mönchengladbach</v>
      </c>
      <c r="G388" s="1">
        <f ca="1">SUMIFS(OFFSET(Calc2!$H$4,,,$F$26*B380,1),OFFSET(Calc2!$F$4,,,$F$26*B380,1),F388)+SUMIFS(OFFSET(Calc2!$I$4,,,$F$26*B380,1),OFFSET(Calc2!$G$4,,,$F$26*B380,1),F388)</f>
        <v>18</v>
      </c>
      <c r="H388" s="1">
        <f ca="1">SUMIFS(OFFSET(Calc2!$I$4,,,$F$26*B380,1),OFFSET(Calc2!$F$4,,,$F$26*B380,1),F388)+SUMIFS(OFFSET(Calc2!$H$4,,,$F$26*B380,1),OFFSET(Calc2!$G$4,,,$F$26*B380,1),F388)</f>
        <v>24</v>
      </c>
      <c r="I388" s="134">
        <f t="shared" ca="1" si="70"/>
        <v>-6</v>
      </c>
      <c r="J388" s="12">
        <f ca="1">L388*Settings!$C$3+M388+O388</f>
        <v>16</v>
      </c>
      <c r="K388" s="1">
        <f t="shared" ca="1" si="73"/>
        <v>15</v>
      </c>
      <c r="L388" s="1">
        <f t="array" aca="1" ref="L388" ca="1">SUMPRODUCT((OFFSET(Calc2!$F$4,,,$F$26*B380,1)=F388)*(OFFSET(Calc2!$H$4,,,$F$26*B380,1)&gt;OFFSET(Calc2!$I$4,,,$F$26*B380,1)))+SUMPRODUCT((OFFSET(Calc2!$G$4,,,$F$26*B380,1)=F388)*(OFFSET(Calc2!$H$4,,,$F$26*B380,1)&lt;OFFSET(Calc2!$I$4,,,$F$26*B380,1)))</f>
        <v>4</v>
      </c>
      <c r="M388" s="1">
        <f t="array" aca="1" ref="M388" ca="1">SUMPRODUCT((OFFSET(Calc2!$F$4,,,$F$26*B380,2)=F388)*(OFFSET(Calc2!$H$4,,,$F$26*B380,1)=OFFSET(Calc2!$I$4,,,$F$26*B380,1))*(OFFSET(Calc2!$H$4,,,$F$26*B380,1)&lt;&gt;"")*(OFFSET(Calc2!$I$4,,,$F$26*B380,1)&lt;&gt;""))</f>
        <v>4</v>
      </c>
      <c r="N388" s="1">
        <f t="array" aca="1" ref="N388" ca="1">SUMPRODUCT((OFFSET(Calc2!$F$4,,,$F$26*B380,1)=F388)*(OFFSET(Calc2!$H$4,,,$F$26*B380,1)&lt;OFFSET(Calc2!$I$4,,,$F$26*B380,1)))+SUMPRODUCT((OFFSET(Calc2!$G$4,,,$F$26*B380,1)=F388)*(OFFSET(Calc2!$H$4,,,$F$26*B380,1)&gt;OFFSET(Calc2!$I$4,,,$F$26*B380,1)))</f>
        <v>7</v>
      </c>
      <c r="O388" s="132">
        <f ca="1">SUMPRODUCT((F388=OFFSET(Calc2!$F$4,,,$F$26*B380,1))*OFFSET(Calc2!$O$4,,,$F$26*B380,1))+SUMPRODUCT((F388=OFFSET(Calc2!$G$4,,,$F$26*B380,1))*OFFSET(Calc2!$P$4,,,$F$26*B380,1))</f>
        <v>0</v>
      </c>
      <c r="P388" s="2"/>
      <c r="Q388" s="2"/>
      <c r="R388" s="13">
        <f t="shared" ca="1" si="71"/>
        <v>16499994018</v>
      </c>
      <c r="S388" s="134">
        <f>Tie_Break!$D$13</f>
        <v>0</v>
      </c>
      <c r="T388" s="9">
        <f ca="1">RANK(R388,R382:R401)+(9-S388)/10000+(F388="")*1000</f>
        <v>12.0009</v>
      </c>
      <c r="U388" s="134"/>
      <c r="V388" s="134">
        <f ca="1">IF($K$24=0,"",IF(VLOOKUP(B388,C382:E401,3,0)=MAX(V$4:V387),VLOOKUP(B388,C382:E401,3,0),B388))</f>
        <v>7</v>
      </c>
      <c r="W388" s="4" t="str">
        <f ca="1">IF($K$24=0,Calc2!$C$10,VLOOKUP(B388,C382:N401,4,0))</f>
        <v>Eintracht Frankfurt</v>
      </c>
      <c r="X388" s="1">
        <f ca="1">INDEX(V355:V374,MATCH(W388,W355:W374,0))</f>
        <v>7</v>
      </c>
      <c r="Y388" s="1">
        <f t="shared" ca="1" si="74"/>
        <v>0</v>
      </c>
    </row>
    <row r="389" spans="2:25" x14ac:dyDescent="0.2">
      <c r="B389" s="1">
        <v>8</v>
      </c>
      <c r="C389" s="9">
        <f ca="1">RANK(D389,D382:D401,1)</f>
        <v>7</v>
      </c>
      <c r="D389" s="134">
        <f t="shared" ca="1" si="72"/>
        <v>7.3890000000000002</v>
      </c>
      <c r="E389" s="134">
        <f ca="1">RANK(T389,T382:T401,1)</f>
        <v>7</v>
      </c>
      <c r="F389" s="187" t="str">
        <f>Calc2!$C$11</f>
        <v>Eintracht Frankfurt</v>
      </c>
      <c r="G389" s="1">
        <f ca="1">SUMIFS(OFFSET(Calc2!$H$4,,,$F$26*B380,1),OFFSET(Calc2!$F$4,,,$F$26*B380,1),F389)+SUMIFS(OFFSET(Calc2!$I$4,,,$F$26*B380,1),OFFSET(Calc2!$G$4,,,$F$26*B380,1),F389)</f>
        <v>30</v>
      </c>
      <c r="H389" s="1">
        <f ca="1">SUMIFS(OFFSET(Calc2!$I$4,,,$F$26*B380,1),OFFSET(Calc2!$F$4,,,$F$26*B380,1),F389)+SUMIFS(OFFSET(Calc2!$H$4,,,$F$26*B380,1),OFFSET(Calc2!$G$4,,,$F$26*B380,1),F389)</f>
        <v>30</v>
      </c>
      <c r="I389" s="134">
        <f t="shared" ca="1" si="70"/>
        <v>0</v>
      </c>
      <c r="J389" s="12">
        <f ca="1">L389*Settings!$C$3+M389+O389</f>
        <v>25</v>
      </c>
      <c r="K389" s="1">
        <f t="shared" ca="1" si="73"/>
        <v>15</v>
      </c>
      <c r="L389" s="1">
        <f t="array" aca="1" ref="L389" ca="1">SUMPRODUCT((OFFSET(Calc2!$F$4,,,$F$26*B380,1)=F389)*(OFFSET(Calc2!$H$4,,,$F$26*B380,1)&gt;OFFSET(Calc2!$I$4,,,$F$26*B380,1)))+SUMPRODUCT((OFFSET(Calc2!$G$4,,,$F$26*B380,1)=F389)*(OFFSET(Calc2!$H$4,,,$F$26*B380,1)&lt;OFFSET(Calc2!$I$4,,,$F$26*B380,1)))</f>
        <v>7</v>
      </c>
      <c r="M389" s="1">
        <f t="array" aca="1" ref="M389" ca="1">SUMPRODUCT((OFFSET(Calc2!$F$4,,,$F$26*B380,2)=F389)*(OFFSET(Calc2!$H$4,,,$F$26*B380,1)=OFFSET(Calc2!$I$4,,,$F$26*B380,1))*(OFFSET(Calc2!$H$4,,,$F$26*B380,1)&lt;&gt;"")*(OFFSET(Calc2!$I$4,,,$F$26*B380,1)&lt;&gt;""))</f>
        <v>4</v>
      </c>
      <c r="N389" s="1">
        <f t="array" aca="1" ref="N389" ca="1">SUMPRODUCT((OFFSET(Calc2!$F$4,,,$F$26*B380,1)=F389)*(OFFSET(Calc2!$H$4,,,$F$26*B380,1)&lt;OFFSET(Calc2!$I$4,,,$F$26*B380,1)))+SUMPRODUCT((OFFSET(Calc2!$G$4,,,$F$26*B380,1)=F389)*(OFFSET(Calc2!$H$4,,,$F$26*B380,1)&gt;OFFSET(Calc2!$I$4,,,$F$26*B380,1)))</f>
        <v>4</v>
      </c>
      <c r="O389" s="132">
        <f ca="1">SUMPRODUCT((F389=OFFSET(Calc2!$F$4,,,$F$26*B380,1))*OFFSET(Calc2!$O$4,,,$F$26*B380,1))+SUMPRODUCT((F389=OFFSET(Calc2!$G$4,,,$F$26*B380,1))*OFFSET(Calc2!$P$4,,,$F$26*B380,1))</f>
        <v>0</v>
      </c>
      <c r="P389" s="2"/>
      <c r="Q389" s="2"/>
      <c r="R389" s="13">
        <f t="shared" ca="1" si="71"/>
        <v>25500000030</v>
      </c>
      <c r="S389" s="134">
        <f>Tie_Break!$D$14</f>
        <v>0</v>
      </c>
      <c r="T389" s="9">
        <f ca="1">RANK(R389,R382:R401)+(9-S389)/10000+(F389="")*1000</f>
        <v>7.0008999999999997</v>
      </c>
      <c r="U389" s="134"/>
      <c r="V389" s="134">
        <f ca="1">IF($K$24=0,"",IF(VLOOKUP(B389,C382:E401,3,0)=MAX(V$4:V388),VLOOKUP(B389,C382:E401,3,0),B389))</f>
        <v>8</v>
      </c>
      <c r="W389" s="4" t="str">
        <f ca="1">IF($K$24=0,Calc2!$C$11,VLOOKUP(B389,C382:N401,4,0))</f>
        <v>1. FC Union Berlin</v>
      </c>
      <c r="X389" s="1">
        <f ca="1">INDEX(V355:V374,MATCH(W389,W355:W374,0))</f>
        <v>8</v>
      </c>
      <c r="Y389" s="1">
        <f t="shared" ca="1" si="74"/>
        <v>0</v>
      </c>
    </row>
    <row r="390" spans="2:25" x14ac:dyDescent="0.2">
      <c r="B390" s="1">
        <v>9</v>
      </c>
      <c r="C390" s="9">
        <f ca="1">RANK(D390,D382:D401,1)</f>
        <v>15</v>
      </c>
      <c r="D390" s="134">
        <f t="shared" ca="1" si="72"/>
        <v>15.39</v>
      </c>
      <c r="E390" s="134">
        <f ca="1">RANK(T390,T382:T401,1)</f>
        <v>15</v>
      </c>
      <c r="F390" s="187" t="str">
        <f>Calc2!$C$12</f>
        <v>FC Augsburg</v>
      </c>
      <c r="G390" s="1">
        <f ca="1">SUMIFS(OFFSET(Calc2!$H$4,,,$F$26*B380,1),OFFSET(Calc2!$F$4,,,$F$26*B380,1),F390)+SUMIFS(OFFSET(Calc2!$I$4,,,$F$26*B380,1),OFFSET(Calc2!$G$4,,,$F$26*B380,1),F390)</f>
        <v>17</v>
      </c>
      <c r="H390" s="1">
        <f ca="1">SUMIFS(OFFSET(Calc2!$I$4,,,$F$26*B380,1),OFFSET(Calc2!$F$4,,,$F$26*B380,1),F390)+SUMIFS(OFFSET(Calc2!$H$4,,,$F$26*B380,1),OFFSET(Calc2!$G$4,,,$F$26*B380,1),F390)</f>
        <v>28</v>
      </c>
      <c r="I390" s="134">
        <f t="shared" ca="1" si="70"/>
        <v>-11</v>
      </c>
      <c r="J390" s="12">
        <f ca="1">L390*Settings!$C$3+M390+O390</f>
        <v>14</v>
      </c>
      <c r="K390" s="1">
        <f t="shared" ca="1" si="73"/>
        <v>15</v>
      </c>
      <c r="L390" s="1">
        <f t="array" aca="1" ref="L390" ca="1">SUMPRODUCT((OFFSET(Calc2!$F$4,,,$F$26*B380,1)=F390)*(OFFSET(Calc2!$H$4,,,$F$26*B380,1)&gt;OFFSET(Calc2!$I$4,,,$F$26*B380,1)))+SUMPRODUCT((OFFSET(Calc2!$G$4,,,$F$26*B380,1)=F390)*(OFFSET(Calc2!$H$4,,,$F$26*B380,1)&lt;OFFSET(Calc2!$I$4,,,$F$26*B380,1)))</f>
        <v>4</v>
      </c>
      <c r="M390" s="1">
        <f t="array" aca="1" ref="M390" ca="1">SUMPRODUCT((OFFSET(Calc2!$F$4,,,$F$26*B380,2)=F390)*(OFFSET(Calc2!$H$4,,,$F$26*B380,1)=OFFSET(Calc2!$I$4,,,$F$26*B380,1))*(OFFSET(Calc2!$H$4,,,$F$26*B380,1)&lt;&gt;"")*(OFFSET(Calc2!$I$4,,,$F$26*B380,1)&lt;&gt;""))</f>
        <v>2</v>
      </c>
      <c r="N390" s="1">
        <f t="array" aca="1" ref="N390" ca="1">SUMPRODUCT((OFFSET(Calc2!$F$4,,,$F$26*B380,1)=F390)*(OFFSET(Calc2!$H$4,,,$F$26*B380,1)&lt;OFFSET(Calc2!$I$4,,,$F$26*B380,1)))+SUMPRODUCT((OFFSET(Calc2!$G$4,,,$F$26*B380,1)=F390)*(OFFSET(Calc2!$H$4,,,$F$26*B380,1)&gt;OFFSET(Calc2!$I$4,,,$F$26*B380,1)))</f>
        <v>9</v>
      </c>
      <c r="O390" s="132">
        <f ca="1">SUMPRODUCT((F390=OFFSET(Calc2!$F$4,,,$F$26*B380,1))*OFFSET(Calc2!$O$4,,,$F$26*B380,1))+SUMPRODUCT((F390=OFFSET(Calc2!$G$4,,,$F$26*B380,1))*OFFSET(Calc2!$P$4,,,$F$26*B380,1))</f>
        <v>0</v>
      </c>
      <c r="P390" s="2"/>
      <c r="Q390" s="2"/>
      <c r="R390" s="13">
        <f t="shared" ca="1" si="71"/>
        <v>14499989017</v>
      </c>
      <c r="S390" s="134">
        <f>Tie_Break!$D$15</f>
        <v>0</v>
      </c>
      <c r="T390" s="9">
        <f ca="1">RANK(R390,R382:R401)+(9-S390)/10000+(F390="")*1000</f>
        <v>15.0009</v>
      </c>
      <c r="U390" s="134"/>
      <c r="V390" s="134">
        <f ca="1">IF($K$24=0,"",IF(VLOOKUP(B390,C382:E401,3,0)=MAX(V$4:V389),VLOOKUP(B390,C382:E401,3,0),B390))</f>
        <v>9</v>
      </c>
      <c r="W390" s="4" t="str">
        <f ca="1">IF($K$24=0,Calc2!$C$12,VLOOKUP(B390,C382:N401,4,0))</f>
        <v>SC Freiburg</v>
      </c>
      <c r="X390" s="1">
        <f ca="1">INDEX(V355:V374,MATCH(W390,W355:W374,0))</f>
        <v>9</v>
      </c>
      <c r="Y390" s="1">
        <f t="shared" ca="1" si="74"/>
        <v>0</v>
      </c>
    </row>
    <row r="391" spans="2:25" x14ac:dyDescent="0.2">
      <c r="B391" s="1">
        <v>10</v>
      </c>
      <c r="C391" s="9">
        <f ca="1">RANK(D391,D382:D401,1)</f>
        <v>1</v>
      </c>
      <c r="D391" s="134">
        <f t="shared" ca="1" si="72"/>
        <v>1.391</v>
      </c>
      <c r="E391" s="134">
        <f ca="1">RANK(T391,T382:T401,1)</f>
        <v>1</v>
      </c>
      <c r="F391" s="187" t="str">
        <f>Calc2!$C$13</f>
        <v>FC Bayern München</v>
      </c>
      <c r="G391" s="1">
        <f ca="1">SUMIFS(OFFSET(Calc2!$H$4,,,$F$26*B380,1),OFFSET(Calc2!$F$4,,,$F$26*B380,1),F391)+SUMIFS(OFFSET(Calc2!$I$4,,,$F$26*B380,1),OFFSET(Calc2!$G$4,,,$F$26*B380,1),F391)</f>
        <v>55</v>
      </c>
      <c r="H391" s="1">
        <f ca="1">SUMIFS(OFFSET(Calc2!$I$4,,,$F$26*B380,1),OFFSET(Calc2!$F$4,,,$F$26*B380,1),F391)+SUMIFS(OFFSET(Calc2!$H$4,,,$F$26*B380,1),OFFSET(Calc2!$G$4,,,$F$26*B380,1),F391)</f>
        <v>11</v>
      </c>
      <c r="I391" s="134">
        <f t="shared" ca="1" si="70"/>
        <v>44</v>
      </c>
      <c r="J391" s="12">
        <f ca="1">L391*Settings!$C$3+M391+O391</f>
        <v>41</v>
      </c>
      <c r="K391" s="1">
        <f t="shared" ca="1" si="73"/>
        <v>15</v>
      </c>
      <c r="L391" s="1">
        <f t="array" aca="1" ref="L391" ca="1">SUMPRODUCT((OFFSET(Calc2!$F$4,,,$F$26*B380,1)=F391)*(OFFSET(Calc2!$H$4,,,$F$26*B380,1)&gt;OFFSET(Calc2!$I$4,,,$F$26*B380,1)))+SUMPRODUCT((OFFSET(Calc2!$G$4,,,$F$26*B380,1)=F391)*(OFFSET(Calc2!$H$4,,,$F$26*B380,1)&lt;OFFSET(Calc2!$I$4,,,$F$26*B380,1)))</f>
        <v>13</v>
      </c>
      <c r="M391" s="1">
        <f t="array" aca="1" ref="M391" ca="1">SUMPRODUCT((OFFSET(Calc2!$F$4,,,$F$26*B380,2)=F391)*(OFFSET(Calc2!$H$4,,,$F$26*B380,1)=OFFSET(Calc2!$I$4,,,$F$26*B380,1))*(OFFSET(Calc2!$H$4,,,$F$26*B380,1)&lt;&gt;"")*(OFFSET(Calc2!$I$4,,,$F$26*B380,1)&lt;&gt;""))</f>
        <v>2</v>
      </c>
      <c r="N391" s="1">
        <f t="array" aca="1" ref="N391" ca="1">SUMPRODUCT((OFFSET(Calc2!$F$4,,,$F$26*B380,1)=F391)*(OFFSET(Calc2!$H$4,,,$F$26*B380,1)&lt;OFFSET(Calc2!$I$4,,,$F$26*B380,1)))+SUMPRODUCT((OFFSET(Calc2!$G$4,,,$F$26*B380,1)=F391)*(OFFSET(Calc2!$H$4,,,$F$26*B380,1)&gt;OFFSET(Calc2!$I$4,,,$F$26*B380,1)))</f>
        <v>0</v>
      </c>
      <c r="O391" s="132">
        <f ca="1">SUMPRODUCT((F391=OFFSET(Calc2!$F$4,,,$F$26*B380,1))*OFFSET(Calc2!$O$4,,,$F$26*B380,1))+SUMPRODUCT((F391=OFFSET(Calc2!$G$4,,,$F$26*B380,1))*OFFSET(Calc2!$P$4,,,$F$26*B380,1))</f>
        <v>0</v>
      </c>
      <c r="P391" s="2"/>
      <c r="Q391" s="2"/>
      <c r="R391" s="13">
        <f t="shared" ca="1" si="71"/>
        <v>41500044055</v>
      </c>
      <c r="S391" s="134">
        <f>Tie_Break!$D$16</f>
        <v>0</v>
      </c>
      <c r="T391" s="9">
        <f ca="1">RANK(R391,R382:R401)+(9-S391)/10000+(F391="")*1000</f>
        <v>1.0008999999999999</v>
      </c>
      <c r="U391" s="2"/>
      <c r="V391" s="134">
        <f ca="1">IF($K$24=0,"",IF(VLOOKUP(B391,C382:E401,3,0)=MAX(V$4:V390),VLOOKUP(B391,C382:E401,3,0),B391))</f>
        <v>10</v>
      </c>
      <c r="W391" s="4" t="str">
        <f ca="1">IF($K$24=0,Calc2!$C$13,VLOOKUP(B391,C382:N401,4,0))</f>
        <v>SV Werder Bremen</v>
      </c>
      <c r="X391" s="1">
        <f ca="1">INDEX(V355:V374,MATCH(W391,W355:W374,0))</f>
        <v>12</v>
      </c>
      <c r="Y391" s="1">
        <f t="shared" ca="1" si="74"/>
        <v>1</v>
      </c>
    </row>
    <row r="392" spans="2:25" x14ac:dyDescent="0.2">
      <c r="B392" s="1">
        <v>11</v>
      </c>
      <c r="C392" s="9">
        <f ca="1">RANK(D392,D382:D401,1)</f>
        <v>16</v>
      </c>
      <c r="D392" s="134">
        <f t="shared" ca="1" si="72"/>
        <v>16.391999999999999</v>
      </c>
      <c r="E392" s="134">
        <f ca="1">RANK(T392,T382:T401,1)</f>
        <v>16</v>
      </c>
      <c r="F392" s="187" t="str">
        <f>Calc2!$C$14</f>
        <v>FC St. Pauli</v>
      </c>
      <c r="G392" s="1">
        <f ca="1">SUMIFS(OFFSET(Calc2!$H$4,,,$F$26*B380,1),OFFSET(Calc2!$F$4,,,$F$26*B380,1),F392)+SUMIFS(OFFSET(Calc2!$I$4,,,$F$26*B380,1),OFFSET(Calc2!$G$4,,,$F$26*B380,1),F392)</f>
        <v>13</v>
      </c>
      <c r="H392" s="1">
        <f ca="1">SUMIFS(OFFSET(Calc2!$I$4,,,$F$26*B380,1),OFFSET(Calc2!$F$4,,,$F$26*B380,1),F392)+SUMIFS(OFFSET(Calc2!$H$4,,,$F$26*B380,1),OFFSET(Calc2!$G$4,,,$F$26*B380,1),F392)</f>
        <v>26</v>
      </c>
      <c r="I392" s="134">
        <f t="shared" ca="1" si="70"/>
        <v>-13</v>
      </c>
      <c r="J392" s="12">
        <f ca="1">L392*Settings!$C$3+M392+O392</f>
        <v>12</v>
      </c>
      <c r="K392" s="1">
        <f t="shared" ca="1" si="73"/>
        <v>15</v>
      </c>
      <c r="L392" s="1">
        <f t="array" aca="1" ref="L392" ca="1">SUMPRODUCT((OFFSET(Calc2!$F$4,,,$F$26*B380,1)=F392)*(OFFSET(Calc2!$H$4,,,$F$26*B380,1)&gt;OFFSET(Calc2!$I$4,,,$F$26*B380,1)))+SUMPRODUCT((OFFSET(Calc2!$G$4,,,$F$26*B380,1)=F392)*(OFFSET(Calc2!$H$4,,,$F$26*B380,1)&lt;OFFSET(Calc2!$I$4,,,$F$26*B380,1)))</f>
        <v>3</v>
      </c>
      <c r="M392" s="1">
        <f t="array" aca="1" ref="M392" ca="1">SUMPRODUCT((OFFSET(Calc2!$F$4,,,$F$26*B380,2)=F392)*(OFFSET(Calc2!$H$4,,,$F$26*B380,1)=OFFSET(Calc2!$I$4,,,$F$26*B380,1))*(OFFSET(Calc2!$H$4,,,$F$26*B380,1)&lt;&gt;"")*(OFFSET(Calc2!$I$4,,,$F$26*B380,1)&lt;&gt;""))</f>
        <v>3</v>
      </c>
      <c r="N392" s="1">
        <f t="array" aca="1" ref="N392" ca="1">SUMPRODUCT((OFFSET(Calc2!$F$4,,,$F$26*B380,1)=F392)*(OFFSET(Calc2!$H$4,,,$F$26*B380,1)&lt;OFFSET(Calc2!$I$4,,,$F$26*B380,1)))+SUMPRODUCT((OFFSET(Calc2!$G$4,,,$F$26*B380,1)=F392)*(OFFSET(Calc2!$H$4,,,$F$26*B380,1)&gt;OFFSET(Calc2!$I$4,,,$F$26*B380,1)))</f>
        <v>9</v>
      </c>
      <c r="O392" s="132">
        <f ca="1">SUMPRODUCT((F392=OFFSET(Calc2!$F$4,,,$F$26*B380,1))*OFFSET(Calc2!$O$4,,,$F$26*B380,1))+SUMPRODUCT((F392=OFFSET(Calc2!$G$4,,,$F$26*B380,1))*OFFSET(Calc2!$P$4,,,$F$26*B380,1))</f>
        <v>0</v>
      </c>
      <c r="P392" s="2"/>
      <c r="Q392" s="2"/>
      <c r="R392" s="13">
        <f t="shared" ca="1" si="71"/>
        <v>12499987013</v>
      </c>
      <c r="S392" s="134">
        <f>Tie_Break!$D$17</f>
        <v>0</v>
      </c>
      <c r="T392" s="9">
        <f ca="1">RANK(R392,R382:R401)+(9-S392)/10000+(F392="")*1000</f>
        <v>16.000900000000001</v>
      </c>
      <c r="U392" s="2"/>
      <c r="V392" s="134">
        <f ca="1">IF($K$24=0,"",IF(VLOOKUP(B392,C382:E401,3,0)=MAX(V$4:V391),VLOOKUP(B392,C382:E401,3,0),B392))</f>
        <v>11</v>
      </c>
      <c r="W392" s="4" t="str">
        <f ca="1">IF($K$24=0,Calc2!$C$14,VLOOKUP(B392,C382:N401,4,0))</f>
        <v>1. FC Köln</v>
      </c>
      <c r="X392" s="1">
        <f ca="1">INDEX(V355:V374,MATCH(W392,W355:W374,0))</f>
        <v>10</v>
      </c>
      <c r="Y392" s="1">
        <f t="shared" ca="1" si="74"/>
        <v>-1</v>
      </c>
    </row>
    <row r="393" spans="2:25" x14ac:dyDescent="0.2">
      <c r="B393" s="1">
        <v>12</v>
      </c>
      <c r="C393" s="9">
        <f ca="1">RANK(D393,D382:D401,1)</f>
        <v>13</v>
      </c>
      <c r="D393" s="134">
        <f t="shared" ca="1" si="72"/>
        <v>13.393000000000001</v>
      </c>
      <c r="E393" s="134">
        <f ca="1">RANK(T393,T382:T401,1)</f>
        <v>13</v>
      </c>
      <c r="F393" s="187" t="str">
        <f>Calc2!$C$15</f>
        <v>Hamburger SV</v>
      </c>
      <c r="G393" s="1">
        <f ca="1">SUMIFS(OFFSET(Calc2!$H$4,,,$F$26*B380,1),OFFSET(Calc2!$F$4,,,$F$26*B380,1),F393)+SUMIFS(OFFSET(Calc2!$I$4,,,$F$26*B380,1),OFFSET(Calc2!$G$4,,,$F$26*B380,1),F393)</f>
        <v>16</v>
      </c>
      <c r="H393" s="1">
        <f ca="1">SUMIFS(OFFSET(Calc2!$I$4,,,$F$26*B380,1),OFFSET(Calc2!$F$4,,,$F$26*B380,1),F393)+SUMIFS(OFFSET(Calc2!$H$4,,,$F$26*B380,1),OFFSET(Calc2!$G$4,,,$F$26*B380,1),F393)</f>
        <v>25</v>
      </c>
      <c r="I393" s="134">
        <f t="shared" ca="1" si="70"/>
        <v>-9</v>
      </c>
      <c r="J393" s="12">
        <f ca="1">L393*Settings!$C$3+M393+O393</f>
        <v>16</v>
      </c>
      <c r="K393" s="1">
        <f t="shared" ca="1" si="73"/>
        <v>15</v>
      </c>
      <c r="L393" s="1">
        <f t="array" aca="1" ref="L393" ca="1">SUMPRODUCT((OFFSET(Calc2!$F$4,,,$F$26*B380,1)=F393)*(OFFSET(Calc2!$H$4,,,$F$26*B380,1)&gt;OFFSET(Calc2!$I$4,,,$F$26*B380,1)))+SUMPRODUCT((OFFSET(Calc2!$G$4,,,$F$26*B380,1)=F393)*(OFFSET(Calc2!$H$4,,,$F$26*B380,1)&lt;OFFSET(Calc2!$I$4,,,$F$26*B380,1)))</f>
        <v>4</v>
      </c>
      <c r="M393" s="1">
        <f t="array" aca="1" ref="M393" ca="1">SUMPRODUCT((OFFSET(Calc2!$F$4,,,$F$26*B380,2)=F393)*(OFFSET(Calc2!$H$4,,,$F$26*B380,1)=OFFSET(Calc2!$I$4,,,$F$26*B380,1))*(OFFSET(Calc2!$H$4,,,$F$26*B380,1)&lt;&gt;"")*(OFFSET(Calc2!$I$4,,,$F$26*B380,1)&lt;&gt;""))</f>
        <v>4</v>
      </c>
      <c r="N393" s="1">
        <f t="array" aca="1" ref="N393" ca="1">SUMPRODUCT((OFFSET(Calc2!$F$4,,,$F$26*B380,1)=F393)*(OFFSET(Calc2!$H$4,,,$F$26*B380,1)&lt;OFFSET(Calc2!$I$4,,,$F$26*B380,1)))+SUMPRODUCT((OFFSET(Calc2!$G$4,,,$F$26*B380,1)=F393)*(OFFSET(Calc2!$H$4,,,$F$26*B380,1)&gt;OFFSET(Calc2!$I$4,,,$F$26*B380,1)))</f>
        <v>7</v>
      </c>
      <c r="O393" s="132">
        <f ca="1">SUMPRODUCT((F393=OFFSET(Calc2!$F$4,,,$F$26*B380,1))*OFFSET(Calc2!$O$4,,,$F$26*B380,1))+SUMPRODUCT((F393=OFFSET(Calc2!$G$4,,,$F$26*B380,1))*OFFSET(Calc2!$P$4,,,$F$26*B380,1))</f>
        <v>0</v>
      </c>
      <c r="P393" s="2"/>
      <c r="Q393" s="2"/>
      <c r="R393" s="13">
        <f t="shared" ca="1" si="71"/>
        <v>16499991016</v>
      </c>
      <c r="S393" s="134">
        <f>Tie_Break!$D$18</f>
        <v>0</v>
      </c>
      <c r="T393" s="9">
        <f ca="1">RANK(R393,R382:R401)+(9-S393)/10000+(F393="")*1000</f>
        <v>13.0009</v>
      </c>
      <c r="U393" s="2"/>
      <c r="V393" s="134">
        <f ca="1">IF($K$24=0,"",IF(VLOOKUP(B393,C382:E401,3,0)=MAX(V$4:V392),VLOOKUP(B393,C382:E401,3,0),B393))</f>
        <v>12</v>
      </c>
      <c r="W393" s="4" t="str">
        <f ca="1">IF($K$24=0,Calc2!$C$15,VLOOKUP(B393,C382:N401,4,0))</f>
        <v>Borussia Mönchengladbach</v>
      </c>
      <c r="X393" s="1">
        <f ca="1">INDEX(V355:V374,MATCH(W393,W355:W374,0))</f>
        <v>11</v>
      </c>
      <c r="Y393" s="1">
        <f t="shared" ca="1" si="74"/>
        <v>-1</v>
      </c>
    </row>
    <row r="394" spans="2:25" x14ac:dyDescent="0.2">
      <c r="B394" s="1">
        <v>13</v>
      </c>
      <c r="C394" s="9">
        <f ca="1">RANK(D394,D382:D401,1)</f>
        <v>4</v>
      </c>
      <c r="D394" s="134">
        <f t="shared" ca="1" si="72"/>
        <v>4.3940000000000001</v>
      </c>
      <c r="E394" s="134">
        <f ca="1">RANK(T394,T382:T401,1)</f>
        <v>4</v>
      </c>
      <c r="F394" s="187" t="str">
        <f>Calc2!$C$16</f>
        <v>RB Leipzig</v>
      </c>
      <c r="G394" s="1">
        <f ca="1">SUMIFS(OFFSET(Calc2!$H$4,,,$F$26*B380,1),OFFSET(Calc2!$F$4,,,$F$26*B380,1),F394)+SUMIFS(OFFSET(Calc2!$I$4,,,$F$26*B380,1),OFFSET(Calc2!$G$4,,,$F$26*B380,1),F394)</f>
        <v>30</v>
      </c>
      <c r="H394" s="1">
        <f ca="1">SUMIFS(OFFSET(Calc2!$I$4,,,$F$26*B380,1),OFFSET(Calc2!$F$4,,,$F$26*B380,1),F394)+SUMIFS(OFFSET(Calc2!$H$4,,,$F$26*B380,1),OFFSET(Calc2!$G$4,,,$F$26*B380,1),F394)</f>
        <v>19</v>
      </c>
      <c r="I394" s="134">
        <f t="shared" ca="1" si="70"/>
        <v>11</v>
      </c>
      <c r="J394" s="12">
        <f ca="1">L394*Settings!$C$3+M394+O394</f>
        <v>29</v>
      </c>
      <c r="K394" s="1">
        <f t="shared" ca="1" si="73"/>
        <v>15</v>
      </c>
      <c r="L394" s="1">
        <f t="array" aca="1" ref="L394" ca="1">SUMPRODUCT((OFFSET(Calc2!$F$4,,,$F$26*B380,1)=F394)*(OFFSET(Calc2!$H$4,,,$F$26*B380,1)&gt;OFFSET(Calc2!$I$4,,,$F$26*B380,1)))+SUMPRODUCT((OFFSET(Calc2!$G$4,,,$F$26*B380,1)=F394)*(OFFSET(Calc2!$H$4,,,$F$26*B380,1)&lt;OFFSET(Calc2!$I$4,,,$F$26*B380,1)))</f>
        <v>9</v>
      </c>
      <c r="M394" s="1">
        <f t="array" aca="1" ref="M394" ca="1">SUMPRODUCT((OFFSET(Calc2!$F$4,,,$F$26*B380,2)=F394)*(OFFSET(Calc2!$H$4,,,$F$26*B380,1)=OFFSET(Calc2!$I$4,,,$F$26*B380,1))*(OFFSET(Calc2!$H$4,,,$F$26*B380,1)&lt;&gt;"")*(OFFSET(Calc2!$I$4,,,$F$26*B380,1)&lt;&gt;""))</f>
        <v>2</v>
      </c>
      <c r="N394" s="1">
        <f t="array" aca="1" ref="N394" ca="1">SUMPRODUCT((OFFSET(Calc2!$F$4,,,$F$26*B380,1)=F394)*(OFFSET(Calc2!$H$4,,,$F$26*B380,1)&lt;OFFSET(Calc2!$I$4,,,$F$26*B380,1)))+SUMPRODUCT((OFFSET(Calc2!$G$4,,,$F$26*B380,1)=F394)*(OFFSET(Calc2!$H$4,,,$F$26*B380,1)&gt;OFFSET(Calc2!$I$4,,,$F$26*B380,1)))</f>
        <v>4</v>
      </c>
      <c r="O394" s="132">
        <f ca="1">SUMPRODUCT((F394=OFFSET(Calc2!$F$4,,,$F$26*B380,1))*OFFSET(Calc2!$O$4,,,$F$26*B380,1))+SUMPRODUCT((F394=OFFSET(Calc2!$G$4,,,$F$26*B380,1))*OFFSET(Calc2!$P$4,,,$F$26*B380,1))</f>
        <v>0</v>
      </c>
      <c r="P394" s="2"/>
      <c r="Q394" s="2"/>
      <c r="R394" s="13">
        <f t="shared" ca="1" si="71"/>
        <v>29500011030</v>
      </c>
      <c r="S394" s="134">
        <f>Tie_Break!$D$19</f>
        <v>0</v>
      </c>
      <c r="T394" s="9">
        <f ca="1">RANK(R394,R382:R401)+(9-S394)/10000+(F394="")*1000</f>
        <v>4.0008999999999997</v>
      </c>
      <c r="U394" s="1"/>
      <c r="V394" s="134">
        <f ca="1">IF($K$24=0,"",IF(VLOOKUP(B394,C382:E401,3,0)=MAX(V$4:V393),VLOOKUP(B394,C382:E401,3,0),B394))</f>
        <v>13</v>
      </c>
      <c r="W394" s="4" t="str">
        <f ca="1">IF($K$24=0,Calc2!$C$16,VLOOKUP(B394,C382:N401,4,0))</f>
        <v>Hamburger SV</v>
      </c>
      <c r="X394" s="1">
        <f ca="1">INDEX(V355:V374,MATCH(W394,W355:W374,0))</f>
        <v>14</v>
      </c>
      <c r="Y394" s="1">
        <f t="shared" ca="1" si="74"/>
        <v>1</v>
      </c>
    </row>
    <row r="395" spans="2:25" x14ac:dyDescent="0.2">
      <c r="B395" s="1">
        <v>14</v>
      </c>
      <c r="C395" s="9">
        <f ca="1">RANK(D395,D382:D401,1)</f>
        <v>9</v>
      </c>
      <c r="D395" s="134">
        <f t="shared" ca="1" si="72"/>
        <v>9.3949999999999996</v>
      </c>
      <c r="E395" s="134">
        <f ca="1">RANK(T395,T382:T401,1)</f>
        <v>9</v>
      </c>
      <c r="F395" s="187" t="str">
        <f>Calc2!$C$17</f>
        <v>SC Freiburg</v>
      </c>
      <c r="G395" s="1">
        <f ca="1">SUMIFS(OFFSET(Calc2!$H$4,,,$F$26*B380,1),OFFSET(Calc2!$F$4,,,$F$26*B380,1),F395)+SUMIFS(OFFSET(Calc2!$I$4,,,$F$26*B380,1),OFFSET(Calc2!$G$4,,,$F$26*B380,1),F395)</f>
        <v>25</v>
      </c>
      <c r="H395" s="1">
        <f ca="1">SUMIFS(OFFSET(Calc2!$I$4,,,$F$26*B380,1),OFFSET(Calc2!$F$4,,,$F$26*B380,1),F395)+SUMIFS(OFFSET(Calc2!$H$4,,,$F$26*B380,1),OFFSET(Calc2!$G$4,,,$F$26*B380,1),F395)</f>
        <v>26</v>
      </c>
      <c r="I395" s="134">
        <f t="shared" ca="1" si="70"/>
        <v>-1</v>
      </c>
      <c r="J395" s="12">
        <f ca="1">L395*Settings!$C$3+M395+O395</f>
        <v>20</v>
      </c>
      <c r="K395" s="1">
        <f t="shared" ca="1" si="73"/>
        <v>15</v>
      </c>
      <c r="L395" s="1">
        <f t="array" aca="1" ref="L395" ca="1">SUMPRODUCT((OFFSET(Calc2!$F$4,,,$F$26*B380,1)=F395)*(OFFSET(Calc2!$H$4,,,$F$26*B380,1)&gt;OFFSET(Calc2!$I$4,,,$F$26*B380,1)))+SUMPRODUCT((OFFSET(Calc2!$G$4,,,$F$26*B380,1)=F395)*(OFFSET(Calc2!$H$4,,,$F$26*B380,1)&lt;OFFSET(Calc2!$I$4,,,$F$26*B380,1)))</f>
        <v>5</v>
      </c>
      <c r="M395" s="1">
        <f t="array" aca="1" ref="M395" ca="1">SUMPRODUCT((OFFSET(Calc2!$F$4,,,$F$26*B380,2)=F395)*(OFFSET(Calc2!$H$4,,,$F$26*B380,1)=OFFSET(Calc2!$I$4,,,$F$26*B380,1))*(OFFSET(Calc2!$H$4,,,$F$26*B380,1)&lt;&gt;"")*(OFFSET(Calc2!$I$4,,,$F$26*B380,1)&lt;&gt;""))</f>
        <v>5</v>
      </c>
      <c r="N395" s="1">
        <f t="array" aca="1" ref="N395" ca="1">SUMPRODUCT((OFFSET(Calc2!$F$4,,,$F$26*B380,1)=F395)*(OFFSET(Calc2!$H$4,,,$F$26*B380,1)&lt;OFFSET(Calc2!$I$4,,,$F$26*B380,1)))+SUMPRODUCT((OFFSET(Calc2!$G$4,,,$F$26*B380,1)=F395)*(OFFSET(Calc2!$H$4,,,$F$26*B380,1)&gt;OFFSET(Calc2!$I$4,,,$F$26*B380,1)))</f>
        <v>5</v>
      </c>
      <c r="O395" s="132">
        <f ca="1">SUMPRODUCT((F395=OFFSET(Calc2!$F$4,,,$F$26*B380,1))*OFFSET(Calc2!$O$4,,,$F$26*B380,1))+SUMPRODUCT((F395=OFFSET(Calc2!$G$4,,,$F$26*B380,1))*OFFSET(Calc2!$P$4,,,$F$26*B380,1))</f>
        <v>0</v>
      </c>
      <c r="P395" s="2"/>
      <c r="Q395" s="2"/>
      <c r="R395" s="13">
        <f t="shared" ca="1" si="71"/>
        <v>20499999025</v>
      </c>
      <c r="S395" s="134">
        <f>Tie_Break!$D$20</f>
        <v>0</v>
      </c>
      <c r="T395" s="9">
        <f ca="1">RANK(R395,R382:R401)+(9-S395)/10000+(F395="")*1000</f>
        <v>9.0008999999999997</v>
      </c>
      <c r="U395" s="2"/>
      <c r="V395" s="134">
        <f ca="1">IF($K$24=0,"",IF(VLOOKUP(B395,C382:E401,3,0)=MAX(V$4:V394),VLOOKUP(B395,C382:E401,3,0),B395))</f>
        <v>14</v>
      </c>
      <c r="W395" s="4" t="str">
        <f ca="1">IF($K$24=0,Calc2!$C$17,VLOOKUP(B395,C382:N401,4,0))</f>
        <v>VfL Wolfsburg</v>
      </c>
      <c r="X395" s="1">
        <f ca="1">INDEX(V355:V374,MATCH(W395,W355:W374,0))</f>
        <v>13</v>
      </c>
      <c r="Y395" s="1">
        <f t="shared" ca="1" si="74"/>
        <v>-1</v>
      </c>
    </row>
    <row r="396" spans="2:25" x14ac:dyDescent="0.2">
      <c r="B396" s="1">
        <v>15</v>
      </c>
      <c r="C396" s="9">
        <f ca="1">RANK(D396,D382:D401,1)</f>
        <v>10</v>
      </c>
      <c r="D396" s="134">
        <f t="shared" ca="1" si="72"/>
        <v>10.396000000000001</v>
      </c>
      <c r="E396" s="134">
        <f ca="1">RANK(T396,T382:T401,1)</f>
        <v>10</v>
      </c>
      <c r="F396" s="187" t="str">
        <f>Calc2!$C$18</f>
        <v>SV Werder Bremen</v>
      </c>
      <c r="G396" s="1">
        <f ca="1">SUMIFS(OFFSET(Calc2!$H$4,,,$F$26*B380,1),OFFSET(Calc2!$F$4,,,$F$26*B380,1),F396)+SUMIFS(OFFSET(Calc2!$I$4,,,$F$26*B380,1),OFFSET(Calc2!$G$4,,,$F$26*B380,1),F396)</f>
        <v>18</v>
      </c>
      <c r="H396" s="1">
        <f ca="1">SUMIFS(OFFSET(Calc2!$I$4,,,$F$26*B380,1),OFFSET(Calc2!$F$4,,,$F$26*B380,1),F396)+SUMIFS(OFFSET(Calc2!$H$4,,,$F$26*B380,1),OFFSET(Calc2!$G$4,,,$F$26*B380,1),F396)</f>
        <v>28</v>
      </c>
      <c r="I396" s="134">
        <f t="shared" ca="1" si="70"/>
        <v>-10</v>
      </c>
      <c r="J396" s="12">
        <f ca="1">L396*Settings!$C$3+M396+O396</f>
        <v>17</v>
      </c>
      <c r="K396" s="1">
        <f t="shared" ca="1" si="73"/>
        <v>15</v>
      </c>
      <c r="L396" s="1">
        <f t="array" aca="1" ref="L396" ca="1">SUMPRODUCT((OFFSET(Calc2!$F$4,,,$F$26*B380,1)=F396)*(OFFSET(Calc2!$H$4,,,$F$26*B380,1)&gt;OFFSET(Calc2!$I$4,,,$F$26*B380,1)))+SUMPRODUCT((OFFSET(Calc2!$G$4,,,$F$26*B380,1)=F396)*(OFFSET(Calc2!$H$4,,,$F$26*B380,1)&lt;OFFSET(Calc2!$I$4,,,$F$26*B380,1)))</f>
        <v>4</v>
      </c>
      <c r="M396" s="1">
        <f t="array" aca="1" ref="M396" ca="1">SUMPRODUCT((OFFSET(Calc2!$F$4,,,$F$26*B380,2)=F396)*(OFFSET(Calc2!$H$4,,,$F$26*B380,1)=OFFSET(Calc2!$I$4,,,$F$26*B380,1))*(OFFSET(Calc2!$H$4,,,$F$26*B380,1)&lt;&gt;"")*(OFFSET(Calc2!$I$4,,,$F$26*B380,1)&lt;&gt;""))</f>
        <v>5</v>
      </c>
      <c r="N396" s="1">
        <f t="array" aca="1" ref="N396" ca="1">SUMPRODUCT((OFFSET(Calc2!$F$4,,,$F$26*B380,1)=F396)*(OFFSET(Calc2!$H$4,,,$F$26*B380,1)&lt;OFFSET(Calc2!$I$4,,,$F$26*B380,1)))+SUMPRODUCT((OFFSET(Calc2!$G$4,,,$F$26*B380,1)=F396)*(OFFSET(Calc2!$H$4,,,$F$26*B380,1)&gt;OFFSET(Calc2!$I$4,,,$F$26*B380,1)))</f>
        <v>6</v>
      </c>
      <c r="O396" s="132">
        <f ca="1">SUMPRODUCT((F396=OFFSET(Calc2!$F$4,,,$F$26*B380,1))*OFFSET(Calc2!$O$4,,,$F$26*B380,1))+SUMPRODUCT((F396=OFFSET(Calc2!$G$4,,,$F$26*B380,1))*OFFSET(Calc2!$P$4,,,$F$26*B380,1))</f>
        <v>0</v>
      </c>
      <c r="P396" s="2"/>
      <c r="Q396" s="2"/>
      <c r="R396" s="13">
        <f t="shared" ca="1" si="71"/>
        <v>17499990018</v>
      </c>
      <c r="S396" s="134">
        <f>Tie_Break!$D$21</f>
        <v>0</v>
      </c>
      <c r="T396" s="9">
        <f ca="1">RANK(R396,R382:R401)+(9-S396)/10000+(F396="")*1000</f>
        <v>10.0009</v>
      </c>
      <c r="U396" s="2"/>
      <c r="V396" s="134">
        <f ca="1">IF($K$24=0,"",IF(VLOOKUP(B396,C382:E401,3,0)=MAX(V$4:V395),VLOOKUP(B396,C382:E401,3,0),B396))</f>
        <v>15</v>
      </c>
      <c r="W396" s="4" t="str">
        <f ca="1">IF($K$24=0,Calc2!$C$18,VLOOKUP(B396,C382:N401,4,0))</f>
        <v>FC Augsburg</v>
      </c>
      <c r="X396" s="1">
        <f ca="1">INDEX(V355:V374,MATCH(W396,W355:W374,0))</f>
        <v>15</v>
      </c>
      <c r="Y396" s="1">
        <f t="shared" ca="1" si="74"/>
        <v>0</v>
      </c>
    </row>
    <row r="397" spans="2:25" x14ac:dyDescent="0.2">
      <c r="B397" s="1">
        <v>16</v>
      </c>
      <c r="C397" s="9">
        <f ca="1">RANK(D397,D382:D401,1)</f>
        <v>5</v>
      </c>
      <c r="D397" s="134">
        <f t="shared" ca="1" si="72"/>
        <v>5.3970000000000002</v>
      </c>
      <c r="E397" s="134">
        <f ca="1">RANK(T397,T382:T401,1)</f>
        <v>5</v>
      </c>
      <c r="F397" s="187" t="str">
        <f>Calc2!$C$19</f>
        <v>TSG Hoffenheim</v>
      </c>
      <c r="G397" s="1">
        <f ca="1">SUMIFS(OFFSET(Calc2!$H$4,,,$F$26*B380,1),OFFSET(Calc2!$F$4,,,$F$26*B380,1),F397)+SUMIFS(OFFSET(Calc2!$I$4,,,$F$26*B380,1),OFFSET(Calc2!$G$4,,,$F$26*B380,1),F397)</f>
        <v>29</v>
      </c>
      <c r="H397" s="1">
        <f ca="1">SUMIFS(OFFSET(Calc2!$I$4,,,$F$26*B380,1),OFFSET(Calc2!$F$4,,,$F$26*B380,1),F397)+SUMIFS(OFFSET(Calc2!$H$4,,,$F$26*B380,1),OFFSET(Calc2!$G$4,,,$F$26*B380,1),F397)</f>
        <v>20</v>
      </c>
      <c r="I397" s="134">
        <f t="shared" ca="1" si="70"/>
        <v>9</v>
      </c>
      <c r="J397" s="12">
        <f ca="1">L397*Settings!$C$3+M397+O397</f>
        <v>27</v>
      </c>
      <c r="K397" s="1">
        <f t="shared" ca="1" si="73"/>
        <v>15</v>
      </c>
      <c r="L397" s="1">
        <f t="array" aca="1" ref="L397" ca="1">SUMPRODUCT((OFFSET(Calc2!$F$4,,,$F$26*B380,1)=F397)*(OFFSET(Calc2!$H$4,,,$F$26*B380,1)&gt;OFFSET(Calc2!$I$4,,,$F$26*B380,1)))+SUMPRODUCT((OFFSET(Calc2!$G$4,,,$F$26*B380,1)=F397)*(OFFSET(Calc2!$H$4,,,$F$26*B380,1)&lt;OFFSET(Calc2!$I$4,,,$F$26*B380,1)))</f>
        <v>8</v>
      </c>
      <c r="M397" s="1">
        <f t="array" aca="1" ref="M397" ca="1">SUMPRODUCT((OFFSET(Calc2!$F$4,,,$F$26*B380,2)=F397)*(OFFSET(Calc2!$H$4,,,$F$26*B380,1)=OFFSET(Calc2!$I$4,,,$F$26*B380,1))*(OFFSET(Calc2!$H$4,,,$F$26*B380,1)&lt;&gt;"")*(OFFSET(Calc2!$I$4,,,$F$26*B380,1)&lt;&gt;""))</f>
        <v>3</v>
      </c>
      <c r="N397" s="1">
        <f t="array" aca="1" ref="N397" ca="1">SUMPRODUCT((OFFSET(Calc2!$F$4,,,$F$26*B380,1)=F397)*(OFFSET(Calc2!$H$4,,,$F$26*B380,1)&lt;OFFSET(Calc2!$I$4,,,$F$26*B380,1)))+SUMPRODUCT((OFFSET(Calc2!$G$4,,,$F$26*B380,1)=F397)*(OFFSET(Calc2!$H$4,,,$F$26*B380,1)&gt;OFFSET(Calc2!$I$4,,,$F$26*B380,1)))</f>
        <v>4</v>
      </c>
      <c r="O397" s="132">
        <f ca="1">SUMPRODUCT((F397=OFFSET(Calc2!$F$4,,,$F$26*B380,1))*OFFSET(Calc2!$O$4,,,$F$26*B380,1))+SUMPRODUCT((F397=OFFSET(Calc2!$G$4,,,$F$26*B380,1))*OFFSET(Calc2!$P$4,,,$F$26*B380,1))</f>
        <v>0</v>
      </c>
      <c r="P397" s="2"/>
      <c r="Q397" s="2"/>
      <c r="R397" s="13">
        <f t="shared" ca="1" si="71"/>
        <v>27500009029</v>
      </c>
      <c r="S397" s="134">
        <f>Tie_Break!$D$22</f>
        <v>0</v>
      </c>
      <c r="T397" s="9">
        <f ca="1">RANK(R397,R382:R401)+(9-S397)/10000+(F397="")*1000</f>
        <v>5.0008999999999997</v>
      </c>
      <c r="U397" s="2"/>
      <c r="V397" s="134">
        <f ca="1">IF($K$24=0,"",IF(VLOOKUP(B397,C382:E401,3,0)=MAX(V$4:V396),VLOOKUP(B397,C382:E401,3,0),B397))</f>
        <v>16</v>
      </c>
      <c r="W397" s="4" t="str">
        <f ca="1">IF($K$24=0,Calc2!$C$19,VLOOKUP(B397,C382:N401,4,0))</f>
        <v>FC St. Pauli</v>
      </c>
      <c r="X397" s="1">
        <f ca="1">INDEX(V355:V374,MATCH(W397,W355:W374,0))</f>
        <v>16</v>
      </c>
      <c r="Y397" s="1">
        <f t="shared" ca="1" si="74"/>
        <v>0</v>
      </c>
    </row>
    <row r="398" spans="2:25" x14ac:dyDescent="0.2">
      <c r="B398" s="1">
        <v>17</v>
      </c>
      <c r="C398" s="9">
        <f ca="1">RANK(D398,D382:D401,1)</f>
        <v>6</v>
      </c>
      <c r="D398" s="134">
        <f t="shared" ca="1" si="72"/>
        <v>6.3979999999999997</v>
      </c>
      <c r="E398" s="134">
        <f ca="1">RANK(T398,T382:T401,1)</f>
        <v>6</v>
      </c>
      <c r="F398" s="187" t="str">
        <f>Calc2!$C$20</f>
        <v>VfB Stuttgart</v>
      </c>
      <c r="G398" s="1">
        <f ca="1">SUMIFS(OFFSET(Calc2!$H$4,,,$F$26*B380,1),OFFSET(Calc2!$F$4,,,$F$26*B380,1),F398)+SUMIFS(OFFSET(Calc2!$I$4,,,$F$26*B380,1),OFFSET(Calc2!$G$4,,,$F$26*B380,1),F398)</f>
        <v>25</v>
      </c>
      <c r="H398" s="1">
        <f ca="1">SUMIFS(OFFSET(Calc2!$I$4,,,$F$26*B380,1),OFFSET(Calc2!$F$4,,,$F$26*B380,1),F398)+SUMIFS(OFFSET(Calc2!$H$4,,,$F$26*B380,1),OFFSET(Calc2!$G$4,,,$F$26*B380,1),F398)</f>
        <v>22</v>
      </c>
      <c r="I398" s="134">
        <f t="shared" ca="1" si="70"/>
        <v>3</v>
      </c>
      <c r="J398" s="12">
        <f ca="1">L398*Settings!$C$3+M398+O398</f>
        <v>26</v>
      </c>
      <c r="K398" s="1">
        <f t="shared" ca="1" si="73"/>
        <v>15</v>
      </c>
      <c r="L398" s="1">
        <f t="array" aca="1" ref="L398" ca="1">SUMPRODUCT((OFFSET(Calc2!$F$4,,,$F$26*B380,1)=F398)*(OFFSET(Calc2!$H$4,,,$F$26*B380,1)&gt;OFFSET(Calc2!$I$4,,,$F$26*B380,1)))+SUMPRODUCT((OFFSET(Calc2!$G$4,,,$F$26*B380,1)=F398)*(OFFSET(Calc2!$H$4,,,$F$26*B380,1)&lt;OFFSET(Calc2!$I$4,,,$F$26*B380,1)))</f>
        <v>8</v>
      </c>
      <c r="M398" s="1">
        <f t="array" aca="1" ref="M398" ca="1">SUMPRODUCT((OFFSET(Calc2!$F$4,,,$F$26*B380,2)=F398)*(OFFSET(Calc2!$H$4,,,$F$26*B380,1)=OFFSET(Calc2!$I$4,,,$F$26*B380,1))*(OFFSET(Calc2!$H$4,,,$F$26*B380,1)&lt;&gt;"")*(OFFSET(Calc2!$I$4,,,$F$26*B380,1)&lt;&gt;""))</f>
        <v>2</v>
      </c>
      <c r="N398" s="1">
        <f t="array" aca="1" ref="N398" ca="1">SUMPRODUCT((OFFSET(Calc2!$F$4,,,$F$26*B380,1)=F398)*(OFFSET(Calc2!$H$4,,,$F$26*B380,1)&lt;OFFSET(Calc2!$I$4,,,$F$26*B380,1)))+SUMPRODUCT((OFFSET(Calc2!$G$4,,,$F$26*B380,1)=F398)*(OFFSET(Calc2!$H$4,,,$F$26*B380,1)&gt;OFFSET(Calc2!$I$4,,,$F$26*B380,1)))</f>
        <v>5</v>
      </c>
      <c r="O398" s="132">
        <f ca="1">SUMPRODUCT((F398=OFFSET(Calc2!$F$4,,,$F$26*B380,1))*OFFSET(Calc2!$O$4,,,$F$26*B380,1))+SUMPRODUCT((F398=OFFSET(Calc2!$G$4,,,$F$26*B380,1))*OFFSET(Calc2!$P$4,,,$F$26*B380,1))</f>
        <v>0</v>
      </c>
      <c r="P398" s="2"/>
      <c r="Q398" s="2"/>
      <c r="R398" s="13">
        <f t="shared" ca="1" si="71"/>
        <v>26500003025</v>
      </c>
      <c r="S398" s="134">
        <f>Tie_Break!$D$23</f>
        <v>0</v>
      </c>
      <c r="T398" s="9">
        <f ca="1">RANK(R398,R382:R401)+(9-S398)/10000+(F398="")*1000</f>
        <v>6.0008999999999997</v>
      </c>
      <c r="U398" s="2"/>
      <c r="V398" s="134">
        <f ca="1">IF($K$24=0,"",IF(VLOOKUP(B398,C382:E401,3,0)=MAX(V$4:V397),VLOOKUP(B398,C382:E401,3,0),B398))</f>
        <v>17</v>
      </c>
      <c r="W398" s="4" t="str">
        <f ca="1">IF($K$24=0,Calc2!$C$20,VLOOKUP(B398,C382:N401,4,0))</f>
        <v>1. FC Heidenheim 1846</v>
      </c>
      <c r="X398" s="1">
        <f ca="1">INDEX(V355:V374,MATCH(W398,W355:W374,0))</f>
        <v>17</v>
      </c>
      <c r="Y398" s="1">
        <f t="shared" ca="1" si="74"/>
        <v>0</v>
      </c>
    </row>
    <row r="399" spans="2:25" x14ac:dyDescent="0.2">
      <c r="B399" s="1">
        <v>18</v>
      </c>
      <c r="C399" s="9">
        <f ca="1">RANK(D399,D382:D401,1)</f>
        <v>14</v>
      </c>
      <c r="D399" s="134">
        <f t="shared" ca="1" si="72"/>
        <v>14.399000000000001</v>
      </c>
      <c r="E399" s="134">
        <f ca="1">RANK(T399,T382:T401,1)</f>
        <v>14</v>
      </c>
      <c r="F399" s="187" t="str">
        <f>Calc2!$C$21</f>
        <v>VfL Wolfsburg</v>
      </c>
      <c r="G399" s="1">
        <f ca="1">SUMIFS(OFFSET(Calc2!$H$4,,,$F$26*B380,1),OFFSET(Calc2!$F$4,,,$F$26*B380,1),F399)+SUMIFS(OFFSET(Calc2!$I$4,,,$F$26*B380,1),OFFSET(Calc2!$G$4,,,$F$26*B380,1),F399)</f>
        <v>23</v>
      </c>
      <c r="H399" s="1">
        <f ca="1">SUMIFS(OFFSET(Calc2!$I$4,,,$F$26*B380,1),OFFSET(Calc2!$F$4,,,$F$26*B380,1),F399)+SUMIFS(OFFSET(Calc2!$H$4,,,$F$26*B380,1),OFFSET(Calc2!$G$4,,,$F$26*B380,1),F399)</f>
        <v>28</v>
      </c>
      <c r="I399" s="134">
        <f t="shared" ca="1" si="70"/>
        <v>-5</v>
      </c>
      <c r="J399" s="12">
        <f ca="1">L399*Settings!$C$3+M399+O399</f>
        <v>15</v>
      </c>
      <c r="K399" s="1">
        <f t="shared" ca="1" si="73"/>
        <v>15</v>
      </c>
      <c r="L399" s="1">
        <f t="array" aca="1" ref="L399" ca="1">SUMPRODUCT((OFFSET(Calc2!$F$4,,,$F$26*B380,1)=F399)*(OFFSET(Calc2!$H$4,,,$F$26*B380,1)&gt;OFFSET(Calc2!$I$4,,,$F$26*B380,1)))+SUMPRODUCT((OFFSET(Calc2!$G$4,,,$F$26*B380,1)=F399)*(OFFSET(Calc2!$H$4,,,$F$26*B380,1)&lt;OFFSET(Calc2!$I$4,,,$F$26*B380,1)))</f>
        <v>4</v>
      </c>
      <c r="M399" s="1">
        <f t="array" aca="1" ref="M399" ca="1">SUMPRODUCT((OFFSET(Calc2!$F$4,,,$F$26*B380,2)=F399)*(OFFSET(Calc2!$H$4,,,$F$26*B380,1)=OFFSET(Calc2!$I$4,,,$F$26*B380,1))*(OFFSET(Calc2!$H$4,,,$F$26*B380,1)&lt;&gt;"")*(OFFSET(Calc2!$I$4,,,$F$26*B380,1)&lt;&gt;""))</f>
        <v>3</v>
      </c>
      <c r="N399" s="1">
        <f t="array" aca="1" ref="N399" ca="1">SUMPRODUCT((OFFSET(Calc2!$F$4,,,$F$26*B380,1)=F399)*(OFFSET(Calc2!$H$4,,,$F$26*B380,1)&lt;OFFSET(Calc2!$I$4,,,$F$26*B380,1)))+SUMPRODUCT((OFFSET(Calc2!$G$4,,,$F$26*B380,1)=F399)*(OFFSET(Calc2!$H$4,,,$F$26*B380,1)&gt;OFFSET(Calc2!$I$4,,,$F$26*B380,1)))</f>
        <v>8</v>
      </c>
      <c r="O399" s="132">
        <f ca="1">SUMPRODUCT((F399=OFFSET(Calc2!$F$4,,,$F$26*B380,1))*OFFSET(Calc2!$O$4,,,$F$26*B380,1))+SUMPRODUCT((F399=OFFSET(Calc2!$G$4,,,$F$26*B380,1))*OFFSET(Calc2!$P$4,,,$F$26*B380,1))</f>
        <v>0</v>
      </c>
      <c r="P399" s="2"/>
      <c r="Q399" s="2"/>
      <c r="R399" s="13">
        <f t="shared" ca="1" si="71"/>
        <v>15499995023</v>
      </c>
      <c r="S399" s="134">
        <f>Tie_Break!$D$24</f>
        <v>0</v>
      </c>
      <c r="T399" s="9">
        <f ca="1">RANK(R399,R382:R401)+(9-S399)/10000+(F399="")*1000</f>
        <v>14.0009</v>
      </c>
      <c r="U399" s="2"/>
      <c r="V399" s="134">
        <f ca="1">IF($K$24=0,"",IF(VLOOKUP(B399,C382:E401,3,0)=MAX(V$4:V398),VLOOKUP(B399,C382:E401,3,0),B399))</f>
        <v>18</v>
      </c>
      <c r="W399" s="4" t="str">
        <f ca="1">IF($K$24=0,Calc2!$C$21,VLOOKUP(B399,C382:N401,4,0))</f>
        <v>1. FSV Mainz 05</v>
      </c>
      <c r="X399" s="1">
        <f ca="1">INDEX(V355:V374,MATCH(W399,W355:W374,0))</f>
        <v>18</v>
      </c>
      <c r="Y399" s="1">
        <f t="shared" ca="1" si="74"/>
        <v>0</v>
      </c>
    </row>
    <row r="400" spans="2:25" x14ac:dyDescent="0.2">
      <c r="B400" s="1">
        <v>19</v>
      </c>
      <c r="C400" s="9">
        <f ca="1">RANK(D400,D382:D401,1)</f>
        <v>19</v>
      </c>
      <c r="D400" s="134">
        <f t="shared" ca="1" si="72"/>
        <v>19.399999999999999</v>
      </c>
      <c r="E400" s="134">
        <f ca="1">RANK(T400,T382:T401,1)</f>
        <v>19</v>
      </c>
      <c r="F400" s="187" t="str">
        <f>Calc2!$C$22</f>
        <v/>
      </c>
      <c r="G400" s="1">
        <f ca="1">SUMIFS(OFFSET(Calc2!$H$4,,,$F$26*B380,1),OFFSET(Calc2!$F$4,,,$F$26*B380,1),F400)+SUMIFS(OFFSET(Calc2!$I$4,,,$F$26*B380,1),OFFSET(Calc2!$G$4,,,$F$26*B380,1),F400)</f>
        <v>0</v>
      </c>
      <c r="H400" s="1">
        <f ca="1">SUMIFS(OFFSET(Calc2!$I$4,,,$F$26*B380,1),OFFSET(Calc2!$F$4,,,$F$26*B380,1),F400)+SUMIFS(OFFSET(Calc2!$H$4,,,$F$26*B380,1),OFFSET(Calc2!$G$4,,,$F$26*B380,1),F400)</f>
        <v>0</v>
      </c>
      <c r="I400" s="134">
        <f t="shared" ca="1" si="70"/>
        <v>0</v>
      </c>
      <c r="J400" s="12">
        <f ca="1">L400*Settings!$C$3+M400+O400</f>
        <v>0</v>
      </c>
      <c r="K400" s="1">
        <f t="shared" ca="1" si="73"/>
        <v>0</v>
      </c>
      <c r="L400" s="1">
        <f t="array" aca="1" ref="L400" ca="1">SUMPRODUCT((OFFSET(Calc2!$F$4,,,$F$26*B380,1)=F400)*(OFFSET(Calc2!$H$4,,,$F$26*B380,1)&gt;OFFSET(Calc2!$I$4,,,$F$26*B380,1)))+SUMPRODUCT((OFFSET(Calc2!$G$4,,,$F$26*B380,1)=F400)*(OFFSET(Calc2!$H$4,,,$F$26*B380,1)&lt;OFFSET(Calc2!$I$4,,,$F$26*B380,1)))</f>
        <v>0</v>
      </c>
      <c r="M400" s="1">
        <f t="array" aca="1" ref="M400" ca="1">SUMPRODUCT((OFFSET(Calc2!$F$4,,,$F$26*B380,2)=F400)*(OFFSET(Calc2!$H$4,,,$F$26*B380,1)=OFFSET(Calc2!$I$4,,,$F$26*B380,1))*(OFFSET(Calc2!$H$4,,,$F$26*B380,1)&lt;&gt;"")*(OFFSET(Calc2!$I$4,,,$F$26*B380,1)&lt;&gt;""))</f>
        <v>0</v>
      </c>
      <c r="N400" s="1">
        <f t="array" aca="1" ref="N400" ca="1">SUMPRODUCT((OFFSET(Calc2!$F$4,,,$F$26*B380,1)=F400)*(OFFSET(Calc2!$H$4,,,$F$26*B380,1)&lt;OFFSET(Calc2!$I$4,,,$F$26*B380,1)))+SUMPRODUCT((OFFSET(Calc2!$G$4,,,$F$26*B380,1)=F400)*(OFFSET(Calc2!$H$4,,,$F$26*B380,1)&gt;OFFSET(Calc2!$I$4,,,$F$26*B380,1)))</f>
        <v>0</v>
      </c>
      <c r="O400" s="132">
        <f ca="1">SUMPRODUCT((F400=OFFSET(Calc2!$F$4,,,$F$26*B380,1))*OFFSET(Calc2!$O$4,,,$F$26*B380,1))+SUMPRODUCT((F400=OFFSET(Calc2!$G$4,,,$F$26*B380,1))*OFFSET(Calc2!$P$4,,,$F$26*B380,1))</f>
        <v>0</v>
      </c>
      <c r="P400" s="2"/>
      <c r="Q400" s="2"/>
      <c r="R400" s="13">
        <f t="shared" ca="1" si="71"/>
        <v>500000000</v>
      </c>
      <c r="S400" s="134">
        <f>Tie_Break!$D$25</f>
        <v>0</v>
      </c>
      <c r="T400" s="9">
        <f ca="1">RANK(R400,R382:R401)+(9-S400)/10000+(F400="")*1000</f>
        <v>1019.0009</v>
      </c>
      <c r="U400" s="2"/>
      <c r="V400" s="134">
        <f ca="1">IF($K$24=0,"",IF(VLOOKUP(B400,C382:E401,3,0)=MAX(V$4:V399),VLOOKUP(B400,C382:E401,3,0),B400))</f>
        <v>19</v>
      </c>
      <c r="W400" s="4" t="str">
        <f ca="1">IF($K$24=0,Calc2!$C$22,VLOOKUP(B400,C382:N401,4,0))</f>
        <v/>
      </c>
      <c r="X400" s="1">
        <f ca="1">INDEX(V355:V374,MATCH(W400,W355:W374,0))</f>
        <v>19</v>
      </c>
      <c r="Y400" s="1">
        <f t="shared" ca="1" si="74"/>
        <v>0</v>
      </c>
    </row>
    <row r="401" spans="2:25" ht="12.75" thickBot="1" x14ac:dyDescent="0.25">
      <c r="B401" s="1">
        <v>20</v>
      </c>
      <c r="C401" s="10">
        <f ca="1">RANK(D401,D382:D401,1)</f>
        <v>20</v>
      </c>
      <c r="D401" s="134">
        <f t="shared" ca="1" si="72"/>
        <v>19.401</v>
      </c>
      <c r="E401" s="134">
        <f ca="1">RANK(T401,T382:T401,1)</f>
        <v>19</v>
      </c>
      <c r="F401" s="187" t="str">
        <f>Calc2!$C$23</f>
        <v/>
      </c>
      <c r="G401" s="1">
        <f ca="1">SUMIFS(OFFSET(Calc2!$H$4,,,$F$26*B380,1),OFFSET(Calc2!$F$4,,,$F$26*B380,1),F401)+SUMIFS(OFFSET(Calc2!$I$4,,,$F$26*B380,1),OFFSET(Calc2!$G$4,,,$F$26*B380,1),F401)</f>
        <v>0</v>
      </c>
      <c r="H401" s="1">
        <f ca="1">SUMIFS(OFFSET(Calc2!$I$4,,,$F$26*B380,1),OFFSET(Calc2!$F$4,,,$F$26*B380,1),F401)+SUMIFS(OFFSET(Calc2!$H$4,,,$F$26*B380,1),OFFSET(Calc2!$G$4,,,$F$26*B380,1),F401)</f>
        <v>0</v>
      </c>
      <c r="I401" s="134">
        <f t="shared" ca="1" si="70"/>
        <v>0</v>
      </c>
      <c r="J401" s="12">
        <f ca="1">L401*Settings!$C$3+M401+O401</f>
        <v>0</v>
      </c>
      <c r="K401" s="1">
        <f t="shared" ca="1" si="73"/>
        <v>0</v>
      </c>
      <c r="L401" s="1">
        <f t="array" aca="1" ref="L401" ca="1">SUMPRODUCT((OFFSET(Calc2!$F$4,,,$F$26*B380,1)=F401)*(OFFSET(Calc2!$H$4,,,$F$26*B380,1)&gt;OFFSET(Calc2!$I$4,,,$F$26*B380,1)))+SUMPRODUCT((OFFSET(Calc2!$G$4,,,$F$26*B380,1)=F401)*(OFFSET(Calc2!$H$4,,,$F$26*B380,1)&lt;OFFSET(Calc2!$I$4,,,$F$26*B380,1)))</f>
        <v>0</v>
      </c>
      <c r="M401" s="1">
        <f t="array" aca="1" ref="M401" ca="1">SUMPRODUCT((OFFSET(Calc2!$F$4,,,$F$26*B380,2)=F401)*(OFFSET(Calc2!$H$4,,,$F$26*B380,1)=OFFSET(Calc2!$I$4,,,$F$26*B380,1))*(OFFSET(Calc2!$H$4,,,$F$26*B380,1)&lt;&gt;"")*(OFFSET(Calc2!$I$4,,,$F$26*B380,1)&lt;&gt;""))</f>
        <v>0</v>
      </c>
      <c r="N401" s="1">
        <f t="array" aca="1" ref="N401" ca="1">SUMPRODUCT((OFFSET(Calc2!$F$4,,,$F$26*B380,1)=F401)*(OFFSET(Calc2!$H$4,,,$F$26*B380,1)&lt;OFFSET(Calc2!$I$4,,,$F$26*B380,1)))+SUMPRODUCT((OFFSET(Calc2!$G$4,,,$F$26*B380,1)=F401)*(OFFSET(Calc2!$H$4,,,$F$26*B380,1)&gt;OFFSET(Calc2!$I$4,,,$F$26*B380,1)))</f>
        <v>0</v>
      </c>
      <c r="O401" s="132">
        <f ca="1">SUMPRODUCT((F401=OFFSET(Calc2!$F$4,,,$F$26*B380,1))*OFFSET(Calc2!$O$4,,,$F$26*B380,1))+SUMPRODUCT((F401=OFFSET(Calc2!$G$4,,,$F$26*B380,1))*OFFSET(Calc2!$P$4,,,$F$26*B380,1))</f>
        <v>0</v>
      </c>
      <c r="P401" s="2"/>
      <c r="Q401" s="2"/>
      <c r="R401" s="13">
        <f t="shared" ca="1" si="71"/>
        <v>500000000</v>
      </c>
      <c r="S401" s="134">
        <f>Tie_Break!$D$26</f>
        <v>0</v>
      </c>
      <c r="T401" s="10">
        <f ca="1">RANK(R401,R382:R401)+(9-S401)/10000+(F401="")*1000</f>
        <v>1019.0009</v>
      </c>
      <c r="U401" s="2"/>
      <c r="V401" s="134">
        <f ca="1">IF($K$24=0,"",IF(VLOOKUP(B401,C382:E401,3,0)=MAX(V$4:V400),VLOOKUP(B401,C382:E401,3,0),B401))</f>
        <v>19</v>
      </c>
      <c r="W401" s="4" t="str">
        <f ca="1">IF($K$24=0,Calc2!$C$23,VLOOKUP(B401,C382:N401,4,0))</f>
        <v/>
      </c>
      <c r="X401" s="1">
        <f ca="1">INDEX(V355:V374,MATCH(W401,W355:W374,0))</f>
        <v>19</v>
      </c>
      <c r="Y401" s="1">
        <f t="shared" ca="1" si="74"/>
        <v>0</v>
      </c>
    </row>
    <row r="402" spans="2:25" ht="12.75" thickTop="1" x14ac:dyDescent="0.2"/>
    <row r="406" spans="2:25" ht="12.75" thickBot="1" x14ac:dyDescent="0.25"/>
    <row r="407" spans="2:25" ht="12.75" thickBot="1" x14ac:dyDescent="0.25">
      <c r="B407" s="410">
        <v>16</v>
      </c>
      <c r="C407" s="134"/>
      <c r="D407" s="134"/>
      <c r="E407" s="134"/>
      <c r="F407" s="187"/>
      <c r="G407" s="1"/>
      <c r="H407" s="1"/>
      <c r="I407" s="1"/>
      <c r="J407" s="1"/>
      <c r="K407" s="1"/>
      <c r="L407" s="1"/>
      <c r="M407" s="1"/>
      <c r="N407" s="134"/>
      <c r="O407" s="1"/>
      <c r="P407" s="1"/>
      <c r="Q407" s="1"/>
      <c r="R407" s="2"/>
      <c r="S407" s="2"/>
      <c r="T407" s="2"/>
      <c r="U407" s="2"/>
      <c r="V407" s="2"/>
      <c r="W407" s="2"/>
    </row>
    <row r="408" spans="2:25" ht="15.75" thickBot="1" x14ac:dyDescent="0.25">
      <c r="B408" s="1"/>
      <c r="C408" s="134"/>
      <c r="D408" s="134"/>
      <c r="E408" s="134"/>
      <c r="F408" s="11" t="s">
        <v>90</v>
      </c>
      <c r="G408" s="42" t="s">
        <v>95</v>
      </c>
      <c r="H408" s="42" t="s">
        <v>96</v>
      </c>
      <c r="I408" s="11" t="s">
        <v>97</v>
      </c>
      <c r="J408" s="11" t="s">
        <v>98</v>
      </c>
      <c r="K408" s="11" t="s">
        <v>91</v>
      </c>
      <c r="L408" s="12" t="s">
        <v>92</v>
      </c>
      <c r="M408" s="12" t="s">
        <v>93</v>
      </c>
      <c r="N408" s="12" t="s">
        <v>94</v>
      </c>
      <c r="O408" s="12" t="s">
        <v>534</v>
      </c>
      <c r="P408" s="2"/>
      <c r="Q408" s="11"/>
      <c r="R408" s="133" t="s">
        <v>99</v>
      </c>
      <c r="S408" s="6" t="s">
        <v>483</v>
      </c>
      <c r="T408" s="120" t="s">
        <v>146</v>
      </c>
      <c r="U408" s="134"/>
      <c r="V408" s="134"/>
      <c r="W408" s="132"/>
      <c r="X408" s="120" t="s">
        <v>575</v>
      </c>
      <c r="Y408" s="1"/>
    </row>
    <row r="409" spans="2:25" ht="12.75" thickTop="1" x14ac:dyDescent="0.2">
      <c r="B409" s="1">
        <v>1</v>
      </c>
      <c r="C409" s="8">
        <f ca="1">RANK(D409,D409:D428,1)</f>
        <v>17</v>
      </c>
      <c r="D409" s="134">
        <f ca="1">E409+ROW()/1000</f>
        <v>17.408999999999999</v>
      </c>
      <c r="E409" s="134">
        <f ca="1">RANK(T409,T409:T428,1)</f>
        <v>17</v>
      </c>
      <c r="F409" s="187" t="str">
        <f>Calc2!$C$4</f>
        <v>1. FC Heidenheim 1846</v>
      </c>
      <c r="G409" s="1">
        <f ca="1">SUMIFS(OFFSET(Calc2!$H$4,,,$F$26*B407,1),OFFSET(Calc2!$F$4,,,$F$26*B407,1),F409)+SUMIFS(OFFSET(Calc2!$I$4,,,$F$26*B407,1),OFFSET(Calc2!$G$4,,,$F$26*B407,1),F409)</f>
        <v>15</v>
      </c>
      <c r="H409" s="1">
        <f ca="1">SUMIFS(OFFSET(Calc2!$I$4,,,$F$26*B407,1),OFFSET(Calc2!$F$4,,,$F$26*B407,1),F409)+SUMIFS(OFFSET(Calc2!$H$4,,,$F$26*B407,1),OFFSET(Calc2!$G$4,,,$F$26*B407,1),F409)</f>
        <v>36</v>
      </c>
      <c r="I409" s="134">
        <f t="shared" ref="I409:I428" ca="1" si="75">G409-H409</f>
        <v>-21</v>
      </c>
      <c r="J409" s="12">
        <f ca="1">L409*Settings!$C$3+M409+O409</f>
        <v>12</v>
      </c>
      <c r="K409" s="1">
        <f ca="1">L409+M409+N409</f>
        <v>16</v>
      </c>
      <c r="L409" s="1">
        <f t="array" aca="1" ref="L409" ca="1">SUMPRODUCT((OFFSET(Calc2!$F$4,,,$F$26*B407,1)=F409)*(OFFSET(Calc2!$H$4,,,$F$26*B407,1)&gt;OFFSET(Calc2!$I$4,,,$F$26*B407,1)))+SUMPRODUCT((OFFSET(Calc2!$G$4,,,$F$26*B407,1)=F409)*(OFFSET(Calc2!$H$4,,,$F$26*B407,1)&lt;OFFSET(Calc2!$I$4,,,$F$26*B407,1)))</f>
        <v>3</v>
      </c>
      <c r="M409" s="1">
        <f t="array" aca="1" ref="M409" ca="1">SUMPRODUCT((OFFSET(Calc2!$F$4,,,$F$26*B407,2)=F409)*(OFFSET(Calc2!$H$4,,,$F$26*B407,1)=OFFSET(Calc2!$I$4,,,$F$26*B407,1))*(OFFSET(Calc2!$H$4,,,$F$26*B407,1)&lt;&gt;"")*(OFFSET(Calc2!$I$4,,,$F$26*B407,1)&lt;&gt;""))</f>
        <v>3</v>
      </c>
      <c r="N409" s="1">
        <f t="array" aca="1" ref="N409" ca="1">SUMPRODUCT((OFFSET(Calc2!$F$4,,,$F$26*B407,1)=F409)*(OFFSET(Calc2!$H$4,,,$F$26*B407,1)&lt;OFFSET(Calc2!$I$4,,,$F$26*B407,1)))+SUMPRODUCT((OFFSET(Calc2!$G$4,,,$F$26*B407,1)=F409)*(OFFSET(Calc2!$H$4,,,$F$26*B407,1)&gt;OFFSET(Calc2!$I$4,,,$F$26*B407,1)))</f>
        <v>10</v>
      </c>
      <c r="O409" s="132">
        <f ca="1">SUMPRODUCT((F409=OFFSET(Calc2!$F$4,,,$F$26*B407,1))*OFFSET(Calc2!$O$4,,,$F$26*B407,1))+SUMPRODUCT((F409=OFFSET(Calc2!$G$4,,,$F$26*B407,1))*OFFSET(Calc2!$P$4,,,$F$26*B407,1))</f>
        <v>0</v>
      </c>
      <c r="P409" s="2"/>
      <c r="Q409" s="2"/>
      <c r="R409" s="13">
        <f t="shared" ref="R409:R428" ca="1" si="76">J409*FactorPts+(I409+GDzero)*FactorGD+G409*FactorGF</f>
        <v>12499979015</v>
      </c>
      <c r="S409" s="134">
        <f>Tie_Break!$D$7</f>
        <v>0</v>
      </c>
      <c r="T409" s="8">
        <f ca="1">RANK(R409,R409:R428)+(9-S409)/10000+(F409="")*1000</f>
        <v>17.000900000000001</v>
      </c>
      <c r="U409" s="134"/>
      <c r="V409" s="134">
        <f ca="1">IF($K$24=0,"",1)</f>
        <v>1</v>
      </c>
      <c r="W409" s="4" t="str">
        <f ca="1">IF($K$24=0,Calc2!$C$4,VLOOKUP(B409,C409:N428,4,0))</f>
        <v>FC Bayern München</v>
      </c>
      <c r="X409" s="1">
        <f ca="1">INDEX(V382:V401,MATCH(W409,W382:W401,0))</f>
        <v>1</v>
      </c>
      <c r="Y409" s="1">
        <f ca="1">IF(X409&gt;V409,1,IF(X409&lt;V409,-1,0))</f>
        <v>0</v>
      </c>
    </row>
    <row r="410" spans="2:25" x14ac:dyDescent="0.2">
      <c r="B410" s="1">
        <v>2</v>
      </c>
      <c r="C410" s="9">
        <f ca="1">RANK(D410,D409:D428,1)</f>
        <v>11</v>
      </c>
      <c r="D410" s="134">
        <f t="shared" ref="D410:D428" ca="1" si="77">E410+ROW()/1000</f>
        <v>11.41</v>
      </c>
      <c r="E410" s="134">
        <f ca="1">RANK(T410,T409:T428,1)</f>
        <v>11</v>
      </c>
      <c r="F410" s="187" t="str">
        <f>Calc2!$C$5</f>
        <v>1. FC Köln</v>
      </c>
      <c r="G410" s="1">
        <f ca="1">SUMIFS(OFFSET(Calc2!$H$4,,,$F$26*B407,1),OFFSET(Calc2!$F$4,,,$F$26*B407,1),F410)+SUMIFS(OFFSET(Calc2!$I$4,,,$F$26*B407,1),OFFSET(Calc2!$G$4,,,$F$26*B407,1),F410)</f>
        <v>24</v>
      </c>
      <c r="H410" s="1">
        <f ca="1">SUMIFS(OFFSET(Calc2!$I$4,,,$F$26*B407,1),OFFSET(Calc2!$F$4,,,$F$26*B407,1),F410)+SUMIFS(OFFSET(Calc2!$H$4,,,$F$26*B407,1),OFFSET(Calc2!$G$4,,,$F$26*B407,1),F410)</f>
        <v>26</v>
      </c>
      <c r="I410" s="134">
        <f t="shared" ca="1" si="75"/>
        <v>-2</v>
      </c>
      <c r="J410" s="12">
        <f ca="1">L410*Settings!$C$3+M410+O410</f>
        <v>17</v>
      </c>
      <c r="K410" s="1">
        <f t="shared" ref="K410:K428" ca="1" si="78">L410+M410+N410</f>
        <v>16</v>
      </c>
      <c r="L410" s="1">
        <f t="array" aca="1" ref="L410" ca="1">SUMPRODUCT((OFFSET(Calc2!$F$4,,,$F$26*B407,1)=F410)*(OFFSET(Calc2!$H$4,,,$F$26*B407,1)&gt;OFFSET(Calc2!$I$4,,,$F$26*B407,1)))+SUMPRODUCT((OFFSET(Calc2!$G$4,,,$F$26*B407,1)=F410)*(OFFSET(Calc2!$H$4,,,$F$26*B407,1)&lt;OFFSET(Calc2!$I$4,,,$F$26*B407,1)))</f>
        <v>4</v>
      </c>
      <c r="M410" s="1">
        <f t="array" aca="1" ref="M410" ca="1">SUMPRODUCT((OFFSET(Calc2!$F$4,,,$F$26*B407,2)=F410)*(OFFSET(Calc2!$H$4,,,$F$26*B407,1)=OFFSET(Calc2!$I$4,,,$F$26*B407,1))*(OFFSET(Calc2!$H$4,,,$F$26*B407,1)&lt;&gt;"")*(OFFSET(Calc2!$I$4,,,$F$26*B407,1)&lt;&gt;""))</f>
        <v>5</v>
      </c>
      <c r="N410" s="1">
        <f t="array" aca="1" ref="N410" ca="1">SUMPRODUCT((OFFSET(Calc2!$F$4,,,$F$26*B407,1)=F410)*(OFFSET(Calc2!$H$4,,,$F$26*B407,1)&lt;OFFSET(Calc2!$I$4,,,$F$26*B407,1)))+SUMPRODUCT((OFFSET(Calc2!$G$4,,,$F$26*B407,1)=F410)*(OFFSET(Calc2!$H$4,,,$F$26*B407,1)&gt;OFFSET(Calc2!$I$4,,,$F$26*B407,1)))</f>
        <v>7</v>
      </c>
      <c r="O410" s="132">
        <f ca="1">SUMPRODUCT((F410=OFFSET(Calc2!$F$4,,,$F$26*B407,1))*OFFSET(Calc2!$O$4,,,$F$26*B407,1))+SUMPRODUCT((F410=OFFSET(Calc2!$G$4,,,$F$26*B407,1))*OFFSET(Calc2!$P$4,,,$F$26*B407,1))</f>
        <v>0</v>
      </c>
      <c r="P410" s="2"/>
      <c r="Q410" s="2"/>
      <c r="R410" s="13">
        <f t="shared" ca="1" si="76"/>
        <v>17499998024</v>
      </c>
      <c r="S410" s="134">
        <f>Tie_Break!$D$8</f>
        <v>0</v>
      </c>
      <c r="T410" s="9">
        <f ca="1">RANK(R410,R409:R428)+(9-S410)/10000+(F410="")*1000</f>
        <v>11.0009</v>
      </c>
      <c r="U410" s="134"/>
      <c r="V410" s="134">
        <f ca="1">IF($K$24=0,"",IF(VLOOKUP(B410,C409:E428,3,0)=MAX(V$4:V409),VLOOKUP(B410,C409:E428,3,0),B410))</f>
        <v>2</v>
      </c>
      <c r="W410" s="4" t="str">
        <f ca="1">IF($K$24=0,Calc2!$C$5,VLOOKUP(B410,C409:N428,4,0))</f>
        <v>Borussia Dortmund</v>
      </c>
      <c r="X410" s="1">
        <f ca="1">INDEX(V382:V401,MATCH(W410,W382:W401,0))</f>
        <v>2</v>
      </c>
      <c r="Y410" s="1">
        <f t="shared" ref="Y410:Y428" ca="1" si="79">IF(X410&gt;V410,1,IF(X410&lt;V410,-1,0))</f>
        <v>0</v>
      </c>
    </row>
    <row r="411" spans="2:25" x14ac:dyDescent="0.2">
      <c r="B411" s="1">
        <v>3</v>
      </c>
      <c r="C411" s="9">
        <f ca="1">RANK(D411,D409:D428,1)</f>
        <v>9</v>
      </c>
      <c r="D411" s="134">
        <f t="shared" ca="1" si="77"/>
        <v>9.4109999999999996</v>
      </c>
      <c r="E411" s="134">
        <f ca="1">RANK(T411,T409:T428,1)</f>
        <v>9</v>
      </c>
      <c r="F411" s="187" t="str">
        <f>Calc2!$C$6</f>
        <v>1. FC Union Berlin</v>
      </c>
      <c r="G411" s="1">
        <f ca="1">SUMIFS(OFFSET(Calc2!$H$4,,,$F$26*B407,1),OFFSET(Calc2!$F$4,,,$F$26*B407,1),F411)+SUMIFS(OFFSET(Calc2!$I$4,,,$F$26*B407,1),OFFSET(Calc2!$G$4,,,$F$26*B407,1),F411)</f>
        <v>22</v>
      </c>
      <c r="H411" s="1">
        <f ca="1">SUMIFS(OFFSET(Calc2!$I$4,,,$F$26*B407,1),OFFSET(Calc2!$F$4,,,$F$26*B407,1),F411)+SUMIFS(OFFSET(Calc2!$H$4,,,$F$26*B407,1),OFFSET(Calc2!$G$4,,,$F$26*B407,1),F411)</f>
        <v>25</v>
      </c>
      <c r="I411" s="134">
        <f t="shared" ca="1" si="75"/>
        <v>-3</v>
      </c>
      <c r="J411" s="12">
        <f ca="1">L411*Settings!$C$3+M411+O411</f>
        <v>22</v>
      </c>
      <c r="K411" s="1">
        <f t="shared" ca="1" si="78"/>
        <v>16</v>
      </c>
      <c r="L411" s="1">
        <f t="array" aca="1" ref="L411" ca="1">SUMPRODUCT((OFFSET(Calc2!$F$4,,,$F$26*B407,1)=F411)*(OFFSET(Calc2!$H$4,,,$F$26*B407,1)&gt;OFFSET(Calc2!$I$4,,,$F$26*B407,1)))+SUMPRODUCT((OFFSET(Calc2!$G$4,,,$F$26*B407,1)=F411)*(OFFSET(Calc2!$H$4,,,$F$26*B407,1)&lt;OFFSET(Calc2!$I$4,,,$F$26*B407,1)))</f>
        <v>6</v>
      </c>
      <c r="M411" s="1">
        <f t="array" aca="1" ref="M411" ca="1">SUMPRODUCT((OFFSET(Calc2!$F$4,,,$F$26*B407,2)=F411)*(OFFSET(Calc2!$H$4,,,$F$26*B407,1)=OFFSET(Calc2!$I$4,,,$F$26*B407,1))*(OFFSET(Calc2!$H$4,,,$F$26*B407,1)&lt;&gt;"")*(OFFSET(Calc2!$I$4,,,$F$26*B407,1)&lt;&gt;""))</f>
        <v>4</v>
      </c>
      <c r="N411" s="1">
        <f t="array" aca="1" ref="N411" ca="1">SUMPRODUCT((OFFSET(Calc2!$F$4,,,$F$26*B407,1)=F411)*(OFFSET(Calc2!$H$4,,,$F$26*B407,1)&lt;OFFSET(Calc2!$I$4,,,$F$26*B407,1)))+SUMPRODUCT((OFFSET(Calc2!$G$4,,,$F$26*B407,1)=F411)*(OFFSET(Calc2!$H$4,,,$F$26*B407,1)&gt;OFFSET(Calc2!$I$4,,,$F$26*B407,1)))</f>
        <v>6</v>
      </c>
      <c r="O411" s="132">
        <f ca="1">SUMPRODUCT((F411=OFFSET(Calc2!$F$4,,,$F$26*B407,1))*OFFSET(Calc2!$O$4,,,$F$26*B407,1))+SUMPRODUCT((F411=OFFSET(Calc2!$G$4,,,$F$26*B407,1))*OFFSET(Calc2!$P$4,,,$F$26*B407,1))</f>
        <v>0</v>
      </c>
      <c r="P411" s="2"/>
      <c r="Q411" s="2"/>
      <c r="R411" s="13">
        <f t="shared" ca="1" si="76"/>
        <v>22499997022</v>
      </c>
      <c r="S411" s="134">
        <f>Tie_Break!$D$9</f>
        <v>0</v>
      </c>
      <c r="T411" s="9">
        <f ca="1">RANK(R411,R409:R428)+(9-S411)/10000+(F411="")*1000</f>
        <v>9.0008999999999997</v>
      </c>
      <c r="U411" s="134"/>
      <c r="V411" s="134">
        <f ca="1">IF($K$24=0,"",IF(VLOOKUP(B411,C409:E428,3,0)=MAX(V$4:V410),VLOOKUP(B411,C409:E428,3,0),B411))</f>
        <v>3</v>
      </c>
      <c r="W411" s="4" t="str">
        <f ca="1">IF($K$24=0,Calc2!$C$6,VLOOKUP(B411,C409:N428,4,0))</f>
        <v>RB Leipzig</v>
      </c>
      <c r="X411" s="1">
        <f ca="1">INDEX(V382:V401,MATCH(W411,W382:W401,0))</f>
        <v>4</v>
      </c>
      <c r="Y411" s="1">
        <f t="shared" ca="1" si="79"/>
        <v>1</v>
      </c>
    </row>
    <row r="412" spans="2:25" x14ac:dyDescent="0.2">
      <c r="B412" s="1">
        <v>4</v>
      </c>
      <c r="C412" s="9">
        <f ca="1">RANK(D412,D409:D428,1)</f>
        <v>18</v>
      </c>
      <c r="D412" s="134">
        <f t="shared" ca="1" si="77"/>
        <v>18.411999999999999</v>
      </c>
      <c r="E412" s="134">
        <f ca="1">RANK(T412,T409:T428,1)</f>
        <v>18</v>
      </c>
      <c r="F412" s="187" t="str">
        <f>Calc2!$C$7</f>
        <v>1. FSV Mainz 05</v>
      </c>
      <c r="G412" s="1">
        <f ca="1">SUMIFS(OFFSET(Calc2!$H$4,,,$F$26*B407,1),OFFSET(Calc2!$F$4,,,$F$26*B407,1),F412)+SUMIFS(OFFSET(Calc2!$I$4,,,$F$26*B407,1),OFFSET(Calc2!$G$4,,,$F$26*B407,1),F412)</f>
        <v>15</v>
      </c>
      <c r="H412" s="1">
        <f ca="1">SUMIFS(OFFSET(Calc2!$I$4,,,$F$26*B407,1),OFFSET(Calc2!$F$4,,,$F$26*B407,1),F412)+SUMIFS(OFFSET(Calc2!$H$4,,,$F$26*B407,1),OFFSET(Calc2!$G$4,,,$F$26*B407,1),F412)</f>
        <v>28</v>
      </c>
      <c r="I412" s="134">
        <f t="shared" ca="1" si="75"/>
        <v>-13</v>
      </c>
      <c r="J412" s="12">
        <f ca="1">L412*Settings!$C$3+M412+O412</f>
        <v>9</v>
      </c>
      <c r="K412" s="1">
        <f t="shared" ca="1" si="78"/>
        <v>16</v>
      </c>
      <c r="L412" s="1">
        <f t="array" aca="1" ref="L412" ca="1">SUMPRODUCT((OFFSET(Calc2!$F$4,,,$F$26*B407,1)=F412)*(OFFSET(Calc2!$H$4,,,$F$26*B407,1)&gt;OFFSET(Calc2!$I$4,,,$F$26*B407,1)))+SUMPRODUCT((OFFSET(Calc2!$G$4,,,$F$26*B407,1)=F412)*(OFFSET(Calc2!$H$4,,,$F$26*B407,1)&lt;OFFSET(Calc2!$I$4,,,$F$26*B407,1)))</f>
        <v>1</v>
      </c>
      <c r="M412" s="1">
        <f t="array" aca="1" ref="M412" ca="1">SUMPRODUCT((OFFSET(Calc2!$F$4,,,$F$26*B407,2)=F412)*(OFFSET(Calc2!$H$4,,,$F$26*B407,1)=OFFSET(Calc2!$I$4,,,$F$26*B407,1))*(OFFSET(Calc2!$H$4,,,$F$26*B407,1)&lt;&gt;"")*(OFFSET(Calc2!$I$4,,,$F$26*B407,1)&lt;&gt;""))</f>
        <v>6</v>
      </c>
      <c r="N412" s="1">
        <f t="array" aca="1" ref="N412" ca="1">SUMPRODUCT((OFFSET(Calc2!$F$4,,,$F$26*B407,1)=F412)*(OFFSET(Calc2!$H$4,,,$F$26*B407,1)&lt;OFFSET(Calc2!$I$4,,,$F$26*B407,1)))+SUMPRODUCT((OFFSET(Calc2!$G$4,,,$F$26*B407,1)=F412)*(OFFSET(Calc2!$H$4,,,$F$26*B407,1)&gt;OFFSET(Calc2!$I$4,,,$F$26*B407,1)))</f>
        <v>9</v>
      </c>
      <c r="O412" s="132">
        <f ca="1">SUMPRODUCT((F412=OFFSET(Calc2!$F$4,,,$F$26*B407,1))*OFFSET(Calc2!$O$4,,,$F$26*B407,1))+SUMPRODUCT((F412=OFFSET(Calc2!$G$4,,,$F$26*B407,1))*OFFSET(Calc2!$P$4,,,$F$26*B407,1))</f>
        <v>0</v>
      </c>
      <c r="P412" s="2"/>
      <c r="Q412" s="2"/>
      <c r="R412" s="13">
        <f t="shared" ca="1" si="76"/>
        <v>9499987015</v>
      </c>
      <c r="S412" s="134">
        <f>Tie_Break!$D$10</f>
        <v>0</v>
      </c>
      <c r="T412" s="9">
        <f ca="1">RANK(R412,R409:R428)+(9-S412)/10000+(F412="")*1000</f>
        <v>18.000900000000001</v>
      </c>
      <c r="U412" s="134"/>
      <c r="V412" s="134">
        <f ca="1">IF($K$24=0,"",IF(VLOOKUP(B412,C409:E428,3,0)=MAX(V$4:V411),VLOOKUP(B412,C409:E428,3,0),B412))</f>
        <v>4</v>
      </c>
      <c r="W412" s="4" t="str">
        <f ca="1">IF($K$24=0,Calc2!$C$7,VLOOKUP(B412,C409:N428,4,0))</f>
        <v>TSG Hoffenheim</v>
      </c>
      <c r="X412" s="1">
        <f ca="1">INDEX(V382:V401,MATCH(W412,W382:W401,0))</f>
        <v>5</v>
      </c>
      <c r="Y412" s="1">
        <f t="shared" ca="1" si="79"/>
        <v>1</v>
      </c>
    </row>
    <row r="413" spans="2:25" x14ac:dyDescent="0.2">
      <c r="B413" s="1">
        <v>5</v>
      </c>
      <c r="C413" s="9">
        <f ca="1">RANK(D413,D409:D428,1)</f>
        <v>5</v>
      </c>
      <c r="D413" s="134">
        <f t="shared" ca="1" si="77"/>
        <v>5.4130000000000003</v>
      </c>
      <c r="E413" s="134">
        <f ca="1">RANK(T413,T409:T428,1)</f>
        <v>5</v>
      </c>
      <c r="F413" s="187" t="str">
        <f>Calc2!$C$8</f>
        <v>Bayer 04 Leverkusen</v>
      </c>
      <c r="G413" s="1">
        <f ca="1">SUMIFS(OFFSET(Calc2!$H$4,,,$F$26*B407,1),OFFSET(Calc2!$F$4,,,$F$26*B407,1),F413)+SUMIFS(OFFSET(Calc2!$I$4,,,$F$26*B407,1),OFFSET(Calc2!$G$4,,,$F$26*B407,1),F413)</f>
        <v>34</v>
      </c>
      <c r="H413" s="1">
        <f ca="1">SUMIFS(OFFSET(Calc2!$I$4,,,$F$26*B407,1),OFFSET(Calc2!$F$4,,,$F$26*B407,1),F413)+SUMIFS(OFFSET(Calc2!$H$4,,,$F$26*B407,1),OFFSET(Calc2!$G$4,,,$F$26*B407,1),F413)</f>
        <v>24</v>
      </c>
      <c r="I413" s="134">
        <f t="shared" ca="1" si="75"/>
        <v>10</v>
      </c>
      <c r="J413" s="12">
        <f ca="1">L413*Settings!$C$3+M413+O413</f>
        <v>29</v>
      </c>
      <c r="K413" s="1">
        <f t="shared" ca="1" si="78"/>
        <v>16</v>
      </c>
      <c r="L413" s="1">
        <f t="array" aca="1" ref="L413" ca="1">SUMPRODUCT((OFFSET(Calc2!$F$4,,,$F$26*B407,1)=F413)*(OFFSET(Calc2!$H$4,,,$F$26*B407,1)&gt;OFFSET(Calc2!$I$4,,,$F$26*B407,1)))+SUMPRODUCT((OFFSET(Calc2!$G$4,,,$F$26*B407,1)=F413)*(OFFSET(Calc2!$H$4,,,$F$26*B407,1)&lt;OFFSET(Calc2!$I$4,,,$F$26*B407,1)))</f>
        <v>9</v>
      </c>
      <c r="M413" s="1">
        <f t="array" aca="1" ref="M413" ca="1">SUMPRODUCT((OFFSET(Calc2!$F$4,,,$F$26*B407,2)=F413)*(OFFSET(Calc2!$H$4,,,$F$26*B407,1)=OFFSET(Calc2!$I$4,,,$F$26*B407,1))*(OFFSET(Calc2!$H$4,,,$F$26*B407,1)&lt;&gt;"")*(OFFSET(Calc2!$I$4,,,$F$26*B407,1)&lt;&gt;""))</f>
        <v>2</v>
      </c>
      <c r="N413" s="1">
        <f t="array" aca="1" ref="N413" ca="1">SUMPRODUCT((OFFSET(Calc2!$F$4,,,$F$26*B407,1)=F413)*(OFFSET(Calc2!$H$4,,,$F$26*B407,1)&lt;OFFSET(Calc2!$I$4,,,$F$26*B407,1)))+SUMPRODUCT((OFFSET(Calc2!$G$4,,,$F$26*B407,1)=F413)*(OFFSET(Calc2!$H$4,,,$F$26*B407,1)&gt;OFFSET(Calc2!$I$4,,,$F$26*B407,1)))</f>
        <v>5</v>
      </c>
      <c r="O413" s="132">
        <f ca="1">SUMPRODUCT((F413=OFFSET(Calc2!$F$4,,,$F$26*B407,1))*OFFSET(Calc2!$O$4,,,$F$26*B407,1))+SUMPRODUCT((F413=OFFSET(Calc2!$G$4,,,$F$26*B407,1))*OFFSET(Calc2!$P$4,,,$F$26*B407,1))</f>
        <v>0</v>
      </c>
      <c r="P413" s="2"/>
      <c r="Q413" s="2"/>
      <c r="R413" s="13">
        <f t="shared" ca="1" si="76"/>
        <v>29500010034</v>
      </c>
      <c r="S413" s="134">
        <f>Tie_Break!$D$11</f>
        <v>0</v>
      </c>
      <c r="T413" s="9">
        <f ca="1">RANK(R413,R409:R428)+(9-S413)/10000+(F413="")*1000</f>
        <v>5.0008999999999997</v>
      </c>
      <c r="U413" s="134"/>
      <c r="V413" s="134">
        <f ca="1">IF($K$24=0,"",IF(VLOOKUP(B413,C409:E428,3,0)=MAX(V$4:V412),VLOOKUP(B413,C409:E428,3,0),B413))</f>
        <v>5</v>
      </c>
      <c r="W413" s="4" t="str">
        <f ca="1">IF($K$24=0,Calc2!$C$8,VLOOKUP(B413,C409:N428,4,0))</f>
        <v>Bayer 04 Leverkusen</v>
      </c>
      <c r="X413" s="1">
        <f ca="1">INDEX(V382:V401,MATCH(W413,W382:W401,0))</f>
        <v>3</v>
      </c>
      <c r="Y413" s="1">
        <f t="shared" ca="1" si="79"/>
        <v>-1</v>
      </c>
    </row>
    <row r="414" spans="2:25" x14ac:dyDescent="0.2">
      <c r="B414" s="1">
        <v>6</v>
      </c>
      <c r="C414" s="9">
        <f ca="1">RANK(D414,D409:D428,1)</f>
        <v>2</v>
      </c>
      <c r="D414" s="134">
        <f t="shared" ca="1" si="77"/>
        <v>2.4140000000000001</v>
      </c>
      <c r="E414" s="134">
        <f ca="1">RANK(T414,T409:T428,1)</f>
        <v>2</v>
      </c>
      <c r="F414" s="187" t="str">
        <f>Calc2!$C$9</f>
        <v>Borussia Dortmund</v>
      </c>
      <c r="G414" s="1">
        <f ca="1">SUMIFS(OFFSET(Calc2!$H$4,,,$F$26*B407,1),OFFSET(Calc2!$F$4,,,$F$26*B407,1),F414)+SUMIFS(OFFSET(Calc2!$I$4,,,$F$26*B407,1),OFFSET(Calc2!$G$4,,,$F$26*B407,1),F414)</f>
        <v>29</v>
      </c>
      <c r="H414" s="1">
        <f ca="1">SUMIFS(OFFSET(Calc2!$I$4,,,$F$26*B407,1),OFFSET(Calc2!$F$4,,,$F$26*B407,1),F414)+SUMIFS(OFFSET(Calc2!$H$4,,,$F$26*B407,1),OFFSET(Calc2!$G$4,,,$F$26*B407,1),F414)</f>
        <v>15</v>
      </c>
      <c r="I414" s="134">
        <f t="shared" ca="1" si="75"/>
        <v>14</v>
      </c>
      <c r="J414" s="12">
        <f ca="1">L414*Settings!$C$3+M414+O414</f>
        <v>33</v>
      </c>
      <c r="K414" s="1">
        <f t="shared" ca="1" si="78"/>
        <v>16</v>
      </c>
      <c r="L414" s="1">
        <f t="array" aca="1" ref="L414" ca="1">SUMPRODUCT((OFFSET(Calc2!$F$4,,,$F$26*B407,1)=F414)*(OFFSET(Calc2!$H$4,,,$F$26*B407,1)&gt;OFFSET(Calc2!$I$4,,,$F$26*B407,1)))+SUMPRODUCT((OFFSET(Calc2!$G$4,,,$F$26*B407,1)=F414)*(OFFSET(Calc2!$H$4,,,$F$26*B407,1)&lt;OFFSET(Calc2!$I$4,,,$F$26*B407,1)))</f>
        <v>9</v>
      </c>
      <c r="M414" s="1">
        <f t="array" aca="1" ref="M414" ca="1">SUMPRODUCT((OFFSET(Calc2!$F$4,,,$F$26*B407,2)=F414)*(OFFSET(Calc2!$H$4,,,$F$26*B407,1)=OFFSET(Calc2!$I$4,,,$F$26*B407,1))*(OFFSET(Calc2!$H$4,,,$F$26*B407,1)&lt;&gt;"")*(OFFSET(Calc2!$I$4,,,$F$26*B407,1)&lt;&gt;""))</f>
        <v>6</v>
      </c>
      <c r="N414" s="1">
        <f t="array" aca="1" ref="N414" ca="1">SUMPRODUCT((OFFSET(Calc2!$F$4,,,$F$26*B407,1)=F414)*(OFFSET(Calc2!$H$4,,,$F$26*B407,1)&lt;OFFSET(Calc2!$I$4,,,$F$26*B407,1)))+SUMPRODUCT((OFFSET(Calc2!$G$4,,,$F$26*B407,1)=F414)*(OFFSET(Calc2!$H$4,,,$F$26*B407,1)&gt;OFFSET(Calc2!$I$4,,,$F$26*B407,1)))</f>
        <v>1</v>
      </c>
      <c r="O414" s="132">
        <f ca="1">SUMPRODUCT((F414=OFFSET(Calc2!$F$4,,,$F$26*B407,1))*OFFSET(Calc2!$O$4,,,$F$26*B407,1))+SUMPRODUCT((F414=OFFSET(Calc2!$G$4,,,$F$26*B407,1))*OFFSET(Calc2!$P$4,,,$F$26*B407,1))</f>
        <v>0</v>
      </c>
      <c r="P414" s="2"/>
      <c r="Q414" s="2"/>
      <c r="R414" s="13">
        <f t="shared" ca="1" si="76"/>
        <v>33500014029</v>
      </c>
      <c r="S414" s="134">
        <f>Tie_Break!$D$12</f>
        <v>0</v>
      </c>
      <c r="T414" s="9">
        <f ca="1">RANK(R414,R409:R428)+(9-S414)/10000+(F414="")*1000</f>
        <v>2.0009000000000001</v>
      </c>
      <c r="U414" s="134"/>
      <c r="V414" s="134">
        <f ca="1">IF($K$24=0,"",IF(VLOOKUP(B414,C409:E428,3,0)=MAX(V$4:V413),VLOOKUP(B414,C409:E428,3,0),B414))</f>
        <v>6</v>
      </c>
      <c r="W414" s="4" t="str">
        <f ca="1">IF($K$24=0,Calc2!$C$9,VLOOKUP(B414,C409:N428,4,0))</f>
        <v>VfB Stuttgart</v>
      </c>
      <c r="X414" s="1">
        <f ca="1">INDEX(V382:V401,MATCH(W414,W382:W401,0))</f>
        <v>6</v>
      </c>
      <c r="Y414" s="1">
        <f t="shared" ca="1" si="79"/>
        <v>0</v>
      </c>
    </row>
    <row r="415" spans="2:25" x14ac:dyDescent="0.2">
      <c r="B415" s="1">
        <v>7</v>
      </c>
      <c r="C415" s="9">
        <f ca="1">RANK(D415,D409:D428,1)</f>
        <v>10</v>
      </c>
      <c r="D415" s="134">
        <f t="shared" ca="1" si="77"/>
        <v>10.414999999999999</v>
      </c>
      <c r="E415" s="134">
        <f ca="1">RANK(T415,T409:T428,1)</f>
        <v>10</v>
      </c>
      <c r="F415" s="187" t="str">
        <f>Calc2!$C$10</f>
        <v>Borussia Mönchengladbach</v>
      </c>
      <c r="G415" s="1">
        <f ca="1">SUMIFS(OFFSET(Calc2!$H$4,,,$F$26*B407,1),OFFSET(Calc2!$F$4,,,$F$26*B407,1),F415)+SUMIFS(OFFSET(Calc2!$I$4,,,$F$26*B407,1),OFFSET(Calc2!$G$4,,,$F$26*B407,1),F415)</f>
        <v>22</v>
      </c>
      <c r="H415" s="1">
        <f ca="1">SUMIFS(OFFSET(Calc2!$I$4,,,$F$26*B407,1),OFFSET(Calc2!$F$4,,,$F$26*B407,1),F415)+SUMIFS(OFFSET(Calc2!$H$4,,,$F$26*B407,1),OFFSET(Calc2!$G$4,,,$F$26*B407,1),F415)</f>
        <v>24</v>
      </c>
      <c r="I415" s="134">
        <f t="shared" ca="1" si="75"/>
        <v>-2</v>
      </c>
      <c r="J415" s="12">
        <f ca="1">L415*Settings!$C$3+M415+O415</f>
        <v>19</v>
      </c>
      <c r="K415" s="1">
        <f t="shared" ca="1" si="78"/>
        <v>16</v>
      </c>
      <c r="L415" s="1">
        <f t="array" aca="1" ref="L415" ca="1">SUMPRODUCT((OFFSET(Calc2!$F$4,,,$F$26*B407,1)=F415)*(OFFSET(Calc2!$H$4,,,$F$26*B407,1)&gt;OFFSET(Calc2!$I$4,,,$F$26*B407,1)))+SUMPRODUCT((OFFSET(Calc2!$G$4,,,$F$26*B407,1)=F415)*(OFFSET(Calc2!$H$4,,,$F$26*B407,1)&lt;OFFSET(Calc2!$I$4,,,$F$26*B407,1)))</f>
        <v>5</v>
      </c>
      <c r="M415" s="1">
        <f t="array" aca="1" ref="M415" ca="1">SUMPRODUCT((OFFSET(Calc2!$F$4,,,$F$26*B407,2)=F415)*(OFFSET(Calc2!$H$4,,,$F$26*B407,1)=OFFSET(Calc2!$I$4,,,$F$26*B407,1))*(OFFSET(Calc2!$H$4,,,$F$26*B407,1)&lt;&gt;"")*(OFFSET(Calc2!$I$4,,,$F$26*B407,1)&lt;&gt;""))</f>
        <v>4</v>
      </c>
      <c r="N415" s="1">
        <f t="array" aca="1" ref="N415" ca="1">SUMPRODUCT((OFFSET(Calc2!$F$4,,,$F$26*B407,1)=F415)*(OFFSET(Calc2!$H$4,,,$F$26*B407,1)&lt;OFFSET(Calc2!$I$4,,,$F$26*B407,1)))+SUMPRODUCT((OFFSET(Calc2!$G$4,,,$F$26*B407,1)=F415)*(OFFSET(Calc2!$H$4,,,$F$26*B407,1)&gt;OFFSET(Calc2!$I$4,,,$F$26*B407,1)))</f>
        <v>7</v>
      </c>
      <c r="O415" s="132">
        <f ca="1">SUMPRODUCT((F415=OFFSET(Calc2!$F$4,,,$F$26*B407,1))*OFFSET(Calc2!$O$4,,,$F$26*B407,1))+SUMPRODUCT((F415=OFFSET(Calc2!$G$4,,,$F$26*B407,1))*OFFSET(Calc2!$P$4,,,$F$26*B407,1))</f>
        <v>0</v>
      </c>
      <c r="P415" s="2"/>
      <c r="Q415" s="2"/>
      <c r="R415" s="13">
        <f t="shared" ca="1" si="76"/>
        <v>19499998022</v>
      </c>
      <c r="S415" s="134">
        <f>Tie_Break!$D$13</f>
        <v>0</v>
      </c>
      <c r="T415" s="9">
        <f ca="1">RANK(R415,R409:R428)+(9-S415)/10000+(F415="")*1000</f>
        <v>10.0009</v>
      </c>
      <c r="U415" s="134"/>
      <c r="V415" s="134">
        <f ca="1">IF($K$24=0,"",IF(VLOOKUP(B415,C409:E428,3,0)=MAX(V$4:V414),VLOOKUP(B415,C409:E428,3,0),B415))</f>
        <v>7</v>
      </c>
      <c r="W415" s="4" t="str">
        <f ca="1">IF($K$24=0,Calc2!$C$10,VLOOKUP(B415,C409:N428,4,0))</f>
        <v>Eintracht Frankfurt</v>
      </c>
      <c r="X415" s="1">
        <f ca="1">INDEX(V382:V401,MATCH(W415,W382:W401,0))</f>
        <v>7</v>
      </c>
      <c r="Y415" s="1">
        <f t="shared" ca="1" si="79"/>
        <v>0</v>
      </c>
    </row>
    <row r="416" spans="2:25" x14ac:dyDescent="0.2">
      <c r="B416" s="1">
        <v>8</v>
      </c>
      <c r="C416" s="9">
        <f ca="1">RANK(D416,D409:D428,1)</f>
        <v>7</v>
      </c>
      <c r="D416" s="134">
        <f t="shared" ca="1" si="77"/>
        <v>7.4160000000000004</v>
      </c>
      <c r="E416" s="134">
        <f ca="1">RANK(T416,T409:T428,1)</f>
        <v>7</v>
      </c>
      <c r="F416" s="187" t="str">
        <f>Calc2!$C$11</f>
        <v>Eintracht Frankfurt</v>
      </c>
      <c r="G416" s="1">
        <f ca="1">SUMIFS(OFFSET(Calc2!$H$4,,,$F$26*B407,1),OFFSET(Calc2!$F$4,,,$F$26*B407,1),F416)+SUMIFS(OFFSET(Calc2!$I$4,,,$F$26*B407,1),OFFSET(Calc2!$G$4,,,$F$26*B407,1),F416)</f>
        <v>33</v>
      </c>
      <c r="H416" s="1">
        <f ca="1">SUMIFS(OFFSET(Calc2!$I$4,,,$F$26*B407,1),OFFSET(Calc2!$F$4,,,$F$26*B407,1),F416)+SUMIFS(OFFSET(Calc2!$H$4,,,$F$26*B407,1),OFFSET(Calc2!$G$4,,,$F$26*B407,1),F416)</f>
        <v>33</v>
      </c>
      <c r="I416" s="134">
        <f t="shared" ca="1" si="75"/>
        <v>0</v>
      </c>
      <c r="J416" s="12">
        <f ca="1">L416*Settings!$C$3+M416+O416</f>
        <v>26</v>
      </c>
      <c r="K416" s="1">
        <f t="shared" ca="1" si="78"/>
        <v>16</v>
      </c>
      <c r="L416" s="1">
        <f t="array" aca="1" ref="L416" ca="1">SUMPRODUCT((OFFSET(Calc2!$F$4,,,$F$26*B407,1)=F416)*(OFFSET(Calc2!$H$4,,,$F$26*B407,1)&gt;OFFSET(Calc2!$I$4,,,$F$26*B407,1)))+SUMPRODUCT((OFFSET(Calc2!$G$4,,,$F$26*B407,1)=F416)*(OFFSET(Calc2!$H$4,,,$F$26*B407,1)&lt;OFFSET(Calc2!$I$4,,,$F$26*B407,1)))</f>
        <v>7</v>
      </c>
      <c r="M416" s="1">
        <f t="array" aca="1" ref="M416" ca="1">SUMPRODUCT((OFFSET(Calc2!$F$4,,,$F$26*B407,2)=F416)*(OFFSET(Calc2!$H$4,,,$F$26*B407,1)=OFFSET(Calc2!$I$4,,,$F$26*B407,1))*(OFFSET(Calc2!$H$4,,,$F$26*B407,1)&lt;&gt;"")*(OFFSET(Calc2!$I$4,,,$F$26*B407,1)&lt;&gt;""))</f>
        <v>5</v>
      </c>
      <c r="N416" s="1">
        <f t="array" aca="1" ref="N416" ca="1">SUMPRODUCT((OFFSET(Calc2!$F$4,,,$F$26*B407,1)=F416)*(OFFSET(Calc2!$H$4,,,$F$26*B407,1)&lt;OFFSET(Calc2!$I$4,,,$F$26*B407,1)))+SUMPRODUCT((OFFSET(Calc2!$G$4,,,$F$26*B407,1)=F416)*(OFFSET(Calc2!$H$4,,,$F$26*B407,1)&gt;OFFSET(Calc2!$I$4,,,$F$26*B407,1)))</f>
        <v>4</v>
      </c>
      <c r="O416" s="132">
        <f ca="1">SUMPRODUCT((F416=OFFSET(Calc2!$F$4,,,$F$26*B407,1))*OFFSET(Calc2!$O$4,,,$F$26*B407,1))+SUMPRODUCT((F416=OFFSET(Calc2!$G$4,,,$F$26*B407,1))*OFFSET(Calc2!$P$4,,,$F$26*B407,1))</f>
        <v>0</v>
      </c>
      <c r="P416" s="2"/>
      <c r="Q416" s="2"/>
      <c r="R416" s="13">
        <f t="shared" ca="1" si="76"/>
        <v>26500000033</v>
      </c>
      <c r="S416" s="134">
        <f>Tie_Break!$D$14</f>
        <v>0</v>
      </c>
      <c r="T416" s="9">
        <f ca="1">RANK(R416,R409:R428)+(9-S416)/10000+(F416="")*1000</f>
        <v>7.0008999999999997</v>
      </c>
      <c r="U416" s="134"/>
      <c r="V416" s="134">
        <f ca="1">IF($K$24=0,"",IF(VLOOKUP(B416,C409:E428,3,0)=MAX(V$4:V415),VLOOKUP(B416,C409:E428,3,0),B416))</f>
        <v>8</v>
      </c>
      <c r="W416" s="4" t="str">
        <f ca="1">IF($K$24=0,Calc2!$C$11,VLOOKUP(B416,C409:N428,4,0))</f>
        <v>SC Freiburg</v>
      </c>
      <c r="X416" s="1">
        <f ca="1">INDEX(V382:V401,MATCH(W416,W382:W401,0))</f>
        <v>9</v>
      </c>
      <c r="Y416" s="1">
        <f t="shared" ca="1" si="79"/>
        <v>1</v>
      </c>
    </row>
    <row r="417" spans="2:25" x14ac:dyDescent="0.2">
      <c r="B417" s="1">
        <v>9</v>
      </c>
      <c r="C417" s="9">
        <f ca="1">RANK(D417,D409:D428,1)</f>
        <v>15</v>
      </c>
      <c r="D417" s="134">
        <f t="shared" ca="1" si="77"/>
        <v>15.417</v>
      </c>
      <c r="E417" s="134">
        <f ca="1">RANK(T417,T409:T428,1)</f>
        <v>15</v>
      </c>
      <c r="F417" s="187" t="str">
        <f>Calc2!$C$12</f>
        <v>FC Augsburg</v>
      </c>
      <c r="G417" s="1">
        <f ca="1">SUMIFS(OFFSET(Calc2!$H$4,,,$F$26*B407,1),OFFSET(Calc2!$F$4,,,$F$26*B407,1),F417)+SUMIFS(OFFSET(Calc2!$I$4,,,$F$26*B407,1),OFFSET(Calc2!$G$4,,,$F$26*B407,1),F417)</f>
        <v>17</v>
      </c>
      <c r="H417" s="1">
        <f ca="1">SUMIFS(OFFSET(Calc2!$I$4,,,$F$26*B407,1),OFFSET(Calc2!$F$4,,,$F$26*B407,1),F417)+SUMIFS(OFFSET(Calc2!$H$4,,,$F$26*B407,1),OFFSET(Calc2!$G$4,,,$F$26*B407,1),F417)</f>
        <v>32</v>
      </c>
      <c r="I417" s="134">
        <f t="shared" ca="1" si="75"/>
        <v>-15</v>
      </c>
      <c r="J417" s="12">
        <f ca="1">L417*Settings!$C$3+M417+O417</f>
        <v>14</v>
      </c>
      <c r="K417" s="1">
        <f t="shared" ca="1" si="78"/>
        <v>16</v>
      </c>
      <c r="L417" s="1">
        <f t="array" aca="1" ref="L417" ca="1">SUMPRODUCT((OFFSET(Calc2!$F$4,,,$F$26*B407,1)=F417)*(OFFSET(Calc2!$H$4,,,$F$26*B407,1)&gt;OFFSET(Calc2!$I$4,,,$F$26*B407,1)))+SUMPRODUCT((OFFSET(Calc2!$G$4,,,$F$26*B407,1)=F417)*(OFFSET(Calc2!$H$4,,,$F$26*B407,1)&lt;OFFSET(Calc2!$I$4,,,$F$26*B407,1)))</f>
        <v>4</v>
      </c>
      <c r="M417" s="1">
        <f t="array" aca="1" ref="M417" ca="1">SUMPRODUCT((OFFSET(Calc2!$F$4,,,$F$26*B407,2)=F417)*(OFFSET(Calc2!$H$4,,,$F$26*B407,1)=OFFSET(Calc2!$I$4,,,$F$26*B407,1))*(OFFSET(Calc2!$H$4,,,$F$26*B407,1)&lt;&gt;"")*(OFFSET(Calc2!$I$4,,,$F$26*B407,1)&lt;&gt;""))</f>
        <v>2</v>
      </c>
      <c r="N417" s="1">
        <f t="array" aca="1" ref="N417" ca="1">SUMPRODUCT((OFFSET(Calc2!$F$4,,,$F$26*B407,1)=F417)*(OFFSET(Calc2!$H$4,,,$F$26*B407,1)&lt;OFFSET(Calc2!$I$4,,,$F$26*B407,1)))+SUMPRODUCT((OFFSET(Calc2!$G$4,,,$F$26*B407,1)=F417)*(OFFSET(Calc2!$H$4,,,$F$26*B407,1)&gt;OFFSET(Calc2!$I$4,,,$F$26*B407,1)))</f>
        <v>10</v>
      </c>
      <c r="O417" s="132">
        <f ca="1">SUMPRODUCT((F417=OFFSET(Calc2!$F$4,,,$F$26*B407,1))*OFFSET(Calc2!$O$4,,,$F$26*B407,1))+SUMPRODUCT((F417=OFFSET(Calc2!$G$4,,,$F$26*B407,1))*OFFSET(Calc2!$P$4,,,$F$26*B407,1))</f>
        <v>0</v>
      </c>
      <c r="P417" s="2"/>
      <c r="Q417" s="2"/>
      <c r="R417" s="13">
        <f t="shared" ca="1" si="76"/>
        <v>14499985017</v>
      </c>
      <c r="S417" s="134">
        <f>Tie_Break!$D$15</f>
        <v>0</v>
      </c>
      <c r="T417" s="9">
        <f ca="1">RANK(R417,R409:R428)+(9-S417)/10000+(F417="")*1000</f>
        <v>15.0009</v>
      </c>
      <c r="U417" s="134"/>
      <c r="V417" s="134">
        <f ca="1">IF($K$24=0,"",IF(VLOOKUP(B417,C409:E428,3,0)=MAX(V$4:V416),VLOOKUP(B417,C409:E428,3,0),B417))</f>
        <v>9</v>
      </c>
      <c r="W417" s="4" t="str">
        <f ca="1">IF($K$24=0,Calc2!$C$12,VLOOKUP(B417,C409:N428,4,0))</f>
        <v>1. FC Union Berlin</v>
      </c>
      <c r="X417" s="1">
        <f ca="1">INDEX(V382:V401,MATCH(W417,W382:W401,0))</f>
        <v>8</v>
      </c>
      <c r="Y417" s="1">
        <f t="shared" ca="1" si="79"/>
        <v>-1</v>
      </c>
    </row>
    <row r="418" spans="2:25" x14ac:dyDescent="0.2">
      <c r="B418" s="1">
        <v>10</v>
      </c>
      <c r="C418" s="9">
        <f ca="1">RANK(D418,D409:D428,1)</f>
        <v>1</v>
      </c>
      <c r="D418" s="134">
        <f t="shared" ca="1" si="77"/>
        <v>1.4179999999999999</v>
      </c>
      <c r="E418" s="134">
        <f ca="1">RANK(T418,T409:T428,1)</f>
        <v>1</v>
      </c>
      <c r="F418" s="187" t="str">
        <f>Calc2!$C$13</f>
        <v>FC Bayern München</v>
      </c>
      <c r="G418" s="1">
        <f ca="1">SUMIFS(OFFSET(Calc2!$H$4,,,$F$26*B407,1),OFFSET(Calc2!$F$4,,,$F$26*B407,1),F418)+SUMIFS(OFFSET(Calc2!$I$4,,,$F$26*B407,1),OFFSET(Calc2!$G$4,,,$F$26*B407,1),F418)</f>
        <v>63</v>
      </c>
      <c r="H418" s="1">
        <f ca="1">SUMIFS(OFFSET(Calc2!$I$4,,,$F$26*B407,1),OFFSET(Calc2!$F$4,,,$F$26*B407,1),F418)+SUMIFS(OFFSET(Calc2!$H$4,,,$F$26*B407,1),OFFSET(Calc2!$G$4,,,$F$26*B407,1),F418)</f>
        <v>12</v>
      </c>
      <c r="I418" s="134">
        <f t="shared" ca="1" si="75"/>
        <v>51</v>
      </c>
      <c r="J418" s="12">
        <f ca="1">L418*Settings!$C$3+M418+O418</f>
        <v>44</v>
      </c>
      <c r="K418" s="1">
        <f t="shared" ca="1" si="78"/>
        <v>16</v>
      </c>
      <c r="L418" s="1">
        <f t="array" aca="1" ref="L418" ca="1">SUMPRODUCT((OFFSET(Calc2!$F$4,,,$F$26*B407,1)=F418)*(OFFSET(Calc2!$H$4,,,$F$26*B407,1)&gt;OFFSET(Calc2!$I$4,,,$F$26*B407,1)))+SUMPRODUCT((OFFSET(Calc2!$G$4,,,$F$26*B407,1)=F418)*(OFFSET(Calc2!$H$4,,,$F$26*B407,1)&lt;OFFSET(Calc2!$I$4,,,$F$26*B407,1)))</f>
        <v>14</v>
      </c>
      <c r="M418" s="1">
        <f t="array" aca="1" ref="M418" ca="1">SUMPRODUCT((OFFSET(Calc2!$F$4,,,$F$26*B407,2)=F418)*(OFFSET(Calc2!$H$4,,,$F$26*B407,1)=OFFSET(Calc2!$I$4,,,$F$26*B407,1))*(OFFSET(Calc2!$H$4,,,$F$26*B407,1)&lt;&gt;"")*(OFFSET(Calc2!$I$4,,,$F$26*B407,1)&lt;&gt;""))</f>
        <v>2</v>
      </c>
      <c r="N418" s="1">
        <f t="array" aca="1" ref="N418" ca="1">SUMPRODUCT((OFFSET(Calc2!$F$4,,,$F$26*B407,1)=F418)*(OFFSET(Calc2!$H$4,,,$F$26*B407,1)&lt;OFFSET(Calc2!$I$4,,,$F$26*B407,1)))+SUMPRODUCT((OFFSET(Calc2!$G$4,,,$F$26*B407,1)=F418)*(OFFSET(Calc2!$H$4,,,$F$26*B407,1)&gt;OFFSET(Calc2!$I$4,,,$F$26*B407,1)))</f>
        <v>0</v>
      </c>
      <c r="O418" s="132">
        <f ca="1">SUMPRODUCT((F418=OFFSET(Calc2!$F$4,,,$F$26*B407,1))*OFFSET(Calc2!$O$4,,,$F$26*B407,1))+SUMPRODUCT((F418=OFFSET(Calc2!$G$4,,,$F$26*B407,1))*OFFSET(Calc2!$P$4,,,$F$26*B407,1))</f>
        <v>0</v>
      </c>
      <c r="P418" s="2"/>
      <c r="Q418" s="2"/>
      <c r="R418" s="13">
        <f t="shared" ca="1" si="76"/>
        <v>44500051063</v>
      </c>
      <c r="S418" s="134">
        <f>Tie_Break!$D$16</f>
        <v>0</v>
      </c>
      <c r="T418" s="9">
        <f ca="1">RANK(R418,R409:R428)+(9-S418)/10000+(F418="")*1000</f>
        <v>1.0008999999999999</v>
      </c>
      <c r="U418" s="2"/>
      <c r="V418" s="134">
        <f ca="1">IF($K$24=0,"",IF(VLOOKUP(B418,C409:E428,3,0)=MAX(V$4:V417),VLOOKUP(B418,C409:E428,3,0),B418))</f>
        <v>10</v>
      </c>
      <c r="W418" s="4" t="str">
        <f ca="1">IF($K$24=0,Calc2!$C$13,VLOOKUP(B418,C409:N428,4,0))</f>
        <v>Borussia Mönchengladbach</v>
      </c>
      <c r="X418" s="1">
        <f ca="1">INDEX(V382:V401,MATCH(W418,W382:W401,0))</f>
        <v>12</v>
      </c>
      <c r="Y418" s="1">
        <f t="shared" ca="1" si="79"/>
        <v>1</v>
      </c>
    </row>
    <row r="419" spans="2:25" x14ac:dyDescent="0.2">
      <c r="B419" s="1">
        <v>11</v>
      </c>
      <c r="C419" s="9">
        <f ca="1">RANK(D419,D409:D428,1)</f>
        <v>16</v>
      </c>
      <c r="D419" s="134">
        <f t="shared" ca="1" si="77"/>
        <v>16.419</v>
      </c>
      <c r="E419" s="134">
        <f ca="1">RANK(T419,T409:T428,1)</f>
        <v>16</v>
      </c>
      <c r="F419" s="187" t="str">
        <f>Calc2!$C$14</f>
        <v>FC St. Pauli</v>
      </c>
      <c r="G419" s="1">
        <f ca="1">SUMIFS(OFFSET(Calc2!$H$4,,,$F$26*B407,1),OFFSET(Calc2!$F$4,,,$F$26*B407,1),F419)+SUMIFS(OFFSET(Calc2!$I$4,,,$F$26*B407,1),OFFSET(Calc2!$G$4,,,$F$26*B407,1),F419)</f>
        <v>14</v>
      </c>
      <c r="H419" s="1">
        <f ca="1">SUMIFS(OFFSET(Calc2!$I$4,,,$F$26*B407,1),OFFSET(Calc2!$F$4,,,$F$26*B407,1),F419)+SUMIFS(OFFSET(Calc2!$H$4,,,$F$26*B407,1),OFFSET(Calc2!$G$4,,,$F$26*B407,1),F419)</f>
        <v>27</v>
      </c>
      <c r="I419" s="134">
        <f t="shared" ca="1" si="75"/>
        <v>-13</v>
      </c>
      <c r="J419" s="12">
        <f ca="1">L419*Settings!$C$3+M419+O419</f>
        <v>13</v>
      </c>
      <c r="K419" s="1">
        <f t="shared" ca="1" si="78"/>
        <v>16</v>
      </c>
      <c r="L419" s="1">
        <f t="array" aca="1" ref="L419" ca="1">SUMPRODUCT((OFFSET(Calc2!$F$4,,,$F$26*B407,1)=F419)*(OFFSET(Calc2!$H$4,,,$F$26*B407,1)&gt;OFFSET(Calc2!$I$4,,,$F$26*B407,1)))+SUMPRODUCT((OFFSET(Calc2!$G$4,,,$F$26*B407,1)=F419)*(OFFSET(Calc2!$H$4,,,$F$26*B407,1)&lt;OFFSET(Calc2!$I$4,,,$F$26*B407,1)))</f>
        <v>3</v>
      </c>
      <c r="M419" s="1">
        <f t="array" aca="1" ref="M419" ca="1">SUMPRODUCT((OFFSET(Calc2!$F$4,,,$F$26*B407,2)=F419)*(OFFSET(Calc2!$H$4,,,$F$26*B407,1)=OFFSET(Calc2!$I$4,,,$F$26*B407,1))*(OFFSET(Calc2!$H$4,,,$F$26*B407,1)&lt;&gt;"")*(OFFSET(Calc2!$I$4,,,$F$26*B407,1)&lt;&gt;""))</f>
        <v>4</v>
      </c>
      <c r="N419" s="1">
        <f t="array" aca="1" ref="N419" ca="1">SUMPRODUCT((OFFSET(Calc2!$F$4,,,$F$26*B407,1)=F419)*(OFFSET(Calc2!$H$4,,,$F$26*B407,1)&lt;OFFSET(Calc2!$I$4,,,$F$26*B407,1)))+SUMPRODUCT((OFFSET(Calc2!$G$4,,,$F$26*B407,1)=F419)*(OFFSET(Calc2!$H$4,,,$F$26*B407,1)&gt;OFFSET(Calc2!$I$4,,,$F$26*B407,1)))</f>
        <v>9</v>
      </c>
      <c r="O419" s="132">
        <f ca="1">SUMPRODUCT((F419=OFFSET(Calc2!$F$4,,,$F$26*B407,1))*OFFSET(Calc2!$O$4,,,$F$26*B407,1))+SUMPRODUCT((F419=OFFSET(Calc2!$G$4,,,$F$26*B407,1))*OFFSET(Calc2!$P$4,,,$F$26*B407,1))</f>
        <v>0</v>
      </c>
      <c r="P419" s="2"/>
      <c r="Q419" s="2"/>
      <c r="R419" s="13">
        <f t="shared" ca="1" si="76"/>
        <v>13499987014</v>
      </c>
      <c r="S419" s="134">
        <f>Tie_Break!$D$17</f>
        <v>0</v>
      </c>
      <c r="T419" s="9">
        <f ca="1">RANK(R419,R409:R428)+(9-S419)/10000+(F419="")*1000</f>
        <v>16.000900000000001</v>
      </c>
      <c r="U419" s="2"/>
      <c r="V419" s="134">
        <f ca="1">IF($K$24=0,"",IF(VLOOKUP(B419,C409:E428,3,0)=MAX(V$4:V418),VLOOKUP(B419,C409:E428,3,0),B419))</f>
        <v>11</v>
      </c>
      <c r="W419" s="4" t="str">
        <f ca="1">IF($K$24=0,Calc2!$C$14,VLOOKUP(B419,C409:N428,4,0))</f>
        <v>1. FC Köln</v>
      </c>
      <c r="X419" s="1">
        <f ca="1">INDEX(V382:V401,MATCH(W419,W382:W401,0))</f>
        <v>11</v>
      </c>
      <c r="Y419" s="1">
        <f t="shared" ca="1" si="79"/>
        <v>0</v>
      </c>
    </row>
    <row r="420" spans="2:25" x14ac:dyDescent="0.2">
      <c r="B420" s="1">
        <v>12</v>
      </c>
      <c r="C420" s="9">
        <f ca="1">RANK(D420,D409:D428,1)</f>
        <v>13</v>
      </c>
      <c r="D420" s="134">
        <f t="shared" ca="1" si="77"/>
        <v>13.42</v>
      </c>
      <c r="E420" s="134">
        <f ca="1">RANK(T420,T409:T428,1)</f>
        <v>13</v>
      </c>
      <c r="F420" s="187" t="str">
        <f>Calc2!$C$15</f>
        <v>Hamburger SV</v>
      </c>
      <c r="G420" s="1">
        <f ca="1">SUMIFS(OFFSET(Calc2!$H$4,,,$F$26*B407,1),OFFSET(Calc2!$F$4,,,$F$26*B407,1),F420)+SUMIFS(OFFSET(Calc2!$I$4,,,$F$26*B407,1),OFFSET(Calc2!$G$4,,,$F$26*B407,1),F420)</f>
        <v>17</v>
      </c>
      <c r="H420" s="1">
        <f ca="1">SUMIFS(OFFSET(Calc2!$I$4,,,$F$26*B407,1),OFFSET(Calc2!$F$4,,,$F$26*B407,1),F420)+SUMIFS(OFFSET(Calc2!$H$4,,,$F$26*B407,1),OFFSET(Calc2!$G$4,,,$F$26*B407,1),F420)</f>
        <v>27</v>
      </c>
      <c r="I420" s="134">
        <f t="shared" ca="1" si="75"/>
        <v>-10</v>
      </c>
      <c r="J420" s="12">
        <f ca="1">L420*Settings!$C$3+M420+O420</f>
        <v>16</v>
      </c>
      <c r="K420" s="1">
        <f t="shared" ca="1" si="78"/>
        <v>16</v>
      </c>
      <c r="L420" s="1">
        <f t="array" aca="1" ref="L420" ca="1">SUMPRODUCT((OFFSET(Calc2!$F$4,,,$F$26*B407,1)=F420)*(OFFSET(Calc2!$H$4,,,$F$26*B407,1)&gt;OFFSET(Calc2!$I$4,,,$F$26*B407,1)))+SUMPRODUCT((OFFSET(Calc2!$G$4,,,$F$26*B407,1)=F420)*(OFFSET(Calc2!$H$4,,,$F$26*B407,1)&lt;OFFSET(Calc2!$I$4,,,$F$26*B407,1)))</f>
        <v>4</v>
      </c>
      <c r="M420" s="1">
        <f t="array" aca="1" ref="M420" ca="1">SUMPRODUCT((OFFSET(Calc2!$F$4,,,$F$26*B407,2)=F420)*(OFFSET(Calc2!$H$4,,,$F$26*B407,1)=OFFSET(Calc2!$I$4,,,$F$26*B407,1))*(OFFSET(Calc2!$H$4,,,$F$26*B407,1)&lt;&gt;"")*(OFFSET(Calc2!$I$4,,,$F$26*B407,1)&lt;&gt;""))</f>
        <v>4</v>
      </c>
      <c r="N420" s="1">
        <f t="array" aca="1" ref="N420" ca="1">SUMPRODUCT((OFFSET(Calc2!$F$4,,,$F$26*B407,1)=F420)*(OFFSET(Calc2!$H$4,,,$F$26*B407,1)&lt;OFFSET(Calc2!$I$4,,,$F$26*B407,1)))+SUMPRODUCT((OFFSET(Calc2!$G$4,,,$F$26*B407,1)=F420)*(OFFSET(Calc2!$H$4,,,$F$26*B407,1)&gt;OFFSET(Calc2!$I$4,,,$F$26*B407,1)))</f>
        <v>8</v>
      </c>
      <c r="O420" s="132">
        <f ca="1">SUMPRODUCT((F420=OFFSET(Calc2!$F$4,,,$F$26*B407,1))*OFFSET(Calc2!$O$4,,,$F$26*B407,1))+SUMPRODUCT((F420=OFFSET(Calc2!$G$4,,,$F$26*B407,1))*OFFSET(Calc2!$P$4,,,$F$26*B407,1))</f>
        <v>0</v>
      </c>
      <c r="P420" s="2"/>
      <c r="Q420" s="2"/>
      <c r="R420" s="13">
        <f t="shared" ca="1" si="76"/>
        <v>16499990017</v>
      </c>
      <c r="S420" s="134">
        <f>Tie_Break!$D$18</f>
        <v>0</v>
      </c>
      <c r="T420" s="9">
        <f ca="1">RANK(R420,R409:R428)+(9-S420)/10000+(F420="")*1000</f>
        <v>13.0009</v>
      </c>
      <c r="U420" s="2"/>
      <c r="V420" s="134">
        <f ca="1">IF($K$24=0,"",IF(VLOOKUP(B420,C409:E428,3,0)=MAX(V$4:V419),VLOOKUP(B420,C409:E428,3,0),B420))</f>
        <v>12</v>
      </c>
      <c r="W420" s="4" t="str">
        <f ca="1">IF($K$24=0,Calc2!$C$15,VLOOKUP(B420,C409:N428,4,0))</f>
        <v>SV Werder Bremen</v>
      </c>
      <c r="X420" s="1">
        <f ca="1">INDEX(V382:V401,MATCH(W420,W382:W401,0))</f>
        <v>10</v>
      </c>
      <c r="Y420" s="1">
        <f t="shared" ca="1" si="79"/>
        <v>-1</v>
      </c>
    </row>
    <row r="421" spans="2:25" x14ac:dyDescent="0.2">
      <c r="B421" s="1">
        <v>13</v>
      </c>
      <c r="C421" s="9">
        <f ca="1">RANK(D421,D409:D428,1)</f>
        <v>3</v>
      </c>
      <c r="D421" s="134">
        <f t="shared" ca="1" si="77"/>
        <v>3.4209999999999998</v>
      </c>
      <c r="E421" s="134">
        <f ca="1">RANK(T421,T409:T428,1)</f>
        <v>3</v>
      </c>
      <c r="F421" s="187" t="str">
        <f>Calc2!$C$16</f>
        <v>RB Leipzig</v>
      </c>
      <c r="G421" s="1">
        <f ca="1">SUMIFS(OFFSET(Calc2!$H$4,,,$F$26*B407,1),OFFSET(Calc2!$F$4,,,$F$26*B407,1),F421)+SUMIFS(OFFSET(Calc2!$I$4,,,$F$26*B407,1),OFFSET(Calc2!$G$4,,,$F$26*B407,1),F421)</f>
        <v>31</v>
      </c>
      <c r="H421" s="1">
        <f ca="1">SUMIFS(OFFSET(Calc2!$I$4,,,$F$26*B407,1),OFFSET(Calc2!$F$4,,,$F$26*B407,1),F421)+SUMIFS(OFFSET(Calc2!$H$4,,,$F$26*B407,1),OFFSET(Calc2!$G$4,,,$F$26*B407,1),F421)</f>
        <v>20</v>
      </c>
      <c r="I421" s="134">
        <f t="shared" ca="1" si="75"/>
        <v>11</v>
      </c>
      <c r="J421" s="12">
        <f ca="1">L421*Settings!$C$3+M421+O421</f>
        <v>30</v>
      </c>
      <c r="K421" s="1">
        <f t="shared" ca="1" si="78"/>
        <v>16</v>
      </c>
      <c r="L421" s="1">
        <f t="array" aca="1" ref="L421" ca="1">SUMPRODUCT((OFFSET(Calc2!$F$4,,,$F$26*B407,1)=F421)*(OFFSET(Calc2!$H$4,,,$F$26*B407,1)&gt;OFFSET(Calc2!$I$4,,,$F$26*B407,1)))+SUMPRODUCT((OFFSET(Calc2!$G$4,,,$F$26*B407,1)=F421)*(OFFSET(Calc2!$H$4,,,$F$26*B407,1)&lt;OFFSET(Calc2!$I$4,,,$F$26*B407,1)))</f>
        <v>9</v>
      </c>
      <c r="M421" s="1">
        <f t="array" aca="1" ref="M421" ca="1">SUMPRODUCT((OFFSET(Calc2!$F$4,,,$F$26*B407,2)=F421)*(OFFSET(Calc2!$H$4,,,$F$26*B407,1)=OFFSET(Calc2!$I$4,,,$F$26*B407,1))*(OFFSET(Calc2!$H$4,,,$F$26*B407,1)&lt;&gt;"")*(OFFSET(Calc2!$I$4,,,$F$26*B407,1)&lt;&gt;""))</f>
        <v>3</v>
      </c>
      <c r="N421" s="1">
        <f t="array" aca="1" ref="N421" ca="1">SUMPRODUCT((OFFSET(Calc2!$F$4,,,$F$26*B407,1)=F421)*(OFFSET(Calc2!$H$4,,,$F$26*B407,1)&lt;OFFSET(Calc2!$I$4,,,$F$26*B407,1)))+SUMPRODUCT((OFFSET(Calc2!$G$4,,,$F$26*B407,1)=F421)*(OFFSET(Calc2!$H$4,,,$F$26*B407,1)&gt;OFFSET(Calc2!$I$4,,,$F$26*B407,1)))</f>
        <v>4</v>
      </c>
      <c r="O421" s="132">
        <f ca="1">SUMPRODUCT((F421=OFFSET(Calc2!$F$4,,,$F$26*B407,1))*OFFSET(Calc2!$O$4,,,$F$26*B407,1))+SUMPRODUCT((F421=OFFSET(Calc2!$G$4,,,$F$26*B407,1))*OFFSET(Calc2!$P$4,,,$F$26*B407,1))</f>
        <v>0</v>
      </c>
      <c r="P421" s="2"/>
      <c r="Q421" s="2"/>
      <c r="R421" s="13">
        <f t="shared" ca="1" si="76"/>
        <v>30500011031</v>
      </c>
      <c r="S421" s="134">
        <f>Tie_Break!$D$19</f>
        <v>0</v>
      </c>
      <c r="T421" s="9">
        <f ca="1">RANK(R421,R409:R428)+(9-S421)/10000+(F421="")*1000</f>
        <v>3.0009000000000001</v>
      </c>
      <c r="U421" s="1"/>
      <c r="V421" s="134">
        <f ca="1">IF($K$24=0,"",IF(VLOOKUP(B421,C409:E428,3,0)=MAX(V$4:V420),VLOOKUP(B421,C409:E428,3,0),B421))</f>
        <v>13</v>
      </c>
      <c r="W421" s="4" t="str">
        <f ca="1">IF($K$24=0,Calc2!$C$16,VLOOKUP(B421,C409:N428,4,0))</f>
        <v>Hamburger SV</v>
      </c>
      <c r="X421" s="1">
        <f ca="1">INDEX(V382:V401,MATCH(W421,W382:W401,0))</f>
        <v>13</v>
      </c>
      <c r="Y421" s="1">
        <f t="shared" ca="1" si="79"/>
        <v>0</v>
      </c>
    </row>
    <row r="422" spans="2:25" x14ac:dyDescent="0.2">
      <c r="B422" s="1">
        <v>14</v>
      </c>
      <c r="C422" s="9">
        <f ca="1">RANK(D422,D409:D428,1)</f>
        <v>8</v>
      </c>
      <c r="D422" s="134">
        <f t="shared" ca="1" si="77"/>
        <v>8.4220000000000006</v>
      </c>
      <c r="E422" s="134">
        <f ca="1">RANK(T422,T409:T428,1)</f>
        <v>8</v>
      </c>
      <c r="F422" s="187" t="str">
        <f>Calc2!$C$17</f>
        <v>SC Freiburg</v>
      </c>
      <c r="G422" s="1">
        <f ca="1">SUMIFS(OFFSET(Calc2!$H$4,,,$F$26*B407,1),OFFSET(Calc2!$F$4,,,$F$26*B407,1),F422)+SUMIFS(OFFSET(Calc2!$I$4,,,$F$26*B407,1),OFFSET(Calc2!$G$4,,,$F$26*B407,1),F422)</f>
        <v>27</v>
      </c>
      <c r="H422" s="1">
        <f ca="1">SUMIFS(OFFSET(Calc2!$I$4,,,$F$26*B407,1),OFFSET(Calc2!$F$4,,,$F$26*B407,1),F422)+SUMIFS(OFFSET(Calc2!$H$4,,,$F$26*B407,1),OFFSET(Calc2!$G$4,,,$F$26*B407,1),F422)</f>
        <v>27</v>
      </c>
      <c r="I422" s="134">
        <f t="shared" ca="1" si="75"/>
        <v>0</v>
      </c>
      <c r="J422" s="12">
        <f ca="1">L422*Settings!$C$3+M422+O422</f>
        <v>23</v>
      </c>
      <c r="K422" s="1">
        <f t="shared" ca="1" si="78"/>
        <v>16</v>
      </c>
      <c r="L422" s="1">
        <f t="array" aca="1" ref="L422" ca="1">SUMPRODUCT((OFFSET(Calc2!$F$4,,,$F$26*B407,1)=F422)*(OFFSET(Calc2!$H$4,,,$F$26*B407,1)&gt;OFFSET(Calc2!$I$4,,,$F$26*B407,1)))+SUMPRODUCT((OFFSET(Calc2!$G$4,,,$F$26*B407,1)=F422)*(OFFSET(Calc2!$H$4,,,$F$26*B407,1)&lt;OFFSET(Calc2!$I$4,,,$F$26*B407,1)))</f>
        <v>6</v>
      </c>
      <c r="M422" s="1">
        <f t="array" aca="1" ref="M422" ca="1">SUMPRODUCT((OFFSET(Calc2!$F$4,,,$F$26*B407,2)=F422)*(OFFSET(Calc2!$H$4,,,$F$26*B407,1)=OFFSET(Calc2!$I$4,,,$F$26*B407,1))*(OFFSET(Calc2!$H$4,,,$F$26*B407,1)&lt;&gt;"")*(OFFSET(Calc2!$I$4,,,$F$26*B407,1)&lt;&gt;""))</f>
        <v>5</v>
      </c>
      <c r="N422" s="1">
        <f t="array" aca="1" ref="N422" ca="1">SUMPRODUCT((OFFSET(Calc2!$F$4,,,$F$26*B407,1)=F422)*(OFFSET(Calc2!$H$4,,,$F$26*B407,1)&lt;OFFSET(Calc2!$I$4,,,$F$26*B407,1)))+SUMPRODUCT((OFFSET(Calc2!$G$4,,,$F$26*B407,1)=F422)*(OFFSET(Calc2!$H$4,,,$F$26*B407,1)&gt;OFFSET(Calc2!$I$4,,,$F$26*B407,1)))</f>
        <v>5</v>
      </c>
      <c r="O422" s="132">
        <f ca="1">SUMPRODUCT((F422=OFFSET(Calc2!$F$4,,,$F$26*B407,1))*OFFSET(Calc2!$O$4,,,$F$26*B407,1))+SUMPRODUCT((F422=OFFSET(Calc2!$G$4,,,$F$26*B407,1))*OFFSET(Calc2!$P$4,,,$F$26*B407,1))</f>
        <v>0</v>
      </c>
      <c r="P422" s="2"/>
      <c r="Q422" s="2"/>
      <c r="R422" s="13">
        <f t="shared" ca="1" si="76"/>
        <v>23500000027</v>
      </c>
      <c r="S422" s="134">
        <f>Tie_Break!$D$20</f>
        <v>0</v>
      </c>
      <c r="T422" s="9">
        <f ca="1">RANK(R422,R409:R428)+(9-S422)/10000+(F422="")*1000</f>
        <v>8.0008999999999997</v>
      </c>
      <c r="U422" s="2"/>
      <c r="V422" s="134">
        <f ca="1">IF($K$24=0,"",IF(VLOOKUP(B422,C409:E428,3,0)=MAX(V$4:V421),VLOOKUP(B422,C409:E428,3,0),B422))</f>
        <v>14</v>
      </c>
      <c r="W422" s="4" t="str">
        <f ca="1">IF($K$24=0,Calc2!$C$17,VLOOKUP(B422,C409:N428,4,0))</f>
        <v>VfL Wolfsburg</v>
      </c>
      <c r="X422" s="1">
        <f ca="1">INDEX(V382:V401,MATCH(W422,W382:W401,0))</f>
        <v>14</v>
      </c>
      <c r="Y422" s="1">
        <f t="shared" ca="1" si="79"/>
        <v>0</v>
      </c>
    </row>
    <row r="423" spans="2:25" x14ac:dyDescent="0.2">
      <c r="B423" s="1">
        <v>15</v>
      </c>
      <c r="C423" s="9">
        <f ca="1">RANK(D423,D409:D428,1)</f>
        <v>12</v>
      </c>
      <c r="D423" s="134">
        <f t="shared" ca="1" si="77"/>
        <v>12.423</v>
      </c>
      <c r="E423" s="134">
        <f ca="1">RANK(T423,T409:T428,1)</f>
        <v>12</v>
      </c>
      <c r="F423" s="187" t="str">
        <f>Calc2!$C$18</f>
        <v>SV Werder Bremen</v>
      </c>
      <c r="G423" s="1">
        <f ca="1">SUMIFS(OFFSET(Calc2!$H$4,,,$F$26*B407,1),OFFSET(Calc2!$F$4,,,$F$26*B407,1),F423)+SUMIFS(OFFSET(Calc2!$I$4,,,$F$26*B407,1),OFFSET(Calc2!$G$4,,,$F$26*B407,1),F423)</f>
        <v>18</v>
      </c>
      <c r="H423" s="1">
        <f ca="1">SUMIFS(OFFSET(Calc2!$I$4,,,$F$26*B407,1),OFFSET(Calc2!$F$4,,,$F$26*B407,1),F423)+SUMIFS(OFFSET(Calc2!$H$4,,,$F$26*B407,1),OFFSET(Calc2!$G$4,,,$F$26*B407,1),F423)</f>
        <v>30</v>
      </c>
      <c r="I423" s="134">
        <f t="shared" ca="1" si="75"/>
        <v>-12</v>
      </c>
      <c r="J423" s="12">
        <f ca="1">L423*Settings!$C$3+M423+O423</f>
        <v>17</v>
      </c>
      <c r="K423" s="1">
        <f t="shared" ca="1" si="78"/>
        <v>16</v>
      </c>
      <c r="L423" s="1">
        <f t="array" aca="1" ref="L423" ca="1">SUMPRODUCT((OFFSET(Calc2!$F$4,,,$F$26*B407,1)=F423)*(OFFSET(Calc2!$H$4,,,$F$26*B407,1)&gt;OFFSET(Calc2!$I$4,,,$F$26*B407,1)))+SUMPRODUCT((OFFSET(Calc2!$G$4,,,$F$26*B407,1)=F423)*(OFFSET(Calc2!$H$4,,,$F$26*B407,1)&lt;OFFSET(Calc2!$I$4,,,$F$26*B407,1)))</f>
        <v>4</v>
      </c>
      <c r="M423" s="1">
        <f t="array" aca="1" ref="M423" ca="1">SUMPRODUCT((OFFSET(Calc2!$F$4,,,$F$26*B407,2)=F423)*(OFFSET(Calc2!$H$4,,,$F$26*B407,1)=OFFSET(Calc2!$I$4,,,$F$26*B407,1))*(OFFSET(Calc2!$H$4,,,$F$26*B407,1)&lt;&gt;"")*(OFFSET(Calc2!$I$4,,,$F$26*B407,1)&lt;&gt;""))</f>
        <v>5</v>
      </c>
      <c r="N423" s="1">
        <f t="array" aca="1" ref="N423" ca="1">SUMPRODUCT((OFFSET(Calc2!$F$4,,,$F$26*B407,1)=F423)*(OFFSET(Calc2!$H$4,,,$F$26*B407,1)&lt;OFFSET(Calc2!$I$4,,,$F$26*B407,1)))+SUMPRODUCT((OFFSET(Calc2!$G$4,,,$F$26*B407,1)=F423)*(OFFSET(Calc2!$H$4,,,$F$26*B407,1)&gt;OFFSET(Calc2!$I$4,,,$F$26*B407,1)))</f>
        <v>7</v>
      </c>
      <c r="O423" s="132">
        <f ca="1">SUMPRODUCT((F423=OFFSET(Calc2!$F$4,,,$F$26*B407,1))*OFFSET(Calc2!$O$4,,,$F$26*B407,1))+SUMPRODUCT((F423=OFFSET(Calc2!$G$4,,,$F$26*B407,1))*OFFSET(Calc2!$P$4,,,$F$26*B407,1))</f>
        <v>0</v>
      </c>
      <c r="P423" s="2"/>
      <c r="Q423" s="2"/>
      <c r="R423" s="13">
        <f t="shared" ca="1" si="76"/>
        <v>17499988018</v>
      </c>
      <c r="S423" s="134">
        <f>Tie_Break!$D$21</f>
        <v>0</v>
      </c>
      <c r="T423" s="9">
        <f ca="1">RANK(R423,R409:R428)+(9-S423)/10000+(F423="")*1000</f>
        <v>12.0009</v>
      </c>
      <c r="U423" s="2"/>
      <c r="V423" s="134">
        <f ca="1">IF($K$24=0,"",IF(VLOOKUP(B423,C409:E428,3,0)=MAX(V$4:V422),VLOOKUP(B423,C409:E428,3,0),B423))</f>
        <v>15</v>
      </c>
      <c r="W423" s="4" t="str">
        <f ca="1">IF($K$24=0,Calc2!$C$18,VLOOKUP(B423,C409:N428,4,0))</f>
        <v>FC Augsburg</v>
      </c>
      <c r="X423" s="1">
        <f ca="1">INDEX(V382:V401,MATCH(W423,W382:W401,0))</f>
        <v>15</v>
      </c>
      <c r="Y423" s="1">
        <f t="shared" ca="1" si="79"/>
        <v>0</v>
      </c>
    </row>
    <row r="424" spans="2:25" x14ac:dyDescent="0.2">
      <c r="B424" s="1">
        <v>16</v>
      </c>
      <c r="C424" s="9">
        <f ca="1">RANK(D424,D409:D428,1)</f>
        <v>4</v>
      </c>
      <c r="D424" s="134">
        <f t="shared" ca="1" si="77"/>
        <v>3.4239999999999999</v>
      </c>
      <c r="E424" s="134">
        <f ca="1">RANK(T424,T409:T428,1)</f>
        <v>3</v>
      </c>
      <c r="F424" s="187" t="str">
        <f>Calc2!$C$19</f>
        <v>TSG Hoffenheim</v>
      </c>
      <c r="G424" s="1">
        <f ca="1">SUMIFS(OFFSET(Calc2!$H$4,,,$F$26*B407,1),OFFSET(Calc2!$F$4,,,$F$26*B407,1),F424)+SUMIFS(OFFSET(Calc2!$I$4,,,$F$26*B407,1),OFFSET(Calc2!$G$4,,,$F$26*B407,1),F424)</f>
        <v>31</v>
      </c>
      <c r="H424" s="1">
        <f ca="1">SUMIFS(OFFSET(Calc2!$I$4,,,$F$26*B407,1),OFFSET(Calc2!$F$4,,,$F$26*B407,1),F424)+SUMIFS(OFFSET(Calc2!$H$4,,,$F$26*B407,1),OFFSET(Calc2!$G$4,,,$F$26*B407,1),F424)</f>
        <v>20</v>
      </c>
      <c r="I424" s="134">
        <f t="shared" ca="1" si="75"/>
        <v>11</v>
      </c>
      <c r="J424" s="12">
        <f ca="1">L424*Settings!$C$3+M424+O424</f>
        <v>30</v>
      </c>
      <c r="K424" s="1">
        <f t="shared" ca="1" si="78"/>
        <v>16</v>
      </c>
      <c r="L424" s="1">
        <f t="array" aca="1" ref="L424" ca="1">SUMPRODUCT((OFFSET(Calc2!$F$4,,,$F$26*B407,1)=F424)*(OFFSET(Calc2!$H$4,,,$F$26*B407,1)&gt;OFFSET(Calc2!$I$4,,,$F$26*B407,1)))+SUMPRODUCT((OFFSET(Calc2!$G$4,,,$F$26*B407,1)=F424)*(OFFSET(Calc2!$H$4,,,$F$26*B407,1)&lt;OFFSET(Calc2!$I$4,,,$F$26*B407,1)))</f>
        <v>9</v>
      </c>
      <c r="M424" s="1">
        <f t="array" aca="1" ref="M424" ca="1">SUMPRODUCT((OFFSET(Calc2!$F$4,,,$F$26*B407,2)=F424)*(OFFSET(Calc2!$H$4,,,$F$26*B407,1)=OFFSET(Calc2!$I$4,,,$F$26*B407,1))*(OFFSET(Calc2!$H$4,,,$F$26*B407,1)&lt;&gt;"")*(OFFSET(Calc2!$I$4,,,$F$26*B407,1)&lt;&gt;""))</f>
        <v>3</v>
      </c>
      <c r="N424" s="1">
        <f t="array" aca="1" ref="N424" ca="1">SUMPRODUCT((OFFSET(Calc2!$F$4,,,$F$26*B407,1)=F424)*(OFFSET(Calc2!$H$4,,,$F$26*B407,1)&lt;OFFSET(Calc2!$I$4,,,$F$26*B407,1)))+SUMPRODUCT((OFFSET(Calc2!$G$4,,,$F$26*B407,1)=F424)*(OFFSET(Calc2!$H$4,,,$F$26*B407,1)&gt;OFFSET(Calc2!$I$4,,,$F$26*B407,1)))</f>
        <v>4</v>
      </c>
      <c r="O424" s="132">
        <f ca="1">SUMPRODUCT((F424=OFFSET(Calc2!$F$4,,,$F$26*B407,1))*OFFSET(Calc2!$O$4,,,$F$26*B407,1))+SUMPRODUCT((F424=OFFSET(Calc2!$G$4,,,$F$26*B407,1))*OFFSET(Calc2!$P$4,,,$F$26*B407,1))</f>
        <v>0</v>
      </c>
      <c r="P424" s="2"/>
      <c r="Q424" s="2"/>
      <c r="R424" s="13">
        <f t="shared" ca="1" si="76"/>
        <v>30500011031</v>
      </c>
      <c r="S424" s="134">
        <f>Tie_Break!$D$22</f>
        <v>0</v>
      </c>
      <c r="T424" s="9">
        <f ca="1">RANK(R424,R409:R428)+(9-S424)/10000+(F424="")*1000</f>
        <v>3.0009000000000001</v>
      </c>
      <c r="U424" s="2"/>
      <c r="V424" s="134">
        <f ca="1">IF($K$24=0,"",IF(VLOOKUP(B424,C409:E428,3,0)=MAX(V$4:V423),VLOOKUP(B424,C409:E428,3,0),B424))</f>
        <v>16</v>
      </c>
      <c r="W424" s="4" t="str">
        <f ca="1">IF($K$24=0,Calc2!$C$19,VLOOKUP(B424,C409:N428,4,0))</f>
        <v>FC St. Pauli</v>
      </c>
      <c r="X424" s="1">
        <f ca="1">INDEX(V382:V401,MATCH(W424,W382:W401,0))</f>
        <v>16</v>
      </c>
      <c r="Y424" s="1">
        <f t="shared" ca="1" si="79"/>
        <v>0</v>
      </c>
    </row>
    <row r="425" spans="2:25" x14ac:dyDescent="0.2">
      <c r="B425" s="1">
        <v>17</v>
      </c>
      <c r="C425" s="9">
        <f ca="1">RANK(D425,D409:D428,1)</f>
        <v>6</v>
      </c>
      <c r="D425" s="134">
        <f t="shared" ca="1" si="77"/>
        <v>6.4249999999999998</v>
      </c>
      <c r="E425" s="134">
        <f ca="1">RANK(T425,T409:T428,1)</f>
        <v>6</v>
      </c>
      <c r="F425" s="187" t="str">
        <f>Calc2!$C$20</f>
        <v>VfB Stuttgart</v>
      </c>
      <c r="G425" s="1">
        <f ca="1">SUMIFS(OFFSET(Calc2!$H$4,,,$F$26*B407,1),OFFSET(Calc2!$F$4,,,$F$26*B407,1),F425)+SUMIFS(OFFSET(Calc2!$I$4,,,$F$26*B407,1),OFFSET(Calc2!$G$4,,,$F$26*B407,1),F425)</f>
        <v>29</v>
      </c>
      <c r="H425" s="1">
        <f ca="1">SUMIFS(OFFSET(Calc2!$I$4,,,$F$26*B407,1),OFFSET(Calc2!$F$4,,,$F$26*B407,1),F425)+SUMIFS(OFFSET(Calc2!$H$4,,,$F$26*B407,1),OFFSET(Calc2!$G$4,,,$F$26*B407,1),F425)</f>
        <v>23</v>
      </c>
      <c r="I425" s="134">
        <f t="shared" ca="1" si="75"/>
        <v>6</v>
      </c>
      <c r="J425" s="12">
        <f ca="1">L425*Settings!$C$3+M425+O425</f>
        <v>29</v>
      </c>
      <c r="K425" s="1">
        <f t="shared" ca="1" si="78"/>
        <v>16</v>
      </c>
      <c r="L425" s="1">
        <f t="array" aca="1" ref="L425" ca="1">SUMPRODUCT((OFFSET(Calc2!$F$4,,,$F$26*B407,1)=F425)*(OFFSET(Calc2!$H$4,,,$F$26*B407,1)&gt;OFFSET(Calc2!$I$4,,,$F$26*B407,1)))+SUMPRODUCT((OFFSET(Calc2!$G$4,,,$F$26*B407,1)=F425)*(OFFSET(Calc2!$H$4,,,$F$26*B407,1)&lt;OFFSET(Calc2!$I$4,,,$F$26*B407,1)))</f>
        <v>9</v>
      </c>
      <c r="M425" s="1">
        <f t="array" aca="1" ref="M425" ca="1">SUMPRODUCT((OFFSET(Calc2!$F$4,,,$F$26*B407,2)=F425)*(OFFSET(Calc2!$H$4,,,$F$26*B407,1)=OFFSET(Calc2!$I$4,,,$F$26*B407,1))*(OFFSET(Calc2!$H$4,,,$F$26*B407,1)&lt;&gt;"")*(OFFSET(Calc2!$I$4,,,$F$26*B407,1)&lt;&gt;""))</f>
        <v>2</v>
      </c>
      <c r="N425" s="1">
        <f t="array" aca="1" ref="N425" ca="1">SUMPRODUCT((OFFSET(Calc2!$F$4,,,$F$26*B407,1)=F425)*(OFFSET(Calc2!$H$4,,,$F$26*B407,1)&lt;OFFSET(Calc2!$I$4,,,$F$26*B407,1)))+SUMPRODUCT((OFFSET(Calc2!$G$4,,,$F$26*B407,1)=F425)*(OFFSET(Calc2!$H$4,,,$F$26*B407,1)&gt;OFFSET(Calc2!$I$4,,,$F$26*B407,1)))</f>
        <v>5</v>
      </c>
      <c r="O425" s="132">
        <f ca="1">SUMPRODUCT((F425=OFFSET(Calc2!$F$4,,,$F$26*B407,1))*OFFSET(Calc2!$O$4,,,$F$26*B407,1))+SUMPRODUCT((F425=OFFSET(Calc2!$G$4,,,$F$26*B407,1))*OFFSET(Calc2!$P$4,,,$F$26*B407,1))</f>
        <v>0</v>
      </c>
      <c r="P425" s="2"/>
      <c r="Q425" s="2"/>
      <c r="R425" s="13">
        <f t="shared" ca="1" si="76"/>
        <v>29500006029</v>
      </c>
      <c r="S425" s="134">
        <f>Tie_Break!$D$23</f>
        <v>0</v>
      </c>
      <c r="T425" s="9">
        <f ca="1">RANK(R425,R409:R428)+(9-S425)/10000+(F425="")*1000</f>
        <v>6.0008999999999997</v>
      </c>
      <c r="U425" s="2"/>
      <c r="V425" s="134">
        <f ca="1">IF($K$24=0,"",IF(VLOOKUP(B425,C409:E428,3,0)=MAX(V$4:V424),VLOOKUP(B425,C409:E428,3,0),B425))</f>
        <v>17</v>
      </c>
      <c r="W425" s="4" t="str">
        <f ca="1">IF($K$24=0,Calc2!$C$20,VLOOKUP(B425,C409:N428,4,0))</f>
        <v>1. FC Heidenheim 1846</v>
      </c>
      <c r="X425" s="1">
        <f ca="1">INDEX(V382:V401,MATCH(W425,W382:W401,0))</f>
        <v>17</v>
      </c>
      <c r="Y425" s="1">
        <f t="shared" ca="1" si="79"/>
        <v>0</v>
      </c>
    </row>
    <row r="426" spans="2:25" x14ac:dyDescent="0.2">
      <c r="B426" s="1">
        <v>18</v>
      </c>
      <c r="C426" s="9">
        <f ca="1">RANK(D426,D409:D428,1)</f>
        <v>14</v>
      </c>
      <c r="D426" s="134">
        <f t="shared" ca="1" si="77"/>
        <v>14.426</v>
      </c>
      <c r="E426" s="134">
        <f ca="1">RANK(T426,T409:T428,1)</f>
        <v>14</v>
      </c>
      <c r="F426" s="187" t="str">
        <f>Calc2!$C$21</f>
        <v>VfL Wolfsburg</v>
      </c>
      <c r="G426" s="1">
        <f ca="1">SUMIFS(OFFSET(Calc2!$H$4,,,$F$26*B407,1),OFFSET(Calc2!$F$4,,,$F$26*B407,1),F426)+SUMIFS(OFFSET(Calc2!$I$4,,,$F$26*B407,1),OFFSET(Calc2!$G$4,,,$F$26*B407,1),F426)</f>
        <v>24</v>
      </c>
      <c r="H426" s="1">
        <f ca="1">SUMIFS(OFFSET(Calc2!$I$4,,,$F$26*B407,1),OFFSET(Calc2!$F$4,,,$F$26*B407,1),F426)+SUMIFS(OFFSET(Calc2!$H$4,,,$F$26*B407,1),OFFSET(Calc2!$G$4,,,$F$26*B407,1),F426)</f>
        <v>36</v>
      </c>
      <c r="I426" s="134">
        <f t="shared" ca="1" si="75"/>
        <v>-12</v>
      </c>
      <c r="J426" s="12">
        <f ca="1">L426*Settings!$C$3+M426+O426</f>
        <v>15</v>
      </c>
      <c r="K426" s="1">
        <f t="shared" ca="1" si="78"/>
        <v>16</v>
      </c>
      <c r="L426" s="1">
        <f t="array" aca="1" ref="L426" ca="1">SUMPRODUCT((OFFSET(Calc2!$F$4,,,$F$26*B407,1)=F426)*(OFFSET(Calc2!$H$4,,,$F$26*B407,1)&gt;OFFSET(Calc2!$I$4,,,$F$26*B407,1)))+SUMPRODUCT((OFFSET(Calc2!$G$4,,,$F$26*B407,1)=F426)*(OFFSET(Calc2!$H$4,,,$F$26*B407,1)&lt;OFFSET(Calc2!$I$4,,,$F$26*B407,1)))</f>
        <v>4</v>
      </c>
      <c r="M426" s="1">
        <f t="array" aca="1" ref="M426" ca="1">SUMPRODUCT((OFFSET(Calc2!$F$4,,,$F$26*B407,2)=F426)*(OFFSET(Calc2!$H$4,,,$F$26*B407,1)=OFFSET(Calc2!$I$4,,,$F$26*B407,1))*(OFFSET(Calc2!$H$4,,,$F$26*B407,1)&lt;&gt;"")*(OFFSET(Calc2!$I$4,,,$F$26*B407,1)&lt;&gt;""))</f>
        <v>3</v>
      </c>
      <c r="N426" s="1">
        <f t="array" aca="1" ref="N426" ca="1">SUMPRODUCT((OFFSET(Calc2!$F$4,,,$F$26*B407,1)=F426)*(OFFSET(Calc2!$H$4,,,$F$26*B407,1)&lt;OFFSET(Calc2!$I$4,,,$F$26*B407,1)))+SUMPRODUCT((OFFSET(Calc2!$G$4,,,$F$26*B407,1)=F426)*(OFFSET(Calc2!$H$4,,,$F$26*B407,1)&gt;OFFSET(Calc2!$I$4,,,$F$26*B407,1)))</f>
        <v>9</v>
      </c>
      <c r="O426" s="132">
        <f ca="1">SUMPRODUCT((F426=OFFSET(Calc2!$F$4,,,$F$26*B407,1))*OFFSET(Calc2!$O$4,,,$F$26*B407,1))+SUMPRODUCT((F426=OFFSET(Calc2!$G$4,,,$F$26*B407,1))*OFFSET(Calc2!$P$4,,,$F$26*B407,1))</f>
        <v>0</v>
      </c>
      <c r="P426" s="2"/>
      <c r="Q426" s="2"/>
      <c r="R426" s="13">
        <f t="shared" ca="1" si="76"/>
        <v>15499988024</v>
      </c>
      <c r="S426" s="134">
        <f>Tie_Break!$D$24</f>
        <v>0</v>
      </c>
      <c r="T426" s="9">
        <f ca="1">RANK(R426,R409:R428)+(9-S426)/10000+(F426="")*1000</f>
        <v>14.0009</v>
      </c>
      <c r="U426" s="2"/>
      <c r="V426" s="134">
        <f ca="1">IF($K$24=0,"",IF(VLOOKUP(B426,C409:E428,3,0)=MAX(V$4:V425),VLOOKUP(B426,C409:E428,3,0),B426))</f>
        <v>18</v>
      </c>
      <c r="W426" s="4" t="str">
        <f ca="1">IF($K$24=0,Calc2!$C$21,VLOOKUP(B426,C409:N428,4,0))</f>
        <v>1. FSV Mainz 05</v>
      </c>
      <c r="X426" s="1">
        <f ca="1">INDEX(V382:V401,MATCH(W426,W382:W401,0))</f>
        <v>18</v>
      </c>
      <c r="Y426" s="1">
        <f t="shared" ca="1" si="79"/>
        <v>0</v>
      </c>
    </row>
    <row r="427" spans="2:25" x14ac:dyDescent="0.2">
      <c r="B427" s="1">
        <v>19</v>
      </c>
      <c r="C427" s="9">
        <f ca="1">RANK(D427,D409:D428,1)</f>
        <v>19</v>
      </c>
      <c r="D427" s="134">
        <f t="shared" ca="1" si="77"/>
        <v>19.427</v>
      </c>
      <c r="E427" s="134">
        <f ca="1">RANK(T427,T409:T428,1)</f>
        <v>19</v>
      </c>
      <c r="F427" s="187" t="str">
        <f>Calc2!$C$22</f>
        <v/>
      </c>
      <c r="G427" s="1">
        <f ca="1">SUMIFS(OFFSET(Calc2!$H$4,,,$F$26*B407,1),OFFSET(Calc2!$F$4,,,$F$26*B407,1),F427)+SUMIFS(OFFSET(Calc2!$I$4,,,$F$26*B407,1),OFFSET(Calc2!$G$4,,,$F$26*B407,1),F427)</f>
        <v>0</v>
      </c>
      <c r="H427" s="1">
        <f ca="1">SUMIFS(OFFSET(Calc2!$I$4,,,$F$26*B407,1),OFFSET(Calc2!$F$4,,,$F$26*B407,1),F427)+SUMIFS(OFFSET(Calc2!$H$4,,,$F$26*B407,1),OFFSET(Calc2!$G$4,,,$F$26*B407,1),F427)</f>
        <v>0</v>
      </c>
      <c r="I427" s="134">
        <f t="shared" ca="1" si="75"/>
        <v>0</v>
      </c>
      <c r="J427" s="12">
        <f ca="1">L427*Settings!$C$3+M427+O427</f>
        <v>0</v>
      </c>
      <c r="K427" s="1">
        <f t="shared" ca="1" si="78"/>
        <v>0</v>
      </c>
      <c r="L427" s="1">
        <f t="array" aca="1" ref="L427" ca="1">SUMPRODUCT((OFFSET(Calc2!$F$4,,,$F$26*B407,1)=F427)*(OFFSET(Calc2!$H$4,,,$F$26*B407,1)&gt;OFFSET(Calc2!$I$4,,,$F$26*B407,1)))+SUMPRODUCT((OFFSET(Calc2!$G$4,,,$F$26*B407,1)=F427)*(OFFSET(Calc2!$H$4,,,$F$26*B407,1)&lt;OFFSET(Calc2!$I$4,,,$F$26*B407,1)))</f>
        <v>0</v>
      </c>
      <c r="M427" s="1">
        <f t="array" aca="1" ref="M427" ca="1">SUMPRODUCT((OFFSET(Calc2!$F$4,,,$F$26*B407,2)=F427)*(OFFSET(Calc2!$H$4,,,$F$26*B407,1)=OFFSET(Calc2!$I$4,,,$F$26*B407,1))*(OFFSET(Calc2!$H$4,,,$F$26*B407,1)&lt;&gt;"")*(OFFSET(Calc2!$I$4,,,$F$26*B407,1)&lt;&gt;""))</f>
        <v>0</v>
      </c>
      <c r="N427" s="1">
        <f t="array" aca="1" ref="N427" ca="1">SUMPRODUCT((OFFSET(Calc2!$F$4,,,$F$26*B407,1)=F427)*(OFFSET(Calc2!$H$4,,,$F$26*B407,1)&lt;OFFSET(Calc2!$I$4,,,$F$26*B407,1)))+SUMPRODUCT((OFFSET(Calc2!$G$4,,,$F$26*B407,1)=F427)*(OFFSET(Calc2!$H$4,,,$F$26*B407,1)&gt;OFFSET(Calc2!$I$4,,,$F$26*B407,1)))</f>
        <v>0</v>
      </c>
      <c r="O427" s="132">
        <f ca="1">SUMPRODUCT((F427=OFFSET(Calc2!$F$4,,,$F$26*B407,1))*OFFSET(Calc2!$O$4,,,$F$26*B407,1))+SUMPRODUCT((F427=OFFSET(Calc2!$G$4,,,$F$26*B407,1))*OFFSET(Calc2!$P$4,,,$F$26*B407,1))</f>
        <v>0</v>
      </c>
      <c r="P427" s="2"/>
      <c r="Q427" s="2"/>
      <c r="R427" s="13">
        <f t="shared" ca="1" si="76"/>
        <v>500000000</v>
      </c>
      <c r="S427" s="134">
        <f>Tie_Break!$D$25</f>
        <v>0</v>
      </c>
      <c r="T427" s="9">
        <f ca="1">RANK(R427,R409:R428)+(9-S427)/10000+(F427="")*1000</f>
        <v>1019.0009</v>
      </c>
      <c r="U427" s="2"/>
      <c r="V427" s="134">
        <f ca="1">IF($K$24=0,"",IF(VLOOKUP(B427,C409:E428,3,0)=MAX(V$4:V426),VLOOKUP(B427,C409:E428,3,0),B427))</f>
        <v>19</v>
      </c>
      <c r="W427" s="4" t="str">
        <f ca="1">IF($K$24=0,Calc2!$C$22,VLOOKUP(B427,C409:N428,4,0))</f>
        <v/>
      </c>
      <c r="X427" s="1">
        <f ca="1">INDEX(V382:V401,MATCH(W427,W382:W401,0))</f>
        <v>19</v>
      </c>
      <c r="Y427" s="1">
        <f t="shared" ca="1" si="79"/>
        <v>0</v>
      </c>
    </row>
    <row r="428" spans="2:25" ht="12.75" thickBot="1" x14ac:dyDescent="0.25">
      <c r="B428" s="1">
        <v>20</v>
      </c>
      <c r="C428" s="10">
        <f ca="1">RANK(D428,D409:D428,1)</f>
        <v>20</v>
      </c>
      <c r="D428" s="134">
        <f t="shared" ca="1" si="77"/>
        <v>19.428000000000001</v>
      </c>
      <c r="E428" s="134">
        <f ca="1">RANK(T428,T409:T428,1)</f>
        <v>19</v>
      </c>
      <c r="F428" s="187" t="str">
        <f>Calc2!$C$23</f>
        <v/>
      </c>
      <c r="G428" s="1">
        <f ca="1">SUMIFS(OFFSET(Calc2!$H$4,,,$F$26*B407,1),OFFSET(Calc2!$F$4,,,$F$26*B407,1),F428)+SUMIFS(OFFSET(Calc2!$I$4,,,$F$26*B407,1),OFFSET(Calc2!$G$4,,,$F$26*B407,1),F428)</f>
        <v>0</v>
      </c>
      <c r="H428" s="1">
        <f ca="1">SUMIFS(OFFSET(Calc2!$I$4,,,$F$26*B407,1),OFFSET(Calc2!$F$4,,,$F$26*B407,1),F428)+SUMIFS(OFFSET(Calc2!$H$4,,,$F$26*B407,1),OFFSET(Calc2!$G$4,,,$F$26*B407,1),F428)</f>
        <v>0</v>
      </c>
      <c r="I428" s="134">
        <f t="shared" ca="1" si="75"/>
        <v>0</v>
      </c>
      <c r="J428" s="12">
        <f ca="1">L428*Settings!$C$3+M428+O428</f>
        <v>0</v>
      </c>
      <c r="K428" s="1">
        <f t="shared" ca="1" si="78"/>
        <v>0</v>
      </c>
      <c r="L428" s="1">
        <f t="array" aca="1" ref="L428" ca="1">SUMPRODUCT((OFFSET(Calc2!$F$4,,,$F$26*B407,1)=F428)*(OFFSET(Calc2!$H$4,,,$F$26*B407,1)&gt;OFFSET(Calc2!$I$4,,,$F$26*B407,1)))+SUMPRODUCT((OFFSET(Calc2!$G$4,,,$F$26*B407,1)=F428)*(OFFSET(Calc2!$H$4,,,$F$26*B407,1)&lt;OFFSET(Calc2!$I$4,,,$F$26*B407,1)))</f>
        <v>0</v>
      </c>
      <c r="M428" s="1">
        <f t="array" aca="1" ref="M428" ca="1">SUMPRODUCT((OFFSET(Calc2!$F$4,,,$F$26*B407,2)=F428)*(OFFSET(Calc2!$H$4,,,$F$26*B407,1)=OFFSET(Calc2!$I$4,,,$F$26*B407,1))*(OFFSET(Calc2!$H$4,,,$F$26*B407,1)&lt;&gt;"")*(OFFSET(Calc2!$I$4,,,$F$26*B407,1)&lt;&gt;""))</f>
        <v>0</v>
      </c>
      <c r="N428" s="1">
        <f t="array" aca="1" ref="N428" ca="1">SUMPRODUCT((OFFSET(Calc2!$F$4,,,$F$26*B407,1)=F428)*(OFFSET(Calc2!$H$4,,,$F$26*B407,1)&lt;OFFSET(Calc2!$I$4,,,$F$26*B407,1)))+SUMPRODUCT((OFFSET(Calc2!$G$4,,,$F$26*B407,1)=F428)*(OFFSET(Calc2!$H$4,,,$F$26*B407,1)&gt;OFFSET(Calc2!$I$4,,,$F$26*B407,1)))</f>
        <v>0</v>
      </c>
      <c r="O428" s="132">
        <f ca="1">SUMPRODUCT((F428=OFFSET(Calc2!$F$4,,,$F$26*B407,1))*OFFSET(Calc2!$O$4,,,$F$26*B407,1))+SUMPRODUCT((F428=OFFSET(Calc2!$G$4,,,$F$26*B407,1))*OFFSET(Calc2!$P$4,,,$F$26*B407,1))</f>
        <v>0</v>
      </c>
      <c r="P428" s="2"/>
      <c r="Q428" s="2"/>
      <c r="R428" s="13">
        <f t="shared" ca="1" si="76"/>
        <v>500000000</v>
      </c>
      <c r="S428" s="134">
        <f>Tie_Break!$D$26</f>
        <v>0</v>
      </c>
      <c r="T428" s="10">
        <f ca="1">RANK(R428,R409:R428)+(9-S428)/10000+(F428="")*1000</f>
        <v>1019.0009</v>
      </c>
      <c r="U428" s="2"/>
      <c r="V428" s="134">
        <f ca="1">IF($K$24=0,"",IF(VLOOKUP(B428,C409:E428,3,0)=MAX(V$4:V427),VLOOKUP(B428,C409:E428,3,0),B428))</f>
        <v>19</v>
      </c>
      <c r="W428" s="4" t="str">
        <f ca="1">IF($K$24=0,Calc2!$C$23,VLOOKUP(B428,C409:N428,4,0))</f>
        <v/>
      </c>
      <c r="X428" s="1">
        <f ca="1">INDEX(V382:V401,MATCH(W428,W382:W401,0))</f>
        <v>19</v>
      </c>
      <c r="Y428" s="1">
        <f t="shared" ca="1" si="79"/>
        <v>0</v>
      </c>
    </row>
    <row r="429" spans="2:25" ht="12.75" thickTop="1" x14ac:dyDescent="0.2"/>
    <row r="433" spans="2:25" ht="12.75" thickBot="1" x14ac:dyDescent="0.25"/>
    <row r="434" spans="2:25" ht="12.75" thickBot="1" x14ac:dyDescent="0.25">
      <c r="B434" s="410">
        <v>17</v>
      </c>
      <c r="C434" s="134"/>
      <c r="D434" s="134"/>
      <c r="E434" s="134"/>
      <c r="F434" s="187"/>
      <c r="G434" s="1"/>
      <c r="H434" s="1"/>
      <c r="I434" s="1"/>
      <c r="J434" s="1"/>
      <c r="K434" s="1"/>
      <c r="L434" s="1"/>
      <c r="M434" s="1"/>
      <c r="N434" s="134"/>
      <c r="O434" s="1"/>
      <c r="P434" s="1"/>
      <c r="Q434" s="1"/>
      <c r="R434" s="2"/>
      <c r="S434" s="2"/>
      <c r="T434" s="2"/>
      <c r="U434" s="2"/>
      <c r="V434" s="2"/>
      <c r="W434" s="2"/>
    </row>
    <row r="435" spans="2:25" ht="15.75" thickBot="1" x14ac:dyDescent="0.25">
      <c r="B435" s="1"/>
      <c r="C435" s="134"/>
      <c r="D435" s="134"/>
      <c r="E435" s="134"/>
      <c r="F435" s="11" t="s">
        <v>90</v>
      </c>
      <c r="G435" s="42" t="s">
        <v>95</v>
      </c>
      <c r="H435" s="42" t="s">
        <v>96</v>
      </c>
      <c r="I435" s="11" t="s">
        <v>97</v>
      </c>
      <c r="J435" s="11" t="s">
        <v>98</v>
      </c>
      <c r="K435" s="11" t="s">
        <v>91</v>
      </c>
      <c r="L435" s="12" t="s">
        <v>92</v>
      </c>
      <c r="M435" s="12" t="s">
        <v>93</v>
      </c>
      <c r="N435" s="12" t="s">
        <v>94</v>
      </c>
      <c r="O435" s="12" t="s">
        <v>534</v>
      </c>
      <c r="P435" s="2"/>
      <c r="Q435" s="11"/>
      <c r="R435" s="133" t="s">
        <v>99</v>
      </c>
      <c r="S435" s="6" t="s">
        <v>483</v>
      </c>
      <c r="T435" s="120" t="s">
        <v>146</v>
      </c>
      <c r="U435" s="134"/>
      <c r="V435" s="134"/>
      <c r="W435" s="132"/>
      <c r="X435" s="120" t="s">
        <v>575</v>
      </c>
      <c r="Y435" s="1"/>
    </row>
    <row r="436" spans="2:25" ht="12.75" thickTop="1" x14ac:dyDescent="0.2">
      <c r="B436" s="1">
        <v>1</v>
      </c>
      <c r="C436" s="8">
        <f ca="1">RANK(D436,D436:D455,1)</f>
        <v>18</v>
      </c>
      <c r="D436" s="134">
        <f ca="1">E436+ROW()/1000</f>
        <v>18.436</v>
      </c>
      <c r="E436" s="134">
        <f ca="1">RANK(T436,T436:T455,1)</f>
        <v>18</v>
      </c>
      <c r="F436" s="187" t="str">
        <f>Calc2!$C$4</f>
        <v>1. FC Heidenheim 1846</v>
      </c>
      <c r="G436" s="1">
        <f ca="1">SUMIFS(OFFSET(Calc2!$H$4,,,$F$26*B434,1),OFFSET(Calc2!$F$4,,,$F$26*B434,1),F436)+SUMIFS(OFFSET(Calc2!$I$4,,,$F$26*B434,1),OFFSET(Calc2!$G$4,,,$F$26*B434,1),F436)</f>
        <v>16</v>
      </c>
      <c r="H436" s="1">
        <f ca="1">SUMIFS(OFFSET(Calc2!$I$4,,,$F$26*B434,1),OFFSET(Calc2!$F$4,,,$F$26*B434,1),F436)+SUMIFS(OFFSET(Calc2!$H$4,,,$F$26*B434,1),OFFSET(Calc2!$G$4,,,$F$26*B434,1),F436)</f>
        <v>38</v>
      </c>
      <c r="I436" s="134">
        <f t="shared" ref="I436:I455" ca="1" si="80">G436-H436</f>
        <v>-22</v>
      </c>
      <c r="J436" s="12">
        <f ca="1">L436*Settings!$C$3+M436+O436</f>
        <v>12</v>
      </c>
      <c r="K436" s="1">
        <f ca="1">L436+M436+N436</f>
        <v>17</v>
      </c>
      <c r="L436" s="1">
        <f t="array" aca="1" ref="L436" ca="1">SUMPRODUCT((OFFSET(Calc2!$F$4,,,$F$26*B434,1)=F436)*(OFFSET(Calc2!$H$4,,,$F$26*B434,1)&gt;OFFSET(Calc2!$I$4,,,$F$26*B434,1)))+SUMPRODUCT((OFFSET(Calc2!$G$4,,,$F$26*B434,1)=F436)*(OFFSET(Calc2!$H$4,,,$F$26*B434,1)&lt;OFFSET(Calc2!$I$4,,,$F$26*B434,1)))</f>
        <v>3</v>
      </c>
      <c r="M436" s="1">
        <f t="array" aca="1" ref="M436" ca="1">SUMPRODUCT((OFFSET(Calc2!$F$4,,,$F$26*B434,2)=F436)*(OFFSET(Calc2!$H$4,,,$F$26*B434,1)=OFFSET(Calc2!$I$4,,,$F$26*B434,1))*(OFFSET(Calc2!$H$4,,,$F$26*B434,1)&lt;&gt;"")*(OFFSET(Calc2!$I$4,,,$F$26*B434,1)&lt;&gt;""))</f>
        <v>3</v>
      </c>
      <c r="N436" s="1">
        <f t="array" aca="1" ref="N436" ca="1">SUMPRODUCT((OFFSET(Calc2!$F$4,,,$F$26*B434,1)=F436)*(OFFSET(Calc2!$H$4,,,$F$26*B434,1)&lt;OFFSET(Calc2!$I$4,,,$F$26*B434,1)))+SUMPRODUCT((OFFSET(Calc2!$G$4,,,$F$26*B434,1)=F436)*(OFFSET(Calc2!$H$4,,,$F$26*B434,1)&gt;OFFSET(Calc2!$I$4,,,$F$26*B434,1)))</f>
        <v>11</v>
      </c>
      <c r="O436" s="132">
        <f ca="1">SUMPRODUCT((F436=OFFSET(Calc2!$F$4,,,$F$26*B434,1))*OFFSET(Calc2!$O$4,,,$F$26*B434,1))+SUMPRODUCT((F436=OFFSET(Calc2!$G$4,,,$F$26*B434,1))*OFFSET(Calc2!$P$4,,,$F$26*B434,1))</f>
        <v>0</v>
      </c>
      <c r="P436" s="2"/>
      <c r="Q436" s="2"/>
      <c r="R436" s="13">
        <f t="shared" ref="R436:R455" ca="1" si="81">J436*FactorPts+(I436+GDzero)*FactorGD+G436*FactorGF</f>
        <v>12499978016</v>
      </c>
      <c r="S436" s="134">
        <f>Tie_Break!$D$7</f>
        <v>0</v>
      </c>
      <c r="T436" s="8">
        <f ca="1">RANK(R436,R436:R455)+(9-S436)/10000+(F436="")*1000</f>
        <v>18.000900000000001</v>
      </c>
      <c r="U436" s="134"/>
      <c r="V436" s="134">
        <f ca="1">IF($K$24=0,"",1)</f>
        <v>1</v>
      </c>
      <c r="W436" s="4" t="str">
        <f ca="1">IF($K$24=0,Calc2!$C$4,VLOOKUP(B436,C436:N455,4,0))</f>
        <v>FC Bayern München</v>
      </c>
      <c r="X436" s="1">
        <f ca="1">INDEX(V409:V428,MATCH(W436,W409:W428,0))</f>
        <v>1</v>
      </c>
      <c r="Y436" s="1">
        <f ca="1">IF(X436&gt;V436,1,IF(X436&lt;V436,-1,0))</f>
        <v>0</v>
      </c>
    </row>
    <row r="437" spans="2:25" x14ac:dyDescent="0.2">
      <c r="B437" s="1">
        <v>2</v>
      </c>
      <c r="C437" s="9">
        <f ca="1">RANK(D437,D436:D455,1)</f>
        <v>12</v>
      </c>
      <c r="D437" s="134">
        <f t="shared" ref="D437:D455" ca="1" si="82">E437+ROW()/1000</f>
        <v>12.436999999999999</v>
      </c>
      <c r="E437" s="134">
        <f ca="1">RANK(T437,T436:T455,1)</f>
        <v>12</v>
      </c>
      <c r="F437" s="187" t="str">
        <f>Calc2!$C$5</f>
        <v>1. FC Köln</v>
      </c>
      <c r="G437" s="1">
        <f ca="1">SUMIFS(OFFSET(Calc2!$H$4,,,$F$26*B434,1),OFFSET(Calc2!$F$4,,,$F$26*B434,1),F437)+SUMIFS(OFFSET(Calc2!$I$4,,,$F$26*B434,1),OFFSET(Calc2!$G$4,,,$F$26*B434,1),F437)</f>
        <v>25</v>
      </c>
      <c r="H437" s="1">
        <f ca="1">SUMIFS(OFFSET(Calc2!$I$4,,,$F$26*B434,1),OFFSET(Calc2!$F$4,,,$F$26*B434,1),F437)+SUMIFS(OFFSET(Calc2!$H$4,,,$F$26*B434,1),OFFSET(Calc2!$G$4,,,$F$26*B434,1),F437)</f>
        <v>29</v>
      </c>
      <c r="I437" s="134">
        <f t="shared" ca="1" si="80"/>
        <v>-4</v>
      </c>
      <c r="J437" s="12">
        <f ca="1">L437*Settings!$C$3+M437+O437</f>
        <v>17</v>
      </c>
      <c r="K437" s="1">
        <f t="shared" ref="K437:K455" ca="1" si="83">L437+M437+N437</f>
        <v>17</v>
      </c>
      <c r="L437" s="1">
        <f t="array" aca="1" ref="L437" ca="1">SUMPRODUCT((OFFSET(Calc2!$F$4,,,$F$26*B434,1)=F437)*(OFFSET(Calc2!$H$4,,,$F$26*B434,1)&gt;OFFSET(Calc2!$I$4,,,$F$26*B434,1)))+SUMPRODUCT((OFFSET(Calc2!$G$4,,,$F$26*B434,1)=F437)*(OFFSET(Calc2!$H$4,,,$F$26*B434,1)&lt;OFFSET(Calc2!$I$4,,,$F$26*B434,1)))</f>
        <v>4</v>
      </c>
      <c r="M437" s="1">
        <f t="array" aca="1" ref="M437" ca="1">SUMPRODUCT((OFFSET(Calc2!$F$4,,,$F$26*B434,2)=F437)*(OFFSET(Calc2!$H$4,,,$F$26*B434,1)=OFFSET(Calc2!$I$4,,,$F$26*B434,1))*(OFFSET(Calc2!$H$4,,,$F$26*B434,1)&lt;&gt;"")*(OFFSET(Calc2!$I$4,,,$F$26*B434,1)&lt;&gt;""))</f>
        <v>5</v>
      </c>
      <c r="N437" s="1">
        <f t="array" aca="1" ref="N437" ca="1">SUMPRODUCT((OFFSET(Calc2!$F$4,,,$F$26*B434,1)=F437)*(OFFSET(Calc2!$H$4,,,$F$26*B434,1)&lt;OFFSET(Calc2!$I$4,,,$F$26*B434,1)))+SUMPRODUCT((OFFSET(Calc2!$G$4,,,$F$26*B434,1)=F437)*(OFFSET(Calc2!$H$4,,,$F$26*B434,1)&gt;OFFSET(Calc2!$I$4,,,$F$26*B434,1)))</f>
        <v>8</v>
      </c>
      <c r="O437" s="132">
        <f ca="1">SUMPRODUCT((F437=OFFSET(Calc2!$F$4,,,$F$26*B434,1))*OFFSET(Calc2!$O$4,,,$F$26*B434,1))+SUMPRODUCT((F437=OFFSET(Calc2!$G$4,,,$F$26*B434,1))*OFFSET(Calc2!$P$4,,,$F$26*B434,1))</f>
        <v>0</v>
      </c>
      <c r="P437" s="2"/>
      <c r="Q437" s="2"/>
      <c r="R437" s="13">
        <f t="shared" ca="1" si="81"/>
        <v>17499996025</v>
      </c>
      <c r="S437" s="134">
        <f>Tie_Break!$D$8</f>
        <v>0</v>
      </c>
      <c r="T437" s="9">
        <f ca="1">RANK(R437,R436:R455)+(9-S437)/10000+(F437="")*1000</f>
        <v>12.0009</v>
      </c>
      <c r="U437" s="134"/>
      <c r="V437" s="134">
        <f ca="1">IF($K$24=0,"",IF(VLOOKUP(B437,C436:E455,3,0)=MAX(V$4:V436),VLOOKUP(B437,C436:E455,3,0),B437))</f>
        <v>2</v>
      </c>
      <c r="W437" s="4" t="str">
        <f ca="1">IF($K$24=0,Calc2!$C$5,VLOOKUP(B437,C436:N455,4,0))</f>
        <v>Borussia Dortmund</v>
      </c>
      <c r="X437" s="1">
        <f ca="1">INDEX(V409:V428,MATCH(W437,W409:W428,0))</f>
        <v>2</v>
      </c>
      <c r="Y437" s="1">
        <f t="shared" ref="Y437:Y455" ca="1" si="84">IF(X437&gt;V437,1,IF(X437&lt;V437,-1,0))</f>
        <v>0</v>
      </c>
    </row>
    <row r="438" spans="2:25" x14ac:dyDescent="0.2">
      <c r="B438" s="1">
        <v>3</v>
      </c>
      <c r="C438" s="9">
        <f ca="1">RANK(D438,D436:D455,1)</f>
        <v>9</v>
      </c>
      <c r="D438" s="134">
        <f t="shared" ca="1" si="82"/>
        <v>9.4380000000000006</v>
      </c>
      <c r="E438" s="134">
        <f ca="1">RANK(T438,T436:T455,1)</f>
        <v>9</v>
      </c>
      <c r="F438" s="187" t="str">
        <f>Calc2!$C$6</f>
        <v>1. FC Union Berlin</v>
      </c>
      <c r="G438" s="1">
        <f ca="1">SUMIFS(OFFSET(Calc2!$H$4,,,$F$26*B434,1),OFFSET(Calc2!$F$4,,,$F$26*B434,1),F438)+SUMIFS(OFFSET(Calc2!$I$4,,,$F$26*B434,1),OFFSET(Calc2!$G$4,,,$F$26*B434,1),F438)</f>
        <v>23</v>
      </c>
      <c r="H438" s="1">
        <f ca="1">SUMIFS(OFFSET(Calc2!$I$4,,,$F$26*B434,1),OFFSET(Calc2!$F$4,,,$F$26*B434,1),F438)+SUMIFS(OFFSET(Calc2!$H$4,,,$F$26*B434,1),OFFSET(Calc2!$G$4,,,$F$26*B434,1),F438)</f>
        <v>26</v>
      </c>
      <c r="I438" s="134">
        <f t="shared" ca="1" si="80"/>
        <v>-3</v>
      </c>
      <c r="J438" s="12">
        <f ca="1">L438*Settings!$C$3+M438+O438</f>
        <v>23</v>
      </c>
      <c r="K438" s="1">
        <f t="shared" ca="1" si="83"/>
        <v>17</v>
      </c>
      <c r="L438" s="1">
        <f t="array" aca="1" ref="L438" ca="1">SUMPRODUCT((OFFSET(Calc2!$F$4,,,$F$26*B434,1)=F438)*(OFFSET(Calc2!$H$4,,,$F$26*B434,1)&gt;OFFSET(Calc2!$I$4,,,$F$26*B434,1)))+SUMPRODUCT((OFFSET(Calc2!$G$4,,,$F$26*B434,1)=F438)*(OFFSET(Calc2!$H$4,,,$F$26*B434,1)&lt;OFFSET(Calc2!$I$4,,,$F$26*B434,1)))</f>
        <v>6</v>
      </c>
      <c r="M438" s="1">
        <f t="array" aca="1" ref="M438" ca="1">SUMPRODUCT((OFFSET(Calc2!$F$4,,,$F$26*B434,2)=F438)*(OFFSET(Calc2!$H$4,,,$F$26*B434,1)=OFFSET(Calc2!$I$4,,,$F$26*B434,1))*(OFFSET(Calc2!$H$4,,,$F$26*B434,1)&lt;&gt;"")*(OFFSET(Calc2!$I$4,,,$F$26*B434,1)&lt;&gt;""))</f>
        <v>5</v>
      </c>
      <c r="N438" s="1">
        <f t="array" aca="1" ref="N438" ca="1">SUMPRODUCT((OFFSET(Calc2!$F$4,,,$F$26*B434,1)=F438)*(OFFSET(Calc2!$H$4,,,$F$26*B434,1)&lt;OFFSET(Calc2!$I$4,,,$F$26*B434,1)))+SUMPRODUCT((OFFSET(Calc2!$G$4,,,$F$26*B434,1)=F438)*(OFFSET(Calc2!$H$4,,,$F$26*B434,1)&gt;OFFSET(Calc2!$I$4,,,$F$26*B434,1)))</f>
        <v>6</v>
      </c>
      <c r="O438" s="132">
        <f ca="1">SUMPRODUCT((F438=OFFSET(Calc2!$F$4,,,$F$26*B434,1))*OFFSET(Calc2!$O$4,,,$F$26*B434,1))+SUMPRODUCT((F438=OFFSET(Calc2!$G$4,,,$F$26*B434,1))*OFFSET(Calc2!$P$4,,,$F$26*B434,1))</f>
        <v>0</v>
      </c>
      <c r="P438" s="2"/>
      <c r="Q438" s="2"/>
      <c r="R438" s="13">
        <f t="shared" ca="1" si="81"/>
        <v>23499997023</v>
      </c>
      <c r="S438" s="134">
        <f>Tie_Break!$D$9</f>
        <v>0</v>
      </c>
      <c r="T438" s="9">
        <f ca="1">RANK(R438,R436:R455)+(9-S438)/10000+(F438="")*1000</f>
        <v>9.0008999999999997</v>
      </c>
      <c r="U438" s="134"/>
      <c r="V438" s="134">
        <f ca="1">IF($K$24=0,"",IF(VLOOKUP(B438,C436:E455,3,0)=MAX(V$4:V437),VLOOKUP(B438,C436:E455,3,0),B438))</f>
        <v>3</v>
      </c>
      <c r="W438" s="4" t="str">
        <f ca="1">IF($K$24=0,Calc2!$C$6,VLOOKUP(B438,C436:N455,4,0))</f>
        <v>TSG Hoffenheim</v>
      </c>
      <c r="X438" s="1">
        <f ca="1">INDEX(V409:V428,MATCH(W438,W409:W428,0))</f>
        <v>4</v>
      </c>
      <c r="Y438" s="1">
        <f t="shared" ca="1" si="84"/>
        <v>1</v>
      </c>
    </row>
    <row r="439" spans="2:25" x14ac:dyDescent="0.2">
      <c r="B439" s="1">
        <v>4</v>
      </c>
      <c r="C439" s="9">
        <f ca="1">RANK(D439,D436:D455,1)</f>
        <v>17</v>
      </c>
      <c r="D439" s="134">
        <f t="shared" ca="1" si="82"/>
        <v>17.439</v>
      </c>
      <c r="E439" s="134">
        <f ca="1">RANK(T439,T436:T455,1)</f>
        <v>17</v>
      </c>
      <c r="F439" s="187" t="str">
        <f>Calc2!$C$7</f>
        <v>1. FSV Mainz 05</v>
      </c>
      <c r="G439" s="1">
        <f ca="1">SUMIFS(OFFSET(Calc2!$H$4,,,$F$26*B434,1),OFFSET(Calc2!$F$4,,,$F$26*B434,1),F439)+SUMIFS(OFFSET(Calc2!$I$4,,,$F$26*B434,1),OFFSET(Calc2!$G$4,,,$F$26*B434,1),F439)</f>
        <v>17</v>
      </c>
      <c r="H439" s="1">
        <f ca="1">SUMIFS(OFFSET(Calc2!$I$4,,,$F$26*B434,1),OFFSET(Calc2!$F$4,,,$F$26*B434,1),F439)+SUMIFS(OFFSET(Calc2!$H$4,,,$F$26*B434,1),OFFSET(Calc2!$G$4,,,$F$26*B434,1),F439)</f>
        <v>29</v>
      </c>
      <c r="I439" s="134">
        <f t="shared" ca="1" si="80"/>
        <v>-12</v>
      </c>
      <c r="J439" s="12">
        <f ca="1">L439*Settings!$C$3+M439+O439</f>
        <v>12</v>
      </c>
      <c r="K439" s="1">
        <f t="shared" ca="1" si="83"/>
        <v>17</v>
      </c>
      <c r="L439" s="1">
        <f t="array" aca="1" ref="L439" ca="1">SUMPRODUCT((OFFSET(Calc2!$F$4,,,$F$26*B434,1)=F439)*(OFFSET(Calc2!$H$4,,,$F$26*B434,1)&gt;OFFSET(Calc2!$I$4,,,$F$26*B434,1)))+SUMPRODUCT((OFFSET(Calc2!$G$4,,,$F$26*B434,1)=F439)*(OFFSET(Calc2!$H$4,,,$F$26*B434,1)&lt;OFFSET(Calc2!$I$4,,,$F$26*B434,1)))</f>
        <v>2</v>
      </c>
      <c r="M439" s="1">
        <f t="array" aca="1" ref="M439" ca="1">SUMPRODUCT((OFFSET(Calc2!$F$4,,,$F$26*B434,2)=F439)*(OFFSET(Calc2!$H$4,,,$F$26*B434,1)=OFFSET(Calc2!$I$4,,,$F$26*B434,1))*(OFFSET(Calc2!$H$4,,,$F$26*B434,1)&lt;&gt;"")*(OFFSET(Calc2!$I$4,,,$F$26*B434,1)&lt;&gt;""))</f>
        <v>6</v>
      </c>
      <c r="N439" s="1">
        <f t="array" aca="1" ref="N439" ca="1">SUMPRODUCT((OFFSET(Calc2!$F$4,,,$F$26*B434,1)=F439)*(OFFSET(Calc2!$H$4,,,$F$26*B434,1)&lt;OFFSET(Calc2!$I$4,,,$F$26*B434,1)))+SUMPRODUCT((OFFSET(Calc2!$G$4,,,$F$26*B434,1)=F439)*(OFFSET(Calc2!$H$4,,,$F$26*B434,1)&gt;OFFSET(Calc2!$I$4,,,$F$26*B434,1)))</f>
        <v>9</v>
      </c>
      <c r="O439" s="132">
        <f ca="1">SUMPRODUCT((F439=OFFSET(Calc2!$F$4,,,$F$26*B434,1))*OFFSET(Calc2!$O$4,,,$F$26*B434,1))+SUMPRODUCT((F439=OFFSET(Calc2!$G$4,,,$F$26*B434,1))*OFFSET(Calc2!$P$4,,,$F$26*B434,1))</f>
        <v>0</v>
      </c>
      <c r="P439" s="2"/>
      <c r="Q439" s="2"/>
      <c r="R439" s="13">
        <f t="shared" ca="1" si="81"/>
        <v>12499988017</v>
      </c>
      <c r="S439" s="134">
        <f>Tie_Break!$D$10</f>
        <v>0</v>
      </c>
      <c r="T439" s="9">
        <f ca="1">RANK(R439,R436:R455)+(9-S439)/10000+(F439="")*1000</f>
        <v>17.000900000000001</v>
      </c>
      <c r="U439" s="134"/>
      <c r="V439" s="134">
        <f ca="1">IF($K$24=0,"",IF(VLOOKUP(B439,C436:E455,3,0)=MAX(V$4:V438),VLOOKUP(B439,C436:E455,3,0),B439))</f>
        <v>4</v>
      </c>
      <c r="W439" s="4" t="str">
        <f ca="1">IF($K$24=0,Calc2!$C$7,VLOOKUP(B439,C436:N455,4,0))</f>
        <v>RB Leipzig</v>
      </c>
      <c r="X439" s="1">
        <f ca="1">INDEX(V409:V428,MATCH(W439,W409:W428,0))</f>
        <v>3</v>
      </c>
      <c r="Y439" s="1">
        <f t="shared" ca="1" si="84"/>
        <v>-1</v>
      </c>
    </row>
    <row r="440" spans="2:25" x14ac:dyDescent="0.2">
      <c r="B440" s="1">
        <v>5</v>
      </c>
      <c r="C440" s="9">
        <f ca="1">RANK(D440,D436:D455,1)</f>
        <v>5</v>
      </c>
      <c r="D440" s="134">
        <f t="shared" ca="1" si="82"/>
        <v>5.44</v>
      </c>
      <c r="E440" s="134">
        <f ca="1">RANK(T440,T436:T455,1)</f>
        <v>5</v>
      </c>
      <c r="F440" s="187" t="str">
        <f>Calc2!$C$8</f>
        <v>Bayer 04 Leverkusen</v>
      </c>
      <c r="G440" s="1">
        <f ca="1">SUMIFS(OFFSET(Calc2!$H$4,,,$F$26*B434,1),OFFSET(Calc2!$F$4,,,$F$26*B434,1),F440)+SUMIFS(OFFSET(Calc2!$I$4,,,$F$26*B434,1),OFFSET(Calc2!$G$4,,,$F$26*B434,1),F440)</f>
        <v>35</v>
      </c>
      <c r="H440" s="1">
        <f ca="1">SUMIFS(OFFSET(Calc2!$I$4,,,$F$26*B434,1),OFFSET(Calc2!$F$4,,,$F$26*B434,1),F440)+SUMIFS(OFFSET(Calc2!$H$4,,,$F$26*B434,1),OFFSET(Calc2!$G$4,,,$F$26*B434,1),F440)</f>
        <v>24</v>
      </c>
      <c r="I440" s="134">
        <f t="shared" ca="1" si="80"/>
        <v>11</v>
      </c>
      <c r="J440" s="12">
        <f ca="1">L440*Settings!$C$3+M440+O440</f>
        <v>32</v>
      </c>
      <c r="K440" s="1">
        <f t="shared" ca="1" si="83"/>
        <v>17</v>
      </c>
      <c r="L440" s="1">
        <f t="array" aca="1" ref="L440" ca="1">SUMPRODUCT((OFFSET(Calc2!$F$4,,,$F$26*B434,1)=F440)*(OFFSET(Calc2!$H$4,,,$F$26*B434,1)&gt;OFFSET(Calc2!$I$4,,,$F$26*B434,1)))+SUMPRODUCT((OFFSET(Calc2!$G$4,,,$F$26*B434,1)=F440)*(OFFSET(Calc2!$H$4,,,$F$26*B434,1)&lt;OFFSET(Calc2!$I$4,,,$F$26*B434,1)))</f>
        <v>10</v>
      </c>
      <c r="M440" s="1">
        <f t="array" aca="1" ref="M440" ca="1">SUMPRODUCT((OFFSET(Calc2!$F$4,,,$F$26*B434,2)=F440)*(OFFSET(Calc2!$H$4,,,$F$26*B434,1)=OFFSET(Calc2!$I$4,,,$F$26*B434,1))*(OFFSET(Calc2!$H$4,,,$F$26*B434,1)&lt;&gt;"")*(OFFSET(Calc2!$I$4,,,$F$26*B434,1)&lt;&gt;""))</f>
        <v>2</v>
      </c>
      <c r="N440" s="1">
        <f t="array" aca="1" ref="N440" ca="1">SUMPRODUCT((OFFSET(Calc2!$F$4,,,$F$26*B434,1)=F440)*(OFFSET(Calc2!$H$4,,,$F$26*B434,1)&lt;OFFSET(Calc2!$I$4,,,$F$26*B434,1)))+SUMPRODUCT((OFFSET(Calc2!$G$4,,,$F$26*B434,1)=F440)*(OFFSET(Calc2!$H$4,,,$F$26*B434,1)&gt;OFFSET(Calc2!$I$4,,,$F$26*B434,1)))</f>
        <v>5</v>
      </c>
      <c r="O440" s="132">
        <f ca="1">SUMPRODUCT((F440=OFFSET(Calc2!$F$4,,,$F$26*B434,1))*OFFSET(Calc2!$O$4,,,$F$26*B434,1))+SUMPRODUCT((F440=OFFSET(Calc2!$G$4,,,$F$26*B434,1))*OFFSET(Calc2!$P$4,,,$F$26*B434,1))</f>
        <v>0</v>
      </c>
      <c r="P440" s="2"/>
      <c r="Q440" s="2"/>
      <c r="R440" s="13">
        <f t="shared" ca="1" si="81"/>
        <v>32500011035</v>
      </c>
      <c r="S440" s="134">
        <f>Tie_Break!$D$11</f>
        <v>0</v>
      </c>
      <c r="T440" s="9">
        <f ca="1">RANK(R440,R436:R455)+(9-S440)/10000+(F440="")*1000</f>
        <v>5.0008999999999997</v>
      </c>
      <c r="U440" s="134"/>
      <c r="V440" s="134">
        <f ca="1">IF($K$24=0,"",IF(VLOOKUP(B440,C436:E455,3,0)=MAX(V$4:V439),VLOOKUP(B440,C436:E455,3,0),B440))</f>
        <v>5</v>
      </c>
      <c r="W440" s="4" t="str">
        <f ca="1">IF($K$24=0,Calc2!$C$8,VLOOKUP(B440,C436:N455,4,0))</f>
        <v>Bayer 04 Leverkusen</v>
      </c>
      <c r="X440" s="1">
        <f ca="1">INDEX(V409:V428,MATCH(W440,W409:W428,0))</f>
        <v>5</v>
      </c>
      <c r="Y440" s="1">
        <f t="shared" ca="1" si="84"/>
        <v>0</v>
      </c>
    </row>
    <row r="441" spans="2:25" x14ac:dyDescent="0.2">
      <c r="B441" s="1">
        <v>6</v>
      </c>
      <c r="C441" s="9">
        <f ca="1">RANK(D441,D436:D455,1)</f>
        <v>2</v>
      </c>
      <c r="D441" s="134">
        <f t="shared" ca="1" si="82"/>
        <v>2.4409999999999998</v>
      </c>
      <c r="E441" s="134">
        <f ca="1">RANK(T441,T436:T455,1)</f>
        <v>2</v>
      </c>
      <c r="F441" s="187" t="str">
        <f>Calc2!$C$9</f>
        <v>Borussia Dortmund</v>
      </c>
      <c r="G441" s="1">
        <f ca="1">SUMIFS(OFFSET(Calc2!$H$4,,,$F$26*B434,1),OFFSET(Calc2!$F$4,,,$F$26*B434,1),F441)+SUMIFS(OFFSET(Calc2!$I$4,,,$F$26*B434,1),OFFSET(Calc2!$G$4,,,$F$26*B434,1),F441)</f>
        <v>32</v>
      </c>
      <c r="H441" s="1">
        <f ca="1">SUMIFS(OFFSET(Calc2!$I$4,,,$F$26*B434,1),OFFSET(Calc2!$F$4,,,$F$26*B434,1),F441)+SUMIFS(OFFSET(Calc2!$H$4,,,$F$26*B434,1),OFFSET(Calc2!$G$4,,,$F$26*B434,1),F441)</f>
        <v>15</v>
      </c>
      <c r="I441" s="134">
        <f t="shared" ca="1" si="80"/>
        <v>17</v>
      </c>
      <c r="J441" s="12">
        <f ca="1">L441*Settings!$C$3+M441+O441</f>
        <v>36</v>
      </c>
      <c r="K441" s="1">
        <f t="shared" ca="1" si="83"/>
        <v>17</v>
      </c>
      <c r="L441" s="1">
        <f t="array" aca="1" ref="L441" ca="1">SUMPRODUCT((OFFSET(Calc2!$F$4,,,$F$26*B434,1)=F441)*(OFFSET(Calc2!$H$4,,,$F$26*B434,1)&gt;OFFSET(Calc2!$I$4,,,$F$26*B434,1)))+SUMPRODUCT((OFFSET(Calc2!$G$4,,,$F$26*B434,1)=F441)*(OFFSET(Calc2!$H$4,,,$F$26*B434,1)&lt;OFFSET(Calc2!$I$4,,,$F$26*B434,1)))</f>
        <v>10</v>
      </c>
      <c r="M441" s="1">
        <f t="array" aca="1" ref="M441" ca="1">SUMPRODUCT((OFFSET(Calc2!$F$4,,,$F$26*B434,2)=F441)*(OFFSET(Calc2!$H$4,,,$F$26*B434,1)=OFFSET(Calc2!$I$4,,,$F$26*B434,1))*(OFFSET(Calc2!$H$4,,,$F$26*B434,1)&lt;&gt;"")*(OFFSET(Calc2!$I$4,,,$F$26*B434,1)&lt;&gt;""))</f>
        <v>6</v>
      </c>
      <c r="N441" s="1">
        <f t="array" aca="1" ref="N441" ca="1">SUMPRODUCT((OFFSET(Calc2!$F$4,,,$F$26*B434,1)=F441)*(OFFSET(Calc2!$H$4,,,$F$26*B434,1)&lt;OFFSET(Calc2!$I$4,,,$F$26*B434,1)))+SUMPRODUCT((OFFSET(Calc2!$G$4,,,$F$26*B434,1)=F441)*(OFFSET(Calc2!$H$4,,,$F$26*B434,1)&gt;OFFSET(Calc2!$I$4,,,$F$26*B434,1)))</f>
        <v>1</v>
      </c>
      <c r="O441" s="132">
        <f ca="1">SUMPRODUCT((F441=OFFSET(Calc2!$F$4,,,$F$26*B434,1))*OFFSET(Calc2!$O$4,,,$F$26*B434,1))+SUMPRODUCT((F441=OFFSET(Calc2!$G$4,,,$F$26*B434,1))*OFFSET(Calc2!$P$4,,,$F$26*B434,1))</f>
        <v>0</v>
      </c>
      <c r="P441" s="2"/>
      <c r="Q441" s="2"/>
      <c r="R441" s="13">
        <f t="shared" ca="1" si="81"/>
        <v>36500017032</v>
      </c>
      <c r="S441" s="134">
        <f>Tie_Break!$D$12</f>
        <v>0</v>
      </c>
      <c r="T441" s="9">
        <f ca="1">RANK(R441,R436:R455)+(9-S441)/10000+(F441="")*1000</f>
        <v>2.0009000000000001</v>
      </c>
      <c r="U441" s="134"/>
      <c r="V441" s="134">
        <f ca="1">IF($K$24=0,"",IF(VLOOKUP(B441,C436:E455,3,0)=MAX(V$4:V440),VLOOKUP(B441,C436:E455,3,0),B441))</f>
        <v>6</v>
      </c>
      <c r="W441" s="4" t="str">
        <f ca="1">IF($K$24=0,Calc2!$C$9,VLOOKUP(B441,C436:N455,4,0))</f>
        <v>VfB Stuttgart</v>
      </c>
      <c r="X441" s="1">
        <f ca="1">INDEX(V409:V428,MATCH(W441,W409:W428,0))</f>
        <v>6</v>
      </c>
      <c r="Y441" s="1">
        <f t="shared" ca="1" si="84"/>
        <v>0</v>
      </c>
    </row>
    <row r="442" spans="2:25" x14ac:dyDescent="0.2">
      <c r="B442" s="1">
        <v>7</v>
      </c>
      <c r="C442" s="9">
        <f ca="1">RANK(D442,D436:D455,1)</f>
        <v>10</v>
      </c>
      <c r="D442" s="134">
        <f t="shared" ca="1" si="82"/>
        <v>10.442</v>
      </c>
      <c r="E442" s="134">
        <f ca="1">RANK(T442,T436:T455,1)</f>
        <v>10</v>
      </c>
      <c r="F442" s="187" t="str">
        <f>Calc2!$C$10</f>
        <v>Borussia Mönchengladbach</v>
      </c>
      <c r="G442" s="1">
        <f ca="1">SUMIFS(OFFSET(Calc2!$H$4,,,$F$26*B434,1),OFFSET(Calc2!$F$4,,,$F$26*B434,1),F442)+SUMIFS(OFFSET(Calc2!$I$4,,,$F$26*B434,1),OFFSET(Calc2!$G$4,,,$F$26*B434,1),F442)</f>
        <v>23</v>
      </c>
      <c r="H442" s="1">
        <f ca="1">SUMIFS(OFFSET(Calc2!$I$4,,,$F$26*B434,1),OFFSET(Calc2!$F$4,,,$F$26*B434,1),F442)+SUMIFS(OFFSET(Calc2!$H$4,,,$F$26*B434,1),OFFSET(Calc2!$G$4,,,$F$26*B434,1),F442)</f>
        <v>29</v>
      </c>
      <c r="I442" s="134">
        <f t="shared" ca="1" si="80"/>
        <v>-6</v>
      </c>
      <c r="J442" s="12">
        <f ca="1">L442*Settings!$C$3+M442+O442</f>
        <v>19</v>
      </c>
      <c r="K442" s="1">
        <f t="shared" ca="1" si="83"/>
        <v>17</v>
      </c>
      <c r="L442" s="1">
        <f t="array" aca="1" ref="L442" ca="1">SUMPRODUCT((OFFSET(Calc2!$F$4,,,$F$26*B434,1)=F442)*(OFFSET(Calc2!$H$4,,,$F$26*B434,1)&gt;OFFSET(Calc2!$I$4,,,$F$26*B434,1)))+SUMPRODUCT((OFFSET(Calc2!$G$4,,,$F$26*B434,1)=F442)*(OFFSET(Calc2!$H$4,,,$F$26*B434,1)&lt;OFFSET(Calc2!$I$4,,,$F$26*B434,1)))</f>
        <v>5</v>
      </c>
      <c r="M442" s="1">
        <f t="array" aca="1" ref="M442" ca="1">SUMPRODUCT((OFFSET(Calc2!$F$4,,,$F$26*B434,2)=F442)*(OFFSET(Calc2!$H$4,,,$F$26*B434,1)=OFFSET(Calc2!$I$4,,,$F$26*B434,1))*(OFFSET(Calc2!$H$4,,,$F$26*B434,1)&lt;&gt;"")*(OFFSET(Calc2!$I$4,,,$F$26*B434,1)&lt;&gt;""))</f>
        <v>4</v>
      </c>
      <c r="N442" s="1">
        <f t="array" aca="1" ref="N442" ca="1">SUMPRODUCT((OFFSET(Calc2!$F$4,,,$F$26*B434,1)=F442)*(OFFSET(Calc2!$H$4,,,$F$26*B434,1)&lt;OFFSET(Calc2!$I$4,,,$F$26*B434,1)))+SUMPRODUCT((OFFSET(Calc2!$G$4,,,$F$26*B434,1)=F442)*(OFFSET(Calc2!$H$4,,,$F$26*B434,1)&gt;OFFSET(Calc2!$I$4,,,$F$26*B434,1)))</f>
        <v>8</v>
      </c>
      <c r="O442" s="132">
        <f ca="1">SUMPRODUCT((F442=OFFSET(Calc2!$F$4,,,$F$26*B434,1))*OFFSET(Calc2!$O$4,,,$F$26*B434,1))+SUMPRODUCT((F442=OFFSET(Calc2!$G$4,,,$F$26*B434,1))*OFFSET(Calc2!$P$4,,,$F$26*B434,1))</f>
        <v>0</v>
      </c>
      <c r="P442" s="2"/>
      <c r="Q442" s="2"/>
      <c r="R442" s="13">
        <f t="shared" ca="1" si="81"/>
        <v>19499994023</v>
      </c>
      <c r="S442" s="134">
        <f>Tie_Break!$D$13</f>
        <v>0</v>
      </c>
      <c r="T442" s="9">
        <f ca="1">RANK(R442,R436:R455)+(9-S442)/10000+(F442="")*1000</f>
        <v>10.0009</v>
      </c>
      <c r="U442" s="134"/>
      <c r="V442" s="134">
        <f ca="1">IF($K$24=0,"",IF(VLOOKUP(B442,C436:E455,3,0)=MAX(V$4:V441),VLOOKUP(B442,C436:E455,3,0),B442))</f>
        <v>7</v>
      </c>
      <c r="W442" s="4" t="str">
        <f ca="1">IF($K$24=0,Calc2!$C$10,VLOOKUP(B442,C436:N455,4,0))</f>
        <v>Eintracht Frankfurt</v>
      </c>
      <c r="X442" s="1">
        <f ca="1">INDEX(V409:V428,MATCH(W442,W409:W428,0))</f>
        <v>7</v>
      </c>
      <c r="Y442" s="1">
        <f t="shared" ca="1" si="84"/>
        <v>0</v>
      </c>
    </row>
    <row r="443" spans="2:25" x14ac:dyDescent="0.2">
      <c r="B443" s="1">
        <v>8</v>
      </c>
      <c r="C443" s="9">
        <f ca="1">RANK(D443,D436:D455,1)</f>
        <v>7</v>
      </c>
      <c r="D443" s="134">
        <f t="shared" ca="1" si="82"/>
        <v>7.4429999999999996</v>
      </c>
      <c r="E443" s="134">
        <f ca="1">RANK(T443,T436:T455,1)</f>
        <v>7</v>
      </c>
      <c r="F443" s="187" t="str">
        <f>Calc2!$C$11</f>
        <v>Eintracht Frankfurt</v>
      </c>
      <c r="G443" s="1">
        <f ca="1">SUMIFS(OFFSET(Calc2!$H$4,,,$F$26*B434,1),OFFSET(Calc2!$F$4,,,$F$26*B434,1),F443)+SUMIFS(OFFSET(Calc2!$I$4,,,$F$26*B434,1),OFFSET(Calc2!$G$4,,,$F$26*B434,1),F443)</f>
        <v>35</v>
      </c>
      <c r="H443" s="1">
        <f ca="1">SUMIFS(OFFSET(Calc2!$I$4,,,$F$26*B434,1),OFFSET(Calc2!$F$4,,,$F$26*B434,1),F443)+SUMIFS(OFFSET(Calc2!$H$4,,,$F$26*B434,1),OFFSET(Calc2!$G$4,,,$F$26*B434,1),F443)</f>
        <v>36</v>
      </c>
      <c r="I443" s="134">
        <f t="shared" ca="1" si="80"/>
        <v>-1</v>
      </c>
      <c r="J443" s="12">
        <f ca="1">L443*Settings!$C$3+M443+O443</f>
        <v>26</v>
      </c>
      <c r="K443" s="1">
        <f t="shared" ca="1" si="83"/>
        <v>17</v>
      </c>
      <c r="L443" s="1">
        <f t="array" aca="1" ref="L443" ca="1">SUMPRODUCT((OFFSET(Calc2!$F$4,,,$F$26*B434,1)=F443)*(OFFSET(Calc2!$H$4,,,$F$26*B434,1)&gt;OFFSET(Calc2!$I$4,,,$F$26*B434,1)))+SUMPRODUCT((OFFSET(Calc2!$G$4,,,$F$26*B434,1)=F443)*(OFFSET(Calc2!$H$4,,,$F$26*B434,1)&lt;OFFSET(Calc2!$I$4,,,$F$26*B434,1)))</f>
        <v>7</v>
      </c>
      <c r="M443" s="1">
        <f t="array" aca="1" ref="M443" ca="1">SUMPRODUCT((OFFSET(Calc2!$F$4,,,$F$26*B434,2)=F443)*(OFFSET(Calc2!$H$4,,,$F$26*B434,1)=OFFSET(Calc2!$I$4,,,$F$26*B434,1))*(OFFSET(Calc2!$H$4,,,$F$26*B434,1)&lt;&gt;"")*(OFFSET(Calc2!$I$4,,,$F$26*B434,1)&lt;&gt;""))</f>
        <v>5</v>
      </c>
      <c r="N443" s="1">
        <f t="array" aca="1" ref="N443" ca="1">SUMPRODUCT((OFFSET(Calc2!$F$4,,,$F$26*B434,1)=F443)*(OFFSET(Calc2!$H$4,,,$F$26*B434,1)&lt;OFFSET(Calc2!$I$4,,,$F$26*B434,1)))+SUMPRODUCT((OFFSET(Calc2!$G$4,,,$F$26*B434,1)=F443)*(OFFSET(Calc2!$H$4,,,$F$26*B434,1)&gt;OFFSET(Calc2!$I$4,,,$F$26*B434,1)))</f>
        <v>5</v>
      </c>
      <c r="O443" s="132">
        <f ca="1">SUMPRODUCT((F443=OFFSET(Calc2!$F$4,,,$F$26*B434,1))*OFFSET(Calc2!$O$4,,,$F$26*B434,1))+SUMPRODUCT((F443=OFFSET(Calc2!$G$4,,,$F$26*B434,1))*OFFSET(Calc2!$P$4,,,$F$26*B434,1))</f>
        <v>0</v>
      </c>
      <c r="P443" s="2"/>
      <c r="Q443" s="2"/>
      <c r="R443" s="13">
        <f t="shared" ca="1" si="81"/>
        <v>26499999035</v>
      </c>
      <c r="S443" s="134">
        <f>Tie_Break!$D$14</f>
        <v>0</v>
      </c>
      <c r="T443" s="9">
        <f ca="1">RANK(R443,R436:R455)+(9-S443)/10000+(F443="")*1000</f>
        <v>7.0008999999999997</v>
      </c>
      <c r="U443" s="134"/>
      <c r="V443" s="134">
        <f ca="1">IF($K$24=0,"",IF(VLOOKUP(B443,C436:E455,3,0)=MAX(V$4:V442),VLOOKUP(B443,C436:E455,3,0),B443))</f>
        <v>8</v>
      </c>
      <c r="W443" s="4" t="str">
        <f ca="1">IF($K$24=0,Calc2!$C$11,VLOOKUP(B443,C436:N455,4,0))</f>
        <v>SC Freiburg</v>
      </c>
      <c r="X443" s="1">
        <f ca="1">INDEX(V409:V428,MATCH(W443,W409:W428,0))</f>
        <v>8</v>
      </c>
      <c r="Y443" s="1">
        <f t="shared" ca="1" si="84"/>
        <v>0</v>
      </c>
    </row>
    <row r="444" spans="2:25" x14ac:dyDescent="0.2">
      <c r="B444" s="1">
        <v>9</v>
      </c>
      <c r="C444" s="9">
        <f ca="1">RANK(D444,D436:D455,1)</f>
        <v>15</v>
      </c>
      <c r="D444" s="134">
        <f t="shared" ca="1" si="82"/>
        <v>15.444000000000001</v>
      </c>
      <c r="E444" s="134">
        <f ca="1">RANK(T444,T436:T455,1)</f>
        <v>15</v>
      </c>
      <c r="F444" s="187" t="str">
        <f>Calc2!$C$12</f>
        <v>FC Augsburg</v>
      </c>
      <c r="G444" s="1">
        <f ca="1">SUMIFS(OFFSET(Calc2!$H$4,,,$F$26*B434,1),OFFSET(Calc2!$F$4,,,$F$26*B434,1),F444)+SUMIFS(OFFSET(Calc2!$I$4,,,$F$26*B434,1),OFFSET(Calc2!$G$4,,,$F$26*B434,1),F444)</f>
        <v>18</v>
      </c>
      <c r="H444" s="1">
        <f ca="1">SUMIFS(OFFSET(Calc2!$I$4,,,$F$26*B434,1),OFFSET(Calc2!$F$4,,,$F$26*B434,1),F444)+SUMIFS(OFFSET(Calc2!$H$4,,,$F$26*B434,1),OFFSET(Calc2!$G$4,,,$F$26*B434,1),F444)</f>
        <v>33</v>
      </c>
      <c r="I444" s="134">
        <f t="shared" ca="1" si="80"/>
        <v>-15</v>
      </c>
      <c r="J444" s="12">
        <f ca="1">L444*Settings!$C$3+M444+O444</f>
        <v>15</v>
      </c>
      <c r="K444" s="1">
        <f t="shared" ca="1" si="83"/>
        <v>17</v>
      </c>
      <c r="L444" s="1">
        <f t="array" aca="1" ref="L444" ca="1">SUMPRODUCT((OFFSET(Calc2!$F$4,,,$F$26*B434,1)=F444)*(OFFSET(Calc2!$H$4,,,$F$26*B434,1)&gt;OFFSET(Calc2!$I$4,,,$F$26*B434,1)))+SUMPRODUCT((OFFSET(Calc2!$G$4,,,$F$26*B434,1)=F444)*(OFFSET(Calc2!$H$4,,,$F$26*B434,1)&lt;OFFSET(Calc2!$I$4,,,$F$26*B434,1)))</f>
        <v>4</v>
      </c>
      <c r="M444" s="1">
        <f t="array" aca="1" ref="M444" ca="1">SUMPRODUCT((OFFSET(Calc2!$F$4,,,$F$26*B434,2)=F444)*(OFFSET(Calc2!$H$4,,,$F$26*B434,1)=OFFSET(Calc2!$I$4,,,$F$26*B434,1))*(OFFSET(Calc2!$H$4,,,$F$26*B434,1)&lt;&gt;"")*(OFFSET(Calc2!$I$4,,,$F$26*B434,1)&lt;&gt;""))</f>
        <v>3</v>
      </c>
      <c r="N444" s="1">
        <f t="array" aca="1" ref="N444" ca="1">SUMPRODUCT((OFFSET(Calc2!$F$4,,,$F$26*B434,1)=F444)*(OFFSET(Calc2!$H$4,,,$F$26*B434,1)&lt;OFFSET(Calc2!$I$4,,,$F$26*B434,1)))+SUMPRODUCT((OFFSET(Calc2!$G$4,,,$F$26*B434,1)=F444)*(OFFSET(Calc2!$H$4,,,$F$26*B434,1)&gt;OFFSET(Calc2!$I$4,,,$F$26*B434,1)))</f>
        <v>10</v>
      </c>
      <c r="O444" s="132">
        <f ca="1">SUMPRODUCT((F444=OFFSET(Calc2!$F$4,,,$F$26*B434,1))*OFFSET(Calc2!$O$4,,,$F$26*B434,1))+SUMPRODUCT((F444=OFFSET(Calc2!$G$4,,,$F$26*B434,1))*OFFSET(Calc2!$P$4,,,$F$26*B434,1))</f>
        <v>0</v>
      </c>
      <c r="P444" s="2"/>
      <c r="Q444" s="2"/>
      <c r="R444" s="13">
        <f t="shared" ca="1" si="81"/>
        <v>15499985018</v>
      </c>
      <c r="S444" s="134">
        <f>Tie_Break!$D$15</f>
        <v>0</v>
      </c>
      <c r="T444" s="9">
        <f ca="1">RANK(R444,R436:R455)+(9-S444)/10000+(F444="")*1000</f>
        <v>15.0009</v>
      </c>
      <c r="U444" s="134"/>
      <c r="V444" s="134">
        <f ca="1">IF($K$24=0,"",IF(VLOOKUP(B444,C436:E455,3,0)=MAX(V$4:V443),VLOOKUP(B444,C436:E455,3,0),B444))</f>
        <v>9</v>
      </c>
      <c r="W444" s="4" t="str">
        <f ca="1">IF($K$24=0,Calc2!$C$12,VLOOKUP(B444,C436:N455,4,0))</f>
        <v>1. FC Union Berlin</v>
      </c>
      <c r="X444" s="1">
        <f ca="1">INDEX(V409:V428,MATCH(W444,W409:W428,0))</f>
        <v>9</v>
      </c>
      <c r="Y444" s="1">
        <f t="shared" ca="1" si="84"/>
        <v>0</v>
      </c>
    </row>
    <row r="445" spans="2:25" x14ac:dyDescent="0.2">
      <c r="B445" s="1">
        <v>10</v>
      </c>
      <c r="C445" s="9">
        <f ca="1">RANK(D445,D436:D455,1)</f>
        <v>1</v>
      </c>
      <c r="D445" s="134">
        <f t="shared" ca="1" si="82"/>
        <v>1.4450000000000001</v>
      </c>
      <c r="E445" s="134">
        <f ca="1">RANK(T445,T436:T455,1)</f>
        <v>1</v>
      </c>
      <c r="F445" s="187" t="str">
        <f>Calc2!$C$13</f>
        <v>FC Bayern München</v>
      </c>
      <c r="G445" s="1">
        <f ca="1">SUMIFS(OFFSET(Calc2!$H$4,,,$F$26*B434,1),OFFSET(Calc2!$F$4,,,$F$26*B434,1),F445)+SUMIFS(OFFSET(Calc2!$I$4,,,$F$26*B434,1),OFFSET(Calc2!$G$4,,,$F$26*B434,1),F445)</f>
        <v>66</v>
      </c>
      <c r="H445" s="1">
        <f ca="1">SUMIFS(OFFSET(Calc2!$I$4,,,$F$26*B434,1),OFFSET(Calc2!$F$4,,,$F$26*B434,1),F445)+SUMIFS(OFFSET(Calc2!$H$4,,,$F$26*B434,1),OFFSET(Calc2!$G$4,,,$F$26*B434,1),F445)</f>
        <v>13</v>
      </c>
      <c r="I445" s="134">
        <f t="shared" ca="1" si="80"/>
        <v>53</v>
      </c>
      <c r="J445" s="12">
        <f ca="1">L445*Settings!$C$3+M445+O445</f>
        <v>47</v>
      </c>
      <c r="K445" s="1">
        <f t="shared" ca="1" si="83"/>
        <v>17</v>
      </c>
      <c r="L445" s="1">
        <f t="array" aca="1" ref="L445" ca="1">SUMPRODUCT((OFFSET(Calc2!$F$4,,,$F$26*B434,1)=F445)*(OFFSET(Calc2!$H$4,,,$F$26*B434,1)&gt;OFFSET(Calc2!$I$4,,,$F$26*B434,1)))+SUMPRODUCT((OFFSET(Calc2!$G$4,,,$F$26*B434,1)=F445)*(OFFSET(Calc2!$H$4,,,$F$26*B434,1)&lt;OFFSET(Calc2!$I$4,,,$F$26*B434,1)))</f>
        <v>15</v>
      </c>
      <c r="M445" s="1">
        <f t="array" aca="1" ref="M445" ca="1">SUMPRODUCT((OFFSET(Calc2!$F$4,,,$F$26*B434,2)=F445)*(OFFSET(Calc2!$H$4,,,$F$26*B434,1)=OFFSET(Calc2!$I$4,,,$F$26*B434,1))*(OFFSET(Calc2!$H$4,,,$F$26*B434,1)&lt;&gt;"")*(OFFSET(Calc2!$I$4,,,$F$26*B434,1)&lt;&gt;""))</f>
        <v>2</v>
      </c>
      <c r="N445" s="1">
        <f t="array" aca="1" ref="N445" ca="1">SUMPRODUCT((OFFSET(Calc2!$F$4,,,$F$26*B434,1)=F445)*(OFFSET(Calc2!$H$4,,,$F$26*B434,1)&lt;OFFSET(Calc2!$I$4,,,$F$26*B434,1)))+SUMPRODUCT((OFFSET(Calc2!$G$4,,,$F$26*B434,1)=F445)*(OFFSET(Calc2!$H$4,,,$F$26*B434,1)&gt;OFFSET(Calc2!$I$4,,,$F$26*B434,1)))</f>
        <v>0</v>
      </c>
      <c r="O445" s="132">
        <f ca="1">SUMPRODUCT((F445=OFFSET(Calc2!$F$4,,,$F$26*B434,1))*OFFSET(Calc2!$O$4,,,$F$26*B434,1))+SUMPRODUCT((F445=OFFSET(Calc2!$G$4,,,$F$26*B434,1))*OFFSET(Calc2!$P$4,,,$F$26*B434,1))</f>
        <v>0</v>
      </c>
      <c r="P445" s="2"/>
      <c r="Q445" s="2"/>
      <c r="R445" s="13">
        <f t="shared" ca="1" si="81"/>
        <v>47500053066</v>
      </c>
      <c r="S445" s="134">
        <f>Tie_Break!$D$16</f>
        <v>0</v>
      </c>
      <c r="T445" s="9">
        <f ca="1">RANK(R445,R436:R455)+(9-S445)/10000+(F445="")*1000</f>
        <v>1.0008999999999999</v>
      </c>
      <c r="U445" s="2"/>
      <c r="V445" s="134">
        <f ca="1">IF($K$24=0,"",IF(VLOOKUP(B445,C436:E455,3,0)=MAX(V$4:V444),VLOOKUP(B445,C436:E455,3,0),B445))</f>
        <v>10</v>
      </c>
      <c r="W445" s="4" t="str">
        <f ca="1">IF($K$24=0,Calc2!$C$13,VLOOKUP(B445,C436:N455,4,0))</f>
        <v>Borussia Mönchengladbach</v>
      </c>
      <c r="X445" s="1">
        <f ca="1">INDEX(V409:V428,MATCH(W445,W409:W428,0))</f>
        <v>10</v>
      </c>
      <c r="Y445" s="1">
        <f t="shared" ca="1" si="84"/>
        <v>0</v>
      </c>
    </row>
    <row r="446" spans="2:25" x14ac:dyDescent="0.2">
      <c r="B446" s="1">
        <v>11</v>
      </c>
      <c r="C446" s="9">
        <f ca="1">RANK(D446,D436:D455,1)</f>
        <v>16</v>
      </c>
      <c r="D446" s="134">
        <f t="shared" ca="1" si="82"/>
        <v>16.446000000000002</v>
      </c>
      <c r="E446" s="134">
        <f ca="1">RANK(T446,T436:T455,1)</f>
        <v>16</v>
      </c>
      <c r="F446" s="187" t="str">
        <f>Calc2!$C$14</f>
        <v>FC St. Pauli</v>
      </c>
      <c r="G446" s="1">
        <f ca="1">SUMIFS(OFFSET(Calc2!$H$4,,,$F$26*B434,1),OFFSET(Calc2!$F$4,,,$F$26*B434,1),F446)+SUMIFS(OFFSET(Calc2!$I$4,,,$F$26*B434,1),OFFSET(Calc2!$G$4,,,$F$26*B434,1),F446)</f>
        <v>15</v>
      </c>
      <c r="H446" s="1">
        <f ca="1">SUMIFS(OFFSET(Calc2!$I$4,,,$F$26*B434,1),OFFSET(Calc2!$F$4,,,$F$26*B434,1),F446)+SUMIFS(OFFSET(Calc2!$H$4,,,$F$26*B434,1),OFFSET(Calc2!$G$4,,,$F$26*B434,1),F446)</f>
        <v>29</v>
      </c>
      <c r="I446" s="134">
        <f t="shared" ca="1" si="80"/>
        <v>-14</v>
      </c>
      <c r="J446" s="12">
        <f ca="1">L446*Settings!$C$3+M446+O446</f>
        <v>13</v>
      </c>
      <c r="K446" s="1">
        <f t="shared" ca="1" si="83"/>
        <v>17</v>
      </c>
      <c r="L446" s="1">
        <f t="array" aca="1" ref="L446" ca="1">SUMPRODUCT((OFFSET(Calc2!$F$4,,,$F$26*B434,1)=F446)*(OFFSET(Calc2!$H$4,,,$F$26*B434,1)&gt;OFFSET(Calc2!$I$4,,,$F$26*B434,1)))+SUMPRODUCT((OFFSET(Calc2!$G$4,,,$F$26*B434,1)=F446)*(OFFSET(Calc2!$H$4,,,$F$26*B434,1)&lt;OFFSET(Calc2!$I$4,,,$F$26*B434,1)))</f>
        <v>3</v>
      </c>
      <c r="M446" s="1">
        <f t="array" aca="1" ref="M446" ca="1">SUMPRODUCT((OFFSET(Calc2!$F$4,,,$F$26*B434,2)=F446)*(OFFSET(Calc2!$H$4,,,$F$26*B434,1)=OFFSET(Calc2!$I$4,,,$F$26*B434,1))*(OFFSET(Calc2!$H$4,,,$F$26*B434,1)&lt;&gt;"")*(OFFSET(Calc2!$I$4,,,$F$26*B434,1)&lt;&gt;""))</f>
        <v>4</v>
      </c>
      <c r="N446" s="1">
        <f t="array" aca="1" ref="N446" ca="1">SUMPRODUCT((OFFSET(Calc2!$F$4,,,$F$26*B434,1)=F446)*(OFFSET(Calc2!$H$4,,,$F$26*B434,1)&lt;OFFSET(Calc2!$I$4,,,$F$26*B434,1)))+SUMPRODUCT((OFFSET(Calc2!$G$4,,,$F$26*B434,1)=F446)*(OFFSET(Calc2!$H$4,,,$F$26*B434,1)&gt;OFFSET(Calc2!$I$4,,,$F$26*B434,1)))</f>
        <v>10</v>
      </c>
      <c r="O446" s="132">
        <f ca="1">SUMPRODUCT((F446=OFFSET(Calc2!$F$4,,,$F$26*B434,1))*OFFSET(Calc2!$O$4,,,$F$26*B434,1))+SUMPRODUCT((F446=OFFSET(Calc2!$G$4,,,$F$26*B434,1))*OFFSET(Calc2!$P$4,,,$F$26*B434,1))</f>
        <v>0</v>
      </c>
      <c r="P446" s="2"/>
      <c r="Q446" s="2"/>
      <c r="R446" s="13">
        <f t="shared" ca="1" si="81"/>
        <v>13499986015</v>
      </c>
      <c r="S446" s="134">
        <f>Tie_Break!$D$17</f>
        <v>0</v>
      </c>
      <c r="T446" s="9">
        <f ca="1">RANK(R446,R436:R455)+(9-S446)/10000+(F446="")*1000</f>
        <v>16.000900000000001</v>
      </c>
      <c r="U446" s="2"/>
      <c r="V446" s="134">
        <f ca="1">IF($K$24=0,"",IF(VLOOKUP(B446,C436:E455,3,0)=MAX(V$4:V445),VLOOKUP(B446,C436:E455,3,0),B446))</f>
        <v>11</v>
      </c>
      <c r="W446" s="4" t="str">
        <f ca="1">IF($K$24=0,Calc2!$C$14,VLOOKUP(B446,C436:N455,4,0))</f>
        <v>VfL Wolfsburg</v>
      </c>
      <c r="X446" s="1">
        <f ca="1">INDEX(V409:V428,MATCH(W446,W409:W428,0))</f>
        <v>14</v>
      </c>
      <c r="Y446" s="1">
        <f t="shared" ca="1" si="84"/>
        <v>1</v>
      </c>
    </row>
    <row r="447" spans="2:25" x14ac:dyDescent="0.2">
      <c r="B447" s="1">
        <v>12</v>
      </c>
      <c r="C447" s="9">
        <f ca="1">RANK(D447,D436:D455,1)</f>
        <v>14</v>
      </c>
      <c r="D447" s="134">
        <f t="shared" ca="1" si="82"/>
        <v>14.446999999999999</v>
      </c>
      <c r="E447" s="134">
        <f ca="1">RANK(T447,T436:T455,1)</f>
        <v>14</v>
      </c>
      <c r="F447" s="187" t="str">
        <f>Calc2!$C$15</f>
        <v>Hamburger SV</v>
      </c>
      <c r="G447" s="1">
        <f ca="1">SUMIFS(OFFSET(Calc2!$H$4,,,$F$26*B434,1),OFFSET(Calc2!$F$4,,,$F$26*B434,1),F447)+SUMIFS(OFFSET(Calc2!$I$4,,,$F$26*B434,1),OFFSET(Calc2!$G$4,,,$F$26*B434,1),F447)</f>
        <v>17</v>
      </c>
      <c r="H447" s="1">
        <f ca="1">SUMIFS(OFFSET(Calc2!$I$4,,,$F$26*B434,1),OFFSET(Calc2!$F$4,,,$F$26*B434,1),F447)+SUMIFS(OFFSET(Calc2!$H$4,,,$F$26*B434,1),OFFSET(Calc2!$G$4,,,$F$26*B434,1),F447)</f>
        <v>28</v>
      </c>
      <c r="I447" s="134">
        <f t="shared" ca="1" si="80"/>
        <v>-11</v>
      </c>
      <c r="J447" s="12">
        <f ca="1">L447*Settings!$C$3+M447+O447</f>
        <v>16</v>
      </c>
      <c r="K447" s="1">
        <f t="shared" ca="1" si="83"/>
        <v>17</v>
      </c>
      <c r="L447" s="1">
        <f t="array" aca="1" ref="L447" ca="1">SUMPRODUCT((OFFSET(Calc2!$F$4,,,$F$26*B434,1)=F447)*(OFFSET(Calc2!$H$4,,,$F$26*B434,1)&gt;OFFSET(Calc2!$I$4,,,$F$26*B434,1)))+SUMPRODUCT((OFFSET(Calc2!$G$4,,,$F$26*B434,1)=F447)*(OFFSET(Calc2!$H$4,,,$F$26*B434,1)&lt;OFFSET(Calc2!$I$4,,,$F$26*B434,1)))</f>
        <v>4</v>
      </c>
      <c r="M447" s="1">
        <f t="array" aca="1" ref="M447" ca="1">SUMPRODUCT((OFFSET(Calc2!$F$4,,,$F$26*B434,2)=F447)*(OFFSET(Calc2!$H$4,,,$F$26*B434,1)=OFFSET(Calc2!$I$4,,,$F$26*B434,1))*(OFFSET(Calc2!$H$4,,,$F$26*B434,1)&lt;&gt;"")*(OFFSET(Calc2!$I$4,,,$F$26*B434,1)&lt;&gt;""))</f>
        <v>4</v>
      </c>
      <c r="N447" s="1">
        <f t="array" aca="1" ref="N447" ca="1">SUMPRODUCT((OFFSET(Calc2!$F$4,,,$F$26*B434,1)=F447)*(OFFSET(Calc2!$H$4,,,$F$26*B434,1)&lt;OFFSET(Calc2!$I$4,,,$F$26*B434,1)))+SUMPRODUCT((OFFSET(Calc2!$G$4,,,$F$26*B434,1)=F447)*(OFFSET(Calc2!$H$4,,,$F$26*B434,1)&gt;OFFSET(Calc2!$I$4,,,$F$26*B434,1)))</f>
        <v>9</v>
      </c>
      <c r="O447" s="132">
        <f ca="1">SUMPRODUCT((F447=OFFSET(Calc2!$F$4,,,$F$26*B434,1))*OFFSET(Calc2!$O$4,,,$F$26*B434,1))+SUMPRODUCT((F447=OFFSET(Calc2!$G$4,,,$F$26*B434,1))*OFFSET(Calc2!$P$4,,,$F$26*B434,1))</f>
        <v>0</v>
      </c>
      <c r="P447" s="2"/>
      <c r="Q447" s="2"/>
      <c r="R447" s="13">
        <f t="shared" ca="1" si="81"/>
        <v>16499989017</v>
      </c>
      <c r="S447" s="134">
        <f>Tie_Break!$D$18</f>
        <v>0</v>
      </c>
      <c r="T447" s="9">
        <f ca="1">RANK(R447,R436:R455)+(9-S447)/10000+(F447="")*1000</f>
        <v>14.0009</v>
      </c>
      <c r="U447" s="2"/>
      <c r="V447" s="134">
        <f ca="1">IF($K$24=0,"",IF(VLOOKUP(B447,C436:E455,3,0)=MAX(V$4:V446),VLOOKUP(B447,C436:E455,3,0),B447))</f>
        <v>12</v>
      </c>
      <c r="W447" s="4" t="str">
        <f ca="1">IF($K$24=0,Calc2!$C$15,VLOOKUP(B447,C436:N455,4,0))</f>
        <v>1. FC Köln</v>
      </c>
      <c r="X447" s="1">
        <f ca="1">INDEX(V409:V428,MATCH(W447,W409:W428,0))</f>
        <v>11</v>
      </c>
      <c r="Y447" s="1">
        <f t="shared" ca="1" si="84"/>
        <v>-1</v>
      </c>
    </row>
    <row r="448" spans="2:25" x14ac:dyDescent="0.2">
      <c r="B448" s="1">
        <v>13</v>
      </c>
      <c r="C448" s="9">
        <f ca="1">RANK(D448,D436:D455,1)</f>
        <v>4</v>
      </c>
      <c r="D448" s="134">
        <f t="shared" ca="1" si="82"/>
        <v>4.4480000000000004</v>
      </c>
      <c r="E448" s="134">
        <f ca="1">RANK(T448,T436:T455,1)</f>
        <v>4</v>
      </c>
      <c r="F448" s="187" t="str">
        <f>Calc2!$C$16</f>
        <v>RB Leipzig</v>
      </c>
      <c r="G448" s="1">
        <f ca="1">SUMIFS(OFFSET(Calc2!$H$4,,,$F$26*B434,1),OFFSET(Calc2!$F$4,,,$F$26*B434,1),F448)+SUMIFS(OFFSET(Calc2!$I$4,,,$F$26*B434,1),OFFSET(Calc2!$G$4,,,$F$26*B434,1),F448)</f>
        <v>33</v>
      </c>
      <c r="H448" s="1">
        <f ca="1">SUMIFS(OFFSET(Calc2!$I$4,,,$F$26*B434,1),OFFSET(Calc2!$F$4,,,$F$26*B434,1),F448)+SUMIFS(OFFSET(Calc2!$H$4,,,$F$26*B434,1),OFFSET(Calc2!$G$4,,,$F$26*B434,1),F448)</f>
        <v>20</v>
      </c>
      <c r="I448" s="134">
        <f t="shared" ca="1" si="80"/>
        <v>13</v>
      </c>
      <c r="J448" s="12">
        <f ca="1">L448*Settings!$C$3+M448+O448</f>
        <v>33</v>
      </c>
      <c r="K448" s="1">
        <f t="shared" ca="1" si="83"/>
        <v>17</v>
      </c>
      <c r="L448" s="1">
        <f t="array" aca="1" ref="L448" ca="1">SUMPRODUCT((OFFSET(Calc2!$F$4,,,$F$26*B434,1)=F448)*(OFFSET(Calc2!$H$4,,,$F$26*B434,1)&gt;OFFSET(Calc2!$I$4,,,$F$26*B434,1)))+SUMPRODUCT((OFFSET(Calc2!$G$4,,,$F$26*B434,1)=F448)*(OFFSET(Calc2!$H$4,,,$F$26*B434,1)&lt;OFFSET(Calc2!$I$4,,,$F$26*B434,1)))</f>
        <v>10</v>
      </c>
      <c r="M448" s="1">
        <f t="array" aca="1" ref="M448" ca="1">SUMPRODUCT((OFFSET(Calc2!$F$4,,,$F$26*B434,2)=F448)*(OFFSET(Calc2!$H$4,,,$F$26*B434,1)=OFFSET(Calc2!$I$4,,,$F$26*B434,1))*(OFFSET(Calc2!$H$4,,,$F$26*B434,1)&lt;&gt;"")*(OFFSET(Calc2!$I$4,,,$F$26*B434,1)&lt;&gt;""))</f>
        <v>3</v>
      </c>
      <c r="N448" s="1">
        <f t="array" aca="1" ref="N448" ca="1">SUMPRODUCT((OFFSET(Calc2!$F$4,,,$F$26*B434,1)=F448)*(OFFSET(Calc2!$H$4,,,$F$26*B434,1)&lt;OFFSET(Calc2!$I$4,,,$F$26*B434,1)))+SUMPRODUCT((OFFSET(Calc2!$G$4,,,$F$26*B434,1)=F448)*(OFFSET(Calc2!$H$4,,,$F$26*B434,1)&gt;OFFSET(Calc2!$I$4,,,$F$26*B434,1)))</f>
        <v>4</v>
      </c>
      <c r="O448" s="132">
        <f ca="1">SUMPRODUCT((F448=OFFSET(Calc2!$F$4,,,$F$26*B434,1))*OFFSET(Calc2!$O$4,,,$F$26*B434,1))+SUMPRODUCT((F448=OFFSET(Calc2!$G$4,,,$F$26*B434,1))*OFFSET(Calc2!$P$4,,,$F$26*B434,1))</f>
        <v>0</v>
      </c>
      <c r="P448" s="2"/>
      <c r="Q448" s="2"/>
      <c r="R448" s="13">
        <f t="shared" ca="1" si="81"/>
        <v>33500013033</v>
      </c>
      <c r="S448" s="134">
        <f>Tie_Break!$D$19</f>
        <v>0</v>
      </c>
      <c r="T448" s="9">
        <f ca="1">RANK(R448,R436:R455)+(9-S448)/10000+(F448="")*1000</f>
        <v>4.0008999999999997</v>
      </c>
      <c r="U448" s="1"/>
      <c r="V448" s="134">
        <f ca="1">IF($K$24=0,"",IF(VLOOKUP(B448,C436:E455,3,0)=MAX(V$4:V447),VLOOKUP(B448,C436:E455,3,0),B448))</f>
        <v>13</v>
      </c>
      <c r="W448" s="4" t="str">
        <f ca="1">IF($K$24=0,Calc2!$C$16,VLOOKUP(B448,C436:N455,4,0))</f>
        <v>SV Werder Bremen</v>
      </c>
      <c r="X448" s="1">
        <f ca="1">INDEX(V409:V428,MATCH(W448,W409:W428,0))</f>
        <v>12</v>
      </c>
      <c r="Y448" s="1">
        <f t="shared" ca="1" si="84"/>
        <v>-1</v>
      </c>
    </row>
    <row r="449" spans="2:25" x14ac:dyDescent="0.2">
      <c r="B449" s="1">
        <v>14</v>
      </c>
      <c r="C449" s="9">
        <f ca="1">RANK(D449,D436:D455,1)</f>
        <v>8</v>
      </c>
      <c r="D449" s="134">
        <f t="shared" ca="1" si="82"/>
        <v>8.4489999999999998</v>
      </c>
      <c r="E449" s="134">
        <f ca="1">RANK(T449,T436:T455,1)</f>
        <v>8</v>
      </c>
      <c r="F449" s="187" t="str">
        <f>Calc2!$C$17</f>
        <v>SC Freiburg</v>
      </c>
      <c r="G449" s="1">
        <f ca="1">SUMIFS(OFFSET(Calc2!$H$4,,,$F$26*B434,1),OFFSET(Calc2!$F$4,,,$F$26*B434,1),F449)+SUMIFS(OFFSET(Calc2!$I$4,,,$F$26*B434,1),OFFSET(Calc2!$G$4,,,$F$26*B434,1),F449)</f>
        <v>27</v>
      </c>
      <c r="H449" s="1">
        <f ca="1">SUMIFS(OFFSET(Calc2!$I$4,,,$F$26*B434,1),OFFSET(Calc2!$F$4,,,$F$26*B434,1),F449)+SUMIFS(OFFSET(Calc2!$H$4,,,$F$26*B434,1),OFFSET(Calc2!$G$4,,,$F$26*B434,1),F449)</f>
        <v>29</v>
      </c>
      <c r="I449" s="134">
        <f t="shared" ca="1" si="80"/>
        <v>-2</v>
      </c>
      <c r="J449" s="12">
        <f ca="1">L449*Settings!$C$3+M449+O449</f>
        <v>23</v>
      </c>
      <c r="K449" s="1">
        <f t="shared" ca="1" si="83"/>
        <v>17</v>
      </c>
      <c r="L449" s="1">
        <f t="array" aca="1" ref="L449" ca="1">SUMPRODUCT((OFFSET(Calc2!$F$4,,,$F$26*B434,1)=F449)*(OFFSET(Calc2!$H$4,,,$F$26*B434,1)&gt;OFFSET(Calc2!$I$4,,,$F$26*B434,1)))+SUMPRODUCT((OFFSET(Calc2!$G$4,,,$F$26*B434,1)=F449)*(OFFSET(Calc2!$H$4,,,$F$26*B434,1)&lt;OFFSET(Calc2!$I$4,,,$F$26*B434,1)))</f>
        <v>6</v>
      </c>
      <c r="M449" s="1">
        <f t="array" aca="1" ref="M449" ca="1">SUMPRODUCT((OFFSET(Calc2!$F$4,,,$F$26*B434,2)=F449)*(OFFSET(Calc2!$H$4,,,$F$26*B434,1)=OFFSET(Calc2!$I$4,,,$F$26*B434,1))*(OFFSET(Calc2!$H$4,,,$F$26*B434,1)&lt;&gt;"")*(OFFSET(Calc2!$I$4,,,$F$26*B434,1)&lt;&gt;""))</f>
        <v>5</v>
      </c>
      <c r="N449" s="1">
        <f t="array" aca="1" ref="N449" ca="1">SUMPRODUCT((OFFSET(Calc2!$F$4,,,$F$26*B434,1)=F449)*(OFFSET(Calc2!$H$4,,,$F$26*B434,1)&lt;OFFSET(Calc2!$I$4,,,$F$26*B434,1)))+SUMPRODUCT((OFFSET(Calc2!$G$4,,,$F$26*B434,1)=F449)*(OFFSET(Calc2!$H$4,,,$F$26*B434,1)&gt;OFFSET(Calc2!$I$4,,,$F$26*B434,1)))</f>
        <v>6</v>
      </c>
      <c r="O449" s="132">
        <f ca="1">SUMPRODUCT((F449=OFFSET(Calc2!$F$4,,,$F$26*B434,1))*OFFSET(Calc2!$O$4,,,$F$26*B434,1))+SUMPRODUCT((F449=OFFSET(Calc2!$G$4,,,$F$26*B434,1))*OFFSET(Calc2!$P$4,,,$F$26*B434,1))</f>
        <v>0</v>
      </c>
      <c r="P449" s="2"/>
      <c r="Q449" s="2"/>
      <c r="R449" s="13">
        <f t="shared" ca="1" si="81"/>
        <v>23499998027</v>
      </c>
      <c r="S449" s="134">
        <f>Tie_Break!$D$20</f>
        <v>0</v>
      </c>
      <c r="T449" s="9">
        <f ca="1">RANK(R449,R436:R455)+(9-S449)/10000+(F449="")*1000</f>
        <v>8.0008999999999997</v>
      </c>
      <c r="U449" s="2"/>
      <c r="V449" s="134">
        <f ca="1">IF($K$24=0,"",IF(VLOOKUP(B449,C436:E455,3,0)=MAX(V$4:V448),VLOOKUP(B449,C436:E455,3,0),B449))</f>
        <v>14</v>
      </c>
      <c r="W449" s="4" t="str">
        <f ca="1">IF($K$24=0,Calc2!$C$17,VLOOKUP(B449,C436:N455,4,0))</f>
        <v>Hamburger SV</v>
      </c>
      <c r="X449" s="1">
        <f ca="1">INDEX(V409:V428,MATCH(W449,W409:W428,0))</f>
        <v>13</v>
      </c>
      <c r="Y449" s="1">
        <f t="shared" ca="1" si="84"/>
        <v>-1</v>
      </c>
    </row>
    <row r="450" spans="2:25" x14ac:dyDescent="0.2">
      <c r="B450" s="1">
        <v>15</v>
      </c>
      <c r="C450" s="9">
        <f ca="1">RANK(D450,D436:D455,1)</f>
        <v>13</v>
      </c>
      <c r="D450" s="134">
        <f t="shared" ca="1" si="82"/>
        <v>13.45</v>
      </c>
      <c r="E450" s="134">
        <f ca="1">RANK(T450,T436:T455,1)</f>
        <v>13</v>
      </c>
      <c r="F450" s="187" t="str">
        <f>Calc2!$C$18</f>
        <v>SV Werder Bremen</v>
      </c>
      <c r="G450" s="1">
        <f ca="1">SUMIFS(OFFSET(Calc2!$H$4,,,$F$26*B434,1),OFFSET(Calc2!$F$4,,,$F$26*B434,1),F450)+SUMIFS(OFFSET(Calc2!$I$4,,,$F$26*B434,1),OFFSET(Calc2!$G$4,,,$F$26*B434,1),F450)</f>
        <v>18</v>
      </c>
      <c r="H450" s="1">
        <f ca="1">SUMIFS(OFFSET(Calc2!$I$4,,,$F$26*B434,1),OFFSET(Calc2!$F$4,,,$F$26*B434,1),F450)+SUMIFS(OFFSET(Calc2!$H$4,,,$F$26*B434,1),OFFSET(Calc2!$G$4,,,$F$26*B434,1),F450)</f>
        <v>33</v>
      </c>
      <c r="I450" s="134">
        <f t="shared" ca="1" si="80"/>
        <v>-15</v>
      </c>
      <c r="J450" s="12">
        <f ca="1">L450*Settings!$C$3+M450+O450</f>
        <v>17</v>
      </c>
      <c r="K450" s="1">
        <f t="shared" ca="1" si="83"/>
        <v>17</v>
      </c>
      <c r="L450" s="1">
        <f t="array" aca="1" ref="L450" ca="1">SUMPRODUCT((OFFSET(Calc2!$F$4,,,$F$26*B434,1)=F450)*(OFFSET(Calc2!$H$4,,,$F$26*B434,1)&gt;OFFSET(Calc2!$I$4,,,$F$26*B434,1)))+SUMPRODUCT((OFFSET(Calc2!$G$4,,,$F$26*B434,1)=F450)*(OFFSET(Calc2!$H$4,,,$F$26*B434,1)&lt;OFFSET(Calc2!$I$4,,,$F$26*B434,1)))</f>
        <v>4</v>
      </c>
      <c r="M450" s="1">
        <f t="array" aca="1" ref="M450" ca="1">SUMPRODUCT((OFFSET(Calc2!$F$4,,,$F$26*B434,2)=F450)*(OFFSET(Calc2!$H$4,,,$F$26*B434,1)=OFFSET(Calc2!$I$4,,,$F$26*B434,1))*(OFFSET(Calc2!$H$4,,,$F$26*B434,1)&lt;&gt;"")*(OFFSET(Calc2!$I$4,,,$F$26*B434,1)&lt;&gt;""))</f>
        <v>5</v>
      </c>
      <c r="N450" s="1">
        <f t="array" aca="1" ref="N450" ca="1">SUMPRODUCT((OFFSET(Calc2!$F$4,,,$F$26*B434,1)=F450)*(OFFSET(Calc2!$H$4,,,$F$26*B434,1)&lt;OFFSET(Calc2!$I$4,,,$F$26*B434,1)))+SUMPRODUCT((OFFSET(Calc2!$G$4,,,$F$26*B434,1)=F450)*(OFFSET(Calc2!$H$4,,,$F$26*B434,1)&gt;OFFSET(Calc2!$I$4,,,$F$26*B434,1)))</f>
        <v>8</v>
      </c>
      <c r="O450" s="132">
        <f ca="1">SUMPRODUCT((F450=OFFSET(Calc2!$F$4,,,$F$26*B434,1))*OFFSET(Calc2!$O$4,,,$F$26*B434,1))+SUMPRODUCT((F450=OFFSET(Calc2!$G$4,,,$F$26*B434,1))*OFFSET(Calc2!$P$4,,,$F$26*B434,1))</f>
        <v>0</v>
      </c>
      <c r="P450" s="2"/>
      <c r="Q450" s="2"/>
      <c r="R450" s="13">
        <f t="shared" ca="1" si="81"/>
        <v>17499985018</v>
      </c>
      <c r="S450" s="134">
        <f>Tie_Break!$D$21</f>
        <v>0</v>
      </c>
      <c r="T450" s="9">
        <f ca="1">RANK(R450,R436:R455)+(9-S450)/10000+(F450="")*1000</f>
        <v>13.0009</v>
      </c>
      <c r="U450" s="2"/>
      <c r="V450" s="134">
        <f ca="1">IF($K$24=0,"",IF(VLOOKUP(B450,C436:E455,3,0)=MAX(V$4:V449),VLOOKUP(B450,C436:E455,3,0),B450))</f>
        <v>15</v>
      </c>
      <c r="W450" s="4" t="str">
        <f ca="1">IF($K$24=0,Calc2!$C$18,VLOOKUP(B450,C436:N455,4,0))</f>
        <v>FC Augsburg</v>
      </c>
      <c r="X450" s="1">
        <f ca="1">INDEX(V409:V428,MATCH(W450,W409:W428,0))</f>
        <v>15</v>
      </c>
      <c r="Y450" s="1">
        <f t="shared" ca="1" si="84"/>
        <v>0</v>
      </c>
    </row>
    <row r="451" spans="2:25" x14ac:dyDescent="0.2">
      <c r="B451" s="1">
        <v>16</v>
      </c>
      <c r="C451" s="9">
        <f ca="1">RANK(D451,D436:D455,1)</f>
        <v>3</v>
      </c>
      <c r="D451" s="134">
        <f t="shared" ca="1" si="82"/>
        <v>3.4510000000000001</v>
      </c>
      <c r="E451" s="134">
        <f ca="1">RANK(T451,T436:T455,1)</f>
        <v>3</v>
      </c>
      <c r="F451" s="187" t="str">
        <f>Calc2!$C$19</f>
        <v>TSG Hoffenheim</v>
      </c>
      <c r="G451" s="1">
        <f ca="1">SUMIFS(OFFSET(Calc2!$H$4,,,$F$26*B434,1),OFFSET(Calc2!$F$4,,,$F$26*B434,1),F451)+SUMIFS(OFFSET(Calc2!$I$4,,,$F$26*B434,1),OFFSET(Calc2!$G$4,,,$F$26*B434,1),F451)</f>
        <v>36</v>
      </c>
      <c r="H451" s="1">
        <f ca="1">SUMIFS(OFFSET(Calc2!$I$4,,,$F$26*B434,1),OFFSET(Calc2!$F$4,,,$F$26*B434,1),F451)+SUMIFS(OFFSET(Calc2!$H$4,,,$F$26*B434,1),OFFSET(Calc2!$G$4,,,$F$26*B434,1),F451)</f>
        <v>21</v>
      </c>
      <c r="I451" s="134">
        <f t="shared" ca="1" si="80"/>
        <v>15</v>
      </c>
      <c r="J451" s="12">
        <f ca="1">L451*Settings!$C$3+M451+O451</f>
        <v>33</v>
      </c>
      <c r="K451" s="1">
        <f t="shared" ca="1" si="83"/>
        <v>17</v>
      </c>
      <c r="L451" s="1">
        <f t="array" aca="1" ref="L451" ca="1">SUMPRODUCT((OFFSET(Calc2!$F$4,,,$F$26*B434,1)=F451)*(OFFSET(Calc2!$H$4,,,$F$26*B434,1)&gt;OFFSET(Calc2!$I$4,,,$F$26*B434,1)))+SUMPRODUCT((OFFSET(Calc2!$G$4,,,$F$26*B434,1)=F451)*(OFFSET(Calc2!$H$4,,,$F$26*B434,1)&lt;OFFSET(Calc2!$I$4,,,$F$26*B434,1)))</f>
        <v>10</v>
      </c>
      <c r="M451" s="1">
        <f t="array" aca="1" ref="M451" ca="1">SUMPRODUCT((OFFSET(Calc2!$F$4,,,$F$26*B434,2)=F451)*(OFFSET(Calc2!$H$4,,,$F$26*B434,1)=OFFSET(Calc2!$I$4,,,$F$26*B434,1))*(OFFSET(Calc2!$H$4,,,$F$26*B434,1)&lt;&gt;"")*(OFFSET(Calc2!$I$4,,,$F$26*B434,1)&lt;&gt;""))</f>
        <v>3</v>
      </c>
      <c r="N451" s="1">
        <f t="array" aca="1" ref="N451" ca="1">SUMPRODUCT((OFFSET(Calc2!$F$4,,,$F$26*B434,1)=F451)*(OFFSET(Calc2!$H$4,,,$F$26*B434,1)&lt;OFFSET(Calc2!$I$4,,,$F$26*B434,1)))+SUMPRODUCT((OFFSET(Calc2!$G$4,,,$F$26*B434,1)=F451)*(OFFSET(Calc2!$H$4,,,$F$26*B434,1)&gt;OFFSET(Calc2!$I$4,,,$F$26*B434,1)))</f>
        <v>4</v>
      </c>
      <c r="O451" s="132">
        <f ca="1">SUMPRODUCT((F451=OFFSET(Calc2!$F$4,,,$F$26*B434,1))*OFFSET(Calc2!$O$4,,,$F$26*B434,1))+SUMPRODUCT((F451=OFFSET(Calc2!$G$4,,,$F$26*B434,1))*OFFSET(Calc2!$P$4,,,$F$26*B434,1))</f>
        <v>0</v>
      </c>
      <c r="P451" s="2"/>
      <c r="Q451" s="2"/>
      <c r="R451" s="13">
        <f t="shared" ca="1" si="81"/>
        <v>33500015036</v>
      </c>
      <c r="S451" s="134">
        <f>Tie_Break!$D$22</f>
        <v>0</v>
      </c>
      <c r="T451" s="9">
        <f ca="1">RANK(R451,R436:R455)+(9-S451)/10000+(F451="")*1000</f>
        <v>3.0009000000000001</v>
      </c>
      <c r="U451" s="2"/>
      <c r="V451" s="134">
        <f ca="1">IF($K$24=0,"",IF(VLOOKUP(B451,C436:E455,3,0)=MAX(V$4:V450),VLOOKUP(B451,C436:E455,3,0),B451))</f>
        <v>16</v>
      </c>
      <c r="W451" s="4" t="str">
        <f ca="1">IF($K$24=0,Calc2!$C$19,VLOOKUP(B451,C436:N455,4,0))</f>
        <v>FC St. Pauli</v>
      </c>
      <c r="X451" s="1">
        <f ca="1">INDEX(V409:V428,MATCH(W451,W409:W428,0))</f>
        <v>16</v>
      </c>
      <c r="Y451" s="1">
        <f t="shared" ca="1" si="84"/>
        <v>0</v>
      </c>
    </row>
    <row r="452" spans="2:25" x14ac:dyDescent="0.2">
      <c r="B452" s="1">
        <v>17</v>
      </c>
      <c r="C452" s="9">
        <f ca="1">RANK(D452,D436:D455,1)</f>
        <v>6</v>
      </c>
      <c r="D452" s="134">
        <f t="shared" ca="1" si="82"/>
        <v>6.452</v>
      </c>
      <c r="E452" s="134">
        <f ca="1">RANK(T452,T436:T455,1)</f>
        <v>6</v>
      </c>
      <c r="F452" s="187" t="str">
        <f>Calc2!$C$20</f>
        <v>VfB Stuttgart</v>
      </c>
      <c r="G452" s="1">
        <f ca="1">SUMIFS(OFFSET(Calc2!$H$4,,,$F$26*B434,1),OFFSET(Calc2!$F$4,,,$F$26*B434,1),F452)+SUMIFS(OFFSET(Calc2!$I$4,,,$F$26*B434,1),OFFSET(Calc2!$G$4,,,$F$26*B434,1),F452)</f>
        <v>32</v>
      </c>
      <c r="H452" s="1">
        <f ca="1">SUMIFS(OFFSET(Calc2!$I$4,,,$F$26*B434,1),OFFSET(Calc2!$F$4,,,$F$26*B434,1),F452)+SUMIFS(OFFSET(Calc2!$H$4,,,$F$26*B434,1),OFFSET(Calc2!$G$4,,,$F$26*B434,1),F452)</f>
        <v>25</v>
      </c>
      <c r="I452" s="134">
        <f t="shared" ca="1" si="80"/>
        <v>7</v>
      </c>
      <c r="J452" s="12">
        <f ca="1">L452*Settings!$C$3+M452+O452</f>
        <v>32</v>
      </c>
      <c r="K452" s="1">
        <f t="shared" ca="1" si="83"/>
        <v>17</v>
      </c>
      <c r="L452" s="1">
        <f t="array" aca="1" ref="L452" ca="1">SUMPRODUCT((OFFSET(Calc2!$F$4,,,$F$26*B434,1)=F452)*(OFFSET(Calc2!$H$4,,,$F$26*B434,1)&gt;OFFSET(Calc2!$I$4,,,$F$26*B434,1)))+SUMPRODUCT((OFFSET(Calc2!$G$4,,,$F$26*B434,1)=F452)*(OFFSET(Calc2!$H$4,,,$F$26*B434,1)&lt;OFFSET(Calc2!$I$4,,,$F$26*B434,1)))</f>
        <v>10</v>
      </c>
      <c r="M452" s="1">
        <f t="array" aca="1" ref="M452" ca="1">SUMPRODUCT((OFFSET(Calc2!$F$4,,,$F$26*B434,2)=F452)*(OFFSET(Calc2!$H$4,,,$F$26*B434,1)=OFFSET(Calc2!$I$4,,,$F$26*B434,1))*(OFFSET(Calc2!$H$4,,,$F$26*B434,1)&lt;&gt;"")*(OFFSET(Calc2!$I$4,,,$F$26*B434,1)&lt;&gt;""))</f>
        <v>2</v>
      </c>
      <c r="N452" s="1">
        <f t="array" aca="1" ref="N452" ca="1">SUMPRODUCT((OFFSET(Calc2!$F$4,,,$F$26*B434,1)=F452)*(OFFSET(Calc2!$H$4,,,$F$26*B434,1)&lt;OFFSET(Calc2!$I$4,,,$F$26*B434,1)))+SUMPRODUCT((OFFSET(Calc2!$G$4,,,$F$26*B434,1)=F452)*(OFFSET(Calc2!$H$4,,,$F$26*B434,1)&gt;OFFSET(Calc2!$I$4,,,$F$26*B434,1)))</f>
        <v>5</v>
      </c>
      <c r="O452" s="132">
        <f ca="1">SUMPRODUCT((F452=OFFSET(Calc2!$F$4,,,$F$26*B434,1))*OFFSET(Calc2!$O$4,,,$F$26*B434,1))+SUMPRODUCT((F452=OFFSET(Calc2!$G$4,,,$F$26*B434,1))*OFFSET(Calc2!$P$4,,,$F$26*B434,1))</f>
        <v>0</v>
      </c>
      <c r="P452" s="2"/>
      <c r="Q452" s="2"/>
      <c r="R452" s="13">
        <f t="shared" ca="1" si="81"/>
        <v>32500007032</v>
      </c>
      <c r="S452" s="134">
        <f>Tie_Break!$D$23</f>
        <v>0</v>
      </c>
      <c r="T452" s="9">
        <f ca="1">RANK(R452,R436:R455)+(9-S452)/10000+(F452="")*1000</f>
        <v>6.0008999999999997</v>
      </c>
      <c r="U452" s="2"/>
      <c r="V452" s="134">
        <f ca="1">IF($K$24=0,"",IF(VLOOKUP(B452,C436:E455,3,0)=MAX(V$4:V451),VLOOKUP(B452,C436:E455,3,0),B452))</f>
        <v>17</v>
      </c>
      <c r="W452" s="4" t="str">
        <f ca="1">IF($K$24=0,Calc2!$C$20,VLOOKUP(B452,C436:N455,4,0))</f>
        <v>1. FSV Mainz 05</v>
      </c>
      <c r="X452" s="1">
        <f ca="1">INDEX(V409:V428,MATCH(W452,W409:W428,0))</f>
        <v>18</v>
      </c>
      <c r="Y452" s="1">
        <f t="shared" ca="1" si="84"/>
        <v>1</v>
      </c>
    </row>
    <row r="453" spans="2:25" x14ac:dyDescent="0.2">
      <c r="B453" s="1">
        <v>18</v>
      </c>
      <c r="C453" s="9">
        <f ca="1">RANK(D453,D436:D455,1)</f>
        <v>11</v>
      </c>
      <c r="D453" s="134">
        <f t="shared" ca="1" si="82"/>
        <v>11.452999999999999</v>
      </c>
      <c r="E453" s="134">
        <f ca="1">RANK(T453,T436:T455,1)</f>
        <v>11</v>
      </c>
      <c r="F453" s="187" t="str">
        <f>Calc2!$C$21</f>
        <v>VfL Wolfsburg</v>
      </c>
      <c r="G453" s="1">
        <f ca="1">SUMIFS(OFFSET(Calc2!$H$4,,,$F$26*B434,1),OFFSET(Calc2!$F$4,,,$F$26*B434,1),F453)+SUMIFS(OFFSET(Calc2!$I$4,,,$F$26*B434,1),OFFSET(Calc2!$G$4,,,$F$26*B434,1),F453)</f>
        <v>26</v>
      </c>
      <c r="H453" s="1">
        <f ca="1">SUMIFS(OFFSET(Calc2!$I$4,,,$F$26*B434,1),OFFSET(Calc2!$F$4,,,$F$26*B434,1),F453)+SUMIFS(OFFSET(Calc2!$H$4,,,$F$26*B434,1),OFFSET(Calc2!$G$4,,,$F$26*B434,1),F453)</f>
        <v>37</v>
      </c>
      <c r="I453" s="134">
        <f t="shared" ca="1" si="80"/>
        <v>-11</v>
      </c>
      <c r="J453" s="12">
        <f ca="1">L453*Settings!$C$3+M453+O453</f>
        <v>18</v>
      </c>
      <c r="K453" s="1">
        <f t="shared" ca="1" si="83"/>
        <v>17</v>
      </c>
      <c r="L453" s="1">
        <f t="array" aca="1" ref="L453" ca="1">SUMPRODUCT((OFFSET(Calc2!$F$4,,,$F$26*B434,1)=F453)*(OFFSET(Calc2!$H$4,,,$F$26*B434,1)&gt;OFFSET(Calc2!$I$4,,,$F$26*B434,1)))+SUMPRODUCT((OFFSET(Calc2!$G$4,,,$F$26*B434,1)=F453)*(OFFSET(Calc2!$H$4,,,$F$26*B434,1)&lt;OFFSET(Calc2!$I$4,,,$F$26*B434,1)))</f>
        <v>5</v>
      </c>
      <c r="M453" s="1">
        <f t="array" aca="1" ref="M453" ca="1">SUMPRODUCT((OFFSET(Calc2!$F$4,,,$F$26*B434,2)=F453)*(OFFSET(Calc2!$H$4,,,$F$26*B434,1)=OFFSET(Calc2!$I$4,,,$F$26*B434,1))*(OFFSET(Calc2!$H$4,,,$F$26*B434,1)&lt;&gt;"")*(OFFSET(Calc2!$I$4,,,$F$26*B434,1)&lt;&gt;""))</f>
        <v>3</v>
      </c>
      <c r="N453" s="1">
        <f t="array" aca="1" ref="N453" ca="1">SUMPRODUCT((OFFSET(Calc2!$F$4,,,$F$26*B434,1)=F453)*(OFFSET(Calc2!$H$4,,,$F$26*B434,1)&lt;OFFSET(Calc2!$I$4,,,$F$26*B434,1)))+SUMPRODUCT((OFFSET(Calc2!$G$4,,,$F$26*B434,1)=F453)*(OFFSET(Calc2!$H$4,,,$F$26*B434,1)&gt;OFFSET(Calc2!$I$4,,,$F$26*B434,1)))</f>
        <v>9</v>
      </c>
      <c r="O453" s="132">
        <f ca="1">SUMPRODUCT((F453=OFFSET(Calc2!$F$4,,,$F$26*B434,1))*OFFSET(Calc2!$O$4,,,$F$26*B434,1))+SUMPRODUCT((F453=OFFSET(Calc2!$G$4,,,$F$26*B434,1))*OFFSET(Calc2!$P$4,,,$F$26*B434,1))</f>
        <v>0</v>
      </c>
      <c r="P453" s="2"/>
      <c r="Q453" s="2"/>
      <c r="R453" s="13">
        <f t="shared" ca="1" si="81"/>
        <v>18499989026</v>
      </c>
      <c r="S453" s="134">
        <f>Tie_Break!$D$24</f>
        <v>0</v>
      </c>
      <c r="T453" s="9">
        <f ca="1">RANK(R453,R436:R455)+(9-S453)/10000+(F453="")*1000</f>
        <v>11.0009</v>
      </c>
      <c r="U453" s="2"/>
      <c r="V453" s="134">
        <f ca="1">IF($K$24=0,"",IF(VLOOKUP(B453,C436:E455,3,0)=MAX(V$4:V452),VLOOKUP(B453,C436:E455,3,0),B453))</f>
        <v>18</v>
      </c>
      <c r="W453" s="4" t="str">
        <f ca="1">IF($K$24=0,Calc2!$C$21,VLOOKUP(B453,C436:N455,4,0))</f>
        <v>1. FC Heidenheim 1846</v>
      </c>
      <c r="X453" s="1">
        <f ca="1">INDEX(V409:V428,MATCH(W453,W409:W428,0))</f>
        <v>17</v>
      </c>
      <c r="Y453" s="1">
        <f t="shared" ca="1" si="84"/>
        <v>-1</v>
      </c>
    </row>
    <row r="454" spans="2:25" x14ac:dyDescent="0.2">
      <c r="B454" s="1">
        <v>19</v>
      </c>
      <c r="C454" s="9">
        <f ca="1">RANK(D454,D436:D455,1)</f>
        <v>19</v>
      </c>
      <c r="D454" s="134">
        <f t="shared" ca="1" si="82"/>
        <v>19.454000000000001</v>
      </c>
      <c r="E454" s="134">
        <f ca="1">RANK(T454,T436:T455,1)</f>
        <v>19</v>
      </c>
      <c r="F454" s="187" t="str">
        <f>Calc2!$C$22</f>
        <v/>
      </c>
      <c r="G454" s="1">
        <f ca="1">SUMIFS(OFFSET(Calc2!$H$4,,,$F$26*B434,1),OFFSET(Calc2!$F$4,,,$F$26*B434,1),F454)+SUMIFS(OFFSET(Calc2!$I$4,,,$F$26*B434,1),OFFSET(Calc2!$G$4,,,$F$26*B434,1),F454)</f>
        <v>0</v>
      </c>
      <c r="H454" s="1">
        <f ca="1">SUMIFS(OFFSET(Calc2!$I$4,,,$F$26*B434,1),OFFSET(Calc2!$F$4,,,$F$26*B434,1),F454)+SUMIFS(OFFSET(Calc2!$H$4,,,$F$26*B434,1),OFFSET(Calc2!$G$4,,,$F$26*B434,1),F454)</f>
        <v>0</v>
      </c>
      <c r="I454" s="134">
        <f t="shared" ca="1" si="80"/>
        <v>0</v>
      </c>
      <c r="J454" s="12">
        <f ca="1">L454*Settings!$C$3+M454+O454</f>
        <v>0</v>
      </c>
      <c r="K454" s="1">
        <f t="shared" ca="1" si="83"/>
        <v>0</v>
      </c>
      <c r="L454" s="1">
        <f t="array" aca="1" ref="L454" ca="1">SUMPRODUCT((OFFSET(Calc2!$F$4,,,$F$26*B434,1)=F454)*(OFFSET(Calc2!$H$4,,,$F$26*B434,1)&gt;OFFSET(Calc2!$I$4,,,$F$26*B434,1)))+SUMPRODUCT((OFFSET(Calc2!$G$4,,,$F$26*B434,1)=F454)*(OFFSET(Calc2!$H$4,,,$F$26*B434,1)&lt;OFFSET(Calc2!$I$4,,,$F$26*B434,1)))</f>
        <v>0</v>
      </c>
      <c r="M454" s="1">
        <f t="array" aca="1" ref="M454" ca="1">SUMPRODUCT((OFFSET(Calc2!$F$4,,,$F$26*B434,2)=F454)*(OFFSET(Calc2!$H$4,,,$F$26*B434,1)=OFFSET(Calc2!$I$4,,,$F$26*B434,1))*(OFFSET(Calc2!$H$4,,,$F$26*B434,1)&lt;&gt;"")*(OFFSET(Calc2!$I$4,,,$F$26*B434,1)&lt;&gt;""))</f>
        <v>0</v>
      </c>
      <c r="N454" s="1">
        <f t="array" aca="1" ref="N454" ca="1">SUMPRODUCT((OFFSET(Calc2!$F$4,,,$F$26*B434,1)=F454)*(OFFSET(Calc2!$H$4,,,$F$26*B434,1)&lt;OFFSET(Calc2!$I$4,,,$F$26*B434,1)))+SUMPRODUCT((OFFSET(Calc2!$G$4,,,$F$26*B434,1)=F454)*(OFFSET(Calc2!$H$4,,,$F$26*B434,1)&gt;OFFSET(Calc2!$I$4,,,$F$26*B434,1)))</f>
        <v>0</v>
      </c>
      <c r="O454" s="132">
        <f ca="1">SUMPRODUCT((F454=OFFSET(Calc2!$F$4,,,$F$26*B434,1))*OFFSET(Calc2!$O$4,,,$F$26*B434,1))+SUMPRODUCT((F454=OFFSET(Calc2!$G$4,,,$F$26*B434,1))*OFFSET(Calc2!$P$4,,,$F$26*B434,1))</f>
        <v>0</v>
      </c>
      <c r="P454" s="2"/>
      <c r="Q454" s="2"/>
      <c r="R454" s="13">
        <f t="shared" ca="1" si="81"/>
        <v>500000000</v>
      </c>
      <c r="S454" s="134">
        <f>Tie_Break!$D$25</f>
        <v>0</v>
      </c>
      <c r="T454" s="9">
        <f ca="1">RANK(R454,R436:R455)+(9-S454)/10000+(F454="")*1000</f>
        <v>1019.0009</v>
      </c>
      <c r="U454" s="2"/>
      <c r="V454" s="134">
        <f ca="1">IF($K$24=0,"",IF(VLOOKUP(B454,C436:E455,3,0)=MAX(V$4:V453),VLOOKUP(B454,C436:E455,3,0),B454))</f>
        <v>19</v>
      </c>
      <c r="W454" s="4" t="str">
        <f ca="1">IF($K$24=0,Calc2!$C$22,VLOOKUP(B454,C436:N455,4,0))</f>
        <v/>
      </c>
      <c r="X454" s="1">
        <f ca="1">INDEX(V409:V428,MATCH(W454,W409:W428,0))</f>
        <v>19</v>
      </c>
      <c r="Y454" s="1">
        <f t="shared" ca="1" si="84"/>
        <v>0</v>
      </c>
    </row>
    <row r="455" spans="2:25" ht="12.75" thickBot="1" x14ac:dyDescent="0.25">
      <c r="B455" s="1">
        <v>20</v>
      </c>
      <c r="C455" s="10">
        <f ca="1">RANK(D455,D436:D455,1)</f>
        <v>20</v>
      </c>
      <c r="D455" s="134">
        <f t="shared" ca="1" si="82"/>
        <v>19.454999999999998</v>
      </c>
      <c r="E455" s="134">
        <f ca="1">RANK(T455,T436:T455,1)</f>
        <v>19</v>
      </c>
      <c r="F455" s="187" t="str">
        <f>Calc2!$C$23</f>
        <v/>
      </c>
      <c r="G455" s="1">
        <f ca="1">SUMIFS(OFFSET(Calc2!$H$4,,,$F$26*B434,1),OFFSET(Calc2!$F$4,,,$F$26*B434,1),F455)+SUMIFS(OFFSET(Calc2!$I$4,,,$F$26*B434,1),OFFSET(Calc2!$G$4,,,$F$26*B434,1),F455)</f>
        <v>0</v>
      </c>
      <c r="H455" s="1">
        <f ca="1">SUMIFS(OFFSET(Calc2!$I$4,,,$F$26*B434,1),OFFSET(Calc2!$F$4,,,$F$26*B434,1),F455)+SUMIFS(OFFSET(Calc2!$H$4,,,$F$26*B434,1),OFFSET(Calc2!$G$4,,,$F$26*B434,1),F455)</f>
        <v>0</v>
      </c>
      <c r="I455" s="134">
        <f t="shared" ca="1" si="80"/>
        <v>0</v>
      </c>
      <c r="J455" s="12">
        <f ca="1">L455*Settings!$C$3+M455+O455</f>
        <v>0</v>
      </c>
      <c r="K455" s="1">
        <f t="shared" ca="1" si="83"/>
        <v>0</v>
      </c>
      <c r="L455" s="1">
        <f t="array" aca="1" ref="L455" ca="1">SUMPRODUCT((OFFSET(Calc2!$F$4,,,$F$26*B434,1)=F455)*(OFFSET(Calc2!$H$4,,,$F$26*B434,1)&gt;OFFSET(Calc2!$I$4,,,$F$26*B434,1)))+SUMPRODUCT((OFFSET(Calc2!$G$4,,,$F$26*B434,1)=F455)*(OFFSET(Calc2!$H$4,,,$F$26*B434,1)&lt;OFFSET(Calc2!$I$4,,,$F$26*B434,1)))</f>
        <v>0</v>
      </c>
      <c r="M455" s="1">
        <f t="array" aca="1" ref="M455" ca="1">SUMPRODUCT((OFFSET(Calc2!$F$4,,,$F$26*B434,2)=F455)*(OFFSET(Calc2!$H$4,,,$F$26*B434,1)=OFFSET(Calc2!$I$4,,,$F$26*B434,1))*(OFFSET(Calc2!$H$4,,,$F$26*B434,1)&lt;&gt;"")*(OFFSET(Calc2!$I$4,,,$F$26*B434,1)&lt;&gt;""))</f>
        <v>0</v>
      </c>
      <c r="N455" s="1">
        <f t="array" aca="1" ref="N455" ca="1">SUMPRODUCT((OFFSET(Calc2!$F$4,,,$F$26*B434,1)=F455)*(OFFSET(Calc2!$H$4,,,$F$26*B434,1)&lt;OFFSET(Calc2!$I$4,,,$F$26*B434,1)))+SUMPRODUCT((OFFSET(Calc2!$G$4,,,$F$26*B434,1)=F455)*(OFFSET(Calc2!$H$4,,,$F$26*B434,1)&gt;OFFSET(Calc2!$I$4,,,$F$26*B434,1)))</f>
        <v>0</v>
      </c>
      <c r="O455" s="132">
        <f ca="1">SUMPRODUCT((F455=OFFSET(Calc2!$F$4,,,$F$26*B434,1))*OFFSET(Calc2!$O$4,,,$F$26*B434,1))+SUMPRODUCT((F455=OFFSET(Calc2!$G$4,,,$F$26*B434,1))*OFFSET(Calc2!$P$4,,,$F$26*B434,1))</f>
        <v>0</v>
      </c>
      <c r="P455" s="2"/>
      <c r="Q455" s="2"/>
      <c r="R455" s="13">
        <f t="shared" ca="1" si="81"/>
        <v>500000000</v>
      </c>
      <c r="S455" s="134">
        <f>Tie_Break!$D$26</f>
        <v>0</v>
      </c>
      <c r="T455" s="10">
        <f ca="1">RANK(R455,R436:R455)+(9-S455)/10000+(F455="")*1000</f>
        <v>1019.0009</v>
      </c>
      <c r="U455" s="2"/>
      <c r="V455" s="134">
        <f ca="1">IF($K$24=0,"",IF(VLOOKUP(B455,C436:E455,3,0)=MAX(V$4:V454),VLOOKUP(B455,C436:E455,3,0),B455))</f>
        <v>19</v>
      </c>
      <c r="W455" s="4" t="str">
        <f ca="1">IF($K$24=0,Calc2!$C$23,VLOOKUP(B455,C436:N455,4,0))</f>
        <v/>
      </c>
      <c r="X455" s="1">
        <f ca="1">INDEX(V409:V428,MATCH(W455,W409:W428,0))</f>
        <v>19</v>
      </c>
      <c r="Y455" s="1">
        <f t="shared" ca="1" si="84"/>
        <v>0</v>
      </c>
    </row>
    <row r="456" spans="2:25" ht="12.75" thickTop="1" x14ac:dyDescent="0.2">
      <c r="X456" s="1"/>
      <c r="Y456" s="1"/>
    </row>
    <row r="457" spans="2:25" x14ac:dyDescent="0.2">
      <c r="X457" s="1"/>
      <c r="Y457" s="1"/>
    </row>
    <row r="458" spans="2:25" x14ac:dyDescent="0.2">
      <c r="X458" s="1"/>
      <c r="Y458" s="1"/>
    </row>
    <row r="459" spans="2:25" x14ac:dyDescent="0.2">
      <c r="X459" s="1"/>
      <c r="Y459" s="1"/>
    </row>
    <row r="460" spans="2:25" ht="12.75" thickBot="1" x14ac:dyDescent="0.25">
      <c r="X460" s="1"/>
      <c r="Y460" s="1"/>
    </row>
    <row r="461" spans="2:25" ht="12.75" thickBot="1" x14ac:dyDescent="0.25">
      <c r="B461" s="410">
        <v>18</v>
      </c>
      <c r="C461" s="134"/>
      <c r="D461" s="134"/>
      <c r="E461" s="134"/>
      <c r="F461" s="187"/>
      <c r="G461" s="1"/>
      <c r="H461" s="1"/>
      <c r="I461" s="1"/>
      <c r="J461" s="1"/>
      <c r="K461" s="1"/>
      <c r="L461" s="1"/>
      <c r="M461" s="1"/>
      <c r="N461" s="134"/>
      <c r="O461" s="1"/>
      <c r="P461" s="1"/>
      <c r="Q461" s="1"/>
      <c r="R461" s="2"/>
      <c r="S461" s="2"/>
      <c r="T461" s="2"/>
      <c r="U461" s="2"/>
      <c r="V461" s="2"/>
      <c r="W461" s="2"/>
      <c r="X461" s="1"/>
      <c r="Y461" s="1"/>
    </row>
    <row r="462" spans="2:25" ht="15.75" thickBot="1" x14ac:dyDescent="0.25">
      <c r="B462" s="1"/>
      <c r="C462" s="134"/>
      <c r="D462" s="134"/>
      <c r="E462" s="134"/>
      <c r="F462" s="11" t="s">
        <v>90</v>
      </c>
      <c r="G462" s="42" t="s">
        <v>95</v>
      </c>
      <c r="H462" s="42" t="s">
        <v>96</v>
      </c>
      <c r="I462" s="11" t="s">
        <v>97</v>
      </c>
      <c r="J462" s="11" t="s">
        <v>98</v>
      </c>
      <c r="K462" s="11" t="s">
        <v>91</v>
      </c>
      <c r="L462" s="12" t="s">
        <v>92</v>
      </c>
      <c r="M462" s="12" t="s">
        <v>93</v>
      </c>
      <c r="N462" s="12" t="s">
        <v>94</v>
      </c>
      <c r="O462" s="12" t="s">
        <v>534</v>
      </c>
      <c r="P462" s="2"/>
      <c r="Q462" s="11"/>
      <c r="R462" s="133" t="s">
        <v>99</v>
      </c>
      <c r="S462" s="6" t="s">
        <v>483</v>
      </c>
      <c r="T462" s="120" t="s">
        <v>146</v>
      </c>
      <c r="U462" s="134"/>
      <c r="V462" s="134"/>
      <c r="W462" s="132"/>
      <c r="X462" s="120" t="s">
        <v>575</v>
      </c>
      <c r="Y462" s="1"/>
    </row>
    <row r="463" spans="2:25" ht="12.75" thickTop="1" x14ac:dyDescent="0.2">
      <c r="B463" s="1">
        <v>1</v>
      </c>
      <c r="C463" s="8">
        <f ca="1">RANK(D463,D463:D482,1)</f>
        <v>17</v>
      </c>
      <c r="D463" s="134">
        <f ca="1">E463+ROW()/1000</f>
        <v>17.463000000000001</v>
      </c>
      <c r="E463" s="134">
        <f ca="1">RANK(T463,T463:T482,1)</f>
        <v>17</v>
      </c>
      <c r="F463" s="187" t="str">
        <f>Calc2!$C$4</f>
        <v>1. FC Heidenheim 1846</v>
      </c>
      <c r="G463" s="1">
        <f ca="1">SUMIFS(OFFSET(Calc2!$H$4,,,$F$26*B461,1),OFFSET(Calc2!$F$4,,,$F$26*B461,1),F463)+SUMIFS(OFFSET(Calc2!$I$4,,,$F$26*B461,1),OFFSET(Calc2!$G$4,,,$F$26*B461,1),F463)</f>
        <v>17</v>
      </c>
      <c r="H463" s="1">
        <f ca="1">SUMIFS(OFFSET(Calc2!$I$4,,,$F$26*B461,1),OFFSET(Calc2!$F$4,,,$F$26*B461,1),F463)+SUMIFS(OFFSET(Calc2!$H$4,,,$F$26*B461,1),OFFSET(Calc2!$G$4,,,$F$26*B461,1),F463)</f>
        <v>39</v>
      </c>
      <c r="I463" s="134">
        <f t="shared" ref="I463:I482" ca="1" si="85">G463-H463</f>
        <v>-22</v>
      </c>
      <c r="J463" s="12">
        <f ca="1">L463*Settings!$C$3+M463+O463</f>
        <v>13</v>
      </c>
      <c r="K463" s="1">
        <f ca="1">L463+M463+N463</f>
        <v>18</v>
      </c>
      <c r="L463" s="1">
        <f t="array" aca="1" ref="L463" ca="1">SUMPRODUCT((OFFSET(Calc2!$F$4,,,$F$26*B461,1)=F463)*(OFFSET(Calc2!$H$4,,,$F$26*B461,1)&gt;OFFSET(Calc2!$I$4,,,$F$26*B461,1)))+SUMPRODUCT((OFFSET(Calc2!$G$4,,,$F$26*B461,1)=F463)*(OFFSET(Calc2!$H$4,,,$F$26*B461,1)&lt;OFFSET(Calc2!$I$4,,,$F$26*B461,1)))</f>
        <v>3</v>
      </c>
      <c r="M463" s="1">
        <f t="array" aca="1" ref="M463" ca="1">SUMPRODUCT((OFFSET(Calc2!$F$4,,,$F$26*B461,2)=F463)*(OFFSET(Calc2!$H$4,,,$F$26*B461,1)=OFFSET(Calc2!$I$4,,,$F$26*B461,1))*(OFFSET(Calc2!$H$4,,,$F$26*B461,1)&lt;&gt;"")*(OFFSET(Calc2!$I$4,,,$F$26*B461,1)&lt;&gt;""))</f>
        <v>4</v>
      </c>
      <c r="N463" s="1">
        <f t="array" aca="1" ref="N463" ca="1">SUMPRODUCT((OFFSET(Calc2!$F$4,,,$F$26*B461,1)=F463)*(OFFSET(Calc2!$H$4,,,$F$26*B461,1)&lt;OFFSET(Calc2!$I$4,,,$F$26*B461,1)))+SUMPRODUCT((OFFSET(Calc2!$G$4,,,$F$26*B461,1)=F463)*(OFFSET(Calc2!$H$4,,,$F$26*B461,1)&gt;OFFSET(Calc2!$I$4,,,$F$26*B461,1)))</f>
        <v>11</v>
      </c>
      <c r="O463" s="132">
        <f ca="1">SUMPRODUCT((F463=OFFSET(Calc2!$F$4,,,$F$26*B461,1))*OFFSET(Calc2!$O$4,,,$F$26*B461,1))+SUMPRODUCT((F463=OFFSET(Calc2!$G$4,,,$F$26*B461,1))*OFFSET(Calc2!$P$4,,,$F$26*B461,1))</f>
        <v>0</v>
      </c>
      <c r="P463" s="2"/>
      <c r="Q463" s="2"/>
      <c r="R463" s="13">
        <f t="shared" ref="R463:R482" ca="1" si="86">J463*FactorPts+(I463+GDzero)*FactorGD+G463*FactorGF</f>
        <v>13499978017</v>
      </c>
      <c r="S463" s="134">
        <f>Tie_Break!$D$7</f>
        <v>0</v>
      </c>
      <c r="T463" s="8">
        <f ca="1">RANK(R463,R463:R482)+(9-S463)/10000+(F463="")*1000</f>
        <v>17.000900000000001</v>
      </c>
      <c r="U463" s="134"/>
      <c r="V463" s="134">
        <f ca="1">IF($K$24=0,"",1)</f>
        <v>1</v>
      </c>
      <c r="W463" s="4" t="str">
        <f ca="1">IF($K$24=0,Calc2!$C$4,VLOOKUP(B463,C463:N482,4,0))</f>
        <v>FC Bayern München</v>
      </c>
      <c r="X463" s="1">
        <f ca="1">INDEX(V436:V455,MATCH(W463,W436:W455,0))</f>
        <v>1</v>
      </c>
      <c r="Y463" s="1">
        <f ca="1">IF(X463&gt;V463,1,IF(X463&lt;V463,-1,0))</f>
        <v>0</v>
      </c>
    </row>
    <row r="464" spans="2:25" x14ac:dyDescent="0.2">
      <c r="B464" s="1">
        <v>2</v>
      </c>
      <c r="C464" s="9">
        <f ca="1">RANK(D464,D463:D482,1)</f>
        <v>10</v>
      </c>
      <c r="D464" s="134">
        <f t="shared" ref="D464:D482" ca="1" si="87">E464+ROW()/1000</f>
        <v>10.464</v>
      </c>
      <c r="E464" s="134">
        <f ca="1">RANK(T464,T463:T482,1)</f>
        <v>10</v>
      </c>
      <c r="F464" s="187" t="str">
        <f>Calc2!$C$5</f>
        <v>1. FC Köln</v>
      </c>
      <c r="G464" s="1">
        <f ca="1">SUMIFS(OFFSET(Calc2!$H$4,,,$F$26*B461,1),OFFSET(Calc2!$F$4,,,$F$26*B461,1),F464)+SUMIFS(OFFSET(Calc2!$I$4,,,$F$26*B461,1),OFFSET(Calc2!$G$4,,,$F$26*B461,1),F464)</f>
        <v>27</v>
      </c>
      <c r="H464" s="1">
        <f ca="1">SUMIFS(OFFSET(Calc2!$I$4,,,$F$26*B461,1),OFFSET(Calc2!$F$4,,,$F$26*B461,1),F464)+SUMIFS(OFFSET(Calc2!$H$4,,,$F$26*B461,1),OFFSET(Calc2!$G$4,,,$F$26*B461,1),F464)</f>
        <v>30</v>
      </c>
      <c r="I464" s="134">
        <f t="shared" ca="1" si="85"/>
        <v>-3</v>
      </c>
      <c r="J464" s="12">
        <f ca="1">L464*Settings!$C$3+M464+O464</f>
        <v>20</v>
      </c>
      <c r="K464" s="1">
        <f t="shared" ref="K464:K482" ca="1" si="88">L464+M464+N464</f>
        <v>18</v>
      </c>
      <c r="L464" s="1">
        <f t="array" aca="1" ref="L464" ca="1">SUMPRODUCT((OFFSET(Calc2!$F$4,,,$F$26*B461,1)=F464)*(OFFSET(Calc2!$H$4,,,$F$26*B461,1)&gt;OFFSET(Calc2!$I$4,,,$F$26*B461,1)))+SUMPRODUCT((OFFSET(Calc2!$G$4,,,$F$26*B461,1)=F464)*(OFFSET(Calc2!$H$4,,,$F$26*B461,1)&lt;OFFSET(Calc2!$I$4,,,$F$26*B461,1)))</f>
        <v>5</v>
      </c>
      <c r="M464" s="1">
        <f t="array" aca="1" ref="M464" ca="1">SUMPRODUCT((OFFSET(Calc2!$F$4,,,$F$26*B461,2)=F464)*(OFFSET(Calc2!$H$4,,,$F$26*B461,1)=OFFSET(Calc2!$I$4,,,$F$26*B461,1))*(OFFSET(Calc2!$H$4,,,$F$26*B461,1)&lt;&gt;"")*(OFFSET(Calc2!$I$4,,,$F$26*B461,1)&lt;&gt;""))</f>
        <v>5</v>
      </c>
      <c r="N464" s="1">
        <f t="array" aca="1" ref="N464" ca="1">SUMPRODUCT((OFFSET(Calc2!$F$4,,,$F$26*B461,1)=F464)*(OFFSET(Calc2!$H$4,,,$F$26*B461,1)&lt;OFFSET(Calc2!$I$4,,,$F$26*B461,1)))+SUMPRODUCT((OFFSET(Calc2!$G$4,,,$F$26*B461,1)=F464)*(OFFSET(Calc2!$H$4,,,$F$26*B461,1)&gt;OFFSET(Calc2!$I$4,,,$F$26*B461,1)))</f>
        <v>8</v>
      </c>
      <c r="O464" s="132">
        <f ca="1">SUMPRODUCT((F464=OFFSET(Calc2!$F$4,,,$F$26*B461,1))*OFFSET(Calc2!$O$4,,,$F$26*B461,1))+SUMPRODUCT((F464=OFFSET(Calc2!$G$4,,,$F$26*B461,1))*OFFSET(Calc2!$P$4,,,$F$26*B461,1))</f>
        <v>0</v>
      </c>
      <c r="P464" s="2"/>
      <c r="Q464" s="2"/>
      <c r="R464" s="13">
        <f t="shared" ca="1" si="86"/>
        <v>20499997027</v>
      </c>
      <c r="S464" s="134">
        <f>Tie_Break!$D$8</f>
        <v>0</v>
      </c>
      <c r="T464" s="9">
        <f ca="1">RANK(R464,R463:R482)+(9-S464)/10000+(F464="")*1000</f>
        <v>10.0009</v>
      </c>
      <c r="U464" s="134"/>
      <c r="V464" s="134">
        <f ca="1">IF($K$24=0,"",IF(VLOOKUP(B464,C463:E482,3,0)=MAX(V$4:V463),VLOOKUP(B464,C463:E482,3,0),B464))</f>
        <v>2</v>
      </c>
      <c r="W464" s="4" t="str">
        <f ca="1">IF($K$24=0,Calc2!$C$5,VLOOKUP(B464,C463:N482,4,0))</f>
        <v>Borussia Dortmund</v>
      </c>
      <c r="X464" s="1">
        <f ca="1">INDEX(V436:V455,MATCH(W464,W436:W455,0))</f>
        <v>2</v>
      </c>
      <c r="Y464" s="1">
        <f t="shared" ref="Y464:Y482" ca="1" si="89">IF(X464&gt;V464,1,IF(X464&lt;V464,-1,0))</f>
        <v>0</v>
      </c>
    </row>
    <row r="465" spans="2:25" x14ac:dyDescent="0.2">
      <c r="B465" s="1">
        <v>3</v>
      </c>
      <c r="C465" s="9">
        <f ca="1">RANK(D465,D463:D482,1)</f>
        <v>9</v>
      </c>
      <c r="D465" s="134">
        <f t="shared" ca="1" si="87"/>
        <v>9.4649999999999999</v>
      </c>
      <c r="E465" s="134">
        <f ca="1">RANK(T465,T463:T482,1)</f>
        <v>9</v>
      </c>
      <c r="F465" s="187" t="str">
        <f>Calc2!$C$6</f>
        <v>1. FC Union Berlin</v>
      </c>
      <c r="G465" s="1">
        <f ca="1">SUMIFS(OFFSET(Calc2!$H$4,,,$F$26*B461,1),OFFSET(Calc2!$F$4,,,$F$26*B461,1),F465)+SUMIFS(OFFSET(Calc2!$I$4,,,$F$26*B461,1),OFFSET(Calc2!$G$4,,,$F$26*B461,1),F465)</f>
        <v>24</v>
      </c>
      <c r="H465" s="1">
        <f ca="1">SUMIFS(OFFSET(Calc2!$I$4,,,$F$26*B461,1),OFFSET(Calc2!$F$4,,,$F$26*B461,1),F465)+SUMIFS(OFFSET(Calc2!$H$4,,,$F$26*B461,1),OFFSET(Calc2!$G$4,,,$F$26*B461,1),F465)</f>
        <v>27</v>
      </c>
      <c r="I465" s="134">
        <f t="shared" ca="1" si="85"/>
        <v>-3</v>
      </c>
      <c r="J465" s="12">
        <f ca="1">L465*Settings!$C$3+M465+O465</f>
        <v>24</v>
      </c>
      <c r="K465" s="1">
        <f t="shared" ca="1" si="88"/>
        <v>18</v>
      </c>
      <c r="L465" s="1">
        <f t="array" aca="1" ref="L465" ca="1">SUMPRODUCT((OFFSET(Calc2!$F$4,,,$F$26*B461,1)=F465)*(OFFSET(Calc2!$H$4,,,$F$26*B461,1)&gt;OFFSET(Calc2!$I$4,,,$F$26*B461,1)))+SUMPRODUCT((OFFSET(Calc2!$G$4,,,$F$26*B461,1)=F465)*(OFFSET(Calc2!$H$4,,,$F$26*B461,1)&lt;OFFSET(Calc2!$I$4,,,$F$26*B461,1)))</f>
        <v>6</v>
      </c>
      <c r="M465" s="1">
        <f t="array" aca="1" ref="M465" ca="1">SUMPRODUCT((OFFSET(Calc2!$F$4,,,$F$26*B461,2)=F465)*(OFFSET(Calc2!$H$4,,,$F$26*B461,1)=OFFSET(Calc2!$I$4,,,$F$26*B461,1))*(OFFSET(Calc2!$H$4,,,$F$26*B461,1)&lt;&gt;"")*(OFFSET(Calc2!$I$4,,,$F$26*B461,1)&lt;&gt;""))</f>
        <v>6</v>
      </c>
      <c r="N465" s="1">
        <f t="array" aca="1" ref="N465" ca="1">SUMPRODUCT((OFFSET(Calc2!$F$4,,,$F$26*B461,1)=F465)*(OFFSET(Calc2!$H$4,,,$F$26*B461,1)&lt;OFFSET(Calc2!$I$4,,,$F$26*B461,1)))+SUMPRODUCT((OFFSET(Calc2!$G$4,,,$F$26*B461,1)=F465)*(OFFSET(Calc2!$H$4,,,$F$26*B461,1)&gt;OFFSET(Calc2!$I$4,,,$F$26*B461,1)))</f>
        <v>6</v>
      </c>
      <c r="O465" s="132">
        <f ca="1">SUMPRODUCT((F465=OFFSET(Calc2!$F$4,,,$F$26*B461,1))*OFFSET(Calc2!$O$4,,,$F$26*B461,1))+SUMPRODUCT((F465=OFFSET(Calc2!$G$4,,,$F$26*B461,1))*OFFSET(Calc2!$P$4,,,$F$26*B461,1))</f>
        <v>0</v>
      </c>
      <c r="P465" s="2"/>
      <c r="Q465" s="2"/>
      <c r="R465" s="13">
        <f t="shared" ca="1" si="86"/>
        <v>24499997024</v>
      </c>
      <c r="S465" s="134">
        <f>Tie_Break!$D$9</f>
        <v>0</v>
      </c>
      <c r="T465" s="9">
        <f ca="1">RANK(R465,R463:R482)+(9-S465)/10000+(F465="")*1000</f>
        <v>9.0008999999999997</v>
      </c>
      <c r="U465" s="134"/>
      <c r="V465" s="134">
        <f ca="1">IF($K$24=0,"",IF(VLOOKUP(B465,C463:E482,3,0)=MAX(V$4:V464),VLOOKUP(B465,C463:E482,3,0),B465))</f>
        <v>3</v>
      </c>
      <c r="W465" s="4" t="str">
        <f ca="1">IF($K$24=0,Calc2!$C$6,VLOOKUP(B465,C463:N482,4,0))</f>
        <v>TSG Hoffenheim</v>
      </c>
      <c r="X465" s="1">
        <f ca="1">INDEX(V436:V455,MATCH(W465,W436:W455,0))</f>
        <v>3</v>
      </c>
      <c r="Y465" s="1">
        <f t="shared" ca="1" si="89"/>
        <v>0</v>
      </c>
    </row>
    <row r="466" spans="2:25" x14ac:dyDescent="0.2">
      <c r="B466" s="1">
        <v>4</v>
      </c>
      <c r="C466" s="9">
        <f ca="1">RANK(D466,D463:D482,1)</f>
        <v>18</v>
      </c>
      <c r="D466" s="134">
        <f t="shared" ca="1" si="87"/>
        <v>18.466000000000001</v>
      </c>
      <c r="E466" s="134">
        <f ca="1">RANK(T466,T463:T482,1)</f>
        <v>18</v>
      </c>
      <c r="F466" s="187" t="str">
        <f>Calc2!$C$7</f>
        <v>1. FSV Mainz 05</v>
      </c>
      <c r="G466" s="1">
        <f ca="1">SUMIFS(OFFSET(Calc2!$H$4,,,$F$26*B461,1),OFFSET(Calc2!$F$4,,,$F$26*B461,1),F466)+SUMIFS(OFFSET(Calc2!$I$4,,,$F$26*B461,1),OFFSET(Calc2!$G$4,,,$F$26*B461,1),F466)</f>
        <v>18</v>
      </c>
      <c r="H466" s="1">
        <f ca="1">SUMIFS(OFFSET(Calc2!$I$4,,,$F$26*B461,1),OFFSET(Calc2!$F$4,,,$F$26*B461,1),F466)+SUMIFS(OFFSET(Calc2!$H$4,,,$F$26*B461,1),OFFSET(Calc2!$G$4,,,$F$26*B461,1),F466)</f>
        <v>31</v>
      </c>
      <c r="I466" s="134">
        <f t="shared" ca="1" si="85"/>
        <v>-13</v>
      </c>
      <c r="J466" s="12">
        <f ca="1">L466*Settings!$C$3+M466+O466</f>
        <v>12</v>
      </c>
      <c r="K466" s="1">
        <f t="shared" ca="1" si="88"/>
        <v>18</v>
      </c>
      <c r="L466" s="1">
        <f t="array" aca="1" ref="L466" ca="1">SUMPRODUCT((OFFSET(Calc2!$F$4,,,$F$26*B461,1)=F466)*(OFFSET(Calc2!$H$4,,,$F$26*B461,1)&gt;OFFSET(Calc2!$I$4,,,$F$26*B461,1)))+SUMPRODUCT((OFFSET(Calc2!$G$4,,,$F$26*B461,1)=F466)*(OFFSET(Calc2!$H$4,,,$F$26*B461,1)&lt;OFFSET(Calc2!$I$4,,,$F$26*B461,1)))</f>
        <v>2</v>
      </c>
      <c r="M466" s="1">
        <f t="array" aca="1" ref="M466" ca="1">SUMPRODUCT((OFFSET(Calc2!$F$4,,,$F$26*B461,2)=F466)*(OFFSET(Calc2!$H$4,,,$F$26*B461,1)=OFFSET(Calc2!$I$4,,,$F$26*B461,1))*(OFFSET(Calc2!$H$4,,,$F$26*B461,1)&lt;&gt;"")*(OFFSET(Calc2!$I$4,,,$F$26*B461,1)&lt;&gt;""))</f>
        <v>6</v>
      </c>
      <c r="N466" s="1">
        <f t="array" aca="1" ref="N466" ca="1">SUMPRODUCT((OFFSET(Calc2!$F$4,,,$F$26*B461,1)=F466)*(OFFSET(Calc2!$H$4,,,$F$26*B461,1)&lt;OFFSET(Calc2!$I$4,,,$F$26*B461,1)))+SUMPRODUCT((OFFSET(Calc2!$G$4,,,$F$26*B461,1)=F466)*(OFFSET(Calc2!$H$4,,,$F$26*B461,1)&gt;OFFSET(Calc2!$I$4,,,$F$26*B461,1)))</f>
        <v>10</v>
      </c>
      <c r="O466" s="132">
        <f ca="1">SUMPRODUCT((F466=OFFSET(Calc2!$F$4,,,$F$26*B461,1))*OFFSET(Calc2!$O$4,,,$F$26*B461,1))+SUMPRODUCT((F466=OFFSET(Calc2!$G$4,,,$F$26*B461,1))*OFFSET(Calc2!$P$4,,,$F$26*B461,1))</f>
        <v>0</v>
      </c>
      <c r="P466" s="2"/>
      <c r="Q466" s="2"/>
      <c r="R466" s="13">
        <f t="shared" ca="1" si="86"/>
        <v>12499987018</v>
      </c>
      <c r="S466" s="134">
        <f>Tie_Break!$D$10</f>
        <v>0</v>
      </c>
      <c r="T466" s="9">
        <f ca="1">RANK(R466,R463:R482)+(9-S466)/10000+(F466="")*1000</f>
        <v>18.000900000000001</v>
      </c>
      <c r="U466" s="134"/>
      <c r="V466" s="134">
        <f ca="1">IF($K$24=0,"",IF(VLOOKUP(B466,C463:E482,3,0)=MAX(V$4:V465),VLOOKUP(B466,C463:E482,3,0),B466))</f>
        <v>4</v>
      </c>
      <c r="W466" s="4" t="str">
        <f ca="1">IF($K$24=0,Calc2!$C$7,VLOOKUP(B466,C463:N482,4,0))</f>
        <v>RB Leipzig</v>
      </c>
      <c r="X466" s="1">
        <f ca="1">INDEX(V436:V455,MATCH(W466,W436:W455,0))</f>
        <v>4</v>
      </c>
      <c r="Y466" s="1">
        <f t="shared" ca="1" si="89"/>
        <v>0</v>
      </c>
    </row>
    <row r="467" spans="2:25" x14ac:dyDescent="0.2">
      <c r="B467" s="1">
        <v>5</v>
      </c>
      <c r="C467" s="9">
        <f ca="1">RANK(D467,D463:D482,1)</f>
        <v>6</v>
      </c>
      <c r="D467" s="134">
        <f t="shared" ca="1" si="87"/>
        <v>6.4669999999999996</v>
      </c>
      <c r="E467" s="134">
        <f ca="1">RANK(T467,T463:T482,1)</f>
        <v>6</v>
      </c>
      <c r="F467" s="187" t="str">
        <f>Calc2!$C$8</f>
        <v>Bayer 04 Leverkusen</v>
      </c>
      <c r="G467" s="1">
        <f ca="1">SUMIFS(OFFSET(Calc2!$H$4,,,$F$26*B461,1),OFFSET(Calc2!$F$4,,,$F$26*B461,1),F467)+SUMIFS(OFFSET(Calc2!$I$4,,,$F$26*B461,1),OFFSET(Calc2!$G$4,,,$F$26*B461,1),F467)</f>
        <v>35</v>
      </c>
      <c r="H467" s="1">
        <f ca="1">SUMIFS(OFFSET(Calc2!$I$4,,,$F$26*B461,1),OFFSET(Calc2!$F$4,,,$F$26*B461,1),F467)+SUMIFS(OFFSET(Calc2!$H$4,,,$F$26*B461,1),OFFSET(Calc2!$G$4,,,$F$26*B461,1),F467)</f>
        <v>25</v>
      </c>
      <c r="I467" s="134">
        <f t="shared" ca="1" si="85"/>
        <v>10</v>
      </c>
      <c r="J467" s="12">
        <f ca="1">L467*Settings!$C$3+M467+O467</f>
        <v>32</v>
      </c>
      <c r="K467" s="1">
        <f t="shared" ca="1" si="88"/>
        <v>18</v>
      </c>
      <c r="L467" s="1">
        <f t="array" aca="1" ref="L467" ca="1">SUMPRODUCT((OFFSET(Calc2!$F$4,,,$F$26*B461,1)=F467)*(OFFSET(Calc2!$H$4,,,$F$26*B461,1)&gt;OFFSET(Calc2!$I$4,,,$F$26*B461,1)))+SUMPRODUCT((OFFSET(Calc2!$G$4,,,$F$26*B461,1)=F467)*(OFFSET(Calc2!$H$4,,,$F$26*B461,1)&lt;OFFSET(Calc2!$I$4,,,$F$26*B461,1)))</f>
        <v>10</v>
      </c>
      <c r="M467" s="1">
        <f t="array" aca="1" ref="M467" ca="1">SUMPRODUCT((OFFSET(Calc2!$F$4,,,$F$26*B461,2)=F467)*(OFFSET(Calc2!$H$4,,,$F$26*B461,1)=OFFSET(Calc2!$I$4,,,$F$26*B461,1))*(OFFSET(Calc2!$H$4,,,$F$26*B461,1)&lt;&gt;"")*(OFFSET(Calc2!$I$4,,,$F$26*B461,1)&lt;&gt;""))</f>
        <v>2</v>
      </c>
      <c r="N467" s="1">
        <f t="array" aca="1" ref="N467" ca="1">SUMPRODUCT((OFFSET(Calc2!$F$4,,,$F$26*B461,1)=F467)*(OFFSET(Calc2!$H$4,,,$F$26*B461,1)&lt;OFFSET(Calc2!$I$4,,,$F$26*B461,1)))+SUMPRODUCT((OFFSET(Calc2!$G$4,,,$F$26*B461,1)=F467)*(OFFSET(Calc2!$H$4,,,$F$26*B461,1)&gt;OFFSET(Calc2!$I$4,,,$F$26*B461,1)))</f>
        <v>6</v>
      </c>
      <c r="O467" s="132">
        <f ca="1">SUMPRODUCT((F467=OFFSET(Calc2!$F$4,,,$F$26*B461,1))*OFFSET(Calc2!$O$4,,,$F$26*B461,1))+SUMPRODUCT((F467=OFFSET(Calc2!$G$4,,,$F$26*B461,1))*OFFSET(Calc2!$P$4,,,$F$26*B461,1))</f>
        <v>0</v>
      </c>
      <c r="P467" s="2"/>
      <c r="Q467" s="2"/>
      <c r="R467" s="13">
        <f t="shared" ca="1" si="86"/>
        <v>32500010035</v>
      </c>
      <c r="S467" s="134">
        <f>Tie_Break!$D$11</f>
        <v>0</v>
      </c>
      <c r="T467" s="9">
        <f ca="1">RANK(R467,R463:R482)+(9-S467)/10000+(F467="")*1000</f>
        <v>6.0008999999999997</v>
      </c>
      <c r="U467" s="134"/>
      <c r="V467" s="134">
        <f ca="1">IF($K$24=0,"",IF(VLOOKUP(B467,C463:E482,3,0)=MAX(V$4:V466),VLOOKUP(B467,C463:E482,3,0),B467))</f>
        <v>5</v>
      </c>
      <c r="W467" s="4" t="str">
        <f ca="1">IF($K$24=0,Calc2!$C$8,VLOOKUP(B467,C463:N482,4,0))</f>
        <v>VfB Stuttgart</v>
      </c>
      <c r="X467" s="1">
        <f ca="1">INDEX(V436:V455,MATCH(W467,W436:W455,0))</f>
        <v>6</v>
      </c>
      <c r="Y467" s="1">
        <f t="shared" ca="1" si="89"/>
        <v>1</v>
      </c>
    </row>
    <row r="468" spans="2:25" x14ac:dyDescent="0.2">
      <c r="B468" s="1">
        <v>6</v>
      </c>
      <c r="C468" s="9">
        <f ca="1">RANK(D468,D463:D482,1)</f>
        <v>2</v>
      </c>
      <c r="D468" s="134">
        <f t="shared" ca="1" si="87"/>
        <v>2.468</v>
      </c>
      <c r="E468" s="134">
        <f ca="1">RANK(T468,T463:T482,1)</f>
        <v>2</v>
      </c>
      <c r="F468" s="187" t="str">
        <f>Calc2!$C$9</f>
        <v>Borussia Dortmund</v>
      </c>
      <c r="G468" s="1">
        <f ca="1">SUMIFS(OFFSET(Calc2!$H$4,,,$F$26*B461,1),OFFSET(Calc2!$F$4,,,$F$26*B461,1),F468)+SUMIFS(OFFSET(Calc2!$I$4,,,$F$26*B461,1),OFFSET(Calc2!$G$4,,,$F$26*B461,1),F468)</f>
        <v>35</v>
      </c>
      <c r="H468" s="1">
        <f ca="1">SUMIFS(OFFSET(Calc2!$I$4,,,$F$26*B461,1),OFFSET(Calc2!$F$4,,,$F$26*B461,1),F468)+SUMIFS(OFFSET(Calc2!$H$4,,,$F$26*B461,1),OFFSET(Calc2!$G$4,,,$F$26*B461,1),F468)</f>
        <v>17</v>
      </c>
      <c r="I468" s="134">
        <f t="shared" ca="1" si="85"/>
        <v>18</v>
      </c>
      <c r="J468" s="12">
        <f ca="1">L468*Settings!$C$3+M468+O468</f>
        <v>39</v>
      </c>
      <c r="K468" s="1">
        <f t="shared" ca="1" si="88"/>
        <v>18</v>
      </c>
      <c r="L468" s="1">
        <f t="array" aca="1" ref="L468" ca="1">SUMPRODUCT((OFFSET(Calc2!$F$4,,,$F$26*B461,1)=F468)*(OFFSET(Calc2!$H$4,,,$F$26*B461,1)&gt;OFFSET(Calc2!$I$4,,,$F$26*B461,1)))+SUMPRODUCT((OFFSET(Calc2!$G$4,,,$F$26*B461,1)=F468)*(OFFSET(Calc2!$H$4,,,$F$26*B461,1)&lt;OFFSET(Calc2!$I$4,,,$F$26*B461,1)))</f>
        <v>11</v>
      </c>
      <c r="M468" s="1">
        <f t="array" aca="1" ref="M468" ca="1">SUMPRODUCT((OFFSET(Calc2!$F$4,,,$F$26*B461,2)=F468)*(OFFSET(Calc2!$H$4,,,$F$26*B461,1)=OFFSET(Calc2!$I$4,,,$F$26*B461,1))*(OFFSET(Calc2!$H$4,,,$F$26*B461,1)&lt;&gt;"")*(OFFSET(Calc2!$I$4,,,$F$26*B461,1)&lt;&gt;""))</f>
        <v>6</v>
      </c>
      <c r="N468" s="1">
        <f t="array" aca="1" ref="N468" ca="1">SUMPRODUCT((OFFSET(Calc2!$F$4,,,$F$26*B461,1)=F468)*(OFFSET(Calc2!$H$4,,,$F$26*B461,1)&lt;OFFSET(Calc2!$I$4,,,$F$26*B461,1)))+SUMPRODUCT((OFFSET(Calc2!$G$4,,,$F$26*B461,1)=F468)*(OFFSET(Calc2!$H$4,,,$F$26*B461,1)&gt;OFFSET(Calc2!$I$4,,,$F$26*B461,1)))</f>
        <v>1</v>
      </c>
      <c r="O468" s="132">
        <f ca="1">SUMPRODUCT((F468=OFFSET(Calc2!$F$4,,,$F$26*B461,1))*OFFSET(Calc2!$O$4,,,$F$26*B461,1))+SUMPRODUCT((F468=OFFSET(Calc2!$G$4,,,$F$26*B461,1))*OFFSET(Calc2!$P$4,,,$F$26*B461,1))</f>
        <v>0</v>
      </c>
      <c r="P468" s="2"/>
      <c r="Q468" s="2"/>
      <c r="R468" s="13">
        <f t="shared" ca="1" si="86"/>
        <v>39500018035</v>
      </c>
      <c r="S468" s="134">
        <f>Tie_Break!$D$12</f>
        <v>0</v>
      </c>
      <c r="T468" s="9">
        <f ca="1">RANK(R468,R463:R482)+(9-S468)/10000+(F468="")*1000</f>
        <v>2.0009000000000001</v>
      </c>
      <c r="U468" s="134"/>
      <c r="V468" s="134">
        <f ca="1">IF($K$24=0,"",IF(VLOOKUP(B468,C463:E482,3,0)=MAX(V$4:V467),VLOOKUP(B468,C463:E482,3,0),B468))</f>
        <v>6</v>
      </c>
      <c r="W468" s="4" t="str">
        <f ca="1">IF($K$24=0,Calc2!$C$9,VLOOKUP(B468,C463:N482,4,0))</f>
        <v>Bayer 04 Leverkusen</v>
      </c>
      <c r="X468" s="1">
        <f ca="1">INDEX(V436:V455,MATCH(W468,W436:W455,0))</f>
        <v>5</v>
      </c>
      <c r="Y468" s="1">
        <f t="shared" ca="1" si="89"/>
        <v>-1</v>
      </c>
    </row>
    <row r="469" spans="2:25" x14ac:dyDescent="0.2">
      <c r="B469" s="1">
        <v>7</v>
      </c>
      <c r="C469" s="9">
        <f ca="1">RANK(D469,D463:D482,1)</f>
        <v>11</v>
      </c>
      <c r="D469" s="134">
        <f t="shared" ca="1" si="87"/>
        <v>11.468999999999999</v>
      </c>
      <c r="E469" s="134">
        <f ca="1">RANK(T469,T463:T482,1)</f>
        <v>11</v>
      </c>
      <c r="F469" s="187" t="str">
        <f>Calc2!$C$10</f>
        <v>Borussia Mönchengladbach</v>
      </c>
      <c r="G469" s="1">
        <f ca="1">SUMIFS(OFFSET(Calc2!$H$4,,,$F$26*B461,1),OFFSET(Calc2!$F$4,,,$F$26*B461,1),F469)+SUMIFS(OFFSET(Calc2!$I$4,,,$F$26*B461,1),OFFSET(Calc2!$G$4,,,$F$26*B461,1),F469)</f>
        <v>23</v>
      </c>
      <c r="H469" s="1">
        <f ca="1">SUMIFS(OFFSET(Calc2!$I$4,,,$F$26*B461,1),OFFSET(Calc2!$F$4,,,$F$26*B461,1),F469)+SUMIFS(OFFSET(Calc2!$H$4,,,$F$26*B461,1),OFFSET(Calc2!$G$4,,,$F$26*B461,1),F469)</f>
        <v>29</v>
      </c>
      <c r="I469" s="134">
        <f t="shared" ca="1" si="85"/>
        <v>-6</v>
      </c>
      <c r="J469" s="12">
        <f ca="1">L469*Settings!$C$3+M469+O469</f>
        <v>20</v>
      </c>
      <c r="K469" s="1">
        <f t="shared" ca="1" si="88"/>
        <v>18</v>
      </c>
      <c r="L469" s="1">
        <f t="array" aca="1" ref="L469" ca="1">SUMPRODUCT((OFFSET(Calc2!$F$4,,,$F$26*B461,1)=F469)*(OFFSET(Calc2!$H$4,,,$F$26*B461,1)&gt;OFFSET(Calc2!$I$4,,,$F$26*B461,1)))+SUMPRODUCT((OFFSET(Calc2!$G$4,,,$F$26*B461,1)=F469)*(OFFSET(Calc2!$H$4,,,$F$26*B461,1)&lt;OFFSET(Calc2!$I$4,,,$F$26*B461,1)))</f>
        <v>5</v>
      </c>
      <c r="M469" s="1">
        <f t="array" aca="1" ref="M469" ca="1">SUMPRODUCT((OFFSET(Calc2!$F$4,,,$F$26*B461,2)=F469)*(OFFSET(Calc2!$H$4,,,$F$26*B461,1)=OFFSET(Calc2!$I$4,,,$F$26*B461,1))*(OFFSET(Calc2!$H$4,,,$F$26*B461,1)&lt;&gt;"")*(OFFSET(Calc2!$I$4,,,$F$26*B461,1)&lt;&gt;""))</f>
        <v>5</v>
      </c>
      <c r="N469" s="1">
        <f t="array" aca="1" ref="N469" ca="1">SUMPRODUCT((OFFSET(Calc2!$F$4,,,$F$26*B461,1)=F469)*(OFFSET(Calc2!$H$4,,,$F$26*B461,1)&lt;OFFSET(Calc2!$I$4,,,$F$26*B461,1)))+SUMPRODUCT((OFFSET(Calc2!$G$4,,,$F$26*B461,1)=F469)*(OFFSET(Calc2!$H$4,,,$F$26*B461,1)&gt;OFFSET(Calc2!$I$4,,,$F$26*B461,1)))</f>
        <v>8</v>
      </c>
      <c r="O469" s="132">
        <f ca="1">SUMPRODUCT((F469=OFFSET(Calc2!$F$4,,,$F$26*B461,1))*OFFSET(Calc2!$O$4,,,$F$26*B461,1))+SUMPRODUCT((F469=OFFSET(Calc2!$G$4,,,$F$26*B461,1))*OFFSET(Calc2!$P$4,,,$F$26*B461,1))</f>
        <v>0</v>
      </c>
      <c r="P469" s="2"/>
      <c r="Q469" s="2"/>
      <c r="R469" s="13">
        <f t="shared" ca="1" si="86"/>
        <v>20499994023</v>
      </c>
      <c r="S469" s="134">
        <f>Tie_Break!$D$13</f>
        <v>0</v>
      </c>
      <c r="T469" s="9">
        <f ca="1">RANK(R469,R463:R482)+(9-S469)/10000+(F469="")*1000</f>
        <v>11.0009</v>
      </c>
      <c r="U469" s="134"/>
      <c r="V469" s="134">
        <f ca="1">IF($K$24=0,"",IF(VLOOKUP(B469,C463:E482,3,0)=MAX(V$4:V468),VLOOKUP(B469,C463:E482,3,0),B469))</f>
        <v>7</v>
      </c>
      <c r="W469" s="4" t="str">
        <f ca="1">IF($K$24=0,Calc2!$C$10,VLOOKUP(B469,C463:N482,4,0))</f>
        <v>Eintracht Frankfurt</v>
      </c>
      <c r="X469" s="1">
        <f ca="1">INDEX(V436:V455,MATCH(W469,W436:W455,0))</f>
        <v>7</v>
      </c>
      <c r="Y469" s="1">
        <f t="shared" ca="1" si="89"/>
        <v>0</v>
      </c>
    </row>
    <row r="470" spans="2:25" x14ac:dyDescent="0.2">
      <c r="B470" s="1">
        <v>8</v>
      </c>
      <c r="C470" s="9">
        <f ca="1">RANK(D470,D463:D482,1)</f>
        <v>7</v>
      </c>
      <c r="D470" s="134">
        <f t="shared" ca="1" si="87"/>
        <v>7.47</v>
      </c>
      <c r="E470" s="134">
        <f ca="1">RANK(T470,T463:T482,1)</f>
        <v>7</v>
      </c>
      <c r="F470" s="187" t="str">
        <f>Calc2!$C$11</f>
        <v>Eintracht Frankfurt</v>
      </c>
      <c r="G470" s="1">
        <f ca="1">SUMIFS(OFFSET(Calc2!$H$4,,,$F$26*B461,1),OFFSET(Calc2!$F$4,,,$F$26*B461,1),F470)+SUMIFS(OFFSET(Calc2!$I$4,,,$F$26*B461,1),OFFSET(Calc2!$G$4,,,$F$26*B461,1),F470)</f>
        <v>38</v>
      </c>
      <c r="H470" s="1">
        <f ca="1">SUMIFS(OFFSET(Calc2!$I$4,,,$F$26*B461,1),OFFSET(Calc2!$F$4,,,$F$26*B461,1),F470)+SUMIFS(OFFSET(Calc2!$H$4,,,$F$26*B461,1),OFFSET(Calc2!$G$4,,,$F$26*B461,1),F470)</f>
        <v>39</v>
      </c>
      <c r="I470" s="134">
        <f t="shared" ca="1" si="85"/>
        <v>-1</v>
      </c>
      <c r="J470" s="12">
        <f ca="1">L470*Settings!$C$3+M470+O470</f>
        <v>27</v>
      </c>
      <c r="K470" s="1">
        <f t="shared" ca="1" si="88"/>
        <v>18</v>
      </c>
      <c r="L470" s="1">
        <f t="array" aca="1" ref="L470" ca="1">SUMPRODUCT((OFFSET(Calc2!$F$4,,,$F$26*B461,1)=F470)*(OFFSET(Calc2!$H$4,,,$F$26*B461,1)&gt;OFFSET(Calc2!$I$4,,,$F$26*B461,1)))+SUMPRODUCT((OFFSET(Calc2!$G$4,,,$F$26*B461,1)=F470)*(OFFSET(Calc2!$H$4,,,$F$26*B461,1)&lt;OFFSET(Calc2!$I$4,,,$F$26*B461,1)))</f>
        <v>7</v>
      </c>
      <c r="M470" s="1">
        <f t="array" aca="1" ref="M470" ca="1">SUMPRODUCT((OFFSET(Calc2!$F$4,,,$F$26*B461,2)=F470)*(OFFSET(Calc2!$H$4,,,$F$26*B461,1)=OFFSET(Calc2!$I$4,,,$F$26*B461,1))*(OFFSET(Calc2!$H$4,,,$F$26*B461,1)&lt;&gt;"")*(OFFSET(Calc2!$I$4,,,$F$26*B461,1)&lt;&gt;""))</f>
        <v>6</v>
      </c>
      <c r="N470" s="1">
        <f t="array" aca="1" ref="N470" ca="1">SUMPRODUCT((OFFSET(Calc2!$F$4,,,$F$26*B461,1)=F470)*(OFFSET(Calc2!$H$4,,,$F$26*B461,1)&lt;OFFSET(Calc2!$I$4,,,$F$26*B461,1)))+SUMPRODUCT((OFFSET(Calc2!$G$4,,,$F$26*B461,1)=F470)*(OFFSET(Calc2!$H$4,,,$F$26*B461,1)&gt;OFFSET(Calc2!$I$4,,,$F$26*B461,1)))</f>
        <v>5</v>
      </c>
      <c r="O470" s="132">
        <f ca="1">SUMPRODUCT((F470=OFFSET(Calc2!$F$4,,,$F$26*B461,1))*OFFSET(Calc2!$O$4,,,$F$26*B461,1))+SUMPRODUCT((F470=OFFSET(Calc2!$G$4,,,$F$26*B461,1))*OFFSET(Calc2!$P$4,,,$F$26*B461,1))</f>
        <v>0</v>
      </c>
      <c r="P470" s="2"/>
      <c r="Q470" s="2"/>
      <c r="R470" s="13">
        <f t="shared" ca="1" si="86"/>
        <v>27499999038</v>
      </c>
      <c r="S470" s="134">
        <f>Tie_Break!$D$14</f>
        <v>0</v>
      </c>
      <c r="T470" s="9">
        <f ca="1">RANK(R470,R463:R482)+(9-S470)/10000+(F470="")*1000</f>
        <v>7.0008999999999997</v>
      </c>
      <c r="U470" s="134"/>
      <c r="V470" s="134">
        <f ca="1">IF($K$24=0,"",IF(VLOOKUP(B470,C463:E482,3,0)=MAX(V$4:V469),VLOOKUP(B470,C463:E482,3,0),B470))</f>
        <v>8</v>
      </c>
      <c r="W470" s="4" t="str">
        <f ca="1">IF($K$24=0,Calc2!$C$11,VLOOKUP(B470,C463:N482,4,0))</f>
        <v>SC Freiburg</v>
      </c>
      <c r="X470" s="1">
        <f ca="1">INDEX(V436:V455,MATCH(W470,W436:W455,0))</f>
        <v>8</v>
      </c>
      <c r="Y470" s="1">
        <f t="shared" ca="1" si="89"/>
        <v>0</v>
      </c>
    </row>
    <row r="471" spans="2:25" x14ac:dyDescent="0.2">
      <c r="B471" s="1">
        <v>9</v>
      </c>
      <c r="C471" s="9">
        <f ca="1">RANK(D471,D463:D482,1)</f>
        <v>15</v>
      </c>
      <c r="D471" s="134">
        <f t="shared" ca="1" si="87"/>
        <v>15.471</v>
      </c>
      <c r="E471" s="134">
        <f ca="1">RANK(T471,T463:T482,1)</f>
        <v>15</v>
      </c>
      <c r="F471" s="187" t="str">
        <f>Calc2!$C$12</f>
        <v>FC Augsburg</v>
      </c>
      <c r="G471" s="1">
        <f ca="1">SUMIFS(OFFSET(Calc2!$H$4,,,$F$26*B461,1),OFFSET(Calc2!$F$4,,,$F$26*B461,1),F471)+SUMIFS(OFFSET(Calc2!$I$4,,,$F$26*B461,1),OFFSET(Calc2!$G$4,,,$F$26*B461,1),F471)</f>
        <v>20</v>
      </c>
      <c r="H471" s="1">
        <f ca="1">SUMIFS(OFFSET(Calc2!$I$4,,,$F$26*B461,1),OFFSET(Calc2!$F$4,,,$F$26*B461,1),F471)+SUMIFS(OFFSET(Calc2!$H$4,,,$F$26*B461,1),OFFSET(Calc2!$G$4,,,$F$26*B461,1),F471)</f>
        <v>35</v>
      </c>
      <c r="I471" s="134">
        <f t="shared" ca="1" si="85"/>
        <v>-15</v>
      </c>
      <c r="J471" s="12">
        <f ca="1">L471*Settings!$C$3+M471+O471</f>
        <v>16</v>
      </c>
      <c r="K471" s="1">
        <f t="shared" ca="1" si="88"/>
        <v>18</v>
      </c>
      <c r="L471" s="1">
        <f t="array" aca="1" ref="L471" ca="1">SUMPRODUCT((OFFSET(Calc2!$F$4,,,$F$26*B461,1)=F471)*(OFFSET(Calc2!$H$4,,,$F$26*B461,1)&gt;OFFSET(Calc2!$I$4,,,$F$26*B461,1)))+SUMPRODUCT((OFFSET(Calc2!$G$4,,,$F$26*B461,1)=F471)*(OFFSET(Calc2!$H$4,,,$F$26*B461,1)&lt;OFFSET(Calc2!$I$4,,,$F$26*B461,1)))</f>
        <v>4</v>
      </c>
      <c r="M471" s="1">
        <f t="array" aca="1" ref="M471" ca="1">SUMPRODUCT((OFFSET(Calc2!$F$4,,,$F$26*B461,2)=F471)*(OFFSET(Calc2!$H$4,,,$F$26*B461,1)=OFFSET(Calc2!$I$4,,,$F$26*B461,1))*(OFFSET(Calc2!$H$4,,,$F$26*B461,1)&lt;&gt;"")*(OFFSET(Calc2!$I$4,,,$F$26*B461,1)&lt;&gt;""))</f>
        <v>4</v>
      </c>
      <c r="N471" s="1">
        <f t="array" aca="1" ref="N471" ca="1">SUMPRODUCT((OFFSET(Calc2!$F$4,,,$F$26*B461,1)=F471)*(OFFSET(Calc2!$H$4,,,$F$26*B461,1)&lt;OFFSET(Calc2!$I$4,,,$F$26*B461,1)))+SUMPRODUCT((OFFSET(Calc2!$G$4,,,$F$26*B461,1)=F471)*(OFFSET(Calc2!$H$4,,,$F$26*B461,1)&gt;OFFSET(Calc2!$I$4,,,$F$26*B461,1)))</f>
        <v>10</v>
      </c>
      <c r="O471" s="132">
        <f ca="1">SUMPRODUCT((F471=OFFSET(Calc2!$F$4,,,$F$26*B461,1))*OFFSET(Calc2!$O$4,,,$F$26*B461,1))+SUMPRODUCT((F471=OFFSET(Calc2!$G$4,,,$F$26*B461,1))*OFFSET(Calc2!$P$4,,,$F$26*B461,1))</f>
        <v>0</v>
      </c>
      <c r="P471" s="2"/>
      <c r="Q471" s="2"/>
      <c r="R471" s="13">
        <f t="shared" ca="1" si="86"/>
        <v>16499985020</v>
      </c>
      <c r="S471" s="134">
        <f>Tie_Break!$D$15</f>
        <v>0</v>
      </c>
      <c r="T471" s="9">
        <f ca="1">RANK(R471,R463:R482)+(9-S471)/10000+(F471="")*1000</f>
        <v>15.0009</v>
      </c>
      <c r="U471" s="134"/>
      <c r="V471" s="134">
        <f ca="1">IF($K$24=0,"",IF(VLOOKUP(B471,C463:E482,3,0)=MAX(V$4:V470),VLOOKUP(B471,C463:E482,3,0),B471))</f>
        <v>9</v>
      </c>
      <c r="W471" s="4" t="str">
        <f ca="1">IF($K$24=0,Calc2!$C$12,VLOOKUP(B471,C463:N482,4,0))</f>
        <v>1. FC Union Berlin</v>
      </c>
      <c r="X471" s="1">
        <f ca="1">INDEX(V436:V455,MATCH(W471,W436:W455,0))</f>
        <v>9</v>
      </c>
      <c r="Y471" s="1">
        <f t="shared" ca="1" si="89"/>
        <v>0</v>
      </c>
    </row>
    <row r="472" spans="2:25" x14ac:dyDescent="0.2">
      <c r="B472" s="1">
        <v>10</v>
      </c>
      <c r="C472" s="9">
        <f ca="1">RANK(D472,D463:D482,1)</f>
        <v>1</v>
      </c>
      <c r="D472" s="134">
        <f t="shared" ca="1" si="87"/>
        <v>1.472</v>
      </c>
      <c r="E472" s="134">
        <f ca="1">RANK(T472,T463:T482,1)</f>
        <v>1</v>
      </c>
      <c r="F472" s="187" t="str">
        <f>Calc2!$C$13</f>
        <v>FC Bayern München</v>
      </c>
      <c r="G472" s="1">
        <f ca="1">SUMIFS(OFFSET(Calc2!$H$4,,,$F$26*B461,1),OFFSET(Calc2!$F$4,,,$F$26*B461,1),F472)+SUMIFS(OFFSET(Calc2!$I$4,,,$F$26*B461,1),OFFSET(Calc2!$G$4,,,$F$26*B461,1),F472)</f>
        <v>71</v>
      </c>
      <c r="H472" s="1">
        <f ca="1">SUMIFS(OFFSET(Calc2!$I$4,,,$F$26*B461,1),OFFSET(Calc2!$F$4,,,$F$26*B461,1),F472)+SUMIFS(OFFSET(Calc2!$H$4,,,$F$26*B461,1),OFFSET(Calc2!$G$4,,,$F$26*B461,1),F472)</f>
        <v>14</v>
      </c>
      <c r="I472" s="134">
        <f t="shared" ca="1" si="85"/>
        <v>57</v>
      </c>
      <c r="J472" s="12">
        <f ca="1">L472*Settings!$C$3+M472+O472</f>
        <v>50</v>
      </c>
      <c r="K472" s="1">
        <f t="shared" ca="1" si="88"/>
        <v>18</v>
      </c>
      <c r="L472" s="1">
        <f t="array" aca="1" ref="L472" ca="1">SUMPRODUCT((OFFSET(Calc2!$F$4,,,$F$26*B461,1)=F472)*(OFFSET(Calc2!$H$4,,,$F$26*B461,1)&gt;OFFSET(Calc2!$I$4,,,$F$26*B461,1)))+SUMPRODUCT((OFFSET(Calc2!$G$4,,,$F$26*B461,1)=F472)*(OFFSET(Calc2!$H$4,,,$F$26*B461,1)&lt;OFFSET(Calc2!$I$4,,,$F$26*B461,1)))</f>
        <v>16</v>
      </c>
      <c r="M472" s="1">
        <f t="array" aca="1" ref="M472" ca="1">SUMPRODUCT((OFFSET(Calc2!$F$4,,,$F$26*B461,2)=F472)*(OFFSET(Calc2!$H$4,,,$F$26*B461,1)=OFFSET(Calc2!$I$4,,,$F$26*B461,1))*(OFFSET(Calc2!$H$4,,,$F$26*B461,1)&lt;&gt;"")*(OFFSET(Calc2!$I$4,,,$F$26*B461,1)&lt;&gt;""))</f>
        <v>2</v>
      </c>
      <c r="N472" s="1">
        <f t="array" aca="1" ref="N472" ca="1">SUMPRODUCT((OFFSET(Calc2!$F$4,,,$F$26*B461,1)=F472)*(OFFSET(Calc2!$H$4,,,$F$26*B461,1)&lt;OFFSET(Calc2!$I$4,,,$F$26*B461,1)))+SUMPRODUCT((OFFSET(Calc2!$G$4,,,$F$26*B461,1)=F472)*(OFFSET(Calc2!$H$4,,,$F$26*B461,1)&gt;OFFSET(Calc2!$I$4,,,$F$26*B461,1)))</f>
        <v>0</v>
      </c>
      <c r="O472" s="132">
        <f ca="1">SUMPRODUCT((F472=OFFSET(Calc2!$F$4,,,$F$26*B461,1))*OFFSET(Calc2!$O$4,,,$F$26*B461,1))+SUMPRODUCT((F472=OFFSET(Calc2!$G$4,,,$F$26*B461,1))*OFFSET(Calc2!$P$4,,,$F$26*B461,1))</f>
        <v>0</v>
      </c>
      <c r="P472" s="2"/>
      <c r="Q472" s="2"/>
      <c r="R472" s="13">
        <f t="shared" ca="1" si="86"/>
        <v>50500057071</v>
      </c>
      <c r="S472" s="134">
        <f>Tie_Break!$D$16</f>
        <v>0</v>
      </c>
      <c r="T472" s="9">
        <f ca="1">RANK(R472,R463:R482)+(9-S472)/10000+(F472="")*1000</f>
        <v>1.0008999999999999</v>
      </c>
      <c r="U472" s="2"/>
      <c r="V472" s="134">
        <f ca="1">IF($K$24=0,"",IF(VLOOKUP(B472,C463:E482,3,0)=MAX(V$4:V471),VLOOKUP(B472,C463:E482,3,0),B472))</f>
        <v>10</v>
      </c>
      <c r="W472" s="4" t="str">
        <f ca="1">IF($K$24=0,Calc2!$C$13,VLOOKUP(B472,C463:N482,4,0))</f>
        <v>1. FC Köln</v>
      </c>
      <c r="X472" s="1">
        <f ca="1">INDEX(V436:V455,MATCH(W472,W436:W455,0))</f>
        <v>12</v>
      </c>
      <c r="Y472" s="1">
        <f t="shared" ca="1" si="89"/>
        <v>1</v>
      </c>
    </row>
    <row r="473" spans="2:25" x14ac:dyDescent="0.2">
      <c r="B473" s="1">
        <v>11</v>
      </c>
      <c r="C473" s="9">
        <f ca="1">RANK(D473,D463:D482,1)</f>
        <v>16</v>
      </c>
      <c r="D473" s="134">
        <f t="shared" ca="1" si="87"/>
        <v>16.472999999999999</v>
      </c>
      <c r="E473" s="134">
        <f ca="1">RANK(T473,T463:T482,1)</f>
        <v>16</v>
      </c>
      <c r="F473" s="187" t="str">
        <f>Calc2!$C$14</f>
        <v>FC St. Pauli</v>
      </c>
      <c r="G473" s="1">
        <f ca="1">SUMIFS(OFFSET(Calc2!$H$4,,,$F$26*B461,1),OFFSET(Calc2!$F$4,,,$F$26*B461,1),F473)+SUMIFS(OFFSET(Calc2!$I$4,,,$F$26*B461,1),OFFSET(Calc2!$G$4,,,$F$26*B461,1),F473)</f>
        <v>17</v>
      </c>
      <c r="H473" s="1">
        <f ca="1">SUMIFS(OFFSET(Calc2!$I$4,,,$F$26*B461,1),OFFSET(Calc2!$F$4,,,$F$26*B461,1),F473)+SUMIFS(OFFSET(Calc2!$H$4,,,$F$26*B461,1),OFFSET(Calc2!$G$4,,,$F$26*B461,1),F473)</f>
        <v>32</v>
      </c>
      <c r="I473" s="134">
        <f t="shared" ca="1" si="85"/>
        <v>-15</v>
      </c>
      <c r="J473" s="12">
        <f ca="1">L473*Settings!$C$3+M473+O473</f>
        <v>13</v>
      </c>
      <c r="K473" s="1">
        <f t="shared" ca="1" si="88"/>
        <v>18</v>
      </c>
      <c r="L473" s="1">
        <f t="array" aca="1" ref="L473" ca="1">SUMPRODUCT((OFFSET(Calc2!$F$4,,,$F$26*B461,1)=F473)*(OFFSET(Calc2!$H$4,,,$F$26*B461,1)&gt;OFFSET(Calc2!$I$4,,,$F$26*B461,1)))+SUMPRODUCT((OFFSET(Calc2!$G$4,,,$F$26*B461,1)=F473)*(OFFSET(Calc2!$H$4,,,$F$26*B461,1)&lt;OFFSET(Calc2!$I$4,,,$F$26*B461,1)))</f>
        <v>3</v>
      </c>
      <c r="M473" s="1">
        <f t="array" aca="1" ref="M473" ca="1">SUMPRODUCT((OFFSET(Calc2!$F$4,,,$F$26*B461,2)=F473)*(OFFSET(Calc2!$H$4,,,$F$26*B461,1)=OFFSET(Calc2!$I$4,,,$F$26*B461,1))*(OFFSET(Calc2!$H$4,,,$F$26*B461,1)&lt;&gt;"")*(OFFSET(Calc2!$I$4,,,$F$26*B461,1)&lt;&gt;""))</f>
        <v>4</v>
      </c>
      <c r="N473" s="1">
        <f t="array" aca="1" ref="N473" ca="1">SUMPRODUCT((OFFSET(Calc2!$F$4,,,$F$26*B461,1)=F473)*(OFFSET(Calc2!$H$4,,,$F$26*B461,1)&lt;OFFSET(Calc2!$I$4,,,$F$26*B461,1)))+SUMPRODUCT((OFFSET(Calc2!$G$4,,,$F$26*B461,1)=F473)*(OFFSET(Calc2!$H$4,,,$F$26*B461,1)&gt;OFFSET(Calc2!$I$4,,,$F$26*B461,1)))</f>
        <v>11</v>
      </c>
      <c r="O473" s="132">
        <f ca="1">SUMPRODUCT((F473=OFFSET(Calc2!$F$4,,,$F$26*B461,1))*OFFSET(Calc2!$O$4,,,$F$26*B461,1))+SUMPRODUCT((F473=OFFSET(Calc2!$G$4,,,$F$26*B461,1))*OFFSET(Calc2!$P$4,,,$F$26*B461,1))</f>
        <v>0</v>
      </c>
      <c r="P473" s="2"/>
      <c r="Q473" s="2"/>
      <c r="R473" s="13">
        <f t="shared" ca="1" si="86"/>
        <v>13499985017</v>
      </c>
      <c r="S473" s="134">
        <f>Tie_Break!$D$17</f>
        <v>0</v>
      </c>
      <c r="T473" s="9">
        <f ca="1">RANK(R473,R463:R482)+(9-S473)/10000+(F473="")*1000</f>
        <v>16.000900000000001</v>
      </c>
      <c r="U473" s="2"/>
      <c r="V473" s="134">
        <f ca="1">IF($K$24=0,"",IF(VLOOKUP(B473,C463:E482,3,0)=MAX(V$4:V472),VLOOKUP(B473,C463:E482,3,0),B473))</f>
        <v>11</v>
      </c>
      <c r="W473" s="4" t="str">
        <f ca="1">IF($K$24=0,Calc2!$C$14,VLOOKUP(B473,C463:N482,4,0))</f>
        <v>Borussia Mönchengladbach</v>
      </c>
      <c r="X473" s="1">
        <f ca="1">INDEX(V436:V455,MATCH(W473,W436:W455,0))</f>
        <v>10</v>
      </c>
      <c r="Y473" s="1">
        <f t="shared" ca="1" si="89"/>
        <v>-1</v>
      </c>
    </row>
    <row r="474" spans="2:25" x14ac:dyDescent="0.2">
      <c r="B474" s="1">
        <v>12</v>
      </c>
      <c r="C474" s="9">
        <f ca="1">RANK(D474,D463:D482,1)</f>
        <v>14</v>
      </c>
      <c r="D474" s="134">
        <f t="shared" ca="1" si="87"/>
        <v>14.474</v>
      </c>
      <c r="E474" s="134">
        <f ca="1">RANK(T474,T463:T482,1)</f>
        <v>14</v>
      </c>
      <c r="F474" s="187" t="str">
        <f>Calc2!$C$15</f>
        <v>Hamburger SV</v>
      </c>
      <c r="G474" s="1">
        <f ca="1">SUMIFS(OFFSET(Calc2!$H$4,,,$F$26*B461,1),OFFSET(Calc2!$F$4,,,$F$26*B461,1),F474)+SUMIFS(OFFSET(Calc2!$I$4,,,$F$26*B461,1),OFFSET(Calc2!$G$4,,,$F$26*B461,1),F474)</f>
        <v>17</v>
      </c>
      <c r="H474" s="1">
        <f ca="1">SUMIFS(OFFSET(Calc2!$I$4,,,$F$26*B461,1),OFFSET(Calc2!$F$4,,,$F$26*B461,1),F474)+SUMIFS(OFFSET(Calc2!$H$4,,,$F$26*B461,1),OFFSET(Calc2!$G$4,,,$F$26*B461,1),F474)</f>
        <v>28</v>
      </c>
      <c r="I474" s="134">
        <f t="shared" ca="1" si="85"/>
        <v>-11</v>
      </c>
      <c r="J474" s="12">
        <f ca="1">L474*Settings!$C$3+M474+O474</f>
        <v>17</v>
      </c>
      <c r="K474" s="1">
        <f t="shared" ca="1" si="88"/>
        <v>18</v>
      </c>
      <c r="L474" s="1">
        <f t="array" aca="1" ref="L474" ca="1">SUMPRODUCT((OFFSET(Calc2!$F$4,,,$F$26*B461,1)=F474)*(OFFSET(Calc2!$H$4,,,$F$26*B461,1)&gt;OFFSET(Calc2!$I$4,,,$F$26*B461,1)))+SUMPRODUCT((OFFSET(Calc2!$G$4,,,$F$26*B461,1)=F474)*(OFFSET(Calc2!$H$4,,,$F$26*B461,1)&lt;OFFSET(Calc2!$I$4,,,$F$26*B461,1)))</f>
        <v>4</v>
      </c>
      <c r="M474" s="1">
        <f t="array" aca="1" ref="M474" ca="1">SUMPRODUCT((OFFSET(Calc2!$F$4,,,$F$26*B461,2)=F474)*(OFFSET(Calc2!$H$4,,,$F$26*B461,1)=OFFSET(Calc2!$I$4,,,$F$26*B461,1))*(OFFSET(Calc2!$H$4,,,$F$26*B461,1)&lt;&gt;"")*(OFFSET(Calc2!$I$4,,,$F$26*B461,1)&lt;&gt;""))</f>
        <v>5</v>
      </c>
      <c r="N474" s="1">
        <f t="array" aca="1" ref="N474" ca="1">SUMPRODUCT((OFFSET(Calc2!$F$4,,,$F$26*B461,1)=F474)*(OFFSET(Calc2!$H$4,,,$F$26*B461,1)&lt;OFFSET(Calc2!$I$4,,,$F$26*B461,1)))+SUMPRODUCT((OFFSET(Calc2!$G$4,,,$F$26*B461,1)=F474)*(OFFSET(Calc2!$H$4,,,$F$26*B461,1)&gt;OFFSET(Calc2!$I$4,,,$F$26*B461,1)))</f>
        <v>9</v>
      </c>
      <c r="O474" s="132">
        <f ca="1">SUMPRODUCT((F474=OFFSET(Calc2!$F$4,,,$F$26*B461,1))*OFFSET(Calc2!$O$4,,,$F$26*B461,1))+SUMPRODUCT((F474=OFFSET(Calc2!$G$4,,,$F$26*B461,1))*OFFSET(Calc2!$P$4,,,$F$26*B461,1))</f>
        <v>0</v>
      </c>
      <c r="P474" s="2"/>
      <c r="Q474" s="2"/>
      <c r="R474" s="13">
        <f t="shared" ca="1" si="86"/>
        <v>17499989017</v>
      </c>
      <c r="S474" s="134">
        <f>Tie_Break!$D$18</f>
        <v>0</v>
      </c>
      <c r="T474" s="9">
        <f ca="1">RANK(R474,R463:R482)+(9-S474)/10000+(F474="")*1000</f>
        <v>14.0009</v>
      </c>
      <c r="U474" s="2"/>
      <c r="V474" s="134">
        <f ca="1">IF($K$24=0,"",IF(VLOOKUP(B474,C463:E482,3,0)=MAX(V$4:V473),VLOOKUP(B474,C463:E482,3,0),B474))</f>
        <v>12</v>
      </c>
      <c r="W474" s="4" t="str">
        <f ca="1">IF($K$24=0,Calc2!$C$15,VLOOKUP(B474,C463:N482,4,0))</f>
        <v>VfL Wolfsburg</v>
      </c>
      <c r="X474" s="1">
        <f ca="1">INDEX(V436:V455,MATCH(W474,W436:W455,0))</f>
        <v>11</v>
      </c>
      <c r="Y474" s="1">
        <f t="shared" ca="1" si="89"/>
        <v>-1</v>
      </c>
    </row>
    <row r="475" spans="2:25" x14ac:dyDescent="0.2">
      <c r="B475" s="1">
        <v>13</v>
      </c>
      <c r="C475" s="9">
        <f ca="1">RANK(D475,D463:D482,1)</f>
        <v>4</v>
      </c>
      <c r="D475" s="134">
        <f t="shared" ca="1" si="87"/>
        <v>4.4749999999999996</v>
      </c>
      <c r="E475" s="134">
        <f ca="1">RANK(T475,T463:T482,1)</f>
        <v>4</v>
      </c>
      <c r="F475" s="187" t="str">
        <f>Calc2!$C$16</f>
        <v>RB Leipzig</v>
      </c>
      <c r="G475" s="1">
        <f ca="1">SUMIFS(OFFSET(Calc2!$H$4,,,$F$26*B461,1),OFFSET(Calc2!$F$4,,,$F$26*B461,1),F475)+SUMIFS(OFFSET(Calc2!$I$4,,,$F$26*B461,1),OFFSET(Calc2!$G$4,,,$F$26*B461,1),F475)</f>
        <v>34</v>
      </c>
      <c r="H475" s="1">
        <f ca="1">SUMIFS(OFFSET(Calc2!$I$4,,,$F$26*B461,1),OFFSET(Calc2!$F$4,,,$F$26*B461,1),F475)+SUMIFS(OFFSET(Calc2!$H$4,,,$F$26*B461,1),OFFSET(Calc2!$G$4,,,$F$26*B461,1),F475)</f>
        <v>25</v>
      </c>
      <c r="I475" s="134">
        <f t="shared" ca="1" si="85"/>
        <v>9</v>
      </c>
      <c r="J475" s="12">
        <f ca="1">L475*Settings!$C$3+M475+O475</f>
        <v>33</v>
      </c>
      <c r="K475" s="1">
        <f t="shared" ca="1" si="88"/>
        <v>18</v>
      </c>
      <c r="L475" s="1">
        <f t="array" aca="1" ref="L475" ca="1">SUMPRODUCT((OFFSET(Calc2!$F$4,,,$F$26*B461,1)=F475)*(OFFSET(Calc2!$H$4,,,$F$26*B461,1)&gt;OFFSET(Calc2!$I$4,,,$F$26*B461,1)))+SUMPRODUCT((OFFSET(Calc2!$G$4,,,$F$26*B461,1)=F475)*(OFFSET(Calc2!$H$4,,,$F$26*B461,1)&lt;OFFSET(Calc2!$I$4,,,$F$26*B461,1)))</f>
        <v>10</v>
      </c>
      <c r="M475" s="1">
        <f t="array" aca="1" ref="M475" ca="1">SUMPRODUCT((OFFSET(Calc2!$F$4,,,$F$26*B461,2)=F475)*(OFFSET(Calc2!$H$4,,,$F$26*B461,1)=OFFSET(Calc2!$I$4,,,$F$26*B461,1))*(OFFSET(Calc2!$H$4,,,$F$26*B461,1)&lt;&gt;"")*(OFFSET(Calc2!$I$4,,,$F$26*B461,1)&lt;&gt;""))</f>
        <v>3</v>
      </c>
      <c r="N475" s="1">
        <f t="array" aca="1" ref="N475" ca="1">SUMPRODUCT((OFFSET(Calc2!$F$4,,,$F$26*B461,1)=F475)*(OFFSET(Calc2!$H$4,,,$F$26*B461,1)&lt;OFFSET(Calc2!$I$4,,,$F$26*B461,1)))+SUMPRODUCT((OFFSET(Calc2!$G$4,,,$F$26*B461,1)=F475)*(OFFSET(Calc2!$H$4,,,$F$26*B461,1)&gt;OFFSET(Calc2!$I$4,,,$F$26*B461,1)))</f>
        <v>5</v>
      </c>
      <c r="O475" s="132">
        <f ca="1">SUMPRODUCT((F475=OFFSET(Calc2!$F$4,,,$F$26*B461,1))*OFFSET(Calc2!$O$4,,,$F$26*B461,1))+SUMPRODUCT((F475=OFFSET(Calc2!$G$4,,,$F$26*B461,1))*OFFSET(Calc2!$P$4,,,$F$26*B461,1))</f>
        <v>0</v>
      </c>
      <c r="P475" s="2"/>
      <c r="Q475" s="2"/>
      <c r="R475" s="13">
        <f t="shared" ca="1" si="86"/>
        <v>33500009034</v>
      </c>
      <c r="S475" s="134">
        <f>Tie_Break!$D$19</f>
        <v>0</v>
      </c>
      <c r="T475" s="9">
        <f ca="1">RANK(R475,R463:R482)+(9-S475)/10000+(F475="")*1000</f>
        <v>4.0008999999999997</v>
      </c>
      <c r="U475" s="1"/>
      <c r="V475" s="134">
        <f ca="1">IF($K$24=0,"",IF(VLOOKUP(B475,C463:E482,3,0)=MAX(V$4:V474),VLOOKUP(B475,C463:E482,3,0),B475))</f>
        <v>13</v>
      </c>
      <c r="W475" s="4" t="str">
        <f ca="1">IF($K$24=0,Calc2!$C$16,VLOOKUP(B475,C463:N482,4,0))</f>
        <v>SV Werder Bremen</v>
      </c>
      <c r="X475" s="1">
        <f ca="1">INDEX(V436:V455,MATCH(W475,W436:W455,0))</f>
        <v>13</v>
      </c>
      <c r="Y475" s="1">
        <f t="shared" ca="1" si="89"/>
        <v>0</v>
      </c>
    </row>
    <row r="476" spans="2:25" x14ac:dyDescent="0.2">
      <c r="B476" s="1">
        <v>14</v>
      </c>
      <c r="C476" s="9">
        <f ca="1">RANK(D476,D463:D482,1)</f>
        <v>8</v>
      </c>
      <c r="D476" s="134">
        <f t="shared" ca="1" si="87"/>
        <v>8.4759999999999991</v>
      </c>
      <c r="E476" s="134">
        <f ca="1">RANK(T476,T463:T482,1)</f>
        <v>8</v>
      </c>
      <c r="F476" s="187" t="str">
        <f>Calc2!$C$17</f>
        <v>SC Freiburg</v>
      </c>
      <c r="G476" s="1">
        <f ca="1">SUMIFS(OFFSET(Calc2!$H$4,,,$F$26*B461,1),OFFSET(Calc2!$F$4,,,$F$26*B461,1),F476)+SUMIFS(OFFSET(Calc2!$I$4,,,$F$26*B461,1),OFFSET(Calc2!$G$4,,,$F$26*B461,1),F476)</f>
        <v>29</v>
      </c>
      <c r="H476" s="1">
        <f ca="1">SUMIFS(OFFSET(Calc2!$I$4,,,$F$26*B461,1),OFFSET(Calc2!$F$4,,,$F$26*B461,1),F476)+SUMIFS(OFFSET(Calc2!$H$4,,,$F$26*B461,1),OFFSET(Calc2!$G$4,,,$F$26*B461,1),F476)</f>
        <v>31</v>
      </c>
      <c r="I476" s="134">
        <f t="shared" ca="1" si="85"/>
        <v>-2</v>
      </c>
      <c r="J476" s="12">
        <f ca="1">L476*Settings!$C$3+M476+O476</f>
        <v>24</v>
      </c>
      <c r="K476" s="1">
        <f t="shared" ca="1" si="88"/>
        <v>18</v>
      </c>
      <c r="L476" s="1">
        <f t="array" aca="1" ref="L476" ca="1">SUMPRODUCT((OFFSET(Calc2!$F$4,,,$F$26*B461,1)=F476)*(OFFSET(Calc2!$H$4,,,$F$26*B461,1)&gt;OFFSET(Calc2!$I$4,,,$F$26*B461,1)))+SUMPRODUCT((OFFSET(Calc2!$G$4,,,$F$26*B461,1)=F476)*(OFFSET(Calc2!$H$4,,,$F$26*B461,1)&lt;OFFSET(Calc2!$I$4,,,$F$26*B461,1)))</f>
        <v>6</v>
      </c>
      <c r="M476" s="1">
        <f t="array" aca="1" ref="M476" ca="1">SUMPRODUCT((OFFSET(Calc2!$F$4,,,$F$26*B461,2)=F476)*(OFFSET(Calc2!$H$4,,,$F$26*B461,1)=OFFSET(Calc2!$I$4,,,$F$26*B461,1))*(OFFSET(Calc2!$H$4,,,$F$26*B461,1)&lt;&gt;"")*(OFFSET(Calc2!$I$4,,,$F$26*B461,1)&lt;&gt;""))</f>
        <v>6</v>
      </c>
      <c r="N476" s="1">
        <f t="array" aca="1" ref="N476" ca="1">SUMPRODUCT((OFFSET(Calc2!$F$4,,,$F$26*B461,1)=F476)*(OFFSET(Calc2!$H$4,,,$F$26*B461,1)&lt;OFFSET(Calc2!$I$4,,,$F$26*B461,1)))+SUMPRODUCT((OFFSET(Calc2!$G$4,,,$F$26*B461,1)=F476)*(OFFSET(Calc2!$H$4,,,$F$26*B461,1)&gt;OFFSET(Calc2!$I$4,,,$F$26*B461,1)))</f>
        <v>6</v>
      </c>
      <c r="O476" s="132">
        <f ca="1">SUMPRODUCT((F476=OFFSET(Calc2!$F$4,,,$F$26*B461,1))*OFFSET(Calc2!$O$4,,,$F$26*B461,1))+SUMPRODUCT((F476=OFFSET(Calc2!$G$4,,,$F$26*B461,1))*OFFSET(Calc2!$P$4,,,$F$26*B461,1))</f>
        <v>0</v>
      </c>
      <c r="P476" s="2"/>
      <c r="Q476" s="2"/>
      <c r="R476" s="13">
        <f t="shared" ca="1" si="86"/>
        <v>24499998029</v>
      </c>
      <c r="S476" s="134">
        <f>Tie_Break!$D$20</f>
        <v>0</v>
      </c>
      <c r="T476" s="9">
        <f ca="1">RANK(R476,R463:R482)+(9-S476)/10000+(F476="")*1000</f>
        <v>8.0008999999999997</v>
      </c>
      <c r="U476" s="2"/>
      <c r="V476" s="134">
        <f ca="1">IF($K$24=0,"",IF(VLOOKUP(B476,C463:E482,3,0)=MAX(V$4:V475),VLOOKUP(B476,C463:E482,3,0),B476))</f>
        <v>14</v>
      </c>
      <c r="W476" s="4" t="str">
        <f ca="1">IF($K$24=0,Calc2!$C$17,VLOOKUP(B476,C463:N482,4,0))</f>
        <v>Hamburger SV</v>
      </c>
      <c r="X476" s="1">
        <f ca="1">INDEX(V436:V455,MATCH(W476,W436:W455,0))</f>
        <v>14</v>
      </c>
      <c r="Y476" s="1">
        <f t="shared" ca="1" si="89"/>
        <v>0</v>
      </c>
    </row>
    <row r="477" spans="2:25" x14ac:dyDescent="0.2">
      <c r="B477" s="1">
        <v>15</v>
      </c>
      <c r="C477" s="9">
        <f ca="1">RANK(D477,D463:D482,1)</f>
        <v>13</v>
      </c>
      <c r="D477" s="134">
        <f t="shared" ca="1" si="87"/>
        <v>13.477</v>
      </c>
      <c r="E477" s="134">
        <f ca="1">RANK(T477,T463:T482,1)</f>
        <v>13</v>
      </c>
      <c r="F477" s="187" t="str">
        <f>Calc2!$C$18</f>
        <v>SV Werder Bremen</v>
      </c>
      <c r="G477" s="1">
        <f ca="1">SUMIFS(OFFSET(Calc2!$H$4,,,$F$26*B461,1),OFFSET(Calc2!$F$4,,,$F$26*B461,1),F477)+SUMIFS(OFFSET(Calc2!$I$4,,,$F$26*B461,1),OFFSET(Calc2!$G$4,,,$F$26*B461,1),F477)</f>
        <v>21</v>
      </c>
      <c r="H477" s="1">
        <f ca="1">SUMIFS(OFFSET(Calc2!$I$4,,,$F$26*B461,1),OFFSET(Calc2!$F$4,,,$F$26*B461,1),F477)+SUMIFS(OFFSET(Calc2!$H$4,,,$F$26*B461,1),OFFSET(Calc2!$G$4,,,$F$26*B461,1),F477)</f>
        <v>36</v>
      </c>
      <c r="I477" s="134">
        <f t="shared" ca="1" si="85"/>
        <v>-15</v>
      </c>
      <c r="J477" s="12">
        <f ca="1">L477*Settings!$C$3+M477+O477</f>
        <v>18</v>
      </c>
      <c r="K477" s="1">
        <f t="shared" ca="1" si="88"/>
        <v>18</v>
      </c>
      <c r="L477" s="1">
        <f t="array" aca="1" ref="L477" ca="1">SUMPRODUCT((OFFSET(Calc2!$F$4,,,$F$26*B461,1)=F477)*(OFFSET(Calc2!$H$4,,,$F$26*B461,1)&gt;OFFSET(Calc2!$I$4,,,$F$26*B461,1)))+SUMPRODUCT((OFFSET(Calc2!$G$4,,,$F$26*B461,1)=F477)*(OFFSET(Calc2!$H$4,,,$F$26*B461,1)&lt;OFFSET(Calc2!$I$4,,,$F$26*B461,1)))</f>
        <v>4</v>
      </c>
      <c r="M477" s="1">
        <f t="array" aca="1" ref="M477" ca="1">SUMPRODUCT((OFFSET(Calc2!$F$4,,,$F$26*B461,2)=F477)*(OFFSET(Calc2!$H$4,,,$F$26*B461,1)=OFFSET(Calc2!$I$4,,,$F$26*B461,1))*(OFFSET(Calc2!$H$4,,,$F$26*B461,1)&lt;&gt;"")*(OFFSET(Calc2!$I$4,,,$F$26*B461,1)&lt;&gt;""))</f>
        <v>6</v>
      </c>
      <c r="N477" s="1">
        <f t="array" aca="1" ref="N477" ca="1">SUMPRODUCT((OFFSET(Calc2!$F$4,,,$F$26*B461,1)=F477)*(OFFSET(Calc2!$H$4,,,$F$26*B461,1)&lt;OFFSET(Calc2!$I$4,,,$F$26*B461,1)))+SUMPRODUCT((OFFSET(Calc2!$G$4,,,$F$26*B461,1)=F477)*(OFFSET(Calc2!$H$4,,,$F$26*B461,1)&gt;OFFSET(Calc2!$I$4,,,$F$26*B461,1)))</f>
        <v>8</v>
      </c>
      <c r="O477" s="132">
        <f ca="1">SUMPRODUCT((F477=OFFSET(Calc2!$F$4,,,$F$26*B461,1))*OFFSET(Calc2!$O$4,,,$F$26*B461,1))+SUMPRODUCT((F477=OFFSET(Calc2!$G$4,,,$F$26*B461,1))*OFFSET(Calc2!$P$4,,,$F$26*B461,1))</f>
        <v>0</v>
      </c>
      <c r="P477" s="2"/>
      <c r="Q477" s="2"/>
      <c r="R477" s="13">
        <f t="shared" ca="1" si="86"/>
        <v>18499985021</v>
      </c>
      <c r="S477" s="134">
        <f>Tie_Break!$D$21</f>
        <v>0</v>
      </c>
      <c r="T477" s="9">
        <f ca="1">RANK(R477,R463:R482)+(9-S477)/10000+(F477="")*1000</f>
        <v>13.0009</v>
      </c>
      <c r="U477" s="2"/>
      <c r="V477" s="134">
        <f ca="1">IF($K$24=0,"",IF(VLOOKUP(B477,C463:E482,3,0)=MAX(V$4:V476),VLOOKUP(B477,C463:E482,3,0),B477))</f>
        <v>15</v>
      </c>
      <c r="W477" s="4" t="str">
        <f ca="1">IF($K$24=0,Calc2!$C$18,VLOOKUP(B477,C463:N482,4,0))</f>
        <v>FC Augsburg</v>
      </c>
      <c r="X477" s="1">
        <f ca="1">INDEX(V436:V455,MATCH(W477,W436:W455,0))</f>
        <v>15</v>
      </c>
      <c r="Y477" s="1">
        <f t="shared" ca="1" si="89"/>
        <v>0</v>
      </c>
    </row>
    <row r="478" spans="2:25" x14ac:dyDescent="0.2">
      <c r="B478" s="1">
        <v>16</v>
      </c>
      <c r="C478" s="9">
        <f ca="1">RANK(D478,D463:D482,1)</f>
        <v>3</v>
      </c>
      <c r="D478" s="134">
        <f t="shared" ca="1" si="87"/>
        <v>3.4779999999999998</v>
      </c>
      <c r="E478" s="134">
        <f ca="1">RANK(T478,T463:T482,1)</f>
        <v>3</v>
      </c>
      <c r="F478" s="187" t="str">
        <f>Calc2!$C$19</f>
        <v>TSG Hoffenheim</v>
      </c>
      <c r="G478" s="1">
        <f ca="1">SUMIFS(OFFSET(Calc2!$H$4,,,$F$26*B461,1),OFFSET(Calc2!$F$4,,,$F$26*B461,1),F478)+SUMIFS(OFFSET(Calc2!$I$4,,,$F$26*B461,1),OFFSET(Calc2!$G$4,,,$F$26*B461,1),F478)</f>
        <v>37</v>
      </c>
      <c r="H478" s="1">
        <f ca="1">SUMIFS(OFFSET(Calc2!$I$4,,,$F$26*B461,1),OFFSET(Calc2!$F$4,,,$F$26*B461,1),F478)+SUMIFS(OFFSET(Calc2!$H$4,,,$F$26*B461,1),OFFSET(Calc2!$G$4,,,$F$26*B461,1),F478)</f>
        <v>21</v>
      </c>
      <c r="I478" s="134">
        <f t="shared" ca="1" si="85"/>
        <v>16</v>
      </c>
      <c r="J478" s="12">
        <f ca="1">L478*Settings!$C$3+M478+O478</f>
        <v>36</v>
      </c>
      <c r="K478" s="1">
        <f t="shared" ca="1" si="88"/>
        <v>18</v>
      </c>
      <c r="L478" s="1">
        <f t="array" aca="1" ref="L478" ca="1">SUMPRODUCT((OFFSET(Calc2!$F$4,,,$F$26*B461,1)=F478)*(OFFSET(Calc2!$H$4,,,$F$26*B461,1)&gt;OFFSET(Calc2!$I$4,,,$F$26*B461,1)))+SUMPRODUCT((OFFSET(Calc2!$G$4,,,$F$26*B461,1)=F478)*(OFFSET(Calc2!$H$4,,,$F$26*B461,1)&lt;OFFSET(Calc2!$I$4,,,$F$26*B461,1)))</f>
        <v>11</v>
      </c>
      <c r="M478" s="1">
        <f t="array" aca="1" ref="M478" ca="1">SUMPRODUCT((OFFSET(Calc2!$F$4,,,$F$26*B461,2)=F478)*(OFFSET(Calc2!$H$4,,,$F$26*B461,1)=OFFSET(Calc2!$I$4,,,$F$26*B461,1))*(OFFSET(Calc2!$H$4,,,$F$26*B461,1)&lt;&gt;"")*(OFFSET(Calc2!$I$4,,,$F$26*B461,1)&lt;&gt;""))</f>
        <v>3</v>
      </c>
      <c r="N478" s="1">
        <f t="array" aca="1" ref="N478" ca="1">SUMPRODUCT((OFFSET(Calc2!$F$4,,,$F$26*B461,1)=F478)*(OFFSET(Calc2!$H$4,,,$F$26*B461,1)&lt;OFFSET(Calc2!$I$4,,,$F$26*B461,1)))+SUMPRODUCT((OFFSET(Calc2!$G$4,,,$F$26*B461,1)=F478)*(OFFSET(Calc2!$H$4,,,$F$26*B461,1)&gt;OFFSET(Calc2!$I$4,,,$F$26*B461,1)))</f>
        <v>4</v>
      </c>
      <c r="O478" s="132">
        <f ca="1">SUMPRODUCT((F478=OFFSET(Calc2!$F$4,,,$F$26*B461,1))*OFFSET(Calc2!$O$4,,,$F$26*B461,1))+SUMPRODUCT((F478=OFFSET(Calc2!$G$4,,,$F$26*B461,1))*OFFSET(Calc2!$P$4,,,$F$26*B461,1))</f>
        <v>0</v>
      </c>
      <c r="P478" s="2"/>
      <c r="Q478" s="2"/>
      <c r="R478" s="13">
        <f t="shared" ca="1" si="86"/>
        <v>36500016037</v>
      </c>
      <c r="S478" s="134">
        <f>Tie_Break!$D$22</f>
        <v>0</v>
      </c>
      <c r="T478" s="9">
        <f ca="1">RANK(R478,R463:R482)+(9-S478)/10000+(F478="")*1000</f>
        <v>3.0009000000000001</v>
      </c>
      <c r="U478" s="2"/>
      <c r="V478" s="134">
        <f ca="1">IF($K$24=0,"",IF(VLOOKUP(B478,C463:E482,3,0)=MAX(V$4:V477),VLOOKUP(B478,C463:E482,3,0),B478))</f>
        <v>16</v>
      </c>
      <c r="W478" s="4" t="str">
        <f ca="1">IF($K$24=0,Calc2!$C$19,VLOOKUP(B478,C463:N482,4,0))</f>
        <v>FC St. Pauli</v>
      </c>
      <c r="X478" s="1">
        <f ca="1">INDEX(V436:V455,MATCH(W478,W436:W455,0))</f>
        <v>16</v>
      </c>
      <c r="Y478" s="1">
        <f t="shared" ca="1" si="89"/>
        <v>0</v>
      </c>
    </row>
    <row r="479" spans="2:25" x14ac:dyDescent="0.2">
      <c r="B479" s="1">
        <v>17</v>
      </c>
      <c r="C479" s="9">
        <f ca="1">RANK(D479,D463:D482,1)</f>
        <v>5</v>
      </c>
      <c r="D479" s="134">
        <f t="shared" ca="1" si="87"/>
        <v>5.4790000000000001</v>
      </c>
      <c r="E479" s="134">
        <f ca="1">RANK(T479,T463:T482,1)</f>
        <v>5</v>
      </c>
      <c r="F479" s="187" t="str">
        <f>Calc2!$C$20</f>
        <v>VfB Stuttgart</v>
      </c>
      <c r="G479" s="1">
        <f ca="1">SUMIFS(OFFSET(Calc2!$H$4,,,$F$26*B461,1),OFFSET(Calc2!$F$4,,,$F$26*B461,1),F479)+SUMIFS(OFFSET(Calc2!$I$4,,,$F$26*B461,1),OFFSET(Calc2!$G$4,,,$F$26*B461,1),F479)</f>
        <v>33</v>
      </c>
      <c r="H479" s="1">
        <f ca="1">SUMIFS(OFFSET(Calc2!$I$4,,,$F$26*B461,1),OFFSET(Calc2!$F$4,,,$F$26*B461,1),F479)+SUMIFS(OFFSET(Calc2!$H$4,,,$F$26*B461,1),OFFSET(Calc2!$G$4,,,$F$26*B461,1),F479)</f>
        <v>26</v>
      </c>
      <c r="I479" s="134">
        <f t="shared" ca="1" si="85"/>
        <v>7</v>
      </c>
      <c r="J479" s="12">
        <f ca="1">L479*Settings!$C$3+M479+O479</f>
        <v>33</v>
      </c>
      <c r="K479" s="1">
        <f t="shared" ca="1" si="88"/>
        <v>18</v>
      </c>
      <c r="L479" s="1">
        <f t="array" aca="1" ref="L479" ca="1">SUMPRODUCT((OFFSET(Calc2!$F$4,,,$F$26*B461,1)=F479)*(OFFSET(Calc2!$H$4,,,$F$26*B461,1)&gt;OFFSET(Calc2!$I$4,,,$F$26*B461,1)))+SUMPRODUCT((OFFSET(Calc2!$G$4,,,$F$26*B461,1)=F479)*(OFFSET(Calc2!$H$4,,,$F$26*B461,1)&lt;OFFSET(Calc2!$I$4,,,$F$26*B461,1)))</f>
        <v>10</v>
      </c>
      <c r="M479" s="1">
        <f t="array" aca="1" ref="M479" ca="1">SUMPRODUCT((OFFSET(Calc2!$F$4,,,$F$26*B461,2)=F479)*(OFFSET(Calc2!$H$4,,,$F$26*B461,1)=OFFSET(Calc2!$I$4,,,$F$26*B461,1))*(OFFSET(Calc2!$H$4,,,$F$26*B461,1)&lt;&gt;"")*(OFFSET(Calc2!$I$4,,,$F$26*B461,1)&lt;&gt;""))</f>
        <v>3</v>
      </c>
      <c r="N479" s="1">
        <f t="array" aca="1" ref="N479" ca="1">SUMPRODUCT((OFFSET(Calc2!$F$4,,,$F$26*B461,1)=F479)*(OFFSET(Calc2!$H$4,,,$F$26*B461,1)&lt;OFFSET(Calc2!$I$4,,,$F$26*B461,1)))+SUMPRODUCT((OFFSET(Calc2!$G$4,,,$F$26*B461,1)=F479)*(OFFSET(Calc2!$H$4,,,$F$26*B461,1)&gt;OFFSET(Calc2!$I$4,,,$F$26*B461,1)))</f>
        <v>5</v>
      </c>
      <c r="O479" s="132">
        <f ca="1">SUMPRODUCT((F479=OFFSET(Calc2!$F$4,,,$F$26*B461,1))*OFFSET(Calc2!$O$4,,,$F$26*B461,1))+SUMPRODUCT((F479=OFFSET(Calc2!$G$4,,,$F$26*B461,1))*OFFSET(Calc2!$P$4,,,$F$26*B461,1))</f>
        <v>0</v>
      </c>
      <c r="P479" s="2"/>
      <c r="Q479" s="2"/>
      <c r="R479" s="13">
        <f t="shared" ca="1" si="86"/>
        <v>33500007033</v>
      </c>
      <c r="S479" s="134">
        <f>Tie_Break!$D$23</f>
        <v>0</v>
      </c>
      <c r="T479" s="9">
        <f ca="1">RANK(R479,R463:R482)+(9-S479)/10000+(F479="")*1000</f>
        <v>5.0008999999999997</v>
      </c>
      <c r="U479" s="2"/>
      <c r="V479" s="134">
        <f ca="1">IF($K$24=0,"",IF(VLOOKUP(B479,C463:E482,3,0)=MAX(V$4:V478),VLOOKUP(B479,C463:E482,3,0),B479))</f>
        <v>17</v>
      </c>
      <c r="W479" s="4" t="str">
        <f ca="1">IF($K$24=0,Calc2!$C$20,VLOOKUP(B479,C463:N482,4,0))</f>
        <v>1. FC Heidenheim 1846</v>
      </c>
      <c r="X479" s="1">
        <f ca="1">INDEX(V436:V455,MATCH(W479,W436:W455,0))</f>
        <v>18</v>
      </c>
      <c r="Y479" s="1">
        <f t="shared" ca="1" si="89"/>
        <v>1</v>
      </c>
    </row>
    <row r="480" spans="2:25" x14ac:dyDescent="0.2">
      <c r="B480" s="1">
        <v>18</v>
      </c>
      <c r="C480" s="9">
        <f ca="1">RANK(D480,D463:D482,1)</f>
        <v>12</v>
      </c>
      <c r="D480" s="134">
        <f t="shared" ca="1" si="87"/>
        <v>12.48</v>
      </c>
      <c r="E480" s="134">
        <f ca="1">RANK(T480,T463:T482,1)</f>
        <v>12</v>
      </c>
      <c r="F480" s="187" t="str">
        <f>Calc2!$C$21</f>
        <v>VfL Wolfsburg</v>
      </c>
      <c r="G480" s="1">
        <f ca="1">SUMIFS(OFFSET(Calc2!$H$4,,,$F$26*B461,1),OFFSET(Calc2!$F$4,,,$F$26*B461,1),F480)+SUMIFS(OFFSET(Calc2!$I$4,,,$F$26*B461,1),OFFSET(Calc2!$G$4,,,$F$26*B461,1),F480)</f>
        <v>27</v>
      </c>
      <c r="H480" s="1">
        <f ca="1">SUMIFS(OFFSET(Calc2!$I$4,,,$F$26*B461,1),OFFSET(Calc2!$F$4,,,$F$26*B461,1),F480)+SUMIFS(OFFSET(Calc2!$H$4,,,$F$26*B461,1),OFFSET(Calc2!$G$4,,,$F$26*B461,1),F480)</f>
        <v>38</v>
      </c>
      <c r="I480" s="134">
        <f t="shared" ca="1" si="85"/>
        <v>-11</v>
      </c>
      <c r="J480" s="12">
        <f ca="1">L480*Settings!$C$3+M480+O480</f>
        <v>19</v>
      </c>
      <c r="K480" s="1">
        <f t="shared" ca="1" si="88"/>
        <v>18</v>
      </c>
      <c r="L480" s="1">
        <f t="array" aca="1" ref="L480" ca="1">SUMPRODUCT((OFFSET(Calc2!$F$4,,,$F$26*B461,1)=F480)*(OFFSET(Calc2!$H$4,,,$F$26*B461,1)&gt;OFFSET(Calc2!$I$4,,,$F$26*B461,1)))+SUMPRODUCT((OFFSET(Calc2!$G$4,,,$F$26*B461,1)=F480)*(OFFSET(Calc2!$H$4,,,$F$26*B461,1)&lt;OFFSET(Calc2!$I$4,,,$F$26*B461,1)))</f>
        <v>5</v>
      </c>
      <c r="M480" s="1">
        <f t="array" aca="1" ref="M480" ca="1">SUMPRODUCT((OFFSET(Calc2!$F$4,,,$F$26*B461,2)=F480)*(OFFSET(Calc2!$H$4,,,$F$26*B461,1)=OFFSET(Calc2!$I$4,,,$F$26*B461,1))*(OFFSET(Calc2!$H$4,,,$F$26*B461,1)&lt;&gt;"")*(OFFSET(Calc2!$I$4,,,$F$26*B461,1)&lt;&gt;""))</f>
        <v>4</v>
      </c>
      <c r="N480" s="1">
        <f t="array" aca="1" ref="N480" ca="1">SUMPRODUCT((OFFSET(Calc2!$F$4,,,$F$26*B461,1)=F480)*(OFFSET(Calc2!$H$4,,,$F$26*B461,1)&lt;OFFSET(Calc2!$I$4,,,$F$26*B461,1)))+SUMPRODUCT((OFFSET(Calc2!$G$4,,,$F$26*B461,1)=F480)*(OFFSET(Calc2!$H$4,,,$F$26*B461,1)&gt;OFFSET(Calc2!$I$4,,,$F$26*B461,1)))</f>
        <v>9</v>
      </c>
      <c r="O480" s="132">
        <f ca="1">SUMPRODUCT((F480=OFFSET(Calc2!$F$4,,,$F$26*B461,1))*OFFSET(Calc2!$O$4,,,$F$26*B461,1))+SUMPRODUCT((F480=OFFSET(Calc2!$G$4,,,$F$26*B461,1))*OFFSET(Calc2!$P$4,,,$F$26*B461,1))</f>
        <v>0</v>
      </c>
      <c r="P480" s="2"/>
      <c r="Q480" s="2"/>
      <c r="R480" s="13">
        <f t="shared" ca="1" si="86"/>
        <v>19499989027</v>
      </c>
      <c r="S480" s="134">
        <f>Tie_Break!$D$24</f>
        <v>0</v>
      </c>
      <c r="T480" s="9">
        <f ca="1">RANK(R480,R463:R482)+(9-S480)/10000+(F480="")*1000</f>
        <v>12.0009</v>
      </c>
      <c r="U480" s="2"/>
      <c r="V480" s="134">
        <f ca="1">IF($K$24=0,"",IF(VLOOKUP(B480,C463:E482,3,0)=MAX(V$4:V479),VLOOKUP(B480,C463:E482,3,0),B480))</f>
        <v>18</v>
      </c>
      <c r="W480" s="4" t="str">
        <f ca="1">IF($K$24=0,Calc2!$C$21,VLOOKUP(B480,C463:N482,4,0))</f>
        <v>1. FSV Mainz 05</v>
      </c>
      <c r="X480" s="1">
        <f ca="1">INDEX(V436:V455,MATCH(W480,W436:W455,0))</f>
        <v>17</v>
      </c>
      <c r="Y480" s="1">
        <f t="shared" ca="1" si="89"/>
        <v>-1</v>
      </c>
    </row>
    <row r="481" spans="2:25" x14ac:dyDescent="0.2">
      <c r="B481" s="1">
        <v>19</v>
      </c>
      <c r="C481" s="9">
        <f ca="1">RANK(D481,D463:D482,1)</f>
        <v>19</v>
      </c>
      <c r="D481" s="134">
        <f t="shared" ca="1" si="87"/>
        <v>19.481000000000002</v>
      </c>
      <c r="E481" s="134">
        <f ca="1">RANK(T481,T463:T482,1)</f>
        <v>19</v>
      </c>
      <c r="F481" s="187" t="str">
        <f>Calc2!$C$22</f>
        <v/>
      </c>
      <c r="G481" s="1">
        <f ca="1">SUMIFS(OFFSET(Calc2!$H$4,,,$F$26*B461,1),OFFSET(Calc2!$F$4,,,$F$26*B461,1),F481)+SUMIFS(OFFSET(Calc2!$I$4,,,$F$26*B461,1),OFFSET(Calc2!$G$4,,,$F$26*B461,1),F481)</f>
        <v>0</v>
      </c>
      <c r="H481" s="1">
        <f ca="1">SUMIFS(OFFSET(Calc2!$I$4,,,$F$26*B461,1),OFFSET(Calc2!$F$4,,,$F$26*B461,1),F481)+SUMIFS(OFFSET(Calc2!$H$4,,,$F$26*B461,1),OFFSET(Calc2!$G$4,,,$F$26*B461,1),F481)</f>
        <v>0</v>
      </c>
      <c r="I481" s="134">
        <f t="shared" ca="1" si="85"/>
        <v>0</v>
      </c>
      <c r="J481" s="12">
        <f ca="1">L481*Settings!$C$3+M481+O481</f>
        <v>0</v>
      </c>
      <c r="K481" s="1">
        <f t="shared" ca="1" si="88"/>
        <v>0</v>
      </c>
      <c r="L481" s="1">
        <f t="array" aca="1" ref="L481" ca="1">SUMPRODUCT((OFFSET(Calc2!$F$4,,,$F$26*B461,1)=F481)*(OFFSET(Calc2!$H$4,,,$F$26*B461,1)&gt;OFFSET(Calc2!$I$4,,,$F$26*B461,1)))+SUMPRODUCT((OFFSET(Calc2!$G$4,,,$F$26*B461,1)=F481)*(OFFSET(Calc2!$H$4,,,$F$26*B461,1)&lt;OFFSET(Calc2!$I$4,,,$F$26*B461,1)))</f>
        <v>0</v>
      </c>
      <c r="M481" s="1">
        <f t="array" aca="1" ref="M481" ca="1">SUMPRODUCT((OFFSET(Calc2!$F$4,,,$F$26*B461,2)=F481)*(OFFSET(Calc2!$H$4,,,$F$26*B461,1)=OFFSET(Calc2!$I$4,,,$F$26*B461,1))*(OFFSET(Calc2!$H$4,,,$F$26*B461,1)&lt;&gt;"")*(OFFSET(Calc2!$I$4,,,$F$26*B461,1)&lt;&gt;""))</f>
        <v>0</v>
      </c>
      <c r="N481" s="1">
        <f t="array" aca="1" ref="N481" ca="1">SUMPRODUCT((OFFSET(Calc2!$F$4,,,$F$26*B461,1)=F481)*(OFFSET(Calc2!$H$4,,,$F$26*B461,1)&lt;OFFSET(Calc2!$I$4,,,$F$26*B461,1)))+SUMPRODUCT((OFFSET(Calc2!$G$4,,,$F$26*B461,1)=F481)*(OFFSET(Calc2!$H$4,,,$F$26*B461,1)&gt;OFFSET(Calc2!$I$4,,,$F$26*B461,1)))</f>
        <v>0</v>
      </c>
      <c r="O481" s="132">
        <f ca="1">SUMPRODUCT((F481=OFFSET(Calc2!$F$4,,,$F$26*B461,1))*OFFSET(Calc2!$O$4,,,$F$26*B461,1))+SUMPRODUCT((F481=OFFSET(Calc2!$G$4,,,$F$26*B461,1))*OFFSET(Calc2!$P$4,,,$F$26*B461,1))</f>
        <v>0</v>
      </c>
      <c r="P481" s="2"/>
      <c r="Q481" s="2"/>
      <c r="R481" s="13">
        <f t="shared" ca="1" si="86"/>
        <v>500000000</v>
      </c>
      <c r="S481" s="134">
        <f>Tie_Break!$D$25</f>
        <v>0</v>
      </c>
      <c r="T481" s="9">
        <f ca="1">RANK(R481,R463:R482)+(9-S481)/10000+(F481="")*1000</f>
        <v>1019.0009</v>
      </c>
      <c r="U481" s="2"/>
      <c r="V481" s="134">
        <f ca="1">IF($K$24=0,"",IF(VLOOKUP(B481,C463:E482,3,0)=MAX(V$4:V480),VLOOKUP(B481,C463:E482,3,0),B481))</f>
        <v>19</v>
      </c>
      <c r="W481" s="4" t="str">
        <f ca="1">IF($K$24=0,Calc2!$C$22,VLOOKUP(B481,C463:N482,4,0))</f>
        <v/>
      </c>
      <c r="X481" s="1">
        <f ca="1">INDEX(V436:V455,MATCH(W481,W436:W455,0))</f>
        <v>19</v>
      </c>
      <c r="Y481" s="1">
        <f t="shared" ca="1" si="89"/>
        <v>0</v>
      </c>
    </row>
    <row r="482" spans="2:25" ht="12.75" thickBot="1" x14ac:dyDescent="0.25">
      <c r="B482" s="1">
        <v>20</v>
      </c>
      <c r="C482" s="10">
        <f ca="1">RANK(D482,D463:D482,1)</f>
        <v>20</v>
      </c>
      <c r="D482" s="134">
        <f t="shared" ca="1" si="87"/>
        <v>19.481999999999999</v>
      </c>
      <c r="E482" s="134">
        <f ca="1">RANK(T482,T463:T482,1)</f>
        <v>19</v>
      </c>
      <c r="F482" s="187" t="str">
        <f>Calc2!$C$23</f>
        <v/>
      </c>
      <c r="G482" s="1">
        <f ca="1">SUMIFS(OFFSET(Calc2!$H$4,,,$F$26*B461,1),OFFSET(Calc2!$F$4,,,$F$26*B461,1),F482)+SUMIFS(OFFSET(Calc2!$I$4,,,$F$26*B461,1),OFFSET(Calc2!$G$4,,,$F$26*B461,1),F482)</f>
        <v>0</v>
      </c>
      <c r="H482" s="1">
        <f ca="1">SUMIFS(OFFSET(Calc2!$I$4,,,$F$26*B461,1),OFFSET(Calc2!$F$4,,,$F$26*B461,1),F482)+SUMIFS(OFFSET(Calc2!$H$4,,,$F$26*B461,1),OFFSET(Calc2!$G$4,,,$F$26*B461,1),F482)</f>
        <v>0</v>
      </c>
      <c r="I482" s="134">
        <f t="shared" ca="1" si="85"/>
        <v>0</v>
      </c>
      <c r="J482" s="12">
        <f ca="1">L482*Settings!$C$3+M482+O482</f>
        <v>0</v>
      </c>
      <c r="K482" s="1">
        <f t="shared" ca="1" si="88"/>
        <v>0</v>
      </c>
      <c r="L482" s="1">
        <f t="array" aca="1" ref="L482" ca="1">SUMPRODUCT((OFFSET(Calc2!$F$4,,,$F$26*B461,1)=F482)*(OFFSET(Calc2!$H$4,,,$F$26*B461,1)&gt;OFFSET(Calc2!$I$4,,,$F$26*B461,1)))+SUMPRODUCT((OFFSET(Calc2!$G$4,,,$F$26*B461,1)=F482)*(OFFSET(Calc2!$H$4,,,$F$26*B461,1)&lt;OFFSET(Calc2!$I$4,,,$F$26*B461,1)))</f>
        <v>0</v>
      </c>
      <c r="M482" s="1">
        <f t="array" aca="1" ref="M482" ca="1">SUMPRODUCT((OFFSET(Calc2!$F$4,,,$F$26*B461,2)=F482)*(OFFSET(Calc2!$H$4,,,$F$26*B461,1)=OFFSET(Calc2!$I$4,,,$F$26*B461,1))*(OFFSET(Calc2!$H$4,,,$F$26*B461,1)&lt;&gt;"")*(OFFSET(Calc2!$I$4,,,$F$26*B461,1)&lt;&gt;""))</f>
        <v>0</v>
      </c>
      <c r="N482" s="1">
        <f t="array" aca="1" ref="N482" ca="1">SUMPRODUCT((OFFSET(Calc2!$F$4,,,$F$26*B461,1)=F482)*(OFFSET(Calc2!$H$4,,,$F$26*B461,1)&lt;OFFSET(Calc2!$I$4,,,$F$26*B461,1)))+SUMPRODUCT((OFFSET(Calc2!$G$4,,,$F$26*B461,1)=F482)*(OFFSET(Calc2!$H$4,,,$F$26*B461,1)&gt;OFFSET(Calc2!$I$4,,,$F$26*B461,1)))</f>
        <v>0</v>
      </c>
      <c r="O482" s="132">
        <f ca="1">SUMPRODUCT((F482=OFFSET(Calc2!$F$4,,,$F$26*B461,1))*OFFSET(Calc2!$O$4,,,$F$26*B461,1))+SUMPRODUCT((F482=OFFSET(Calc2!$G$4,,,$F$26*B461,1))*OFFSET(Calc2!$P$4,,,$F$26*B461,1))</f>
        <v>0</v>
      </c>
      <c r="P482" s="2"/>
      <c r="Q482" s="2"/>
      <c r="R482" s="13">
        <f t="shared" ca="1" si="86"/>
        <v>500000000</v>
      </c>
      <c r="S482" s="134">
        <f>Tie_Break!$D$26</f>
        <v>0</v>
      </c>
      <c r="T482" s="10">
        <f ca="1">RANK(R482,R463:R482)+(9-S482)/10000+(F482="")*1000</f>
        <v>1019.0009</v>
      </c>
      <c r="U482" s="2"/>
      <c r="V482" s="134">
        <f ca="1">IF($K$24=0,"",IF(VLOOKUP(B482,C463:E482,3,0)=MAX(V$4:V481),VLOOKUP(B482,C463:E482,3,0),B482))</f>
        <v>19</v>
      </c>
      <c r="W482" s="4" t="str">
        <f ca="1">IF($K$24=0,Calc2!$C$23,VLOOKUP(B482,C463:N482,4,0))</f>
        <v/>
      </c>
      <c r="X482" s="1">
        <f ca="1">INDEX(V436:V455,MATCH(W482,W436:W455,0))</f>
        <v>19</v>
      </c>
      <c r="Y482" s="1">
        <f t="shared" ca="1" si="89"/>
        <v>0</v>
      </c>
    </row>
    <row r="483" spans="2:25" ht="12.75" thickTop="1" x14ac:dyDescent="0.2">
      <c r="X483" s="1"/>
      <c r="Y483" s="1"/>
    </row>
    <row r="484" spans="2:25" x14ac:dyDescent="0.2">
      <c r="X484" s="1"/>
      <c r="Y484" s="1"/>
    </row>
    <row r="485" spans="2:25" x14ac:dyDescent="0.2">
      <c r="X485" s="1"/>
      <c r="Y485" s="1"/>
    </row>
    <row r="486" spans="2:25" x14ac:dyDescent="0.2">
      <c r="X486" s="1"/>
      <c r="Y486" s="1"/>
    </row>
    <row r="487" spans="2:25" ht="12.75" thickBot="1" x14ac:dyDescent="0.25">
      <c r="X487" s="1"/>
      <c r="Y487" s="1"/>
    </row>
    <row r="488" spans="2:25" ht="12.75" thickBot="1" x14ac:dyDescent="0.25">
      <c r="B488" s="410">
        <v>19</v>
      </c>
      <c r="C488" s="134"/>
      <c r="D488" s="134"/>
      <c r="E488" s="134"/>
      <c r="F488" s="187"/>
      <c r="G488" s="1"/>
      <c r="H488" s="1"/>
      <c r="I488" s="1"/>
      <c r="J488" s="1"/>
      <c r="K488" s="1"/>
      <c r="L488" s="1"/>
      <c r="M488" s="1"/>
      <c r="N488" s="134"/>
      <c r="O488" s="1"/>
      <c r="P488" s="1"/>
      <c r="Q488" s="1"/>
      <c r="R488" s="2"/>
      <c r="S488" s="2"/>
      <c r="T488" s="2"/>
      <c r="U488" s="2"/>
      <c r="V488" s="2"/>
      <c r="W488" s="2"/>
      <c r="X488" s="1"/>
      <c r="Y488" s="1"/>
    </row>
    <row r="489" spans="2:25" ht="15.75" thickBot="1" x14ac:dyDescent="0.25">
      <c r="B489" s="1"/>
      <c r="C489" s="134"/>
      <c r="D489" s="134"/>
      <c r="E489" s="134"/>
      <c r="F489" s="11" t="s">
        <v>90</v>
      </c>
      <c r="G489" s="42" t="s">
        <v>95</v>
      </c>
      <c r="H489" s="42" t="s">
        <v>96</v>
      </c>
      <c r="I489" s="11" t="s">
        <v>97</v>
      </c>
      <c r="J489" s="11" t="s">
        <v>98</v>
      </c>
      <c r="K489" s="11" t="s">
        <v>91</v>
      </c>
      <c r="L489" s="12" t="s">
        <v>92</v>
      </c>
      <c r="M489" s="12" t="s">
        <v>93</v>
      </c>
      <c r="N489" s="12" t="s">
        <v>94</v>
      </c>
      <c r="O489" s="12" t="s">
        <v>534</v>
      </c>
      <c r="P489" s="2"/>
      <c r="Q489" s="11"/>
      <c r="R489" s="133" t="s">
        <v>99</v>
      </c>
      <c r="S489" s="6" t="s">
        <v>483</v>
      </c>
      <c r="T489" s="120" t="s">
        <v>146</v>
      </c>
      <c r="U489" s="134"/>
      <c r="V489" s="134"/>
      <c r="W489" s="132"/>
      <c r="X489" s="120" t="s">
        <v>575</v>
      </c>
      <c r="Y489" s="1"/>
    </row>
    <row r="490" spans="2:25" ht="12.75" thickTop="1" x14ac:dyDescent="0.2">
      <c r="B490" s="1">
        <v>1</v>
      </c>
      <c r="C490" s="8">
        <f ca="1">RANK(D490,D490:D509,1)</f>
        <v>18</v>
      </c>
      <c r="D490" s="134">
        <f ca="1">E490+ROW()/1000</f>
        <v>18.489999999999998</v>
      </c>
      <c r="E490" s="134">
        <f ca="1">RANK(T490,T490:T509,1)</f>
        <v>18</v>
      </c>
      <c r="F490" s="187" t="str">
        <f>Calc2!$C$4</f>
        <v>1. FC Heidenheim 1846</v>
      </c>
      <c r="G490" s="1">
        <f ca="1">SUMIFS(OFFSET(Calc2!$H$4,,,$F$26*B488,1),OFFSET(Calc2!$F$4,,,$F$26*B488,1),F490)+SUMIFS(OFFSET(Calc2!$I$4,,,$F$26*B488,1),OFFSET(Calc2!$G$4,,,$F$26*B488,1),F490)</f>
        <v>17</v>
      </c>
      <c r="H490" s="1">
        <f ca="1">SUMIFS(OFFSET(Calc2!$I$4,,,$F$26*B488,1),OFFSET(Calc2!$F$4,,,$F$26*B488,1),F490)+SUMIFS(OFFSET(Calc2!$H$4,,,$F$26*B488,1),OFFSET(Calc2!$G$4,,,$F$26*B488,1),F490)</f>
        <v>42</v>
      </c>
      <c r="I490" s="134">
        <f t="shared" ref="I490:I509" ca="1" si="90">G490-H490</f>
        <v>-25</v>
      </c>
      <c r="J490" s="12">
        <f ca="1">L490*Settings!$C$3+M490+O490</f>
        <v>13</v>
      </c>
      <c r="K490" s="1">
        <f ca="1">L490+M490+N490</f>
        <v>19</v>
      </c>
      <c r="L490" s="1">
        <f t="array" aca="1" ref="L490" ca="1">SUMPRODUCT((OFFSET(Calc2!$F$4,,,$F$26*B488,1)=F490)*(OFFSET(Calc2!$H$4,,,$F$26*B488,1)&gt;OFFSET(Calc2!$I$4,,,$F$26*B488,1)))+SUMPRODUCT((OFFSET(Calc2!$G$4,,,$F$26*B488,1)=F490)*(OFFSET(Calc2!$H$4,,,$F$26*B488,1)&lt;OFFSET(Calc2!$I$4,,,$F$26*B488,1)))</f>
        <v>3</v>
      </c>
      <c r="M490" s="1">
        <f t="array" aca="1" ref="M490" ca="1">SUMPRODUCT((OFFSET(Calc2!$F$4,,,$F$26*B488,2)=F490)*(OFFSET(Calc2!$H$4,,,$F$26*B488,1)=OFFSET(Calc2!$I$4,,,$F$26*B488,1))*(OFFSET(Calc2!$H$4,,,$F$26*B488,1)&lt;&gt;"")*(OFFSET(Calc2!$I$4,,,$F$26*B488,1)&lt;&gt;""))</f>
        <v>4</v>
      </c>
      <c r="N490" s="1">
        <f t="array" aca="1" ref="N490" ca="1">SUMPRODUCT((OFFSET(Calc2!$F$4,,,$F$26*B488,1)=F490)*(OFFSET(Calc2!$H$4,,,$F$26*B488,1)&lt;OFFSET(Calc2!$I$4,,,$F$26*B488,1)))+SUMPRODUCT((OFFSET(Calc2!$G$4,,,$F$26*B488,1)=F490)*(OFFSET(Calc2!$H$4,,,$F$26*B488,1)&gt;OFFSET(Calc2!$I$4,,,$F$26*B488,1)))</f>
        <v>12</v>
      </c>
      <c r="O490" s="132">
        <f ca="1">SUMPRODUCT((F490=OFFSET(Calc2!$F$4,,,$F$26*B488,1))*OFFSET(Calc2!$O$4,,,$F$26*B488,1))+SUMPRODUCT((F490=OFFSET(Calc2!$G$4,,,$F$26*B488,1))*OFFSET(Calc2!$P$4,,,$F$26*B488,1))</f>
        <v>0</v>
      </c>
      <c r="P490" s="2"/>
      <c r="Q490" s="2"/>
      <c r="R490" s="13">
        <f t="shared" ref="R490:R509" ca="1" si="91">J490*FactorPts+(I490+GDzero)*FactorGD+G490*FactorGF</f>
        <v>13499975017</v>
      </c>
      <c r="S490" s="134">
        <f>Tie_Break!$D$7</f>
        <v>0</v>
      </c>
      <c r="T490" s="8">
        <f ca="1">RANK(R490,R490:R509)+(9-S490)/10000+(F490="")*1000</f>
        <v>18.000900000000001</v>
      </c>
      <c r="U490" s="134"/>
      <c r="V490" s="134">
        <f ca="1">IF($K$24=0,"",1)</f>
        <v>1</v>
      </c>
      <c r="W490" s="4" t="str">
        <f ca="1">IF($K$24=0,Calc2!$C$4,VLOOKUP(B490,C490:N509,4,0))</f>
        <v>FC Bayern München</v>
      </c>
      <c r="X490" s="1">
        <f ca="1">INDEX(V463:V482,MATCH(W490,W463:W482,0))</f>
        <v>1</v>
      </c>
      <c r="Y490" s="1">
        <f ca="1">IF(X490&gt;V490,1,IF(X490&lt;V490,-1,0))</f>
        <v>0</v>
      </c>
    </row>
    <row r="491" spans="2:25" x14ac:dyDescent="0.2">
      <c r="B491" s="1">
        <v>2</v>
      </c>
      <c r="C491" s="9">
        <f ca="1">RANK(D491,D490:D509,1)</f>
        <v>10</v>
      </c>
      <c r="D491" s="134">
        <f t="shared" ref="D491:D509" ca="1" si="92">E491+ROW()/1000</f>
        <v>10.491</v>
      </c>
      <c r="E491" s="134">
        <f ca="1">RANK(T491,T490:T509,1)</f>
        <v>10</v>
      </c>
      <c r="F491" s="187" t="str">
        <f>Calc2!$C$5</f>
        <v>1. FC Köln</v>
      </c>
      <c r="G491" s="1">
        <f ca="1">SUMIFS(OFFSET(Calc2!$H$4,,,$F$26*B488,1),OFFSET(Calc2!$F$4,,,$F$26*B488,1),F491)+SUMIFS(OFFSET(Calc2!$I$4,,,$F$26*B488,1),OFFSET(Calc2!$G$4,,,$F$26*B488,1),F491)</f>
        <v>28</v>
      </c>
      <c r="H491" s="1">
        <f ca="1">SUMIFS(OFFSET(Calc2!$I$4,,,$F$26*B488,1),OFFSET(Calc2!$F$4,,,$F$26*B488,1),F491)+SUMIFS(OFFSET(Calc2!$H$4,,,$F$26*B488,1),OFFSET(Calc2!$G$4,,,$F$26*B488,1),F491)</f>
        <v>32</v>
      </c>
      <c r="I491" s="134">
        <f t="shared" ca="1" si="90"/>
        <v>-4</v>
      </c>
      <c r="J491" s="12">
        <f ca="1">L491*Settings!$C$3+M491+O491</f>
        <v>20</v>
      </c>
      <c r="K491" s="1">
        <f t="shared" ref="K491:K509" ca="1" si="93">L491+M491+N491</f>
        <v>19</v>
      </c>
      <c r="L491" s="1">
        <f t="array" aca="1" ref="L491" ca="1">SUMPRODUCT((OFFSET(Calc2!$F$4,,,$F$26*B488,1)=F491)*(OFFSET(Calc2!$H$4,,,$F$26*B488,1)&gt;OFFSET(Calc2!$I$4,,,$F$26*B488,1)))+SUMPRODUCT((OFFSET(Calc2!$G$4,,,$F$26*B488,1)=F491)*(OFFSET(Calc2!$H$4,,,$F$26*B488,1)&lt;OFFSET(Calc2!$I$4,,,$F$26*B488,1)))</f>
        <v>5</v>
      </c>
      <c r="M491" s="1">
        <f t="array" aca="1" ref="M491" ca="1">SUMPRODUCT((OFFSET(Calc2!$F$4,,,$F$26*B488,2)=F491)*(OFFSET(Calc2!$H$4,,,$F$26*B488,1)=OFFSET(Calc2!$I$4,,,$F$26*B488,1))*(OFFSET(Calc2!$H$4,,,$F$26*B488,1)&lt;&gt;"")*(OFFSET(Calc2!$I$4,,,$F$26*B488,1)&lt;&gt;""))</f>
        <v>5</v>
      </c>
      <c r="N491" s="1">
        <f t="array" aca="1" ref="N491" ca="1">SUMPRODUCT((OFFSET(Calc2!$F$4,,,$F$26*B488,1)=F491)*(OFFSET(Calc2!$H$4,,,$F$26*B488,1)&lt;OFFSET(Calc2!$I$4,,,$F$26*B488,1)))+SUMPRODUCT((OFFSET(Calc2!$G$4,,,$F$26*B488,1)=F491)*(OFFSET(Calc2!$H$4,,,$F$26*B488,1)&gt;OFFSET(Calc2!$I$4,,,$F$26*B488,1)))</f>
        <v>9</v>
      </c>
      <c r="O491" s="132">
        <f ca="1">SUMPRODUCT((F491=OFFSET(Calc2!$F$4,,,$F$26*B488,1))*OFFSET(Calc2!$O$4,,,$F$26*B488,1))+SUMPRODUCT((F491=OFFSET(Calc2!$G$4,,,$F$26*B488,1))*OFFSET(Calc2!$P$4,,,$F$26*B488,1))</f>
        <v>0</v>
      </c>
      <c r="P491" s="2"/>
      <c r="Q491" s="2"/>
      <c r="R491" s="13">
        <f t="shared" ca="1" si="91"/>
        <v>20499996028</v>
      </c>
      <c r="S491" s="134">
        <f>Tie_Break!$D$8</f>
        <v>0</v>
      </c>
      <c r="T491" s="9">
        <f ca="1">RANK(R491,R490:R509)+(9-S491)/10000+(F491="")*1000</f>
        <v>10.0009</v>
      </c>
      <c r="U491" s="134"/>
      <c r="V491" s="134">
        <f ca="1">IF($K$24=0,"",IF(VLOOKUP(B491,C490:E509,3,0)=MAX(V$4:V490),VLOOKUP(B491,C490:E509,3,0),B491))</f>
        <v>2</v>
      </c>
      <c r="W491" s="4" t="str">
        <f ca="1">IF($K$24=0,Calc2!$C$5,VLOOKUP(B491,C490:N509,4,0))</f>
        <v>Borussia Dortmund</v>
      </c>
      <c r="X491" s="1">
        <f ca="1">INDEX(V463:V482,MATCH(W491,W463:W482,0))</f>
        <v>2</v>
      </c>
      <c r="Y491" s="1">
        <f t="shared" ref="Y491:Y509" ca="1" si="94">IF(X491&gt;V491,1,IF(X491&lt;V491,-1,0))</f>
        <v>0</v>
      </c>
    </row>
    <row r="492" spans="2:25" x14ac:dyDescent="0.2">
      <c r="B492" s="1">
        <v>3</v>
      </c>
      <c r="C492" s="9">
        <f ca="1">RANK(D492,D490:D509,1)</f>
        <v>9</v>
      </c>
      <c r="D492" s="134">
        <f t="shared" ca="1" si="92"/>
        <v>9.4920000000000009</v>
      </c>
      <c r="E492" s="134">
        <f ca="1">RANK(T492,T490:T509,1)</f>
        <v>9</v>
      </c>
      <c r="F492" s="187" t="str">
        <f>Calc2!$C$6</f>
        <v>1. FC Union Berlin</v>
      </c>
      <c r="G492" s="1">
        <f ca="1">SUMIFS(OFFSET(Calc2!$H$4,,,$F$26*B488,1),OFFSET(Calc2!$F$4,,,$F$26*B488,1),F492)+SUMIFS(OFFSET(Calc2!$I$4,,,$F$26*B488,1),OFFSET(Calc2!$G$4,,,$F$26*B488,1),F492)</f>
        <v>24</v>
      </c>
      <c r="H492" s="1">
        <f ca="1">SUMIFS(OFFSET(Calc2!$I$4,,,$F$26*B488,1),OFFSET(Calc2!$F$4,,,$F$26*B488,1),F492)+SUMIFS(OFFSET(Calc2!$H$4,,,$F$26*B488,1),OFFSET(Calc2!$G$4,,,$F$26*B488,1),F492)</f>
        <v>30</v>
      </c>
      <c r="I492" s="134">
        <f t="shared" ca="1" si="90"/>
        <v>-6</v>
      </c>
      <c r="J492" s="12">
        <f ca="1">L492*Settings!$C$3+M492+O492</f>
        <v>24</v>
      </c>
      <c r="K492" s="1">
        <f t="shared" ca="1" si="93"/>
        <v>19</v>
      </c>
      <c r="L492" s="1">
        <f t="array" aca="1" ref="L492" ca="1">SUMPRODUCT((OFFSET(Calc2!$F$4,,,$F$26*B488,1)=F492)*(OFFSET(Calc2!$H$4,,,$F$26*B488,1)&gt;OFFSET(Calc2!$I$4,,,$F$26*B488,1)))+SUMPRODUCT((OFFSET(Calc2!$G$4,,,$F$26*B488,1)=F492)*(OFFSET(Calc2!$H$4,,,$F$26*B488,1)&lt;OFFSET(Calc2!$I$4,,,$F$26*B488,1)))</f>
        <v>6</v>
      </c>
      <c r="M492" s="1">
        <f t="array" aca="1" ref="M492" ca="1">SUMPRODUCT((OFFSET(Calc2!$F$4,,,$F$26*B488,2)=F492)*(OFFSET(Calc2!$H$4,,,$F$26*B488,1)=OFFSET(Calc2!$I$4,,,$F$26*B488,1))*(OFFSET(Calc2!$H$4,,,$F$26*B488,1)&lt;&gt;"")*(OFFSET(Calc2!$I$4,,,$F$26*B488,1)&lt;&gt;""))</f>
        <v>6</v>
      </c>
      <c r="N492" s="1">
        <f t="array" aca="1" ref="N492" ca="1">SUMPRODUCT((OFFSET(Calc2!$F$4,,,$F$26*B488,1)=F492)*(OFFSET(Calc2!$H$4,,,$F$26*B488,1)&lt;OFFSET(Calc2!$I$4,,,$F$26*B488,1)))+SUMPRODUCT((OFFSET(Calc2!$G$4,,,$F$26*B488,1)=F492)*(OFFSET(Calc2!$H$4,,,$F$26*B488,1)&gt;OFFSET(Calc2!$I$4,,,$F$26*B488,1)))</f>
        <v>7</v>
      </c>
      <c r="O492" s="132">
        <f ca="1">SUMPRODUCT((F492=OFFSET(Calc2!$F$4,,,$F$26*B488,1))*OFFSET(Calc2!$O$4,,,$F$26*B488,1))+SUMPRODUCT((F492=OFFSET(Calc2!$G$4,,,$F$26*B488,1))*OFFSET(Calc2!$P$4,,,$F$26*B488,1))</f>
        <v>0</v>
      </c>
      <c r="P492" s="2"/>
      <c r="Q492" s="2"/>
      <c r="R492" s="13">
        <f t="shared" ca="1" si="91"/>
        <v>24499994024</v>
      </c>
      <c r="S492" s="134">
        <f>Tie_Break!$D$9</f>
        <v>0</v>
      </c>
      <c r="T492" s="9">
        <f ca="1">RANK(R492,R490:R509)+(9-S492)/10000+(F492="")*1000</f>
        <v>9.0008999999999997</v>
      </c>
      <c r="U492" s="134"/>
      <c r="V492" s="134">
        <f ca="1">IF($K$24=0,"",IF(VLOOKUP(B492,C490:E509,3,0)=MAX(V$4:V491),VLOOKUP(B492,C490:E509,3,0),B492))</f>
        <v>3</v>
      </c>
      <c r="W492" s="4" t="str">
        <f ca="1">IF($K$24=0,Calc2!$C$6,VLOOKUP(B492,C490:N509,4,0))</f>
        <v>TSG Hoffenheim</v>
      </c>
      <c r="X492" s="1">
        <f ca="1">INDEX(V463:V482,MATCH(W492,W463:W482,0))</f>
        <v>3</v>
      </c>
      <c r="Y492" s="1">
        <f t="shared" ca="1" si="94"/>
        <v>0</v>
      </c>
    </row>
    <row r="493" spans="2:25" x14ac:dyDescent="0.2">
      <c r="B493" s="1">
        <v>4</v>
      </c>
      <c r="C493" s="9">
        <f ca="1">RANK(D493,D490:D509,1)</f>
        <v>16</v>
      </c>
      <c r="D493" s="134">
        <f t="shared" ca="1" si="92"/>
        <v>16.492999999999999</v>
      </c>
      <c r="E493" s="134">
        <f ca="1">RANK(T493,T490:T509,1)</f>
        <v>16</v>
      </c>
      <c r="F493" s="187" t="str">
        <f>Calc2!$C$7</f>
        <v>1. FSV Mainz 05</v>
      </c>
      <c r="G493" s="1">
        <f ca="1">SUMIFS(OFFSET(Calc2!$H$4,,,$F$26*B488,1),OFFSET(Calc2!$F$4,,,$F$26*B488,1),F493)+SUMIFS(OFFSET(Calc2!$I$4,,,$F$26*B488,1),OFFSET(Calc2!$G$4,,,$F$26*B488,1),F493)</f>
        <v>21</v>
      </c>
      <c r="H493" s="1">
        <f ca="1">SUMIFS(OFFSET(Calc2!$I$4,,,$F$26*B488,1),OFFSET(Calc2!$F$4,,,$F$26*B488,1),F493)+SUMIFS(OFFSET(Calc2!$H$4,,,$F$26*B488,1),OFFSET(Calc2!$G$4,,,$F$26*B488,1),F493)</f>
        <v>32</v>
      </c>
      <c r="I493" s="134">
        <f t="shared" ca="1" si="90"/>
        <v>-11</v>
      </c>
      <c r="J493" s="12">
        <f ca="1">L493*Settings!$C$3+M493+O493</f>
        <v>15</v>
      </c>
      <c r="K493" s="1">
        <f t="shared" ca="1" si="93"/>
        <v>19</v>
      </c>
      <c r="L493" s="1">
        <f t="array" aca="1" ref="L493" ca="1">SUMPRODUCT((OFFSET(Calc2!$F$4,,,$F$26*B488,1)=F493)*(OFFSET(Calc2!$H$4,,,$F$26*B488,1)&gt;OFFSET(Calc2!$I$4,,,$F$26*B488,1)))+SUMPRODUCT((OFFSET(Calc2!$G$4,,,$F$26*B488,1)=F493)*(OFFSET(Calc2!$H$4,,,$F$26*B488,1)&lt;OFFSET(Calc2!$I$4,,,$F$26*B488,1)))</f>
        <v>3</v>
      </c>
      <c r="M493" s="1">
        <f t="array" aca="1" ref="M493" ca="1">SUMPRODUCT((OFFSET(Calc2!$F$4,,,$F$26*B488,2)=F493)*(OFFSET(Calc2!$H$4,,,$F$26*B488,1)=OFFSET(Calc2!$I$4,,,$F$26*B488,1))*(OFFSET(Calc2!$H$4,,,$F$26*B488,1)&lt;&gt;"")*(OFFSET(Calc2!$I$4,,,$F$26*B488,1)&lt;&gt;""))</f>
        <v>6</v>
      </c>
      <c r="N493" s="1">
        <f t="array" aca="1" ref="N493" ca="1">SUMPRODUCT((OFFSET(Calc2!$F$4,,,$F$26*B488,1)=F493)*(OFFSET(Calc2!$H$4,,,$F$26*B488,1)&lt;OFFSET(Calc2!$I$4,,,$F$26*B488,1)))+SUMPRODUCT((OFFSET(Calc2!$G$4,,,$F$26*B488,1)=F493)*(OFFSET(Calc2!$H$4,,,$F$26*B488,1)&gt;OFFSET(Calc2!$I$4,,,$F$26*B488,1)))</f>
        <v>10</v>
      </c>
      <c r="O493" s="132">
        <f ca="1">SUMPRODUCT((F493=OFFSET(Calc2!$F$4,,,$F$26*B488,1))*OFFSET(Calc2!$O$4,,,$F$26*B488,1))+SUMPRODUCT((F493=OFFSET(Calc2!$G$4,,,$F$26*B488,1))*OFFSET(Calc2!$P$4,,,$F$26*B488,1))</f>
        <v>0</v>
      </c>
      <c r="P493" s="2"/>
      <c r="Q493" s="2"/>
      <c r="R493" s="13">
        <f t="shared" ca="1" si="91"/>
        <v>15499989021</v>
      </c>
      <c r="S493" s="134">
        <f>Tie_Break!$D$10</f>
        <v>0</v>
      </c>
      <c r="T493" s="9">
        <f ca="1">RANK(R493,R490:R509)+(9-S493)/10000+(F493="")*1000</f>
        <v>16.000900000000001</v>
      </c>
      <c r="U493" s="134"/>
      <c r="V493" s="134">
        <f ca="1">IF($K$24=0,"",IF(VLOOKUP(B493,C490:E509,3,0)=MAX(V$4:V492),VLOOKUP(B493,C490:E509,3,0),B493))</f>
        <v>4</v>
      </c>
      <c r="W493" s="4" t="str">
        <f ca="1">IF($K$24=0,Calc2!$C$7,VLOOKUP(B493,C490:N509,4,0))</f>
        <v>RB Leipzig</v>
      </c>
      <c r="X493" s="1">
        <f ca="1">INDEX(V463:V482,MATCH(W493,W463:W482,0))</f>
        <v>4</v>
      </c>
      <c r="Y493" s="1">
        <f t="shared" ca="1" si="94"/>
        <v>0</v>
      </c>
    </row>
    <row r="494" spans="2:25" x14ac:dyDescent="0.2">
      <c r="B494" s="1">
        <v>5</v>
      </c>
      <c r="C494" s="9">
        <f ca="1">RANK(D494,D490:D509,1)</f>
        <v>6</v>
      </c>
      <c r="D494" s="134">
        <f t="shared" ca="1" si="92"/>
        <v>6.4939999999999998</v>
      </c>
      <c r="E494" s="134">
        <f ca="1">RANK(T494,T490:T509,1)</f>
        <v>6</v>
      </c>
      <c r="F494" s="187" t="str">
        <f>Calc2!$C$8</f>
        <v>Bayer 04 Leverkusen</v>
      </c>
      <c r="G494" s="1">
        <f ca="1">SUMIFS(OFFSET(Calc2!$H$4,,,$F$26*B488,1),OFFSET(Calc2!$F$4,,,$F$26*B488,1),F494)+SUMIFS(OFFSET(Calc2!$I$4,,,$F$26*B488,1),OFFSET(Calc2!$G$4,,,$F$26*B488,1),F494)</f>
        <v>36</v>
      </c>
      <c r="H494" s="1">
        <f ca="1">SUMIFS(OFFSET(Calc2!$I$4,,,$F$26*B488,1),OFFSET(Calc2!$F$4,,,$F$26*B488,1),F494)+SUMIFS(OFFSET(Calc2!$H$4,,,$F$26*B488,1),OFFSET(Calc2!$G$4,,,$F$26*B488,1),F494)</f>
        <v>25</v>
      </c>
      <c r="I494" s="134">
        <f t="shared" ca="1" si="90"/>
        <v>11</v>
      </c>
      <c r="J494" s="12">
        <f ca="1">L494*Settings!$C$3+M494+O494</f>
        <v>35</v>
      </c>
      <c r="K494" s="1">
        <f t="shared" ca="1" si="93"/>
        <v>19</v>
      </c>
      <c r="L494" s="1">
        <f t="array" aca="1" ref="L494" ca="1">SUMPRODUCT((OFFSET(Calc2!$F$4,,,$F$26*B488,1)=F494)*(OFFSET(Calc2!$H$4,,,$F$26*B488,1)&gt;OFFSET(Calc2!$I$4,,,$F$26*B488,1)))+SUMPRODUCT((OFFSET(Calc2!$G$4,,,$F$26*B488,1)=F494)*(OFFSET(Calc2!$H$4,,,$F$26*B488,1)&lt;OFFSET(Calc2!$I$4,,,$F$26*B488,1)))</f>
        <v>11</v>
      </c>
      <c r="M494" s="1">
        <f t="array" aca="1" ref="M494" ca="1">SUMPRODUCT((OFFSET(Calc2!$F$4,,,$F$26*B488,2)=F494)*(OFFSET(Calc2!$H$4,,,$F$26*B488,1)=OFFSET(Calc2!$I$4,,,$F$26*B488,1))*(OFFSET(Calc2!$H$4,,,$F$26*B488,1)&lt;&gt;"")*(OFFSET(Calc2!$I$4,,,$F$26*B488,1)&lt;&gt;""))</f>
        <v>2</v>
      </c>
      <c r="N494" s="1">
        <f t="array" aca="1" ref="N494" ca="1">SUMPRODUCT((OFFSET(Calc2!$F$4,,,$F$26*B488,1)=F494)*(OFFSET(Calc2!$H$4,,,$F$26*B488,1)&lt;OFFSET(Calc2!$I$4,,,$F$26*B488,1)))+SUMPRODUCT((OFFSET(Calc2!$G$4,,,$F$26*B488,1)=F494)*(OFFSET(Calc2!$H$4,,,$F$26*B488,1)&gt;OFFSET(Calc2!$I$4,,,$F$26*B488,1)))</f>
        <v>6</v>
      </c>
      <c r="O494" s="132">
        <f ca="1">SUMPRODUCT((F494=OFFSET(Calc2!$F$4,,,$F$26*B488,1))*OFFSET(Calc2!$O$4,,,$F$26*B488,1))+SUMPRODUCT((F494=OFFSET(Calc2!$G$4,,,$F$26*B488,1))*OFFSET(Calc2!$P$4,,,$F$26*B488,1))</f>
        <v>0</v>
      </c>
      <c r="P494" s="2"/>
      <c r="Q494" s="2"/>
      <c r="R494" s="13">
        <f t="shared" ca="1" si="91"/>
        <v>35500011036</v>
      </c>
      <c r="S494" s="134">
        <f>Tie_Break!$D$11</f>
        <v>0</v>
      </c>
      <c r="T494" s="9">
        <f ca="1">RANK(R494,R490:R509)+(9-S494)/10000+(F494="")*1000</f>
        <v>6.0008999999999997</v>
      </c>
      <c r="U494" s="134"/>
      <c r="V494" s="134">
        <f ca="1">IF($K$24=0,"",IF(VLOOKUP(B494,C490:E509,3,0)=MAX(V$4:V493),VLOOKUP(B494,C490:E509,3,0),B494))</f>
        <v>5</v>
      </c>
      <c r="W494" s="4" t="str">
        <f ca="1">IF($K$24=0,Calc2!$C$8,VLOOKUP(B494,C490:N509,4,0))</f>
        <v>VfB Stuttgart</v>
      </c>
      <c r="X494" s="1">
        <f ca="1">INDEX(V463:V482,MATCH(W494,W463:W482,0))</f>
        <v>5</v>
      </c>
      <c r="Y494" s="1">
        <f t="shared" ca="1" si="94"/>
        <v>0</v>
      </c>
    </row>
    <row r="495" spans="2:25" x14ac:dyDescent="0.2">
      <c r="B495" s="1">
        <v>6</v>
      </c>
      <c r="C495" s="9">
        <f ca="1">RANK(D495,D490:D509,1)</f>
        <v>2</v>
      </c>
      <c r="D495" s="134">
        <f t="shared" ca="1" si="92"/>
        <v>2.4950000000000001</v>
      </c>
      <c r="E495" s="134">
        <f ca="1">RANK(T495,T490:T509,1)</f>
        <v>2</v>
      </c>
      <c r="F495" s="187" t="str">
        <f>Calc2!$C$9</f>
        <v>Borussia Dortmund</v>
      </c>
      <c r="G495" s="1">
        <f ca="1">SUMIFS(OFFSET(Calc2!$H$4,,,$F$26*B488,1),OFFSET(Calc2!$F$4,,,$F$26*B488,1),F495)+SUMIFS(OFFSET(Calc2!$I$4,,,$F$26*B488,1),OFFSET(Calc2!$G$4,,,$F$26*B488,1),F495)</f>
        <v>38</v>
      </c>
      <c r="H495" s="1">
        <f ca="1">SUMIFS(OFFSET(Calc2!$I$4,,,$F$26*B488,1),OFFSET(Calc2!$F$4,,,$F$26*B488,1),F495)+SUMIFS(OFFSET(Calc2!$H$4,,,$F$26*B488,1),OFFSET(Calc2!$G$4,,,$F$26*B488,1),F495)</f>
        <v>17</v>
      </c>
      <c r="I495" s="134">
        <f t="shared" ca="1" si="90"/>
        <v>21</v>
      </c>
      <c r="J495" s="12">
        <f ca="1">L495*Settings!$C$3+M495+O495</f>
        <v>42</v>
      </c>
      <c r="K495" s="1">
        <f t="shared" ca="1" si="93"/>
        <v>19</v>
      </c>
      <c r="L495" s="1">
        <f t="array" aca="1" ref="L495" ca="1">SUMPRODUCT((OFFSET(Calc2!$F$4,,,$F$26*B488,1)=F495)*(OFFSET(Calc2!$H$4,,,$F$26*B488,1)&gt;OFFSET(Calc2!$I$4,,,$F$26*B488,1)))+SUMPRODUCT((OFFSET(Calc2!$G$4,,,$F$26*B488,1)=F495)*(OFFSET(Calc2!$H$4,,,$F$26*B488,1)&lt;OFFSET(Calc2!$I$4,,,$F$26*B488,1)))</f>
        <v>12</v>
      </c>
      <c r="M495" s="1">
        <f t="array" aca="1" ref="M495" ca="1">SUMPRODUCT((OFFSET(Calc2!$F$4,,,$F$26*B488,2)=F495)*(OFFSET(Calc2!$H$4,,,$F$26*B488,1)=OFFSET(Calc2!$I$4,,,$F$26*B488,1))*(OFFSET(Calc2!$H$4,,,$F$26*B488,1)&lt;&gt;"")*(OFFSET(Calc2!$I$4,,,$F$26*B488,1)&lt;&gt;""))</f>
        <v>6</v>
      </c>
      <c r="N495" s="1">
        <f t="array" aca="1" ref="N495" ca="1">SUMPRODUCT((OFFSET(Calc2!$F$4,,,$F$26*B488,1)=F495)*(OFFSET(Calc2!$H$4,,,$F$26*B488,1)&lt;OFFSET(Calc2!$I$4,,,$F$26*B488,1)))+SUMPRODUCT((OFFSET(Calc2!$G$4,,,$F$26*B488,1)=F495)*(OFFSET(Calc2!$H$4,,,$F$26*B488,1)&gt;OFFSET(Calc2!$I$4,,,$F$26*B488,1)))</f>
        <v>1</v>
      </c>
      <c r="O495" s="132">
        <f ca="1">SUMPRODUCT((F495=OFFSET(Calc2!$F$4,,,$F$26*B488,1))*OFFSET(Calc2!$O$4,,,$F$26*B488,1))+SUMPRODUCT((F495=OFFSET(Calc2!$G$4,,,$F$26*B488,1))*OFFSET(Calc2!$P$4,,,$F$26*B488,1))</f>
        <v>0</v>
      </c>
      <c r="P495" s="2"/>
      <c r="Q495" s="2"/>
      <c r="R495" s="13">
        <f t="shared" ca="1" si="91"/>
        <v>42500021038</v>
      </c>
      <c r="S495" s="134">
        <f>Tie_Break!$D$12</f>
        <v>0</v>
      </c>
      <c r="T495" s="9">
        <f ca="1">RANK(R495,R490:R509)+(9-S495)/10000+(F495="")*1000</f>
        <v>2.0009000000000001</v>
      </c>
      <c r="U495" s="134"/>
      <c r="V495" s="134">
        <f ca="1">IF($K$24=0,"",IF(VLOOKUP(B495,C490:E509,3,0)=MAX(V$4:V494),VLOOKUP(B495,C490:E509,3,0),B495))</f>
        <v>6</v>
      </c>
      <c r="W495" s="4" t="str">
        <f ca="1">IF($K$24=0,Calc2!$C$9,VLOOKUP(B495,C490:N509,4,0))</f>
        <v>Bayer 04 Leverkusen</v>
      </c>
      <c r="X495" s="1">
        <f ca="1">INDEX(V463:V482,MATCH(W495,W463:W482,0))</f>
        <v>6</v>
      </c>
      <c r="Y495" s="1">
        <f t="shared" ca="1" si="94"/>
        <v>0</v>
      </c>
    </row>
    <row r="496" spans="2:25" x14ac:dyDescent="0.2">
      <c r="B496" s="1">
        <v>7</v>
      </c>
      <c r="C496" s="9">
        <f ca="1">RANK(D496,D490:D509,1)</f>
        <v>11</v>
      </c>
      <c r="D496" s="134">
        <f t="shared" ca="1" si="92"/>
        <v>11.496</v>
      </c>
      <c r="E496" s="134">
        <f ca="1">RANK(T496,T490:T509,1)</f>
        <v>11</v>
      </c>
      <c r="F496" s="187" t="str">
        <f>Calc2!$C$10</f>
        <v>Borussia Mönchengladbach</v>
      </c>
      <c r="G496" s="1">
        <f ca="1">SUMIFS(OFFSET(Calc2!$H$4,,,$F$26*B488,1),OFFSET(Calc2!$F$4,,,$F$26*B488,1),F496)+SUMIFS(OFFSET(Calc2!$I$4,,,$F$26*B488,1),OFFSET(Calc2!$G$4,,,$F$26*B488,1),F496)</f>
        <v>23</v>
      </c>
      <c r="H496" s="1">
        <f ca="1">SUMIFS(OFFSET(Calc2!$I$4,,,$F$26*B488,1),OFFSET(Calc2!$F$4,,,$F$26*B488,1),F496)+SUMIFS(OFFSET(Calc2!$H$4,,,$F$26*B488,1),OFFSET(Calc2!$G$4,,,$F$26*B488,1),F496)</f>
        <v>32</v>
      </c>
      <c r="I496" s="134">
        <f t="shared" ca="1" si="90"/>
        <v>-9</v>
      </c>
      <c r="J496" s="12">
        <f ca="1">L496*Settings!$C$3+M496+O496</f>
        <v>20</v>
      </c>
      <c r="K496" s="1">
        <f t="shared" ca="1" si="93"/>
        <v>19</v>
      </c>
      <c r="L496" s="1">
        <f t="array" aca="1" ref="L496" ca="1">SUMPRODUCT((OFFSET(Calc2!$F$4,,,$F$26*B488,1)=F496)*(OFFSET(Calc2!$H$4,,,$F$26*B488,1)&gt;OFFSET(Calc2!$I$4,,,$F$26*B488,1)))+SUMPRODUCT((OFFSET(Calc2!$G$4,,,$F$26*B488,1)=F496)*(OFFSET(Calc2!$H$4,,,$F$26*B488,1)&lt;OFFSET(Calc2!$I$4,,,$F$26*B488,1)))</f>
        <v>5</v>
      </c>
      <c r="M496" s="1">
        <f t="array" aca="1" ref="M496" ca="1">SUMPRODUCT((OFFSET(Calc2!$F$4,,,$F$26*B488,2)=F496)*(OFFSET(Calc2!$H$4,,,$F$26*B488,1)=OFFSET(Calc2!$I$4,,,$F$26*B488,1))*(OFFSET(Calc2!$H$4,,,$F$26*B488,1)&lt;&gt;"")*(OFFSET(Calc2!$I$4,,,$F$26*B488,1)&lt;&gt;""))</f>
        <v>5</v>
      </c>
      <c r="N496" s="1">
        <f t="array" aca="1" ref="N496" ca="1">SUMPRODUCT((OFFSET(Calc2!$F$4,,,$F$26*B488,1)=F496)*(OFFSET(Calc2!$H$4,,,$F$26*B488,1)&lt;OFFSET(Calc2!$I$4,,,$F$26*B488,1)))+SUMPRODUCT((OFFSET(Calc2!$G$4,,,$F$26*B488,1)=F496)*(OFFSET(Calc2!$H$4,,,$F$26*B488,1)&gt;OFFSET(Calc2!$I$4,,,$F$26*B488,1)))</f>
        <v>9</v>
      </c>
      <c r="O496" s="132">
        <f ca="1">SUMPRODUCT((F496=OFFSET(Calc2!$F$4,,,$F$26*B488,1))*OFFSET(Calc2!$O$4,,,$F$26*B488,1))+SUMPRODUCT((F496=OFFSET(Calc2!$G$4,,,$F$26*B488,1))*OFFSET(Calc2!$P$4,,,$F$26*B488,1))</f>
        <v>0</v>
      </c>
      <c r="P496" s="2"/>
      <c r="Q496" s="2"/>
      <c r="R496" s="13">
        <f t="shared" ca="1" si="91"/>
        <v>20499991023</v>
      </c>
      <c r="S496" s="134">
        <f>Tie_Break!$D$13</f>
        <v>0</v>
      </c>
      <c r="T496" s="9">
        <f ca="1">RANK(R496,R490:R509)+(9-S496)/10000+(F496="")*1000</f>
        <v>11.0009</v>
      </c>
      <c r="U496" s="134"/>
      <c r="V496" s="134">
        <f ca="1">IF($K$24=0,"",IF(VLOOKUP(B496,C490:E509,3,0)=MAX(V$4:V495),VLOOKUP(B496,C490:E509,3,0),B496))</f>
        <v>7</v>
      </c>
      <c r="W496" s="4" t="str">
        <f ca="1">IF($K$24=0,Calc2!$C$10,VLOOKUP(B496,C490:N509,4,0))</f>
        <v>SC Freiburg</v>
      </c>
      <c r="X496" s="1">
        <f ca="1">INDEX(V463:V482,MATCH(W496,W463:W482,0))</f>
        <v>8</v>
      </c>
      <c r="Y496" s="1">
        <f t="shared" ca="1" si="94"/>
        <v>1</v>
      </c>
    </row>
    <row r="497" spans="2:25" x14ac:dyDescent="0.2">
      <c r="B497" s="1">
        <v>8</v>
      </c>
      <c r="C497" s="9">
        <f ca="1">RANK(D497,D490:D509,1)</f>
        <v>8</v>
      </c>
      <c r="D497" s="134">
        <f t="shared" ca="1" si="92"/>
        <v>8.4969999999999999</v>
      </c>
      <c r="E497" s="134">
        <f ca="1">RANK(T497,T490:T509,1)</f>
        <v>8</v>
      </c>
      <c r="F497" s="187" t="str">
        <f>Calc2!$C$11</f>
        <v>Eintracht Frankfurt</v>
      </c>
      <c r="G497" s="1">
        <f ca="1">SUMIFS(OFFSET(Calc2!$H$4,,,$F$26*B488,1),OFFSET(Calc2!$F$4,,,$F$26*B488,1),F497)+SUMIFS(OFFSET(Calc2!$I$4,,,$F$26*B488,1),OFFSET(Calc2!$G$4,,,$F$26*B488,1),F497)</f>
        <v>39</v>
      </c>
      <c r="H497" s="1">
        <f ca="1">SUMIFS(OFFSET(Calc2!$I$4,,,$F$26*B488,1),OFFSET(Calc2!$F$4,,,$F$26*B488,1),F497)+SUMIFS(OFFSET(Calc2!$H$4,,,$F$26*B488,1),OFFSET(Calc2!$G$4,,,$F$26*B488,1),F497)</f>
        <v>42</v>
      </c>
      <c r="I497" s="134">
        <f t="shared" ca="1" si="90"/>
        <v>-3</v>
      </c>
      <c r="J497" s="12">
        <f ca="1">L497*Settings!$C$3+M497+O497</f>
        <v>27</v>
      </c>
      <c r="K497" s="1">
        <f t="shared" ca="1" si="93"/>
        <v>19</v>
      </c>
      <c r="L497" s="1">
        <f t="array" aca="1" ref="L497" ca="1">SUMPRODUCT((OFFSET(Calc2!$F$4,,,$F$26*B488,1)=F497)*(OFFSET(Calc2!$H$4,,,$F$26*B488,1)&gt;OFFSET(Calc2!$I$4,,,$F$26*B488,1)))+SUMPRODUCT((OFFSET(Calc2!$G$4,,,$F$26*B488,1)=F497)*(OFFSET(Calc2!$H$4,,,$F$26*B488,1)&lt;OFFSET(Calc2!$I$4,,,$F$26*B488,1)))</f>
        <v>7</v>
      </c>
      <c r="M497" s="1">
        <f t="array" aca="1" ref="M497" ca="1">SUMPRODUCT((OFFSET(Calc2!$F$4,,,$F$26*B488,2)=F497)*(OFFSET(Calc2!$H$4,,,$F$26*B488,1)=OFFSET(Calc2!$I$4,,,$F$26*B488,1))*(OFFSET(Calc2!$H$4,,,$F$26*B488,1)&lt;&gt;"")*(OFFSET(Calc2!$I$4,,,$F$26*B488,1)&lt;&gt;""))</f>
        <v>6</v>
      </c>
      <c r="N497" s="1">
        <f t="array" aca="1" ref="N497" ca="1">SUMPRODUCT((OFFSET(Calc2!$F$4,,,$F$26*B488,1)=F497)*(OFFSET(Calc2!$H$4,,,$F$26*B488,1)&lt;OFFSET(Calc2!$I$4,,,$F$26*B488,1)))+SUMPRODUCT((OFFSET(Calc2!$G$4,,,$F$26*B488,1)=F497)*(OFFSET(Calc2!$H$4,,,$F$26*B488,1)&gt;OFFSET(Calc2!$I$4,,,$F$26*B488,1)))</f>
        <v>6</v>
      </c>
      <c r="O497" s="132">
        <f ca="1">SUMPRODUCT((F497=OFFSET(Calc2!$F$4,,,$F$26*B488,1))*OFFSET(Calc2!$O$4,,,$F$26*B488,1))+SUMPRODUCT((F497=OFFSET(Calc2!$G$4,,,$F$26*B488,1))*OFFSET(Calc2!$P$4,,,$F$26*B488,1))</f>
        <v>0</v>
      </c>
      <c r="P497" s="2"/>
      <c r="Q497" s="2"/>
      <c r="R497" s="13">
        <f t="shared" ca="1" si="91"/>
        <v>27499997039</v>
      </c>
      <c r="S497" s="134">
        <f>Tie_Break!$D$14</f>
        <v>0</v>
      </c>
      <c r="T497" s="9">
        <f ca="1">RANK(R497,R490:R509)+(9-S497)/10000+(F497="")*1000</f>
        <v>8.0008999999999997</v>
      </c>
      <c r="U497" s="134"/>
      <c r="V497" s="134">
        <f ca="1">IF($K$24=0,"",IF(VLOOKUP(B497,C490:E509,3,0)=MAX(V$4:V496),VLOOKUP(B497,C490:E509,3,0),B497))</f>
        <v>8</v>
      </c>
      <c r="W497" s="4" t="str">
        <f ca="1">IF($K$24=0,Calc2!$C$11,VLOOKUP(B497,C490:N509,4,0))</f>
        <v>Eintracht Frankfurt</v>
      </c>
      <c r="X497" s="1">
        <f ca="1">INDEX(V463:V482,MATCH(W497,W463:W482,0))</f>
        <v>7</v>
      </c>
      <c r="Y497" s="1">
        <f t="shared" ca="1" si="94"/>
        <v>-1</v>
      </c>
    </row>
    <row r="498" spans="2:25" x14ac:dyDescent="0.2">
      <c r="B498" s="1">
        <v>9</v>
      </c>
      <c r="C498" s="9">
        <f ca="1">RANK(D498,D490:D509,1)</f>
        <v>13</v>
      </c>
      <c r="D498" s="134">
        <f t="shared" ca="1" si="92"/>
        <v>13.497999999999999</v>
      </c>
      <c r="E498" s="134">
        <f ca="1">RANK(T498,T490:T509,1)</f>
        <v>13</v>
      </c>
      <c r="F498" s="187" t="str">
        <f>Calc2!$C$12</f>
        <v>FC Augsburg</v>
      </c>
      <c r="G498" s="1">
        <f ca="1">SUMIFS(OFFSET(Calc2!$H$4,,,$F$26*B488,1),OFFSET(Calc2!$F$4,,,$F$26*B488,1),F498)+SUMIFS(OFFSET(Calc2!$I$4,,,$F$26*B488,1),OFFSET(Calc2!$G$4,,,$F$26*B488,1),F498)</f>
        <v>22</v>
      </c>
      <c r="H498" s="1">
        <f ca="1">SUMIFS(OFFSET(Calc2!$I$4,,,$F$26*B488,1),OFFSET(Calc2!$F$4,,,$F$26*B488,1),F498)+SUMIFS(OFFSET(Calc2!$H$4,,,$F$26*B488,1),OFFSET(Calc2!$G$4,,,$F$26*B488,1),F498)</f>
        <v>36</v>
      </c>
      <c r="I498" s="134">
        <f t="shared" ca="1" si="90"/>
        <v>-14</v>
      </c>
      <c r="J498" s="12">
        <f ca="1">L498*Settings!$C$3+M498+O498</f>
        <v>19</v>
      </c>
      <c r="K498" s="1">
        <f t="shared" ca="1" si="93"/>
        <v>19</v>
      </c>
      <c r="L498" s="1">
        <f t="array" aca="1" ref="L498" ca="1">SUMPRODUCT((OFFSET(Calc2!$F$4,,,$F$26*B488,1)=F498)*(OFFSET(Calc2!$H$4,,,$F$26*B488,1)&gt;OFFSET(Calc2!$I$4,,,$F$26*B488,1)))+SUMPRODUCT((OFFSET(Calc2!$G$4,,,$F$26*B488,1)=F498)*(OFFSET(Calc2!$H$4,,,$F$26*B488,1)&lt;OFFSET(Calc2!$I$4,,,$F$26*B488,1)))</f>
        <v>5</v>
      </c>
      <c r="M498" s="1">
        <f t="array" aca="1" ref="M498" ca="1">SUMPRODUCT((OFFSET(Calc2!$F$4,,,$F$26*B488,2)=F498)*(OFFSET(Calc2!$H$4,,,$F$26*B488,1)=OFFSET(Calc2!$I$4,,,$F$26*B488,1))*(OFFSET(Calc2!$H$4,,,$F$26*B488,1)&lt;&gt;"")*(OFFSET(Calc2!$I$4,,,$F$26*B488,1)&lt;&gt;""))</f>
        <v>4</v>
      </c>
      <c r="N498" s="1">
        <f t="array" aca="1" ref="N498" ca="1">SUMPRODUCT((OFFSET(Calc2!$F$4,,,$F$26*B488,1)=F498)*(OFFSET(Calc2!$H$4,,,$F$26*B488,1)&lt;OFFSET(Calc2!$I$4,,,$F$26*B488,1)))+SUMPRODUCT((OFFSET(Calc2!$G$4,,,$F$26*B488,1)=F498)*(OFFSET(Calc2!$H$4,,,$F$26*B488,1)&gt;OFFSET(Calc2!$I$4,,,$F$26*B488,1)))</f>
        <v>10</v>
      </c>
      <c r="O498" s="132">
        <f ca="1">SUMPRODUCT((F498=OFFSET(Calc2!$F$4,,,$F$26*B488,1))*OFFSET(Calc2!$O$4,,,$F$26*B488,1))+SUMPRODUCT((F498=OFFSET(Calc2!$G$4,,,$F$26*B488,1))*OFFSET(Calc2!$P$4,,,$F$26*B488,1))</f>
        <v>0</v>
      </c>
      <c r="P498" s="2"/>
      <c r="Q498" s="2"/>
      <c r="R498" s="13">
        <f t="shared" ca="1" si="91"/>
        <v>19499986022</v>
      </c>
      <c r="S498" s="134">
        <f>Tie_Break!$D$15</f>
        <v>0</v>
      </c>
      <c r="T498" s="9">
        <f ca="1">RANK(R498,R490:R509)+(9-S498)/10000+(F498="")*1000</f>
        <v>13.0009</v>
      </c>
      <c r="U498" s="134"/>
      <c r="V498" s="134">
        <f ca="1">IF($K$24=0,"",IF(VLOOKUP(B498,C490:E509,3,0)=MAX(V$4:V497),VLOOKUP(B498,C490:E509,3,0),B498))</f>
        <v>9</v>
      </c>
      <c r="W498" s="4" t="str">
        <f ca="1">IF($K$24=0,Calc2!$C$12,VLOOKUP(B498,C490:N509,4,0))</f>
        <v>1. FC Union Berlin</v>
      </c>
      <c r="X498" s="1">
        <f ca="1">INDEX(V463:V482,MATCH(W498,W463:W482,0))</f>
        <v>9</v>
      </c>
      <c r="Y498" s="1">
        <f t="shared" ca="1" si="94"/>
        <v>0</v>
      </c>
    </row>
    <row r="499" spans="2:25" x14ac:dyDescent="0.2">
      <c r="B499" s="1">
        <v>10</v>
      </c>
      <c r="C499" s="9">
        <f ca="1">RANK(D499,D490:D509,1)</f>
        <v>1</v>
      </c>
      <c r="D499" s="134">
        <f t="shared" ca="1" si="92"/>
        <v>1.4990000000000001</v>
      </c>
      <c r="E499" s="134">
        <f ca="1">RANK(T499,T490:T509,1)</f>
        <v>1</v>
      </c>
      <c r="F499" s="187" t="str">
        <f>Calc2!$C$13</f>
        <v>FC Bayern München</v>
      </c>
      <c r="G499" s="1">
        <f ca="1">SUMIFS(OFFSET(Calc2!$H$4,,,$F$26*B488,1),OFFSET(Calc2!$F$4,,,$F$26*B488,1),F499)+SUMIFS(OFFSET(Calc2!$I$4,,,$F$26*B488,1),OFFSET(Calc2!$G$4,,,$F$26*B488,1),F499)</f>
        <v>72</v>
      </c>
      <c r="H499" s="1">
        <f ca="1">SUMIFS(OFFSET(Calc2!$I$4,,,$F$26*B488,1),OFFSET(Calc2!$F$4,,,$F$26*B488,1),F499)+SUMIFS(OFFSET(Calc2!$H$4,,,$F$26*B488,1),OFFSET(Calc2!$G$4,,,$F$26*B488,1),F499)</f>
        <v>16</v>
      </c>
      <c r="I499" s="134">
        <f t="shared" ca="1" si="90"/>
        <v>56</v>
      </c>
      <c r="J499" s="12">
        <f ca="1">L499*Settings!$C$3+M499+O499</f>
        <v>50</v>
      </c>
      <c r="K499" s="1">
        <f t="shared" ca="1" si="93"/>
        <v>19</v>
      </c>
      <c r="L499" s="1">
        <f t="array" aca="1" ref="L499" ca="1">SUMPRODUCT((OFFSET(Calc2!$F$4,,,$F$26*B488,1)=F499)*(OFFSET(Calc2!$H$4,,,$F$26*B488,1)&gt;OFFSET(Calc2!$I$4,,,$F$26*B488,1)))+SUMPRODUCT((OFFSET(Calc2!$G$4,,,$F$26*B488,1)=F499)*(OFFSET(Calc2!$H$4,,,$F$26*B488,1)&lt;OFFSET(Calc2!$I$4,,,$F$26*B488,1)))</f>
        <v>16</v>
      </c>
      <c r="M499" s="1">
        <f t="array" aca="1" ref="M499" ca="1">SUMPRODUCT((OFFSET(Calc2!$F$4,,,$F$26*B488,2)=F499)*(OFFSET(Calc2!$H$4,,,$F$26*B488,1)=OFFSET(Calc2!$I$4,,,$F$26*B488,1))*(OFFSET(Calc2!$H$4,,,$F$26*B488,1)&lt;&gt;"")*(OFFSET(Calc2!$I$4,,,$F$26*B488,1)&lt;&gt;""))</f>
        <v>2</v>
      </c>
      <c r="N499" s="1">
        <f t="array" aca="1" ref="N499" ca="1">SUMPRODUCT((OFFSET(Calc2!$F$4,,,$F$26*B488,1)=F499)*(OFFSET(Calc2!$H$4,,,$F$26*B488,1)&lt;OFFSET(Calc2!$I$4,,,$F$26*B488,1)))+SUMPRODUCT((OFFSET(Calc2!$G$4,,,$F$26*B488,1)=F499)*(OFFSET(Calc2!$H$4,,,$F$26*B488,1)&gt;OFFSET(Calc2!$I$4,,,$F$26*B488,1)))</f>
        <v>1</v>
      </c>
      <c r="O499" s="132">
        <f ca="1">SUMPRODUCT((F499=OFFSET(Calc2!$F$4,,,$F$26*B488,1))*OFFSET(Calc2!$O$4,,,$F$26*B488,1))+SUMPRODUCT((F499=OFFSET(Calc2!$G$4,,,$F$26*B488,1))*OFFSET(Calc2!$P$4,,,$F$26*B488,1))</f>
        <v>0</v>
      </c>
      <c r="P499" s="2"/>
      <c r="Q499" s="2"/>
      <c r="R499" s="13">
        <f t="shared" ca="1" si="91"/>
        <v>50500056072</v>
      </c>
      <c r="S499" s="134">
        <f>Tie_Break!$D$16</f>
        <v>0</v>
      </c>
      <c r="T499" s="9">
        <f ca="1">RANK(R499,R490:R509)+(9-S499)/10000+(F499="")*1000</f>
        <v>1.0008999999999999</v>
      </c>
      <c r="U499" s="2"/>
      <c r="V499" s="134">
        <f ca="1">IF($K$24=0,"",IF(VLOOKUP(B499,C490:E509,3,0)=MAX(V$4:V498),VLOOKUP(B499,C490:E509,3,0),B499))</f>
        <v>10</v>
      </c>
      <c r="W499" s="4" t="str">
        <f ca="1">IF($K$24=0,Calc2!$C$13,VLOOKUP(B499,C490:N509,4,0))</f>
        <v>1. FC Köln</v>
      </c>
      <c r="X499" s="1">
        <f ca="1">INDEX(V463:V482,MATCH(W499,W463:W482,0))</f>
        <v>10</v>
      </c>
      <c r="Y499" s="1">
        <f t="shared" ca="1" si="94"/>
        <v>0</v>
      </c>
    </row>
    <row r="500" spans="2:25" x14ac:dyDescent="0.2">
      <c r="B500" s="1">
        <v>11</v>
      </c>
      <c r="C500" s="9">
        <f ca="1">RANK(D500,D490:D509,1)</f>
        <v>17</v>
      </c>
      <c r="D500" s="134">
        <f t="shared" ca="1" si="92"/>
        <v>17.5</v>
      </c>
      <c r="E500" s="134">
        <f ca="1">RANK(T500,T490:T509,1)</f>
        <v>17</v>
      </c>
      <c r="F500" s="187" t="str">
        <f>Calc2!$C$14</f>
        <v>FC St. Pauli</v>
      </c>
      <c r="G500" s="1">
        <f ca="1">SUMIFS(OFFSET(Calc2!$H$4,,,$F$26*B488,1),OFFSET(Calc2!$F$4,,,$F$26*B488,1),F500)+SUMIFS(OFFSET(Calc2!$I$4,,,$F$26*B488,1),OFFSET(Calc2!$G$4,,,$F$26*B488,1),F500)</f>
        <v>17</v>
      </c>
      <c r="H500" s="1">
        <f ca="1">SUMIFS(OFFSET(Calc2!$I$4,,,$F$26*B488,1),OFFSET(Calc2!$F$4,,,$F$26*B488,1),F500)+SUMIFS(OFFSET(Calc2!$H$4,,,$F$26*B488,1),OFFSET(Calc2!$G$4,,,$F$26*B488,1),F500)</f>
        <v>32</v>
      </c>
      <c r="I500" s="134">
        <f t="shared" ca="1" si="90"/>
        <v>-15</v>
      </c>
      <c r="J500" s="12">
        <f ca="1">L500*Settings!$C$3+M500+O500</f>
        <v>14</v>
      </c>
      <c r="K500" s="1">
        <f t="shared" ca="1" si="93"/>
        <v>19</v>
      </c>
      <c r="L500" s="1">
        <f t="array" aca="1" ref="L500" ca="1">SUMPRODUCT((OFFSET(Calc2!$F$4,,,$F$26*B488,1)=F500)*(OFFSET(Calc2!$H$4,,,$F$26*B488,1)&gt;OFFSET(Calc2!$I$4,,,$F$26*B488,1)))+SUMPRODUCT((OFFSET(Calc2!$G$4,,,$F$26*B488,1)=F500)*(OFFSET(Calc2!$H$4,,,$F$26*B488,1)&lt;OFFSET(Calc2!$I$4,,,$F$26*B488,1)))</f>
        <v>3</v>
      </c>
      <c r="M500" s="1">
        <f t="array" aca="1" ref="M500" ca="1">SUMPRODUCT((OFFSET(Calc2!$F$4,,,$F$26*B488,2)=F500)*(OFFSET(Calc2!$H$4,,,$F$26*B488,1)=OFFSET(Calc2!$I$4,,,$F$26*B488,1))*(OFFSET(Calc2!$H$4,,,$F$26*B488,1)&lt;&gt;"")*(OFFSET(Calc2!$I$4,,,$F$26*B488,1)&lt;&gt;""))</f>
        <v>5</v>
      </c>
      <c r="N500" s="1">
        <f t="array" aca="1" ref="N500" ca="1">SUMPRODUCT((OFFSET(Calc2!$F$4,,,$F$26*B488,1)=F500)*(OFFSET(Calc2!$H$4,,,$F$26*B488,1)&lt;OFFSET(Calc2!$I$4,,,$F$26*B488,1)))+SUMPRODUCT((OFFSET(Calc2!$G$4,,,$F$26*B488,1)=F500)*(OFFSET(Calc2!$H$4,,,$F$26*B488,1)&gt;OFFSET(Calc2!$I$4,,,$F$26*B488,1)))</f>
        <v>11</v>
      </c>
      <c r="O500" s="132">
        <f ca="1">SUMPRODUCT((F500=OFFSET(Calc2!$F$4,,,$F$26*B488,1))*OFFSET(Calc2!$O$4,,,$F$26*B488,1))+SUMPRODUCT((F500=OFFSET(Calc2!$G$4,,,$F$26*B488,1))*OFFSET(Calc2!$P$4,,,$F$26*B488,1))</f>
        <v>0</v>
      </c>
      <c r="P500" s="2"/>
      <c r="Q500" s="2"/>
      <c r="R500" s="13">
        <f t="shared" ca="1" si="91"/>
        <v>14499985017</v>
      </c>
      <c r="S500" s="134">
        <f>Tie_Break!$D$17</f>
        <v>0</v>
      </c>
      <c r="T500" s="9">
        <f ca="1">RANK(R500,R490:R509)+(9-S500)/10000+(F500="")*1000</f>
        <v>17.000900000000001</v>
      </c>
      <c r="U500" s="2"/>
      <c r="V500" s="134">
        <f ca="1">IF($K$24=0,"",IF(VLOOKUP(B500,C490:E509,3,0)=MAX(V$4:V499),VLOOKUP(B500,C490:E509,3,0),B500))</f>
        <v>11</v>
      </c>
      <c r="W500" s="4" t="str">
        <f ca="1">IF($K$24=0,Calc2!$C$14,VLOOKUP(B500,C490:N509,4,0))</f>
        <v>Borussia Mönchengladbach</v>
      </c>
      <c r="X500" s="1">
        <f ca="1">INDEX(V463:V482,MATCH(W500,W463:W482,0))</f>
        <v>11</v>
      </c>
      <c r="Y500" s="1">
        <f t="shared" ca="1" si="94"/>
        <v>0</v>
      </c>
    </row>
    <row r="501" spans="2:25" x14ac:dyDescent="0.2">
      <c r="B501" s="1">
        <v>12</v>
      </c>
      <c r="C501" s="9">
        <f ca="1">RANK(D501,D490:D509,1)</f>
        <v>14</v>
      </c>
      <c r="D501" s="134">
        <f t="shared" ca="1" si="92"/>
        <v>14.500999999999999</v>
      </c>
      <c r="E501" s="134">
        <f ca="1">RANK(T501,T490:T509,1)</f>
        <v>14</v>
      </c>
      <c r="F501" s="187" t="str">
        <f>Calc2!$C$15</f>
        <v>Hamburger SV</v>
      </c>
      <c r="G501" s="1">
        <f ca="1">SUMIFS(OFFSET(Calc2!$H$4,,,$F$26*B488,1),OFFSET(Calc2!$F$4,,,$F$26*B488,1),F501)+SUMIFS(OFFSET(Calc2!$I$4,,,$F$26*B488,1),OFFSET(Calc2!$G$4,,,$F$26*B488,1),F501)</f>
        <v>17</v>
      </c>
      <c r="H501" s="1">
        <f ca="1">SUMIFS(OFFSET(Calc2!$I$4,,,$F$26*B488,1),OFFSET(Calc2!$F$4,,,$F$26*B488,1),F501)+SUMIFS(OFFSET(Calc2!$H$4,,,$F$26*B488,1),OFFSET(Calc2!$G$4,,,$F$26*B488,1),F501)</f>
        <v>28</v>
      </c>
      <c r="I501" s="134">
        <f t="shared" ca="1" si="90"/>
        <v>-11</v>
      </c>
      <c r="J501" s="12">
        <f ca="1">L501*Settings!$C$3+M501+O501</f>
        <v>18</v>
      </c>
      <c r="K501" s="1">
        <f t="shared" ca="1" si="93"/>
        <v>19</v>
      </c>
      <c r="L501" s="1">
        <f t="array" aca="1" ref="L501" ca="1">SUMPRODUCT((OFFSET(Calc2!$F$4,,,$F$26*B488,1)=F501)*(OFFSET(Calc2!$H$4,,,$F$26*B488,1)&gt;OFFSET(Calc2!$I$4,,,$F$26*B488,1)))+SUMPRODUCT((OFFSET(Calc2!$G$4,,,$F$26*B488,1)=F501)*(OFFSET(Calc2!$H$4,,,$F$26*B488,1)&lt;OFFSET(Calc2!$I$4,,,$F$26*B488,1)))</f>
        <v>4</v>
      </c>
      <c r="M501" s="1">
        <f t="array" aca="1" ref="M501" ca="1">SUMPRODUCT((OFFSET(Calc2!$F$4,,,$F$26*B488,2)=F501)*(OFFSET(Calc2!$H$4,,,$F$26*B488,1)=OFFSET(Calc2!$I$4,,,$F$26*B488,1))*(OFFSET(Calc2!$H$4,,,$F$26*B488,1)&lt;&gt;"")*(OFFSET(Calc2!$I$4,,,$F$26*B488,1)&lt;&gt;""))</f>
        <v>6</v>
      </c>
      <c r="N501" s="1">
        <f t="array" aca="1" ref="N501" ca="1">SUMPRODUCT((OFFSET(Calc2!$F$4,,,$F$26*B488,1)=F501)*(OFFSET(Calc2!$H$4,,,$F$26*B488,1)&lt;OFFSET(Calc2!$I$4,,,$F$26*B488,1)))+SUMPRODUCT((OFFSET(Calc2!$G$4,,,$F$26*B488,1)=F501)*(OFFSET(Calc2!$H$4,,,$F$26*B488,1)&gt;OFFSET(Calc2!$I$4,,,$F$26*B488,1)))</f>
        <v>9</v>
      </c>
      <c r="O501" s="132">
        <f ca="1">SUMPRODUCT((F501=OFFSET(Calc2!$F$4,,,$F$26*B488,1))*OFFSET(Calc2!$O$4,,,$F$26*B488,1))+SUMPRODUCT((F501=OFFSET(Calc2!$G$4,,,$F$26*B488,1))*OFFSET(Calc2!$P$4,,,$F$26*B488,1))</f>
        <v>0</v>
      </c>
      <c r="P501" s="2"/>
      <c r="Q501" s="2"/>
      <c r="R501" s="13">
        <f t="shared" ca="1" si="91"/>
        <v>18499989017</v>
      </c>
      <c r="S501" s="134">
        <f>Tie_Break!$D$18</f>
        <v>0</v>
      </c>
      <c r="T501" s="9">
        <f ca="1">RANK(R501,R490:R509)+(9-S501)/10000+(F501="")*1000</f>
        <v>14.0009</v>
      </c>
      <c r="U501" s="2"/>
      <c r="V501" s="134">
        <f ca="1">IF($K$24=0,"",IF(VLOOKUP(B501,C490:E509,3,0)=MAX(V$4:V500),VLOOKUP(B501,C490:E509,3,0),B501))</f>
        <v>12</v>
      </c>
      <c r="W501" s="4" t="str">
        <f ca="1">IF($K$24=0,Calc2!$C$15,VLOOKUP(B501,C490:N509,4,0))</f>
        <v>VfL Wolfsburg</v>
      </c>
      <c r="X501" s="1">
        <f ca="1">INDEX(V463:V482,MATCH(W501,W463:W482,0))</f>
        <v>12</v>
      </c>
      <c r="Y501" s="1">
        <f t="shared" ca="1" si="94"/>
        <v>0</v>
      </c>
    </row>
    <row r="502" spans="2:25" x14ac:dyDescent="0.2">
      <c r="B502" s="1">
        <v>13</v>
      </c>
      <c r="C502" s="9">
        <f ca="1">RANK(D502,D490:D509,1)</f>
        <v>4</v>
      </c>
      <c r="D502" s="134">
        <f t="shared" ca="1" si="92"/>
        <v>4.5019999999999998</v>
      </c>
      <c r="E502" s="134">
        <f ca="1">RANK(T502,T490:T509,1)</f>
        <v>4</v>
      </c>
      <c r="F502" s="187" t="str">
        <f>Calc2!$C$16</f>
        <v>RB Leipzig</v>
      </c>
      <c r="G502" s="1">
        <f ca="1">SUMIFS(OFFSET(Calc2!$H$4,,,$F$26*B488,1),OFFSET(Calc2!$F$4,,,$F$26*B488,1),F502)+SUMIFS(OFFSET(Calc2!$I$4,,,$F$26*B488,1),OFFSET(Calc2!$G$4,,,$F$26*B488,1),F502)</f>
        <v>37</v>
      </c>
      <c r="H502" s="1">
        <f ca="1">SUMIFS(OFFSET(Calc2!$I$4,,,$F$26*B488,1),OFFSET(Calc2!$F$4,,,$F$26*B488,1),F502)+SUMIFS(OFFSET(Calc2!$H$4,,,$F$26*B488,1),OFFSET(Calc2!$G$4,,,$F$26*B488,1),F502)</f>
        <v>25</v>
      </c>
      <c r="I502" s="134">
        <f t="shared" ca="1" si="90"/>
        <v>12</v>
      </c>
      <c r="J502" s="12">
        <f ca="1">L502*Settings!$C$3+M502+O502</f>
        <v>36</v>
      </c>
      <c r="K502" s="1">
        <f t="shared" ca="1" si="93"/>
        <v>19</v>
      </c>
      <c r="L502" s="1">
        <f t="array" aca="1" ref="L502" ca="1">SUMPRODUCT((OFFSET(Calc2!$F$4,,,$F$26*B488,1)=F502)*(OFFSET(Calc2!$H$4,,,$F$26*B488,1)&gt;OFFSET(Calc2!$I$4,,,$F$26*B488,1)))+SUMPRODUCT((OFFSET(Calc2!$G$4,,,$F$26*B488,1)=F502)*(OFFSET(Calc2!$H$4,,,$F$26*B488,1)&lt;OFFSET(Calc2!$I$4,,,$F$26*B488,1)))</f>
        <v>11</v>
      </c>
      <c r="M502" s="1">
        <f t="array" aca="1" ref="M502" ca="1">SUMPRODUCT((OFFSET(Calc2!$F$4,,,$F$26*B488,2)=F502)*(OFFSET(Calc2!$H$4,,,$F$26*B488,1)=OFFSET(Calc2!$I$4,,,$F$26*B488,1))*(OFFSET(Calc2!$H$4,,,$F$26*B488,1)&lt;&gt;"")*(OFFSET(Calc2!$I$4,,,$F$26*B488,1)&lt;&gt;""))</f>
        <v>3</v>
      </c>
      <c r="N502" s="1">
        <f t="array" aca="1" ref="N502" ca="1">SUMPRODUCT((OFFSET(Calc2!$F$4,,,$F$26*B488,1)=F502)*(OFFSET(Calc2!$H$4,,,$F$26*B488,1)&lt;OFFSET(Calc2!$I$4,,,$F$26*B488,1)))+SUMPRODUCT((OFFSET(Calc2!$G$4,,,$F$26*B488,1)=F502)*(OFFSET(Calc2!$H$4,,,$F$26*B488,1)&gt;OFFSET(Calc2!$I$4,,,$F$26*B488,1)))</f>
        <v>5</v>
      </c>
      <c r="O502" s="132">
        <f ca="1">SUMPRODUCT((F502=OFFSET(Calc2!$F$4,,,$F$26*B488,1))*OFFSET(Calc2!$O$4,,,$F$26*B488,1))+SUMPRODUCT((F502=OFFSET(Calc2!$G$4,,,$F$26*B488,1))*OFFSET(Calc2!$P$4,,,$F$26*B488,1))</f>
        <v>0</v>
      </c>
      <c r="P502" s="2"/>
      <c r="Q502" s="2"/>
      <c r="R502" s="13">
        <f t="shared" ca="1" si="91"/>
        <v>36500012037</v>
      </c>
      <c r="S502" s="134">
        <f>Tie_Break!$D$19</f>
        <v>0</v>
      </c>
      <c r="T502" s="9">
        <f ca="1">RANK(R502,R490:R509)+(9-S502)/10000+(F502="")*1000</f>
        <v>4.0008999999999997</v>
      </c>
      <c r="U502" s="1"/>
      <c r="V502" s="134">
        <f ca="1">IF($K$24=0,"",IF(VLOOKUP(B502,C490:E509,3,0)=MAX(V$4:V501),VLOOKUP(B502,C490:E509,3,0),B502))</f>
        <v>13</v>
      </c>
      <c r="W502" s="4" t="str">
        <f ca="1">IF($K$24=0,Calc2!$C$16,VLOOKUP(B502,C490:N509,4,0))</f>
        <v>FC Augsburg</v>
      </c>
      <c r="X502" s="1">
        <f ca="1">INDEX(V463:V482,MATCH(W502,W463:W482,0))</f>
        <v>15</v>
      </c>
      <c r="Y502" s="1">
        <f t="shared" ca="1" si="94"/>
        <v>1</v>
      </c>
    </row>
    <row r="503" spans="2:25" x14ac:dyDescent="0.2">
      <c r="B503" s="1">
        <v>14</v>
      </c>
      <c r="C503" s="9">
        <f ca="1">RANK(D503,D490:D509,1)</f>
        <v>7</v>
      </c>
      <c r="D503" s="134">
        <f t="shared" ca="1" si="92"/>
        <v>7.5030000000000001</v>
      </c>
      <c r="E503" s="134">
        <f ca="1">RANK(T503,T490:T509,1)</f>
        <v>7</v>
      </c>
      <c r="F503" s="187" t="str">
        <f>Calc2!$C$17</f>
        <v>SC Freiburg</v>
      </c>
      <c r="G503" s="1">
        <f ca="1">SUMIFS(OFFSET(Calc2!$H$4,,,$F$26*B488,1),OFFSET(Calc2!$F$4,,,$F$26*B488,1),F503)+SUMIFS(OFFSET(Calc2!$I$4,,,$F$26*B488,1),OFFSET(Calc2!$G$4,,,$F$26*B488,1),F503)</f>
        <v>31</v>
      </c>
      <c r="H503" s="1">
        <f ca="1">SUMIFS(OFFSET(Calc2!$I$4,,,$F$26*B488,1),OFFSET(Calc2!$F$4,,,$F$26*B488,1),F503)+SUMIFS(OFFSET(Calc2!$H$4,,,$F$26*B488,1),OFFSET(Calc2!$G$4,,,$F$26*B488,1),F503)</f>
        <v>32</v>
      </c>
      <c r="I503" s="134">
        <f t="shared" ca="1" si="90"/>
        <v>-1</v>
      </c>
      <c r="J503" s="12">
        <f ca="1">L503*Settings!$C$3+M503+O503</f>
        <v>27</v>
      </c>
      <c r="K503" s="1">
        <f t="shared" ca="1" si="93"/>
        <v>19</v>
      </c>
      <c r="L503" s="1">
        <f t="array" aca="1" ref="L503" ca="1">SUMPRODUCT((OFFSET(Calc2!$F$4,,,$F$26*B488,1)=F503)*(OFFSET(Calc2!$H$4,,,$F$26*B488,1)&gt;OFFSET(Calc2!$I$4,,,$F$26*B488,1)))+SUMPRODUCT((OFFSET(Calc2!$G$4,,,$F$26*B488,1)=F503)*(OFFSET(Calc2!$H$4,,,$F$26*B488,1)&lt;OFFSET(Calc2!$I$4,,,$F$26*B488,1)))</f>
        <v>7</v>
      </c>
      <c r="M503" s="1">
        <f t="array" aca="1" ref="M503" ca="1">SUMPRODUCT((OFFSET(Calc2!$F$4,,,$F$26*B488,2)=F503)*(OFFSET(Calc2!$H$4,,,$F$26*B488,1)=OFFSET(Calc2!$I$4,,,$F$26*B488,1))*(OFFSET(Calc2!$H$4,,,$F$26*B488,1)&lt;&gt;"")*(OFFSET(Calc2!$I$4,,,$F$26*B488,1)&lt;&gt;""))</f>
        <v>6</v>
      </c>
      <c r="N503" s="1">
        <f t="array" aca="1" ref="N503" ca="1">SUMPRODUCT((OFFSET(Calc2!$F$4,,,$F$26*B488,1)=F503)*(OFFSET(Calc2!$H$4,,,$F$26*B488,1)&lt;OFFSET(Calc2!$I$4,,,$F$26*B488,1)))+SUMPRODUCT((OFFSET(Calc2!$G$4,,,$F$26*B488,1)=F503)*(OFFSET(Calc2!$H$4,,,$F$26*B488,1)&gt;OFFSET(Calc2!$I$4,,,$F$26*B488,1)))</f>
        <v>6</v>
      </c>
      <c r="O503" s="132">
        <f ca="1">SUMPRODUCT((F503=OFFSET(Calc2!$F$4,,,$F$26*B488,1))*OFFSET(Calc2!$O$4,,,$F$26*B488,1))+SUMPRODUCT((F503=OFFSET(Calc2!$G$4,,,$F$26*B488,1))*OFFSET(Calc2!$P$4,,,$F$26*B488,1))</f>
        <v>0</v>
      </c>
      <c r="P503" s="2"/>
      <c r="Q503" s="2"/>
      <c r="R503" s="13">
        <f t="shared" ca="1" si="91"/>
        <v>27499999031</v>
      </c>
      <c r="S503" s="134">
        <f>Tie_Break!$D$20</f>
        <v>0</v>
      </c>
      <c r="T503" s="9">
        <f ca="1">RANK(R503,R490:R509)+(9-S503)/10000+(F503="")*1000</f>
        <v>7.0008999999999997</v>
      </c>
      <c r="U503" s="2"/>
      <c r="V503" s="134">
        <f ca="1">IF($K$24=0,"",IF(VLOOKUP(B503,C490:E509,3,0)=MAX(V$4:V502),VLOOKUP(B503,C490:E509,3,0),B503))</f>
        <v>14</v>
      </c>
      <c r="W503" s="4" t="str">
        <f ca="1">IF($K$24=0,Calc2!$C$17,VLOOKUP(B503,C490:N509,4,0))</f>
        <v>Hamburger SV</v>
      </c>
      <c r="X503" s="1">
        <f ca="1">INDEX(V463:V482,MATCH(W503,W463:W482,0))</f>
        <v>14</v>
      </c>
      <c r="Y503" s="1">
        <f t="shared" ca="1" si="94"/>
        <v>0</v>
      </c>
    </row>
    <row r="504" spans="2:25" x14ac:dyDescent="0.2">
      <c r="B504" s="1">
        <v>15</v>
      </c>
      <c r="C504" s="9">
        <f ca="1">RANK(D504,D490:D509,1)</f>
        <v>15</v>
      </c>
      <c r="D504" s="134">
        <f t="shared" ca="1" si="92"/>
        <v>15.504</v>
      </c>
      <c r="E504" s="134">
        <f ca="1">RANK(T504,T490:T509,1)</f>
        <v>15</v>
      </c>
      <c r="F504" s="187" t="str">
        <f>Calc2!$C$18</f>
        <v>SV Werder Bremen</v>
      </c>
      <c r="G504" s="1">
        <f ca="1">SUMIFS(OFFSET(Calc2!$H$4,,,$F$26*B488,1),OFFSET(Calc2!$F$4,,,$F$26*B488,1),F504)+SUMIFS(OFFSET(Calc2!$I$4,,,$F$26*B488,1),OFFSET(Calc2!$G$4,,,$F$26*B488,1),F504)</f>
        <v>21</v>
      </c>
      <c r="H504" s="1">
        <f ca="1">SUMIFS(OFFSET(Calc2!$I$4,,,$F$26*B488,1),OFFSET(Calc2!$F$4,,,$F$26*B488,1),F504)+SUMIFS(OFFSET(Calc2!$H$4,,,$F$26*B488,1),OFFSET(Calc2!$G$4,,,$F$26*B488,1),F504)</f>
        <v>37</v>
      </c>
      <c r="I504" s="134">
        <f t="shared" ca="1" si="90"/>
        <v>-16</v>
      </c>
      <c r="J504" s="12">
        <f ca="1">L504*Settings!$C$3+M504+O504</f>
        <v>18</v>
      </c>
      <c r="K504" s="1">
        <f t="shared" ca="1" si="93"/>
        <v>19</v>
      </c>
      <c r="L504" s="1">
        <f t="array" aca="1" ref="L504" ca="1">SUMPRODUCT((OFFSET(Calc2!$F$4,,,$F$26*B488,1)=F504)*(OFFSET(Calc2!$H$4,,,$F$26*B488,1)&gt;OFFSET(Calc2!$I$4,,,$F$26*B488,1)))+SUMPRODUCT((OFFSET(Calc2!$G$4,,,$F$26*B488,1)=F504)*(OFFSET(Calc2!$H$4,,,$F$26*B488,1)&lt;OFFSET(Calc2!$I$4,,,$F$26*B488,1)))</f>
        <v>4</v>
      </c>
      <c r="M504" s="1">
        <f t="array" aca="1" ref="M504" ca="1">SUMPRODUCT((OFFSET(Calc2!$F$4,,,$F$26*B488,2)=F504)*(OFFSET(Calc2!$H$4,,,$F$26*B488,1)=OFFSET(Calc2!$I$4,,,$F$26*B488,1))*(OFFSET(Calc2!$H$4,,,$F$26*B488,1)&lt;&gt;"")*(OFFSET(Calc2!$I$4,,,$F$26*B488,1)&lt;&gt;""))</f>
        <v>6</v>
      </c>
      <c r="N504" s="1">
        <f t="array" aca="1" ref="N504" ca="1">SUMPRODUCT((OFFSET(Calc2!$F$4,,,$F$26*B488,1)=F504)*(OFFSET(Calc2!$H$4,,,$F$26*B488,1)&lt;OFFSET(Calc2!$I$4,,,$F$26*B488,1)))+SUMPRODUCT((OFFSET(Calc2!$G$4,,,$F$26*B488,1)=F504)*(OFFSET(Calc2!$H$4,,,$F$26*B488,1)&gt;OFFSET(Calc2!$I$4,,,$F$26*B488,1)))</f>
        <v>9</v>
      </c>
      <c r="O504" s="132">
        <f ca="1">SUMPRODUCT((F504=OFFSET(Calc2!$F$4,,,$F$26*B488,1))*OFFSET(Calc2!$O$4,,,$F$26*B488,1))+SUMPRODUCT((F504=OFFSET(Calc2!$G$4,,,$F$26*B488,1))*OFFSET(Calc2!$P$4,,,$F$26*B488,1))</f>
        <v>0</v>
      </c>
      <c r="P504" s="2"/>
      <c r="Q504" s="2"/>
      <c r="R504" s="13">
        <f t="shared" ca="1" si="91"/>
        <v>18499984021</v>
      </c>
      <c r="S504" s="134">
        <f>Tie_Break!$D$21</f>
        <v>0</v>
      </c>
      <c r="T504" s="9">
        <f ca="1">RANK(R504,R490:R509)+(9-S504)/10000+(F504="")*1000</f>
        <v>15.0009</v>
      </c>
      <c r="U504" s="2"/>
      <c r="V504" s="134">
        <f ca="1">IF($K$24=0,"",IF(VLOOKUP(B504,C490:E509,3,0)=MAX(V$4:V503),VLOOKUP(B504,C490:E509,3,0),B504))</f>
        <v>15</v>
      </c>
      <c r="W504" s="4" t="str">
        <f ca="1">IF($K$24=0,Calc2!$C$18,VLOOKUP(B504,C490:N509,4,0))</f>
        <v>SV Werder Bremen</v>
      </c>
      <c r="X504" s="1">
        <f ca="1">INDEX(V463:V482,MATCH(W504,W463:W482,0))</f>
        <v>13</v>
      </c>
      <c r="Y504" s="1">
        <f t="shared" ca="1" si="94"/>
        <v>-1</v>
      </c>
    </row>
    <row r="505" spans="2:25" x14ac:dyDescent="0.2">
      <c r="B505" s="1">
        <v>16</v>
      </c>
      <c r="C505" s="9">
        <f ca="1">RANK(D505,D490:D509,1)</f>
        <v>3</v>
      </c>
      <c r="D505" s="134">
        <f t="shared" ca="1" si="92"/>
        <v>3.5049999999999999</v>
      </c>
      <c r="E505" s="134">
        <f ca="1">RANK(T505,T490:T509,1)</f>
        <v>3</v>
      </c>
      <c r="F505" s="187" t="str">
        <f>Calc2!$C$19</f>
        <v>TSG Hoffenheim</v>
      </c>
      <c r="G505" s="1">
        <f ca="1">SUMIFS(OFFSET(Calc2!$H$4,,,$F$26*B488,1),OFFSET(Calc2!$F$4,,,$F$26*B488,1),F505)+SUMIFS(OFFSET(Calc2!$I$4,,,$F$26*B488,1),OFFSET(Calc2!$G$4,,,$F$26*B488,1),F505)</f>
        <v>40</v>
      </c>
      <c r="H505" s="1">
        <f ca="1">SUMIFS(OFFSET(Calc2!$I$4,,,$F$26*B488,1),OFFSET(Calc2!$F$4,,,$F$26*B488,1),F505)+SUMIFS(OFFSET(Calc2!$H$4,,,$F$26*B488,1),OFFSET(Calc2!$G$4,,,$F$26*B488,1),F505)</f>
        <v>22</v>
      </c>
      <c r="I505" s="134">
        <f t="shared" ca="1" si="90"/>
        <v>18</v>
      </c>
      <c r="J505" s="12">
        <f ca="1">L505*Settings!$C$3+M505+O505</f>
        <v>39</v>
      </c>
      <c r="K505" s="1">
        <f t="shared" ca="1" si="93"/>
        <v>19</v>
      </c>
      <c r="L505" s="1">
        <f t="array" aca="1" ref="L505" ca="1">SUMPRODUCT((OFFSET(Calc2!$F$4,,,$F$26*B488,1)=F505)*(OFFSET(Calc2!$H$4,,,$F$26*B488,1)&gt;OFFSET(Calc2!$I$4,,,$F$26*B488,1)))+SUMPRODUCT((OFFSET(Calc2!$G$4,,,$F$26*B488,1)=F505)*(OFFSET(Calc2!$H$4,,,$F$26*B488,1)&lt;OFFSET(Calc2!$I$4,,,$F$26*B488,1)))</f>
        <v>12</v>
      </c>
      <c r="M505" s="1">
        <f t="array" aca="1" ref="M505" ca="1">SUMPRODUCT((OFFSET(Calc2!$F$4,,,$F$26*B488,2)=F505)*(OFFSET(Calc2!$H$4,,,$F$26*B488,1)=OFFSET(Calc2!$I$4,,,$F$26*B488,1))*(OFFSET(Calc2!$H$4,,,$F$26*B488,1)&lt;&gt;"")*(OFFSET(Calc2!$I$4,,,$F$26*B488,1)&lt;&gt;""))</f>
        <v>3</v>
      </c>
      <c r="N505" s="1">
        <f t="array" aca="1" ref="N505" ca="1">SUMPRODUCT((OFFSET(Calc2!$F$4,,,$F$26*B488,1)=F505)*(OFFSET(Calc2!$H$4,,,$F$26*B488,1)&lt;OFFSET(Calc2!$I$4,,,$F$26*B488,1)))+SUMPRODUCT((OFFSET(Calc2!$G$4,,,$F$26*B488,1)=F505)*(OFFSET(Calc2!$H$4,,,$F$26*B488,1)&gt;OFFSET(Calc2!$I$4,,,$F$26*B488,1)))</f>
        <v>4</v>
      </c>
      <c r="O505" s="132">
        <f ca="1">SUMPRODUCT((F505=OFFSET(Calc2!$F$4,,,$F$26*B488,1))*OFFSET(Calc2!$O$4,,,$F$26*B488,1))+SUMPRODUCT((F505=OFFSET(Calc2!$G$4,,,$F$26*B488,1))*OFFSET(Calc2!$P$4,,,$F$26*B488,1))</f>
        <v>0</v>
      </c>
      <c r="P505" s="2"/>
      <c r="Q505" s="2"/>
      <c r="R505" s="13">
        <f t="shared" ca="1" si="91"/>
        <v>39500018040</v>
      </c>
      <c r="S505" s="134">
        <f>Tie_Break!$D$22</f>
        <v>0</v>
      </c>
      <c r="T505" s="9">
        <f ca="1">RANK(R505,R490:R509)+(9-S505)/10000+(F505="")*1000</f>
        <v>3.0009000000000001</v>
      </c>
      <c r="U505" s="2"/>
      <c r="V505" s="134">
        <f ca="1">IF($K$24=0,"",IF(VLOOKUP(B505,C490:E509,3,0)=MAX(V$4:V504),VLOOKUP(B505,C490:E509,3,0),B505))</f>
        <v>16</v>
      </c>
      <c r="W505" s="4" t="str">
        <f ca="1">IF($K$24=0,Calc2!$C$19,VLOOKUP(B505,C490:N509,4,0))</f>
        <v>1. FSV Mainz 05</v>
      </c>
      <c r="X505" s="1">
        <f ca="1">INDEX(V463:V482,MATCH(W505,W463:W482,0))</f>
        <v>18</v>
      </c>
      <c r="Y505" s="1">
        <f t="shared" ca="1" si="94"/>
        <v>1</v>
      </c>
    </row>
    <row r="506" spans="2:25" x14ac:dyDescent="0.2">
      <c r="B506" s="1">
        <v>17</v>
      </c>
      <c r="C506" s="9">
        <f ca="1">RANK(D506,D490:D509,1)</f>
        <v>5</v>
      </c>
      <c r="D506" s="134">
        <f t="shared" ca="1" si="92"/>
        <v>5.5060000000000002</v>
      </c>
      <c r="E506" s="134">
        <f ca="1">RANK(T506,T490:T509,1)</f>
        <v>5</v>
      </c>
      <c r="F506" s="187" t="str">
        <f>Calc2!$C$20</f>
        <v>VfB Stuttgart</v>
      </c>
      <c r="G506" s="1">
        <f ca="1">SUMIFS(OFFSET(Calc2!$H$4,,,$F$26*B488,1),OFFSET(Calc2!$F$4,,,$F$26*B488,1),F506)+SUMIFS(OFFSET(Calc2!$I$4,,,$F$26*B488,1),OFFSET(Calc2!$G$4,,,$F$26*B488,1),F506)</f>
        <v>36</v>
      </c>
      <c r="H506" s="1">
        <f ca="1">SUMIFS(OFFSET(Calc2!$I$4,,,$F$26*B488,1),OFFSET(Calc2!$F$4,,,$F$26*B488,1),F506)+SUMIFS(OFFSET(Calc2!$H$4,,,$F$26*B488,1),OFFSET(Calc2!$G$4,,,$F$26*B488,1),F506)</f>
        <v>26</v>
      </c>
      <c r="I506" s="134">
        <f t="shared" ca="1" si="90"/>
        <v>10</v>
      </c>
      <c r="J506" s="12">
        <f ca="1">L506*Settings!$C$3+M506+O506</f>
        <v>36</v>
      </c>
      <c r="K506" s="1">
        <f t="shared" ca="1" si="93"/>
        <v>19</v>
      </c>
      <c r="L506" s="1">
        <f t="array" aca="1" ref="L506" ca="1">SUMPRODUCT((OFFSET(Calc2!$F$4,,,$F$26*B488,1)=F506)*(OFFSET(Calc2!$H$4,,,$F$26*B488,1)&gt;OFFSET(Calc2!$I$4,,,$F$26*B488,1)))+SUMPRODUCT((OFFSET(Calc2!$G$4,,,$F$26*B488,1)=F506)*(OFFSET(Calc2!$H$4,,,$F$26*B488,1)&lt;OFFSET(Calc2!$I$4,,,$F$26*B488,1)))</f>
        <v>11</v>
      </c>
      <c r="M506" s="1">
        <f t="array" aca="1" ref="M506" ca="1">SUMPRODUCT((OFFSET(Calc2!$F$4,,,$F$26*B488,2)=F506)*(OFFSET(Calc2!$H$4,,,$F$26*B488,1)=OFFSET(Calc2!$I$4,,,$F$26*B488,1))*(OFFSET(Calc2!$H$4,,,$F$26*B488,1)&lt;&gt;"")*(OFFSET(Calc2!$I$4,,,$F$26*B488,1)&lt;&gt;""))</f>
        <v>3</v>
      </c>
      <c r="N506" s="1">
        <f t="array" aca="1" ref="N506" ca="1">SUMPRODUCT((OFFSET(Calc2!$F$4,,,$F$26*B488,1)=F506)*(OFFSET(Calc2!$H$4,,,$F$26*B488,1)&lt;OFFSET(Calc2!$I$4,,,$F$26*B488,1)))+SUMPRODUCT((OFFSET(Calc2!$G$4,,,$F$26*B488,1)=F506)*(OFFSET(Calc2!$H$4,,,$F$26*B488,1)&gt;OFFSET(Calc2!$I$4,,,$F$26*B488,1)))</f>
        <v>5</v>
      </c>
      <c r="O506" s="132">
        <f ca="1">SUMPRODUCT((F506=OFFSET(Calc2!$F$4,,,$F$26*B488,1))*OFFSET(Calc2!$O$4,,,$F$26*B488,1))+SUMPRODUCT((F506=OFFSET(Calc2!$G$4,,,$F$26*B488,1))*OFFSET(Calc2!$P$4,,,$F$26*B488,1))</f>
        <v>0</v>
      </c>
      <c r="P506" s="2"/>
      <c r="Q506" s="2"/>
      <c r="R506" s="13">
        <f t="shared" ca="1" si="91"/>
        <v>36500010036</v>
      </c>
      <c r="S506" s="134">
        <f>Tie_Break!$D$23</f>
        <v>0</v>
      </c>
      <c r="T506" s="9">
        <f ca="1">RANK(R506,R490:R509)+(9-S506)/10000+(F506="")*1000</f>
        <v>5.0008999999999997</v>
      </c>
      <c r="U506" s="2"/>
      <c r="V506" s="134">
        <f ca="1">IF($K$24=0,"",IF(VLOOKUP(B506,C490:E509,3,0)=MAX(V$4:V505),VLOOKUP(B506,C490:E509,3,0),B506))</f>
        <v>17</v>
      </c>
      <c r="W506" s="4" t="str">
        <f ca="1">IF($K$24=0,Calc2!$C$20,VLOOKUP(B506,C490:N509,4,0))</f>
        <v>FC St. Pauli</v>
      </c>
      <c r="X506" s="1">
        <f ca="1">INDEX(V463:V482,MATCH(W506,W463:W482,0))</f>
        <v>16</v>
      </c>
      <c r="Y506" s="1">
        <f t="shared" ca="1" si="94"/>
        <v>-1</v>
      </c>
    </row>
    <row r="507" spans="2:25" x14ac:dyDescent="0.2">
      <c r="B507" s="1">
        <v>18</v>
      </c>
      <c r="C507" s="9">
        <f ca="1">RANK(D507,D490:D509,1)</f>
        <v>12</v>
      </c>
      <c r="D507" s="134">
        <f t="shared" ca="1" si="92"/>
        <v>12.507</v>
      </c>
      <c r="E507" s="134">
        <f ca="1">RANK(T507,T490:T509,1)</f>
        <v>12</v>
      </c>
      <c r="F507" s="187" t="str">
        <f>Calc2!$C$21</f>
        <v>VfL Wolfsburg</v>
      </c>
      <c r="G507" s="1">
        <f ca="1">SUMIFS(OFFSET(Calc2!$H$4,,,$F$26*B488,1),OFFSET(Calc2!$F$4,,,$F$26*B488,1),F507)+SUMIFS(OFFSET(Calc2!$I$4,,,$F$26*B488,1),OFFSET(Calc2!$G$4,,,$F$26*B488,1),F507)</f>
        <v>28</v>
      </c>
      <c r="H507" s="1">
        <f ca="1">SUMIFS(OFFSET(Calc2!$I$4,,,$F$26*B488,1),OFFSET(Calc2!$F$4,,,$F$26*B488,1),F507)+SUMIFS(OFFSET(Calc2!$H$4,,,$F$26*B488,1),OFFSET(Calc2!$G$4,,,$F$26*B488,1),F507)</f>
        <v>41</v>
      </c>
      <c r="I507" s="134">
        <f t="shared" ca="1" si="90"/>
        <v>-13</v>
      </c>
      <c r="J507" s="12">
        <f ca="1">L507*Settings!$C$3+M507+O507</f>
        <v>19</v>
      </c>
      <c r="K507" s="1">
        <f t="shared" ca="1" si="93"/>
        <v>19</v>
      </c>
      <c r="L507" s="1">
        <f t="array" aca="1" ref="L507" ca="1">SUMPRODUCT((OFFSET(Calc2!$F$4,,,$F$26*B488,1)=F507)*(OFFSET(Calc2!$H$4,,,$F$26*B488,1)&gt;OFFSET(Calc2!$I$4,,,$F$26*B488,1)))+SUMPRODUCT((OFFSET(Calc2!$G$4,,,$F$26*B488,1)=F507)*(OFFSET(Calc2!$H$4,,,$F$26*B488,1)&lt;OFFSET(Calc2!$I$4,,,$F$26*B488,1)))</f>
        <v>5</v>
      </c>
      <c r="M507" s="1">
        <f t="array" aca="1" ref="M507" ca="1">SUMPRODUCT((OFFSET(Calc2!$F$4,,,$F$26*B488,2)=F507)*(OFFSET(Calc2!$H$4,,,$F$26*B488,1)=OFFSET(Calc2!$I$4,,,$F$26*B488,1))*(OFFSET(Calc2!$H$4,,,$F$26*B488,1)&lt;&gt;"")*(OFFSET(Calc2!$I$4,,,$F$26*B488,1)&lt;&gt;""))</f>
        <v>4</v>
      </c>
      <c r="N507" s="1">
        <f t="array" aca="1" ref="N507" ca="1">SUMPRODUCT((OFFSET(Calc2!$F$4,,,$F$26*B488,1)=F507)*(OFFSET(Calc2!$H$4,,,$F$26*B488,1)&lt;OFFSET(Calc2!$I$4,,,$F$26*B488,1)))+SUMPRODUCT((OFFSET(Calc2!$G$4,,,$F$26*B488,1)=F507)*(OFFSET(Calc2!$H$4,,,$F$26*B488,1)&gt;OFFSET(Calc2!$I$4,,,$F$26*B488,1)))</f>
        <v>10</v>
      </c>
      <c r="O507" s="132">
        <f ca="1">SUMPRODUCT((F507=OFFSET(Calc2!$F$4,,,$F$26*B488,1))*OFFSET(Calc2!$O$4,,,$F$26*B488,1))+SUMPRODUCT((F507=OFFSET(Calc2!$G$4,,,$F$26*B488,1))*OFFSET(Calc2!$P$4,,,$F$26*B488,1))</f>
        <v>0</v>
      </c>
      <c r="P507" s="2"/>
      <c r="Q507" s="2"/>
      <c r="R507" s="13">
        <f t="shared" ca="1" si="91"/>
        <v>19499987028</v>
      </c>
      <c r="S507" s="134">
        <f>Tie_Break!$D$24</f>
        <v>0</v>
      </c>
      <c r="T507" s="9">
        <f ca="1">RANK(R507,R490:R509)+(9-S507)/10000+(F507="")*1000</f>
        <v>12.0009</v>
      </c>
      <c r="U507" s="2"/>
      <c r="V507" s="134">
        <f ca="1">IF($K$24=0,"",IF(VLOOKUP(B507,C490:E509,3,0)=MAX(V$4:V506),VLOOKUP(B507,C490:E509,3,0),B507))</f>
        <v>18</v>
      </c>
      <c r="W507" s="4" t="str">
        <f ca="1">IF($K$24=0,Calc2!$C$21,VLOOKUP(B507,C490:N509,4,0))</f>
        <v>1. FC Heidenheim 1846</v>
      </c>
      <c r="X507" s="1">
        <f ca="1">INDEX(V463:V482,MATCH(W507,W463:W482,0))</f>
        <v>17</v>
      </c>
      <c r="Y507" s="1">
        <f t="shared" ca="1" si="94"/>
        <v>-1</v>
      </c>
    </row>
    <row r="508" spans="2:25" x14ac:dyDescent="0.2">
      <c r="B508" s="1">
        <v>19</v>
      </c>
      <c r="C508" s="9">
        <f ca="1">RANK(D508,D490:D509,1)</f>
        <v>19</v>
      </c>
      <c r="D508" s="134">
        <f t="shared" ca="1" si="92"/>
        <v>19.507999999999999</v>
      </c>
      <c r="E508" s="134">
        <f ca="1">RANK(T508,T490:T509,1)</f>
        <v>19</v>
      </c>
      <c r="F508" s="187" t="str">
        <f>Calc2!$C$22</f>
        <v/>
      </c>
      <c r="G508" s="1">
        <f ca="1">SUMIFS(OFFSET(Calc2!$H$4,,,$F$26*B488,1),OFFSET(Calc2!$F$4,,,$F$26*B488,1),F508)+SUMIFS(OFFSET(Calc2!$I$4,,,$F$26*B488,1),OFFSET(Calc2!$G$4,,,$F$26*B488,1),F508)</f>
        <v>0</v>
      </c>
      <c r="H508" s="1">
        <f ca="1">SUMIFS(OFFSET(Calc2!$I$4,,,$F$26*B488,1),OFFSET(Calc2!$F$4,,,$F$26*B488,1),F508)+SUMIFS(OFFSET(Calc2!$H$4,,,$F$26*B488,1),OFFSET(Calc2!$G$4,,,$F$26*B488,1),F508)</f>
        <v>0</v>
      </c>
      <c r="I508" s="134">
        <f t="shared" ca="1" si="90"/>
        <v>0</v>
      </c>
      <c r="J508" s="12">
        <f ca="1">L508*Settings!$C$3+M508+O508</f>
        <v>0</v>
      </c>
      <c r="K508" s="1">
        <f t="shared" ca="1" si="93"/>
        <v>0</v>
      </c>
      <c r="L508" s="1">
        <f t="array" aca="1" ref="L508" ca="1">SUMPRODUCT((OFFSET(Calc2!$F$4,,,$F$26*B488,1)=F508)*(OFFSET(Calc2!$H$4,,,$F$26*B488,1)&gt;OFFSET(Calc2!$I$4,,,$F$26*B488,1)))+SUMPRODUCT((OFFSET(Calc2!$G$4,,,$F$26*B488,1)=F508)*(OFFSET(Calc2!$H$4,,,$F$26*B488,1)&lt;OFFSET(Calc2!$I$4,,,$F$26*B488,1)))</f>
        <v>0</v>
      </c>
      <c r="M508" s="1">
        <f t="array" aca="1" ref="M508" ca="1">SUMPRODUCT((OFFSET(Calc2!$F$4,,,$F$26*B488,2)=F508)*(OFFSET(Calc2!$H$4,,,$F$26*B488,1)=OFFSET(Calc2!$I$4,,,$F$26*B488,1))*(OFFSET(Calc2!$H$4,,,$F$26*B488,1)&lt;&gt;"")*(OFFSET(Calc2!$I$4,,,$F$26*B488,1)&lt;&gt;""))</f>
        <v>0</v>
      </c>
      <c r="N508" s="1">
        <f t="array" aca="1" ref="N508" ca="1">SUMPRODUCT((OFFSET(Calc2!$F$4,,,$F$26*B488,1)=F508)*(OFFSET(Calc2!$H$4,,,$F$26*B488,1)&lt;OFFSET(Calc2!$I$4,,,$F$26*B488,1)))+SUMPRODUCT((OFFSET(Calc2!$G$4,,,$F$26*B488,1)=F508)*(OFFSET(Calc2!$H$4,,,$F$26*B488,1)&gt;OFFSET(Calc2!$I$4,,,$F$26*B488,1)))</f>
        <v>0</v>
      </c>
      <c r="O508" s="132">
        <f ca="1">SUMPRODUCT((F508=OFFSET(Calc2!$F$4,,,$F$26*B488,1))*OFFSET(Calc2!$O$4,,,$F$26*B488,1))+SUMPRODUCT((F508=OFFSET(Calc2!$G$4,,,$F$26*B488,1))*OFFSET(Calc2!$P$4,,,$F$26*B488,1))</f>
        <v>0</v>
      </c>
      <c r="P508" s="2"/>
      <c r="Q508" s="2"/>
      <c r="R508" s="13">
        <f t="shared" ca="1" si="91"/>
        <v>500000000</v>
      </c>
      <c r="S508" s="134">
        <f>Tie_Break!$D$25</f>
        <v>0</v>
      </c>
      <c r="T508" s="9">
        <f ca="1">RANK(R508,R490:R509)+(9-S508)/10000+(F508="")*1000</f>
        <v>1019.0009</v>
      </c>
      <c r="U508" s="2"/>
      <c r="V508" s="134">
        <f ca="1">IF($K$24=0,"",IF(VLOOKUP(B508,C490:E509,3,0)=MAX(V$4:V507),VLOOKUP(B508,C490:E509,3,0),B508))</f>
        <v>19</v>
      </c>
      <c r="W508" s="4" t="str">
        <f ca="1">IF($K$24=0,Calc2!$C$22,VLOOKUP(B508,C490:N509,4,0))</f>
        <v/>
      </c>
      <c r="X508" s="1">
        <f ca="1">INDEX(V463:V482,MATCH(W508,W463:W482,0))</f>
        <v>19</v>
      </c>
      <c r="Y508" s="1">
        <f t="shared" ca="1" si="94"/>
        <v>0</v>
      </c>
    </row>
    <row r="509" spans="2:25" ht="12.75" thickBot="1" x14ac:dyDescent="0.25">
      <c r="B509" s="1">
        <v>20</v>
      </c>
      <c r="C509" s="10">
        <f ca="1">RANK(D509,D490:D509,1)</f>
        <v>20</v>
      </c>
      <c r="D509" s="134">
        <f t="shared" ca="1" si="92"/>
        <v>19.509</v>
      </c>
      <c r="E509" s="134">
        <f ca="1">RANK(T509,T490:T509,1)</f>
        <v>19</v>
      </c>
      <c r="F509" s="187" t="str">
        <f>Calc2!$C$23</f>
        <v/>
      </c>
      <c r="G509" s="1">
        <f ca="1">SUMIFS(OFFSET(Calc2!$H$4,,,$F$26*B488,1),OFFSET(Calc2!$F$4,,,$F$26*B488,1),F509)+SUMIFS(OFFSET(Calc2!$I$4,,,$F$26*B488,1),OFFSET(Calc2!$G$4,,,$F$26*B488,1),F509)</f>
        <v>0</v>
      </c>
      <c r="H509" s="1">
        <f ca="1">SUMIFS(OFFSET(Calc2!$I$4,,,$F$26*B488,1),OFFSET(Calc2!$F$4,,,$F$26*B488,1),F509)+SUMIFS(OFFSET(Calc2!$H$4,,,$F$26*B488,1),OFFSET(Calc2!$G$4,,,$F$26*B488,1),F509)</f>
        <v>0</v>
      </c>
      <c r="I509" s="134">
        <f t="shared" ca="1" si="90"/>
        <v>0</v>
      </c>
      <c r="J509" s="12">
        <f ca="1">L509*Settings!$C$3+M509+O509</f>
        <v>0</v>
      </c>
      <c r="K509" s="1">
        <f t="shared" ca="1" si="93"/>
        <v>0</v>
      </c>
      <c r="L509" s="1">
        <f t="array" aca="1" ref="L509" ca="1">SUMPRODUCT((OFFSET(Calc2!$F$4,,,$F$26*B488,1)=F509)*(OFFSET(Calc2!$H$4,,,$F$26*B488,1)&gt;OFFSET(Calc2!$I$4,,,$F$26*B488,1)))+SUMPRODUCT((OFFSET(Calc2!$G$4,,,$F$26*B488,1)=F509)*(OFFSET(Calc2!$H$4,,,$F$26*B488,1)&lt;OFFSET(Calc2!$I$4,,,$F$26*B488,1)))</f>
        <v>0</v>
      </c>
      <c r="M509" s="1">
        <f t="array" aca="1" ref="M509" ca="1">SUMPRODUCT((OFFSET(Calc2!$F$4,,,$F$26*B488,2)=F509)*(OFFSET(Calc2!$H$4,,,$F$26*B488,1)=OFFSET(Calc2!$I$4,,,$F$26*B488,1))*(OFFSET(Calc2!$H$4,,,$F$26*B488,1)&lt;&gt;"")*(OFFSET(Calc2!$I$4,,,$F$26*B488,1)&lt;&gt;""))</f>
        <v>0</v>
      </c>
      <c r="N509" s="1">
        <f t="array" aca="1" ref="N509" ca="1">SUMPRODUCT((OFFSET(Calc2!$F$4,,,$F$26*B488,1)=F509)*(OFFSET(Calc2!$H$4,,,$F$26*B488,1)&lt;OFFSET(Calc2!$I$4,,,$F$26*B488,1)))+SUMPRODUCT((OFFSET(Calc2!$G$4,,,$F$26*B488,1)=F509)*(OFFSET(Calc2!$H$4,,,$F$26*B488,1)&gt;OFFSET(Calc2!$I$4,,,$F$26*B488,1)))</f>
        <v>0</v>
      </c>
      <c r="O509" s="132">
        <f ca="1">SUMPRODUCT((F509=OFFSET(Calc2!$F$4,,,$F$26*B488,1))*OFFSET(Calc2!$O$4,,,$F$26*B488,1))+SUMPRODUCT((F509=OFFSET(Calc2!$G$4,,,$F$26*B488,1))*OFFSET(Calc2!$P$4,,,$F$26*B488,1))</f>
        <v>0</v>
      </c>
      <c r="P509" s="2"/>
      <c r="Q509" s="2"/>
      <c r="R509" s="13">
        <f t="shared" ca="1" si="91"/>
        <v>500000000</v>
      </c>
      <c r="S509" s="134">
        <f>Tie_Break!$D$26</f>
        <v>0</v>
      </c>
      <c r="T509" s="10">
        <f ca="1">RANK(R509,R490:R509)+(9-S509)/10000+(F509="")*1000</f>
        <v>1019.0009</v>
      </c>
      <c r="U509" s="2"/>
      <c r="V509" s="134">
        <f ca="1">IF($K$24=0,"",IF(VLOOKUP(B509,C490:E509,3,0)=MAX(V$4:V508),VLOOKUP(B509,C490:E509,3,0),B509))</f>
        <v>19</v>
      </c>
      <c r="W509" s="4" t="str">
        <f ca="1">IF($K$24=0,Calc2!$C$23,VLOOKUP(B509,C490:N509,4,0))</f>
        <v/>
      </c>
      <c r="X509" s="1">
        <f ca="1">INDEX(V463:V482,MATCH(W509,W463:W482,0))</f>
        <v>19</v>
      </c>
      <c r="Y509" s="1">
        <f t="shared" ca="1" si="94"/>
        <v>0</v>
      </c>
    </row>
    <row r="510" spans="2:25" ht="12.75" thickTop="1" x14ac:dyDescent="0.2"/>
    <row r="514" spans="2:25" ht="12.75" thickBot="1" x14ac:dyDescent="0.25"/>
    <row r="515" spans="2:25" ht="12.75" thickBot="1" x14ac:dyDescent="0.25">
      <c r="B515" s="410">
        <v>20</v>
      </c>
      <c r="C515" s="134"/>
      <c r="D515" s="134"/>
      <c r="E515" s="134"/>
      <c r="F515" s="187"/>
      <c r="G515" s="1"/>
      <c r="H515" s="1"/>
      <c r="I515" s="1"/>
      <c r="J515" s="1"/>
      <c r="K515" s="1"/>
      <c r="L515" s="1"/>
      <c r="M515" s="1"/>
      <c r="N515" s="134"/>
      <c r="O515" s="1"/>
      <c r="P515" s="1"/>
      <c r="Q515" s="1"/>
      <c r="R515" s="2"/>
      <c r="S515" s="2"/>
      <c r="T515" s="2"/>
      <c r="U515" s="2"/>
      <c r="V515" s="2"/>
      <c r="W515" s="2"/>
    </row>
    <row r="516" spans="2:25" ht="15.75" thickBot="1" x14ac:dyDescent="0.25">
      <c r="B516" s="1"/>
      <c r="C516" s="134"/>
      <c r="D516" s="134"/>
      <c r="E516" s="134"/>
      <c r="F516" s="11" t="s">
        <v>90</v>
      </c>
      <c r="G516" s="42" t="s">
        <v>95</v>
      </c>
      <c r="H516" s="42" t="s">
        <v>96</v>
      </c>
      <c r="I516" s="11" t="s">
        <v>97</v>
      </c>
      <c r="J516" s="11" t="s">
        <v>98</v>
      </c>
      <c r="K516" s="11" t="s">
        <v>91</v>
      </c>
      <c r="L516" s="12" t="s">
        <v>92</v>
      </c>
      <c r="M516" s="12" t="s">
        <v>93</v>
      </c>
      <c r="N516" s="12" t="s">
        <v>94</v>
      </c>
      <c r="O516" s="12" t="s">
        <v>534</v>
      </c>
      <c r="P516" s="2"/>
      <c r="Q516" s="11"/>
      <c r="R516" s="133" t="s">
        <v>99</v>
      </c>
      <c r="S516" s="6" t="s">
        <v>483</v>
      </c>
      <c r="T516" s="120" t="s">
        <v>146</v>
      </c>
      <c r="U516" s="134"/>
      <c r="V516" s="134"/>
      <c r="W516" s="132"/>
      <c r="X516" s="120" t="s">
        <v>575</v>
      </c>
      <c r="Y516" s="1"/>
    </row>
    <row r="517" spans="2:25" ht="12.75" thickTop="1" x14ac:dyDescent="0.2">
      <c r="B517" s="1">
        <v>1</v>
      </c>
      <c r="C517" s="8">
        <f ca="1">RANK(D517,D517:D536,1)</f>
        <v>18</v>
      </c>
      <c r="D517" s="134">
        <f ca="1">E517+ROW()/1000</f>
        <v>18.516999999999999</v>
      </c>
      <c r="E517" s="134">
        <f ca="1">RANK(T517,T517:T536,1)</f>
        <v>18</v>
      </c>
      <c r="F517" s="187" t="str">
        <f>Calc2!$C$4</f>
        <v>1. FC Heidenheim 1846</v>
      </c>
      <c r="G517" s="1">
        <f ca="1">SUMIFS(OFFSET(Calc2!$H$4,,,$F$26*B515,1),OFFSET(Calc2!$F$4,,,$F$26*B515,1),F517)+SUMIFS(OFFSET(Calc2!$I$4,,,$F$26*B515,1),OFFSET(Calc2!$G$4,,,$F$26*B515,1),F517)</f>
        <v>19</v>
      </c>
      <c r="H517" s="1">
        <f ca="1">SUMIFS(OFFSET(Calc2!$I$4,,,$F$26*B515,1),OFFSET(Calc2!$F$4,,,$F$26*B515,1),F517)+SUMIFS(OFFSET(Calc2!$H$4,,,$F$26*B515,1),OFFSET(Calc2!$G$4,,,$F$26*B515,1),F517)</f>
        <v>45</v>
      </c>
      <c r="I517" s="134">
        <f t="shared" ref="I517:I536" ca="1" si="95">G517-H517</f>
        <v>-26</v>
      </c>
      <c r="J517" s="12">
        <f ca="1">L517*Settings!$C$3+M517+O517</f>
        <v>13</v>
      </c>
      <c r="K517" s="1">
        <f ca="1">L517+M517+N517</f>
        <v>20</v>
      </c>
      <c r="L517" s="1">
        <f t="array" aca="1" ref="L517" ca="1">SUMPRODUCT((OFFSET(Calc2!$F$4,,,$F$26*B515,1)=F517)*(OFFSET(Calc2!$H$4,,,$F$26*B515,1)&gt;OFFSET(Calc2!$I$4,,,$F$26*B515,1)))+SUMPRODUCT((OFFSET(Calc2!$G$4,,,$F$26*B515,1)=F517)*(OFFSET(Calc2!$H$4,,,$F$26*B515,1)&lt;OFFSET(Calc2!$I$4,,,$F$26*B515,1)))</f>
        <v>3</v>
      </c>
      <c r="M517" s="1">
        <f t="array" aca="1" ref="M517" ca="1">SUMPRODUCT((OFFSET(Calc2!$F$4,,,$F$26*B515,2)=F517)*(OFFSET(Calc2!$H$4,,,$F$26*B515,1)=OFFSET(Calc2!$I$4,,,$F$26*B515,1))*(OFFSET(Calc2!$H$4,,,$F$26*B515,1)&lt;&gt;"")*(OFFSET(Calc2!$I$4,,,$F$26*B515,1)&lt;&gt;""))</f>
        <v>4</v>
      </c>
      <c r="N517" s="1">
        <f t="array" aca="1" ref="N517" ca="1">SUMPRODUCT((OFFSET(Calc2!$F$4,,,$F$26*B515,1)=F517)*(OFFSET(Calc2!$H$4,,,$F$26*B515,1)&lt;OFFSET(Calc2!$I$4,,,$F$26*B515,1)))+SUMPRODUCT((OFFSET(Calc2!$G$4,,,$F$26*B515,1)=F517)*(OFFSET(Calc2!$H$4,,,$F$26*B515,1)&gt;OFFSET(Calc2!$I$4,,,$F$26*B515,1)))</f>
        <v>13</v>
      </c>
      <c r="O517" s="132">
        <f ca="1">SUMPRODUCT((F517=OFFSET(Calc2!$F$4,,,$F$26*B515,1))*OFFSET(Calc2!$O$4,,,$F$26*B515,1))+SUMPRODUCT((F517=OFFSET(Calc2!$G$4,,,$F$26*B515,1))*OFFSET(Calc2!$P$4,,,$F$26*B515,1))</f>
        <v>0</v>
      </c>
      <c r="P517" s="2"/>
      <c r="Q517" s="2"/>
      <c r="R517" s="13">
        <f t="shared" ref="R517:R536" ca="1" si="96">J517*FactorPts+(I517+GDzero)*FactorGD+G517*FactorGF</f>
        <v>13499974019</v>
      </c>
      <c r="S517" s="134">
        <f>Tie_Break!$D$7</f>
        <v>0</v>
      </c>
      <c r="T517" s="8">
        <f ca="1">RANK(R517,R517:R536)+(9-S517)/10000+(F517="")*1000</f>
        <v>18.000900000000001</v>
      </c>
      <c r="U517" s="134"/>
      <c r="V517" s="134">
        <f ca="1">IF($K$24=0,"",1)</f>
        <v>1</v>
      </c>
      <c r="W517" s="4" t="str">
        <f ca="1">IF($K$24=0,Calc2!$C$4,VLOOKUP(B517,C517:N536,4,0))</f>
        <v>FC Bayern München</v>
      </c>
      <c r="X517" s="1">
        <f ca="1">INDEX(V490:V509,MATCH(W517,W490:W509,0))</f>
        <v>1</v>
      </c>
      <c r="Y517" s="1">
        <f ca="1">IF(X517&gt;V517,1,IF(X517&lt;V517,-1,0))</f>
        <v>0</v>
      </c>
    </row>
    <row r="518" spans="2:25" x14ac:dyDescent="0.2">
      <c r="B518" s="1">
        <v>2</v>
      </c>
      <c r="C518" s="9">
        <f ca="1">RANK(D518,D517:D536,1)</f>
        <v>10</v>
      </c>
      <c r="D518" s="134">
        <f t="shared" ref="D518:D536" ca="1" si="97">E518+ROW()/1000</f>
        <v>10.518000000000001</v>
      </c>
      <c r="E518" s="134">
        <f ca="1">RANK(T518,T517:T536,1)</f>
        <v>10</v>
      </c>
      <c r="F518" s="187" t="str">
        <f>Calc2!$C$5</f>
        <v>1. FC Köln</v>
      </c>
      <c r="G518" s="1">
        <f ca="1">SUMIFS(OFFSET(Calc2!$H$4,,,$F$26*B515,1),OFFSET(Calc2!$F$4,,,$F$26*B515,1),F518)+SUMIFS(OFFSET(Calc2!$I$4,,,$F$26*B515,1),OFFSET(Calc2!$G$4,,,$F$26*B515,1),F518)</f>
        <v>29</v>
      </c>
      <c r="H518" s="1">
        <f ca="1">SUMIFS(OFFSET(Calc2!$I$4,,,$F$26*B515,1),OFFSET(Calc2!$F$4,,,$F$26*B515,1),F518)+SUMIFS(OFFSET(Calc2!$H$4,,,$F$26*B515,1),OFFSET(Calc2!$G$4,,,$F$26*B515,1),F518)</f>
        <v>32</v>
      </c>
      <c r="I518" s="134">
        <f t="shared" ca="1" si="95"/>
        <v>-3</v>
      </c>
      <c r="J518" s="12">
        <f ca="1">L518*Settings!$C$3+M518+O518</f>
        <v>23</v>
      </c>
      <c r="K518" s="1">
        <f t="shared" ref="K518:K536" ca="1" si="98">L518+M518+N518</f>
        <v>20</v>
      </c>
      <c r="L518" s="1">
        <f t="array" aca="1" ref="L518" ca="1">SUMPRODUCT((OFFSET(Calc2!$F$4,,,$F$26*B515,1)=F518)*(OFFSET(Calc2!$H$4,,,$F$26*B515,1)&gt;OFFSET(Calc2!$I$4,,,$F$26*B515,1)))+SUMPRODUCT((OFFSET(Calc2!$G$4,,,$F$26*B515,1)=F518)*(OFFSET(Calc2!$H$4,,,$F$26*B515,1)&lt;OFFSET(Calc2!$I$4,,,$F$26*B515,1)))</f>
        <v>6</v>
      </c>
      <c r="M518" s="1">
        <f t="array" aca="1" ref="M518" ca="1">SUMPRODUCT((OFFSET(Calc2!$F$4,,,$F$26*B515,2)=F518)*(OFFSET(Calc2!$H$4,,,$F$26*B515,1)=OFFSET(Calc2!$I$4,,,$F$26*B515,1))*(OFFSET(Calc2!$H$4,,,$F$26*B515,1)&lt;&gt;"")*(OFFSET(Calc2!$I$4,,,$F$26*B515,1)&lt;&gt;""))</f>
        <v>5</v>
      </c>
      <c r="N518" s="1">
        <f t="array" aca="1" ref="N518" ca="1">SUMPRODUCT((OFFSET(Calc2!$F$4,,,$F$26*B515,1)=F518)*(OFFSET(Calc2!$H$4,,,$F$26*B515,1)&lt;OFFSET(Calc2!$I$4,,,$F$26*B515,1)))+SUMPRODUCT((OFFSET(Calc2!$G$4,,,$F$26*B515,1)=F518)*(OFFSET(Calc2!$H$4,,,$F$26*B515,1)&gt;OFFSET(Calc2!$I$4,,,$F$26*B515,1)))</f>
        <v>9</v>
      </c>
      <c r="O518" s="132">
        <f ca="1">SUMPRODUCT((F518=OFFSET(Calc2!$F$4,,,$F$26*B515,1))*OFFSET(Calc2!$O$4,,,$F$26*B515,1))+SUMPRODUCT((F518=OFFSET(Calc2!$G$4,,,$F$26*B515,1))*OFFSET(Calc2!$P$4,,,$F$26*B515,1))</f>
        <v>0</v>
      </c>
      <c r="P518" s="2"/>
      <c r="Q518" s="2"/>
      <c r="R518" s="13">
        <f t="shared" ca="1" si="96"/>
        <v>23499997029</v>
      </c>
      <c r="S518" s="134">
        <f>Tie_Break!$D$8</f>
        <v>0</v>
      </c>
      <c r="T518" s="9">
        <f ca="1">RANK(R518,R517:R536)+(9-S518)/10000+(F518="")*1000</f>
        <v>10.0009</v>
      </c>
      <c r="U518" s="134"/>
      <c r="V518" s="134">
        <f ca="1">IF($K$24=0,"",IF(VLOOKUP(B518,C517:E536,3,0)=MAX(V$4:V517),VLOOKUP(B518,C517:E536,3,0),B518))</f>
        <v>2</v>
      </c>
      <c r="W518" s="4" t="str">
        <f ca="1">IF($K$24=0,Calc2!$C$5,VLOOKUP(B518,C517:N536,4,0))</f>
        <v>Borussia Dortmund</v>
      </c>
      <c r="X518" s="1">
        <f ca="1">INDEX(V490:V509,MATCH(W518,W490:W509,0))</f>
        <v>2</v>
      </c>
      <c r="Y518" s="1">
        <f t="shared" ref="Y518:Y536" ca="1" si="99">IF(X518&gt;V518,1,IF(X518&lt;V518,-1,0))</f>
        <v>0</v>
      </c>
    </row>
    <row r="519" spans="2:25" x14ac:dyDescent="0.2">
      <c r="B519" s="1">
        <v>3</v>
      </c>
      <c r="C519" s="9">
        <f ca="1">RANK(D519,D517:D536,1)</f>
        <v>9</v>
      </c>
      <c r="D519" s="134">
        <f t="shared" ca="1" si="97"/>
        <v>9.5190000000000001</v>
      </c>
      <c r="E519" s="134">
        <f ca="1">RANK(T519,T517:T536,1)</f>
        <v>9</v>
      </c>
      <c r="F519" s="187" t="str">
        <f>Calc2!$C$6</f>
        <v>1. FC Union Berlin</v>
      </c>
      <c r="G519" s="1">
        <f ca="1">SUMIFS(OFFSET(Calc2!$H$4,,,$F$26*B515,1),OFFSET(Calc2!$F$4,,,$F$26*B515,1),F519)+SUMIFS(OFFSET(Calc2!$I$4,,,$F$26*B515,1),OFFSET(Calc2!$G$4,,,$F$26*B515,1),F519)</f>
        <v>25</v>
      </c>
      <c r="H519" s="1">
        <f ca="1">SUMIFS(OFFSET(Calc2!$I$4,,,$F$26*B515,1),OFFSET(Calc2!$F$4,,,$F$26*B515,1),F519)+SUMIFS(OFFSET(Calc2!$H$4,,,$F$26*B515,1),OFFSET(Calc2!$G$4,,,$F$26*B515,1),F519)</f>
        <v>33</v>
      </c>
      <c r="I519" s="134">
        <f t="shared" ca="1" si="95"/>
        <v>-8</v>
      </c>
      <c r="J519" s="12">
        <f ca="1">L519*Settings!$C$3+M519+O519</f>
        <v>24</v>
      </c>
      <c r="K519" s="1">
        <f t="shared" ca="1" si="98"/>
        <v>20</v>
      </c>
      <c r="L519" s="1">
        <f t="array" aca="1" ref="L519" ca="1">SUMPRODUCT((OFFSET(Calc2!$F$4,,,$F$26*B515,1)=F519)*(OFFSET(Calc2!$H$4,,,$F$26*B515,1)&gt;OFFSET(Calc2!$I$4,,,$F$26*B515,1)))+SUMPRODUCT((OFFSET(Calc2!$G$4,,,$F$26*B515,1)=F519)*(OFFSET(Calc2!$H$4,,,$F$26*B515,1)&lt;OFFSET(Calc2!$I$4,,,$F$26*B515,1)))</f>
        <v>6</v>
      </c>
      <c r="M519" s="1">
        <f t="array" aca="1" ref="M519" ca="1">SUMPRODUCT((OFFSET(Calc2!$F$4,,,$F$26*B515,2)=F519)*(OFFSET(Calc2!$H$4,,,$F$26*B515,1)=OFFSET(Calc2!$I$4,,,$F$26*B515,1))*(OFFSET(Calc2!$H$4,,,$F$26*B515,1)&lt;&gt;"")*(OFFSET(Calc2!$I$4,,,$F$26*B515,1)&lt;&gt;""))</f>
        <v>6</v>
      </c>
      <c r="N519" s="1">
        <f t="array" aca="1" ref="N519" ca="1">SUMPRODUCT((OFFSET(Calc2!$F$4,,,$F$26*B515,1)=F519)*(OFFSET(Calc2!$H$4,,,$F$26*B515,1)&lt;OFFSET(Calc2!$I$4,,,$F$26*B515,1)))+SUMPRODUCT((OFFSET(Calc2!$G$4,,,$F$26*B515,1)=F519)*(OFFSET(Calc2!$H$4,,,$F$26*B515,1)&gt;OFFSET(Calc2!$I$4,,,$F$26*B515,1)))</f>
        <v>8</v>
      </c>
      <c r="O519" s="132">
        <f ca="1">SUMPRODUCT((F519=OFFSET(Calc2!$F$4,,,$F$26*B515,1))*OFFSET(Calc2!$O$4,,,$F$26*B515,1))+SUMPRODUCT((F519=OFFSET(Calc2!$G$4,,,$F$26*B515,1))*OFFSET(Calc2!$P$4,,,$F$26*B515,1))</f>
        <v>0</v>
      </c>
      <c r="P519" s="2"/>
      <c r="Q519" s="2"/>
      <c r="R519" s="13">
        <f t="shared" ca="1" si="96"/>
        <v>24499992025</v>
      </c>
      <c r="S519" s="134">
        <f>Tie_Break!$D$9</f>
        <v>0</v>
      </c>
      <c r="T519" s="9">
        <f ca="1">RANK(R519,R517:R536)+(9-S519)/10000+(F519="")*1000</f>
        <v>9.0008999999999997</v>
      </c>
      <c r="U519" s="134"/>
      <c r="V519" s="134">
        <f ca="1">IF($K$24=0,"",IF(VLOOKUP(B519,C517:E536,3,0)=MAX(V$4:V518),VLOOKUP(B519,C517:E536,3,0),B519))</f>
        <v>3</v>
      </c>
      <c r="W519" s="4" t="str">
        <f ca="1">IF($K$24=0,Calc2!$C$6,VLOOKUP(B519,C517:N536,4,0))</f>
        <v>TSG Hoffenheim</v>
      </c>
      <c r="X519" s="1">
        <f ca="1">INDEX(V490:V509,MATCH(W519,W490:W509,0))</f>
        <v>3</v>
      </c>
      <c r="Y519" s="1">
        <f t="shared" ca="1" si="99"/>
        <v>0</v>
      </c>
    </row>
    <row r="520" spans="2:25" x14ac:dyDescent="0.2">
      <c r="B520" s="1">
        <v>4</v>
      </c>
      <c r="C520" s="9">
        <f ca="1">RANK(D520,D517:D536,1)</f>
        <v>16</v>
      </c>
      <c r="D520" s="134">
        <f t="shared" ca="1" si="97"/>
        <v>16.52</v>
      </c>
      <c r="E520" s="134">
        <f ca="1">RANK(T520,T517:T536,1)</f>
        <v>16</v>
      </c>
      <c r="F520" s="187" t="str">
        <f>Calc2!$C$7</f>
        <v>1. FSV Mainz 05</v>
      </c>
      <c r="G520" s="1">
        <f ca="1">SUMIFS(OFFSET(Calc2!$H$4,,,$F$26*B515,1),OFFSET(Calc2!$F$4,,,$F$26*B515,1),F520)+SUMIFS(OFFSET(Calc2!$I$4,,,$F$26*B515,1),OFFSET(Calc2!$G$4,,,$F$26*B515,1),F520)</f>
        <v>23</v>
      </c>
      <c r="H520" s="1">
        <f ca="1">SUMIFS(OFFSET(Calc2!$I$4,,,$F$26*B515,1),OFFSET(Calc2!$F$4,,,$F$26*B515,1),F520)+SUMIFS(OFFSET(Calc2!$H$4,,,$F$26*B515,1),OFFSET(Calc2!$G$4,,,$F$26*B515,1),F520)</f>
        <v>33</v>
      </c>
      <c r="I520" s="134">
        <f t="shared" ca="1" si="95"/>
        <v>-10</v>
      </c>
      <c r="J520" s="12">
        <f ca="1">L520*Settings!$C$3+M520+O520</f>
        <v>18</v>
      </c>
      <c r="K520" s="1">
        <f t="shared" ca="1" si="98"/>
        <v>20</v>
      </c>
      <c r="L520" s="1">
        <f t="array" aca="1" ref="L520" ca="1">SUMPRODUCT((OFFSET(Calc2!$F$4,,,$F$26*B515,1)=F520)*(OFFSET(Calc2!$H$4,,,$F$26*B515,1)&gt;OFFSET(Calc2!$I$4,,,$F$26*B515,1)))+SUMPRODUCT((OFFSET(Calc2!$G$4,,,$F$26*B515,1)=F520)*(OFFSET(Calc2!$H$4,,,$F$26*B515,1)&lt;OFFSET(Calc2!$I$4,,,$F$26*B515,1)))</f>
        <v>4</v>
      </c>
      <c r="M520" s="1">
        <f t="array" aca="1" ref="M520" ca="1">SUMPRODUCT((OFFSET(Calc2!$F$4,,,$F$26*B515,2)=F520)*(OFFSET(Calc2!$H$4,,,$F$26*B515,1)=OFFSET(Calc2!$I$4,,,$F$26*B515,1))*(OFFSET(Calc2!$H$4,,,$F$26*B515,1)&lt;&gt;"")*(OFFSET(Calc2!$I$4,,,$F$26*B515,1)&lt;&gt;""))</f>
        <v>6</v>
      </c>
      <c r="N520" s="1">
        <f t="array" aca="1" ref="N520" ca="1">SUMPRODUCT((OFFSET(Calc2!$F$4,,,$F$26*B515,1)=F520)*(OFFSET(Calc2!$H$4,,,$F$26*B515,1)&lt;OFFSET(Calc2!$I$4,,,$F$26*B515,1)))+SUMPRODUCT((OFFSET(Calc2!$G$4,,,$F$26*B515,1)=F520)*(OFFSET(Calc2!$H$4,,,$F$26*B515,1)&gt;OFFSET(Calc2!$I$4,,,$F$26*B515,1)))</f>
        <v>10</v>
      </c>
      <c r="O520" s="132">
        <f ca="1">SUMPRODUCT((F520=OFFSET(Calc2!$F$4,,,$F$26*B515,1))*OFFSET(Calc2!$O$4,,,$F$26*B515,1))+SUMPRODUCT((F520=OFFSET(Calc2!$G$4,,,$F$26*B515,1))*OFFSET(Calc2!$P$4,,,$F$26*B515,1))</f>
        <v>0</v>
      </c>
      <c r="P520" s="2"/>
      <c r="Q520" s="2"/>
      <c r="R520" s="13">
        <f t="shared" ca="1" si="96"/>
        <v>18499990023</v>
      </c>
      <c r="S520" s="134">
        <f>Tie_Break!$D$10</f>
        <v>0</v>
      </c>
      <c r="T520" s="9">
        <f ca="1">RANK(R520,R517:R536)+(9-S520)/10000+(F520="")*1000</f>
        <v>16.000900000000001</v>
      </c>
      <c r="U520" s="134"/>
      <c r="V520" s="134">
        <f ca="1">IF($K$24=0,"",IF(VLOOKUP(B520,C517:E536,3,0)=MAX(V$4:V519),VLOOKUP(B520,C517:E536,3,0),B520))</f>
        <v>4</v>
      </c>
      <c r="W520" s="4" t="str">
        <f ca="1">IF($K$24=0,Calc2!$C$7,VLOOKUP(B520,C517:N536,4,0))</f>
        <v>VfB Stuttgart</v>
      </c>
      <c r="X520" s="1">
        <f ca="1">INDEX(V490:V509,MATCH(W520,W490:W509,0))</f>
        <v>5</v>
      </c>
      <c r="Y520" s="1">
        <f t="shared" ca="1" si="99"/>
        <v>1</v>
      </c>
    </row>
    <row r="521" spans="2:25" x14ac:dyDescent="0.2">
      <c r="B521" s="1">
        <v>5</v>
      </c>
      <c r="C521" s="9">
        <f ca="1">RANK(D521,D517:D536,1)</f>
        <v>5</v>
      </c>
      <c r="D521" s="134">
        <f t="shared" ca="1" si="97"/>
        <v>5.5209999999999999</v>
      </c>
      <c r="E521" s="134">
        <f ca="1">RANK(T521,T517:T536,1)</f>
        <v>5</v>
      </c>
      <c r="F521" s="187" t="str">
        <f>Calc2!$C$8</f>
        <v>Bayer 04 Leverkusen</v>
      </c>
      <c r="G521" s="1">
        <f ca="1">SUMIFS(OFFSET(Calc2!$H$4,,,$F$26*B515,1),OFFSET(Calc2!$F$4,,,$F$26*B515,1),F521)+SUMIFS(OFFSET(Calc2!$I$4,,,$F$26*B515,1),OFFSET(Calc2!$G$4,,,$F$26*B515,1),F521)</f>
        <v>39</v>
      </c>
      <c r="H521" s="1">
        <f ca="1">SUMIFS(OFFSET(Calc2!$I$4,,,$F$26*B515,1),OFFSET(Calc2!$F$4,,,$F$26*B515,1),F521)+SUMIFS(OFFSET(Calc2!$H$4,,,$F$26*B515,1),OFFSET(Calc2!$G$4,,,$F$26*B515,1),F521)</f>
        <v>26</v>
      </c>
      <c r="I521" s="134">
        <f t="shared" ca="1" si="95"/>
        <v>13</v>
      </c>
      <c r="J521" s="12">
        <f ca="1">L521*Settings!$C$3+M521+O521</f>
        <v>38</v>
      </c>
      <c r="K521" s="1">
        <f t="shared" ca="1" si="98"/>
        <v>20</v>
      </c>
      <c r="L521" s="1">
        <f t="array" aca="1" ref="L521" ca="1">SUMPRODUCT((OFFSET(Calc2!$F$4,,,$F$26*B515,1)=F521)*(OFFSET(Calc2!$H$4,,,$F$26*B515,1)&gt;OFFSET(Calc2!$I$4,,,$F$26*B515,1)))+SUMPRODUCT((OFFSET(Calc2!$G$4,,,$F$26*B515,1)=F521)*(OFFSET(Calc2!$H$4,,,$F$26*B515,1)&lt;OFFSET(Calc2!$I$4,,,$F$26*B515,1)))</f>
        <v>12</v>
      </c>
      <c r="M521" s="1">
        <f t="array" aca="1" ref="M521" ca="1">SUMPRODUCT((OFFSET(Calc2!$F$4,,,$F$26*B515,2)=F521)*(OFFSET(Calc2!$H$4,,,$F$26*B515,1)=OFFSET(Calc2!$I$4,,,$F$26*B515,1))*(OFFSET(Calc2!$H$4,,,$F$26*B515,1)&lt;&gt;"")*(OFFSET(Calc2!$I$4,,,$F$26*B515,1)&lt;&gt;""))</f>
        <v>2</v>
      </c>
      <c r="N521" s="1">
        <f t="array" aca="1" ref="N521" ca="1">SUMPRODUCT((OFFSET(Calc2!$F$4,,,$F$26*B515,1)=F521)*(OFFSET(Calc2!$H$4,,,$F$26*B515,1)&lt;OFFSET(Calc2!$I$4,,,$F$26*B515,1)))+SUMPRODUCT((OFFSET(Calc2!$G$4,,,$F$26*B515,1)=F521)*(OFFSET(Calc2!$H$4,,,$F$26*B515,1)&gt;OFFSET(Calc2!$I$4,,,$F$26*B515,1)))</f>
        <v>6</v>
      </c>
      <c r="O521" s="132">
        <f ca="1">SUMPRODUCT((F521=OFFSET(Calc2!$F$4,,,$F$26*B515,1))*OFFSET(Calc2!$O$4,,,$F$26*B515,1))+SUMPRODUCT((F521=OFFSET(Calc2!$G$4,,,$F$26*B515,1))*OFFSET(Calc2!$P$4,,,$F$26*B515,1))</f>
        <v>0</v>
      </c>
      <c r="P521" s="2"/>
      <c r="Q521" s="2"/>
      <c r="R521" s="13">
        <f t="shared" ca="1" si="96"/>
        <v>38500013039</v>
      </c>
      <c r="S521" s="134">
        <f>Tie_Break!$D$11</f>
        <v>0</v>
      </c>
      <c r="T521" s="9">
        <f ca="1">RANK(R521,R517:R536)+(9-S521)/10000+(F521="")*1000</f>
        <v>5.0008999999999997</v>
      </c>
      <c r="U521" s="134"/>
      <c r="V521" s="134">
        <f ca="1">IF($K$24=0,"",IF(VLOOKUP(B521,C517:E536,3,0)=MAX(V$4:V520),VLOOKUP(B521,C517:E536,3,0),B521))</f>
        <v>5</v>
      </c>
      <c r="W521" s="4" t="str">
        <f ca="1">IF($K$24=0,Calc2!$C$8,VLOOKUP(B521,C517:N536,4,0))</f>
        <v>Bayer 04 Leverkusen</v>
      </c>
      <c r="X521" s="1">
        <f ca="1">INDEX(V490:V509,MATCH(W521,W490:W509,0))</f>
        <v>6</v>
      </c>
      <c r="Y521" s="1">
        <f t="shared" ca="1" si="99"/>
        <v>1</v>
      </c>
    </row>
    <row r="522" spans="2:25" x14ac:dyDescent="0.2">
      <c r="B522" s="1">
        <v>6</v>
      </c>
      <c r="C522" s="9">
        <f ca="1">RANK(D522,D517:D536,1)</f>
        <v>2</v>
      </c>
      <c r="D522" s="134">
        <f t="shared" ca="1" si="97"/>
        <v>2.5220000000000002</v>
      </c>
      <c r="E522" s="134">
        <f ca="1">RANK(T522,T517:T536,1)</f>
        <v>2</v>
      </c>
      <c r="F522" s="187" t="str">
        <f>Calc2!$C$9</f>
        <v>Borussia Dortmund</v>
      </c>
      <c r="G522" s="1">
        <f ca="1">SUMIFS(OFFSET(Calc2!$H$4,,,$F$26*B515,1),OFFSET(Calc2!$F$4,,,$F$26*B515,1),F522)+SUMIFS(OFFSET(Calc2!$I$4,,,$F$26*B515,1),OFFSET(Calc2!$G$4,,,$F$26*B515,1),F522)</f>
        <v>41</v>
      </c>
      <c r="H522" s="1">
        <f ca="1">SUMIFS(OFFSET(Calc2!$I$4,,,$F$26*B515,1),OFFSET(Calc2!$F$4,,,$F$26*B515,1),F522)+SUMIFS(OFFSET(Calc2!$H$4,,,$F$26*B515,1),OFFSET(Calc2!$G$4,,,$F$26*B515,1),F522)</f>
        <v>19</v>
      </c>
      <c r="I522" s="134">
        <f t="shared" ca="1" si="95"/>
        <v>22</v>
      </c>
      <c r="J522" s="12">
        <f ca="1">L522*Settings!$C$3+M522+O522</f>
        <v>45</v>
      </c>
      <c r="K522" s="1">
        <f t="shared" ca="1" si="98"/>
        <v>20</v>
      </c>
      <c r="L522" s="1">
        <f t="array" aca="1" ref="L522" ca="1">SUMPRODUCT((OFFSET(Calc2!$F$4,,,$F$26*B515,1)=F522)*(OFFSET(Calc2!$H$4,,,$F$26*B515,1)&gt;OFFSET(Calc2!$I$4,,,$F$26*B515,1)))+SUMPRODUCT((OFFSET(Calc2!$G$4,,,$F$26*B515,1)=F522)*(OFFSET(Calc2!$H$4,,,$F$26*B515,1)&lt;OFFSET(Calc2!$I$4,,,$F$26*B515,1)))</f>
        <v>13</v>
      </c>
      <c r="M522" s="1">
        <f t="array" aca="1" ref="M522" ca="1">SUMPRODUCT((OFFSET(Calc2!$F$4,,,$F$26*B515,2)=F522)*(OFFSET(Calc2!$H$4,,,$F$26*B515,1)=OFFSET(Calc2!$I$4,,,$F$26*B515,1))*(OFFSET(Calc2!$H$4,,,$F$26*B515,1)&lt;&gt;"")*(OFFSET(Calc2!$I$4,,,$F$26*B515,1)&lt;&gt;""))</f>
        <v>6</v>
      </c>
      <c r="N522" s="1">
        <f t="array" aca="1" ref="N522" ca="1">SUMPRODUCT((OFFSET(Calc2!$F$4,,,$F$26*B515,1)=F522)*(OFFSET(Calc2!$H$4,,,$F$26*B515,1)&lt;OFFSET(Calc2!$I$4,,,$F$26*B515,1)))+SUMPRODUCT((OFFSET(Calc2!$G$4,,,$F$26*B515,1)=F522)*(OFFSET(Calc2!$H$4,,,$F$26*B515,1)&gt;OFFSET(Calc2!$I$4,,,$F$26*B515,1)))</f>
        <v>1</v>
      </c>
      <c r="O522" s="132">
        <f ca="1">SUMPRODUCT((F522=OFFSET(Calc2!$F$4,,,$F$26*B515,1))*OFFSET(Calc2!$O$4,,,$F$26*B515,1))+SUMPRODUCT((F522=OFFSET(Calc2!$G$4,,,$F$26*B515,1))*OFFSET(Calc2!$P$4,,,$F$26*B515,1))</f>
        <v>0</v>
      </c>
      <c r="P522" s="2"/>
      <c r="Q522" s="2"/>
      <c r="R522" s="13">
        <f t="shared" ca="1" si="96"/>
        <v>45500022041</v>
      </c>
      <c r="S522" s="134">
        <f>Tie_Break!$D$12</f>
        <v>0</v>
      </c>
      <c r="T522" s="9">
        <f ca="1">RANK(R522,R517:R536)+(9-S522)/10000+(F522="")*1000</f>
        <v>2.0009000000000001</v>
      </c>
      <c r="U522" s="134"/>
      <c r="V522" s="134">
        <f ca="1">IF($K$24=0,"",IF(VLOOKUP(B522,C517:E536,3,0)=MAX(V$4:V521),VLOOKUP(B522,C517:E536,3,0),B522))</f>
        <v>6</v>
      </c>
      <c r="W522" s="4" t="str">
        <f ca="1">IF($K$24=0,Calc2!$C$9,VLOOKUP(B522,C517:N536,4,0))</f>
        <v>RB Leipzig</v>
      </c>
      <c r="X522" s="1">
        <f ca="1">INDEX(V490:V509,MATCH(W522,W490:W509,0))</f>
        <v>4</v>
      </c>
      <c r="Y522" s="1">
        <f t="shared" ca="1" si="99"/>
        <v>-1</v>
      </c>
    </row>
    <row r="523" spans="2:25" x14ac:dyDescent="0.2">
      <c r="B523" s="1">
        <v>7</v>
      </c>
      <c r="C523" s="9">
        <f ca="1">RANK(D523,D517:D536,1)</f>
        <v>12</v>
      </c>
      <c r="D523" s="134">
        <f t="shared" ca="1" si="97"/>
        <v>12.523</v>
      </c>
      <c r="E523" s="134">
        <f ca="1">RANK(T523,T517:T536,1)</f>
        <v>12</v>
      </c>
      <c r="F523" s="187" t="str">
        <f>Calc2!$C$10</f>
        <v>Borussia Mönchengladbach</v>
      </c>
      <c r="G523" s="1">
        <f ca="1">SUMIFS(OFFSET(Calc2!$H$4,,,$F$26*B515,1),OFFSET(Calc2!$F$4,,,$F$26*B515,1),F523)+SUMIFS(OFFSET(Calc2!$I$4,,,$F$26*B515,1),OFFSET(Calc2!$G$4,,,$F$26*B515,1),F523)</f>
        <v>24</v>
      </c>
      <c r="H523" s="1">
        <f ca="1">SUMIFS(OFFSET(Calc2!$I$4,,,$F$26*B515,1),OFFSET(Calc2!$F$4,,,$F$26*B515,1),F523)+SUMIFS(OFFSET(Calc2!$H$4,,,$F$26*B515,1),OFFSET(Calc2!$G$4,,,$F$26*B515,1),F523)</f>
        <v>33</v>
      </c>
      <c r="I523" s="134">
        <f t="shared" ca="1" si="95"/>
        <v>-9</v>
      </c>
      <c r="J523" s="12">
        <f ca="1">L523*Settings!$C$3+M523+O523</f>
        <v>21</v>
      </c>
      <c r="K523" s="1">
        <f t="shared" ca="1" si="98"/>
        <v>20</v>
      </c>
      <c r="L523" s="1">
        <f t="array" aca="1" ref="L523" ca="1">SUMPRODUCT((OFFSET(Calc2!$F$4,,,$F$26*B515,1)=F523)*(OFFSET(Calc2!$H$4,,,$F$26*B515,1)&gt;OFFSET(Calc2!$I$4,,,$F$26*B515,1)))+SUMPRODUCT((OFFSET(Calc2!$G$4,,,$F$26*B515,1)=F523)*(OFFSET(Calc2!$H$4,,,$F$26*B515,1)&lt;OFFSET(Calc2!$I$4,,,$F$26*B515,1)))</f>
        <v>5</v>
      </c>
      <c r="M523" s="1">
        <f t="array" aca="1" ref="M523" ca="1">SUMPRODUCT((OFFSET(Calc2!$F$4,,,$F$26*B515,2)=F523)*(OFFSET(Calc2!$H$4,,,$F$26*B515,1)=OFFSET(Calc2!$I$4,,,$F$26*B515,1))*(OFFSET(Calc2!$H$4,,,$F$26*B515,1)&lt;&gt;"")*(OFFSET(Calc2!$I$4,,,$F$26*B515,1)&lt;&gt;""))</f>
        <v>6</v>
      </c>
      <c r="N523" s="1">
        <f t="array" aca="1" ref="N523" ca="1">SUMPRODUCT((OFFSET(Calc2!$F$4,,,$F$26*B515,1)=F523)*(OFFSET(Calc2!$H$4,,,$F$26*B515,1)&lt;OFFSET(Calc2!$I$4,,,$F$26*B515,1)))+SUMPRODUCT((OFFSET(Calc2!$G$4,,,$F$26*B515,1)=F523)*(OFFSET(Calc2!$H$4,,,$F$26*B515,1)&gt;OFFSET(Calc2!$I$4,,,$F$26*B515,1)))</f>
        <v>9</v>
      </c>
      <c r="O523" s="132">
        <f ca="1">SUMPRODUCT((F523=OFFSET(Calc2!$F$4,,,$F$26*B515,1))*OFFSET(Calc2!$O$4,,,$F$26*B515,1))+SUMPRODUCT((F523=OFFSET(Calc2!$G$4,,,$F$26*B515,1))*OFFSET(Calc2!$P$4,,,$F$26*B515,1))</f>
        <v>0</v>
      </c>
      <c r="P523" s="2"/>
      <c r="Q523" s="2"/>
      <c r="R523" s="13">
        <f t="shared" ca="1" si="96"/>
        <v>21499991024</v>
      </c>
      <c r="S523" s="134">
        <f>Tie_Break!$D$13</f>
        <v>0</v>
      </c>
      <c r="T523" s="9">
        <f ca="1">RANK(R523,R517:R536)+(9-S523)/10000+(F523="")*1000</f>
        <v>12.0009</v>
      </c>
      <c r="U523" s="134"/>
      <c r="V523" s="134">
        <f ca="1">IF($K$24=0,"",IF(VLOOKUP(B523,C517:E536,3,0)=MAX(V$4:V522),VLOOKUP(B523,C517:E536,3,0),B523))</f>
        <v>7</v>
      </c>
      <c r="W523" s="4" t="str">
        <f ca="1">IF($K$24=0,Calc2!$C$10,VLOOKUP(B523,C517:N536,4,0))</f>
        <v>SC Freiburg</v>
      </c>
      <c r="X523" s="1">
        <f ca="1">INDEX(V490:V509,MATCH(W523,W490:W509,0))</f>
        <v>7</v>
      </c>
      <c r="Y523" s="1">
        <f t="shared" ca="1" si="99"/>
        <v>0</v>
      </c>
    </row>
    <row r="524" spans="2:25" x14ac:dyDescent="0.2">
      <c r="B524" s="1">
        <v>8</v>
      </c>
      <c r="C524" s="9">
        <f ca="1">RANK(D524,D517:D536,1)</f>
        <v>8</v>
      </c>
      <c r="D524" s="134">
        <f t="shared" ca="1" si="97"/>
        <v>8.5240000000000009</v>
      </c>
      <c r="E524" s="134">
        <f ca="1">RANK(T524,T517:T536,1)</f>
        <v>8</v>
      </c>
      <c r="F524" s="187" t="str">
        <f>Calc2!$C$11</f>
        <v>Eintracht Frankfurt</v>
      </c>
      <c r="G524" s="1">
        <f ca="1">SUMIFS(OFFSET(Calc2!$H$4,,,$F$26*B515,1),OFFSET(Calc2!$F$4,,,$F$26*B515,1),F524)+SUMIFS(OFFSET(Calc2!$I$4,,,$F$26*B515,1),OFFSET(Calc2!$G$4,,,$F$26*B515,1),F524)</f>
        <v>40</v>
      </c>
      <c r="H524" s="1">
        <f ca="1">SUMIFS(OFFSET(Calc2!$I$4,,,$F$26*B515,1),OFFSET(Calc2!$F$4,,,$F$26*B515,1),F524)+SUMIFS(OFFSET(Calc2!$H$4,,,$F$26*B515,1),OFFSET(Calc2!$G$4,,,$F$26*B515,1),F524)</f>
        <v>45</v>
      </c>
      <c r="I524" s="134">
        <f t="shared" ca="1" si="95"/>
        <v>-5</v>
      </c>
      <c r="J524" s="12">
        <f ca="1">L524*Settings!$C$3+M524+O524</f>
        <v>27</v>
      </c>
      <c r="K524" s="1">
        <f t="shared" ca="1" si="98"/>
        <v>20</v>
      </c>
      <c r="L524" s="1">
        <f t="array" aca="1" ref="L524" ca="1">SUMPRODUCT((OFFSET(Calc2!$F$4,,,$F$26*B515,1)=F524)*(OFFSET(Calc2!$H$4,,,$F$26*B515,1)&gt;OFFSET(Calc2!$I$4,,,$F$26*B515,1)))+SUMPRODUCT((OFFSET(Calc2!$G$4,,,$F$26*B515,1)=F524)*(OFFSET(Calc2!$H$4,,,$F$26*B515,1)&lt;OFFSET(Calc2!$I$4,,,$F$26*B515,1)))</f>
        <v>7</v>
      </c>
      <c r="M524" s="1">
        <f t="array" aca="1" ref="M524" ca="1">SUMPRODUCT((OFFSET(Calc2!$F$4,,,$F$26*B515,2)=F524)*(OFFSET(Calc2!$H$4,,,$F$26*B515,1)=OFFSET(Calc2!$I$4,,,$F$26*B515,1))*(OFFSET(Calc2!$H$4,,,$F$26*B515,1)&lt;&gt;"")*(OFFSET(Calc2!$I$4,,,$F$26*B515,1)&lt;&gt;""))</f>
        <v>6</v>
      </c>
      <c r="N524" s="1">
        <f t="array" aca="1" ref="N524" ca="1">SUMPRODUCT((OFFSET(Calc2!$F$4,,,$F$26*B515,1)=F524)*(OFFSET(Calc2!$H$4,,,$F$26*B515,1)&lt;OFFSET(Calc2!$I$4,,,$F$26*B515,1)))+SUMPRODUCT((OFFSET(Calc2!$G$4,,,$F$26*B515,1)=F524)*(OFFSET(Calc2!$H$4,,,$F$26*B515,1)&gt;OFFSET(Calc2!$I$4,,,$F$26*B515,1)))</f>
        <v>7</v>
      </c>
      <c r="O524" s="132">
        <f ca="1">SUMPRODUCT((F524=OFFSET(Calc2!$F$4,,,$F$26*B515,1))*OFFSET(Calc2!$O$4,,,$F$26*B515,1))+SUMPRODUCT((F524=OFFSET(Calc2!$G$4,,,$F$26*B515,1))*OFFSET(Calc2!$P$4,,,$F$26*B515,1))</f>
        <v>0</v>
      </c>
      <c r="P524" s="2"/>
      <c r="Q524" s="2"/>
      <c r="R524" s="13">
        <f t="shared" ca="1" si="96"/>
        <v>27499995040</v>
      </c>
      <c r="S524" s="134">
        <f>Tie_Break!$D$14</f>
        <v>0</v>
      </c>
      <c r="T524" s="9">
        <f ca="1">RANK(R524,R517:R536)+(9-S524)/10000+(F524="")*1000</f>
        <v>8.0008999999999997</v>
      </c>
      <c r="U524" s="134"/>
      <c r="V524" s="134">
        <f ca="1">IF($K$24=0,"",IF(VLOOKUP(B524,C517:E536,3,0)=MAX(V$4:V523),VLOOKUP(B524,C517:E536,3,0),B524))</f>
        <v>8</v>
      </c>
      <c r="W524" s="4" t="str">
        <f ca="1">IF($K$24=0,Calc2!$C$11,VLOOKUP(B524,C517:N536,4,0))</f>
        <v>Eintracht Frankfurt</v>
      </c>
      <c r="X524" s="1">
        <f ca="1">INDEX(V490:V509,MATCH(W524,W490:W509,0))</f>
        <v>8</v>
      </c>
      <c r="Y524" s="1">
        <f t="shared" ca="1" si="99"/>
        <v>0</v>
      </c>
    </row>
    <row r="525" spans="2:25" x14ac:dyDescent="0.2">
      <c r="B525" s="1">
        <v>9</v>
      </c>
      <c r="C525" s="9">
        <f ca="1">RANK(D525,D517:D536,1)</f>
        <v>11</v>
      </c>
      <c r="D525" s="134">
        <f t="shared" ca="1" si="97"/>
        <v>11.525</v>
      </c>
      <c r="E525" s="134">
        <f ca="1">RANK(T525,T517:T536,1)</f>
        <v>11</v>
      </c>
      <c r="F525" s="187" t="str">
        <f>Calc2!$C$12</f>
        <v>FC Augsburg</v>
      </c>
      <c r="G525" s="1">
        <f ca="1">SUMIFS(OFFSET(Calc2!$H$4,,,$F$26*B515,1),OFFSET(Calc2!$F$4,,,$F$26*B515,1),F525)+SUMIFS(OFFSET(Calc2!$I$4,,,$F$26*B515,1),OFFSET(Calc2!$G$4,,,$F$26*B515,1),F525)</f>
        <v>24</v>
      </c>
      <c r="H525" s="1">
        <f ca="1">SUMIFS(OFFSET(Calc2!$I$4,,,$F$26*B515,1),OFFSET(Calc2!$F$4,,,$F$26*B515,1),F525)+SUMIFS(OFFSET(Calc2!$H$4,,,$F$26*B515,1),OFFSET(Calc2!$G$4,,,$F$26*B515,1),F525)</f>
        <v>37</v>
      </c>
      <c r="I525" s="134">
        <f t="shared" ca="1" si="95"/>
        <v>-13</v>
      </c>
      <c r="J525" s="12">
        <f ca="1">L525*Settings!$C$3+M525+O525</f>
        <v>22</v>
      </c>
      <c r="K525" s="1">
        <f t="shared" ca="1" si="98"/>
        <v>20</v>
      </c>
      <c r="L525" s="1">
        <f t="array" aca="1" ref="L525" ca="1">SUMPRODUCT((OFFSET(Calc2!$F$4,,,$F$26*B515,1)=F525)*(OFFSET(Calc2!$H$4,,,$F$26*B515,1)&gt;OFFSET(Calc2!$I$4,,,$F$26*B515,1)))+SUMPRODUCT((OFFSET(Calc2!$G$4,,,$F$26*B515,1)=F525)*(OFFSET(Calc2!$H$4,,,$F$26*B515,1)&lt;OFFSET(Calc2!$I$4,,,$F$26*B515,1)))</f>
        <v>6</v>
      </c>
      <c r="M525" s="1">
        <f t="array" aca="1" ref="M525" ca="1">SUMPRODUCT((OFFSET(Calc2!$F$4,,,$F$26*B515,2)=F525)*(OFFSET(Calc2!$H$4,,,$F$26*B515,1)=OFFSET(Calc2!$I$4,,,$F$26*B515,1))*(OFFSET(Calc2!$H$4,,,$F$26*B515,1)&lt;&gt;"")*(OFFSET(Calc2!$I$4,,,$F$26*B515,1)&lt;&gt;""))</f>
        <v>4</v>
      </c>
      <c r="N525" s="1">
        <f t="array" aca="1" ref="N525" ca="1">SUMPRODUCT((OFFSET(Calc2!$F$4,,,$F$26*B515,1)=F525)*(OFFSET(Calc2!$H$4,,,$F$26*B515,1)&lt;OFFSET(Calc2!$I$4,,,$F$26*B515,1)))+SUMPRODUCT((OFFSET(Calc2!$G$4,,,$F$26*B515,1)=F525)*(OFFSET(Calc2!$H$4,,,$F$26*B515,1)&gt;OFFSET(Calc2!$I$4,,,$F$26*B515,1)))</f>
        <v>10</v>
      </c>
      <c r="O525" s="132">
        <f ca="1">SUMPRODUCT((F525=OFFSET(Calc2!$F$4,,,$F$26*B515,1))*OFFSET(Calc2!$O$4,,,$F$26*B515,1))+SUMPRODUCT((F525=OFFSET(Calc2!$G$4,,,$F$26*B515,1))*OFFSET(Calc2!$P$4,,,$F$26*B515,1))</f>
        <v>0</v>
      </c>
      <c r="P525" s="2"/>
      <c r="Q525" s="2"/>
      <c r="R525" s="13">
        <f t="shared" ca="1" si="96"/>
        <v>22499987024</v>
      </c>
      <c r="S525" s="134">
        <f>Tie_Break!$D$15</f>
        <v>0</v>
      </c>
      <c r="T525" s="9">
        <f ca="1">RANK(R525,R517:R536)+(9-S525)/10000+(F525="")*1000</f>
        <v>11.0009</v>
      </c>
      <c r="U525" s="134"/>
      <c r="V525" s="134">
        <f ca="1">IF($K$24=0,"",IF(VLOOKUP(B525,C517:E536,3,0)=MAX(V$4:V524),VLOOKUP(B525,C517:E536,3,0),B525))</f>
        <v>9</v>
      </c>
      <c r="W525" s="4" t="str">
        <f ca="1">IF($K$24=0,Calc2!$C$12,VLOOKUP(B525,C517:N536,4,0))</f>
        <v>1. FC Union Berlin</v>
      </c>
      <c r="X525" s="1">
        <f ca="1">INDEX(V490:V509,MATCH(W525,W490:W509,0))</f>
        <v>9</v>
      </c>
      <c r="Y525" s="1">
        <f t="shared" ca="1" si="99"/>
        <v>0</v>
      </c>
    </row>
    <row r="526" spans="2:25" x14ac:dyDescent="0.2">
      <c r="B526" s="1">
        <v>10</v>
      </c>
      <c r="C526" s="9">
        <f ca="1">RANK(D526,D517:D536,1)</f>
        <v>1</v>
      </c>
      <c r="D526" s="134">
        <f t="shared" ca="1" si="97"/>
        <v>1.526</v>
      </c>
      <c r="E526" s="134">
        <f ca="1">RANK(T526,T517:T536,1)</f>
        <v>1</v>
      </c>
      <c r="F526" s="187" t="str">
        <f>Calc2!$C$13</f>
        <v>FC Bayern München</v>
      </c>
      <c r="G526" s="1">
        <f ca="1">SUMIFS(OFFSET(Calc2!$H$4,,,$F$26*B515,1),OFFSET(Calc2!$F$4,,,$F$26*B515,1),F526)+SUMIFS(OFFSET(Calc2!$I$4,,,$F$26*B515,1),OFFSET(Calc2!$G$4,,,$F$26*B515,1),F526)</f>
        <v>74</v>
      </c>
      <c r="H526" s="1">
        <f ca="1">SUMIFS(OFFSET(Calc2!$I$4,,,$F$26*B515,1),OFFSET(Calc2!$F$4,,,$F$26*B515,1),F526)+SUMIFS(OFFSET(Calc2!$H$4,,,$F$26*B515,1),OFFSET(Calc2!$G$4,,,$F$26*B515,1),F526)</f>
        <v>18</v>
      </c>
      <c r="I526" s="134">
        <f t="shared" ca="1" si="95"/>
        <v>56</v>
      </c>
      <c r="J526" s="12">
        <f ca="1">L526*Settings!$C$3+M526+O526</f>
        <v>51</v>
      </c>
      <c r="K526" s="1">
        <f t="shared" ca="1" si="98"/>
        <v>20</v>
      </c>
      <c r="L526" s="1">
        <f t="array" aca="1" ref="L526" ca="1">SUMPRODUCT((OFFSET(Calc2!$F$4,,,$F$26*B515,1)=F526)*(OFFSET(Calc2!$H$4,,,$F$26*B515,1)&gt;OFFSET(Calc2!$I$4,,,$F$26*B515,1)))+SUMPRODUCT((OFFSET(Calc2!$G$4,,,$F$26*B515,1)=F526)*(OFFSET(Calc2!$H$4,,,$F$26*B515,1)&lt;OFFSET(Calc2!$I$4,,,$F$26*B515,1)))</f>
        <v>16</v>
      </c>
      <c r="M526" s="1">
        <f t="array" aca="1" ref="M526" ca="1">SUMPRODUCT((OFFSET(Calc2!$F$4,,,$F$26*B515,2)=F526)*(OFFSET(Calc2!$H$4,,,$F$26*B515,1)=OFFSET(Calc2!$I$4,,,$F$26*B515,1))*(OFFSET(Calc2!$H$4,,,$F$26*B515,1)&lt;&gt;"")*(OFFSET(Calc2!$I$4,,,$F$26*B515,1)&lt;&gt;""))</f>
        <v>3</v>
      </c>
      <c r="N526" s="1">
        <f t="array" aca="1" ref="N526" ca="1">SUMPRODUCT((OFFSET(Calc2!$F$4,,,$F$26*B515,1)=F526)*(OFFSET(Calc2!$H$4,,,$F$26*B515,1)&lt;OFFSET(Calc2!$I$4,,,$F$26*B515,1)))+SUMPRODUCT((OFFSET(Calc2!$G$4,,,$F$26*B515,1)=F526)*(OFFSET(Calc2!$H$4,,,$F$26*B515,1)&gt;OFFSET(Calc2!$I$4,,,$F$26*B515,1)))</f>
        <v>1</v>
      </c>
      <c r="O526" s="132">
        <f ca="1">SUMPRODUCT((F526=OFFSET(Calc2!$F$4,,,$F$26*B515,1))*OFFSET(Calc2!$O$4,,,$F$26*B515,1))+SUMPRODUCT((F526=OFFSET(Calc2!$G$4,,,$F$26*B515,1))*OFFSET(Calc2!$P$4,,,$F$26*B515,1))</f>
        <v>0</v>
      </c>
      <c r="P526" s="2"/>
      <c r="Q526" s="2"/>
      <c r="R526" s="13">
        <f t="shared" ca="1" si="96"/>
        <v>51500056074</v>
      </c>
      <c r="S526" s="134">
        <f>Tie_Break!$D$16</f>
        <v>0</v>
      </c>
      <c r="T526" s="9">
        <f ca="1">RANK(R526,R517:R536)+(9-S526)/10000+(F526="")*1000</f>
        <v>1.0008999999999999</v>
      </c>
      <c r="U526" s="2"/>
      <c r="V526" s="134">
        <f ca="1">IF($K$24=0,"",IF(VLOOKUP(B526,C517:E536,3,0)=MAX(V$4:V525),VLOOKUP(B526,C517:E536,3,0),B526))</f>
        <v>10</v>
      </c>
      <c r="W526" s="4" t="str">
        <f ca="1">IF($K$24=0,Calc2!$C$13,VLOOKUP(B526,C517:N536,4,0))</f>
        <v>1. FC Köln</v>
      </c>
      <c r="X526" s="1">
        <f ca="1">INDEX(V490:V509,MATCH(W526,W490:W509,0))</f>
        <v>10</v>
      </c>
      <c r="Y526" s="1">
        <f t="shared" ca="1" si="99"/>
        <v>0</v>
      </c>
    </row>
    <row r="527" spans="2:25" x14ac:dyDescent="0.2">
      <c r="B527" s="1">
        <v>11</v>
      </c>
      <c r="C527" s="9">
        <f ca="1">RANK(D527,D517:D536,1)</f>
        <v>17</v>
      </c>
      <c r="D527" s="134">
        <f t="shared" ca="1" si="97"/>
        <v>17.527000000000001</v>
      </c>
      <c r="E527" s="134">
        <f ca="1">RANK(T527,T517:T536,1)</f>
        <v>17</v>
      </c>
      <c r="F527" s="187" t="str">
        <f>Calc2!$C$14</f>
        <v>FC St. Pauli</v>
      </c>
      <c r="G527" s="1">
        <f ca="1">SUMIFS(OFFSET(Calc2!$H$4,,,$F$26*B515,1),OFFSET(Calc2!$F$4,,,$F$26*B515,1),F527)+SUMIFS(OFFSET(Calc2!$I$4,,,$F$26*B515,1),OFFSET(Calc2!$G$4,,,$F$26*B515,1),F527)</f>
        <v>18</v>
      </c>
      <c r="H527" s="1">
        <f ca="1">SUMIFS(OFFSET(Calc2!$I$4,,,$F$26*B515,1),OFFSET(Calc2!$F$4,,,$F$26*B515,1),F527)+SUMIFS(OFFSET(Calc2!$H$4,,,$F$26*B515,1),OFFSET(Calc2!$G$4,,,$F$26*B515,1),F527)</f>
        <v>34</v>
      </c>
      <c r="I527" s="134">
        <f t="shared" ca="1" si="95"/>
        <v>-16</v>
      </c>
      <c r="J527" s="12">
        <f ca="1">L527*Settings!$C$3+M527+O527</f>
        <v>14</v>
      </c>
      <c r="K527" s="1">
        <f t="shared" ca="1" si="98"/>
        <v>20</v>
      </c>
      <c r="L527" s="1">
        <f t="array" aca="1" ref="L527" ca="1">SUMPRODUCT((OFFSET(Calc2!$F$4,,,$F$26*B515,1)=F527)*(OFFSET(Calc2!$H$4,,,$F$26*B515,1)&gt;OFFSET(Calc2!$I$4,,,$F$26*B515,1)))+SUMPRODUCT((OFFSET(Calc2!$G$4,,,$F$26*B515,1)=F527)*(OFFSET(Calc2!$H$4,,,$F$26*B515,1)&lt;OFFSET(Calc2!$I$4,,,$F$26*B515,1)))</f>
        <v>3</v>
      </c>
      <c r="M527" s="1">
        <f t="array" aca="1" ref="M527" ca="1">SUMPRODUCT((OFFSET(Calc2!$F$4,,,$F$26*B515,2)=F527)*(OFFSET(Calc2!$H$4,,,$F$26*B515,1)=OFFSET(Calc2!$I$4,,,$F$26*B515,1))*(OFFSET(Calc2!$H$4,,,$F$26*B515,1)&lt;&gt;"")*(OFFSET(Calc2!$I$4,,,$F$26*B515,1)&lt;&gt;""))</f>
        <v>5</v>
      </c>
      <c r="N527" s="1">
        <f t="array" aca="1" ref="N527" ca="1">SUMPRODUCT((OFFSET(Calc2!$F$4,,,$F$26*B515,1)=F527)*(OFFSET(Calc2!$H$4,,,$F$26*B515,1)&lt;OFFSET(Calc2!$I$4,,,$F$26*B515,1)))+SUMPRODUCT((OFFSET(Calc2!$G$4,,,$F$26*B515,1)=F527)*(OFFSET(Calc2!$H$4,,,$F$26*B515,1)&gt;OFFSET(Calc2!$I$4,,,$F$26*B515,1)))</f>
        <v>12</v>
      </c>
      <c r="O527" s="132">
        <f ca="1">SUMPRODUCT((F527=OFFSET(Calc2!$F$4,,,$F$26*B515,1))*OFFSET(Calc2!$O$4,,,$F$26*B515,1))+SUMPRODUCT((F527=OFFSET(Calc2!$G$4,,,$F$26*B515,1))*OFFSET(Calc2!$P$4,,,$F$26*B515,1))</f>
        <v>0</v>
      </c>
      <c r="P527" s="2"/>
      <c r="Q527" s="2"/>
      <c r="R527" s="13">
        <f t="shared" ca="1" si="96"/>
        <v>14499984018</v>
      </c>
      <c r="S527" s="134">
        <f>Tie_Break!$D$17</f>
        <v>0</v>
      </c>
      <c r="T527" s="9">
        <f ca="1">RANK(R527,R517:R536)+(9-S527)/10000+(F527="")*1000</f>
        <v>17.000900000000001</v>
      </c>
      <c r="U527" s="2"/>
      <c r="V527" s="134">
        <f ca="1">IF($K$24=0,"",IF(VLOOKUP(B527,C517:E536,3,0)=MAX(V$4:V526),VLOOKUP(B527,C517:E536,3,0),B527))</f>
        <v>11</v>
      </c>
      <c r="W527" s="4" t="str">
        <f ca="1">IF($K$24=0,Calc2!$C$14,VLOOKUP(B527,C517:N536,4,0))</f>
        <v>FC Augsburg</v>
      </c>
      <c r="X527" s="1">
        <f ca="1">INDEX(V490:V509,MATCH(W527,W490:W509,0))</f>
        <v>13</v>
      </c>
      <c r="Y527" s="1">
        <f t="shared" ca="1" si="99"/>
        <v>1</v>
      </c>
    </row>
    <row r="528" spans="2:25" x14ac:dyDescent="0.2">
      <c r="B528" s="1">
        <v>12</v>
      </c>
      <c r="C528" s="9">
        <f ca="1">RANK(D528,D517:D536,1)</f>
        <v>13</v>
      </c>
      <c r="D528" s="134">
        <f t="shared" ca="1" si="97"/>
        <v>13.528</v>
      </c>
      <c r="E528" s="134">
        <f ca="1">RANK(T528,T517:T536,1)</f>
        <v>13</v>
      </c>
      <c r="F528" s="187" t="str">
        <f>Calc2!$C$15</f>
        <v>Hamburger SV</v>
      </c>
      <c r="G528" s="1">
        <f ca="1">SUMIFS(OFFSET(Calc2!$H$4,,,$F$26*B515,1),OFFSET(Calc2!$F$4,,,$F$26*B515,1),F528)+SUMIFS(OFFSET(Calc2!$I$4,,,$F$26*B515,1),OFFSET(Calc2!$G$4,,,$F$26*B515,1),F528)</f>
        <v>19</v>
      </c>
      <c r="H528" s="1">
        <f ca="1">SUMIFS(OFFSET(Calc2!$I$4,,,$F$26*B515,1),OFFSET(Calc2!$F$4,,,$F$26*B515,1),F528)+SUMIFS(OFFSET(Calc2!$H$4,,,$F$26*B515,1),OFFSET(Calc2!$G$4,,,$F$26*B515,1),F528)</f>
        <v>30</v>
      </c>
      <c r="I528" s="134">
        <f t="shared" ca="1" si="95"/>
        <v>-11</v>
      </c>
      <c r="J528" s="12">
        <f ca="1">L528*Settings!$C$3+M528+O528</f>
        <v>19</v>
      </c>
      <c r="K528" s="1">
        <f t="shared" ca="1" si="98"/>
        <v>20</v>
      </c>
      <c r="L528" s="1">
        <f t="array" aca="1" ref="L528" ca="1">SUMPRODUCT((OFFSET(Calc2!$F$4,,,$F$26*B515,1)=F528)*(OFFSET(Calc2!$H$4,,,$F$26*B515,1)&gt;OFFSET(Calc2!$I$4,,,$F$26*B515,1)))+SUMPRODUCT((OFFSET(Calc2!$G$4,,,$F$26*B515,1)=F528)*(OFFSET(Calc2!$H$4,,,$F$26*B515,1)&lt;OFFSET(Calc2!$I$4,,,$F$26*B515,1)))</f>
        <v>4</v>
      </c>
      <c r="M528" s="1">
        <f t="array" aca="1" ref="M528" ca="1">SUMPRODUCT((OFFSET(Calc2!$F$4,,,$F$26*B515,2)=F528)*(OFFSET(Calc2!$H$4,,,$F$26*B515,1)=OFFSET(Calc2!$I$4,,,$F$26*B515,1))*(OFFSET(Calc2!$H$4,,,$F$26*B515,1)&lt;&gt;"")*(OFFSET(Calc2!$I$4,,,$F$26*B515,1)&lt;&gt;""))</f>
        <v>7</v>
      </c>
      <c r="N528" s="1">
        <f t="array" aca="1" ref="N528" ca="1">SUMPRODUCT((OFFSET(Calc2!$F$4,,,$F$26*B515,1)=F528)*(OFFSET(Calc2!$H$4,,,$F$26*B515,1)&lt;OFFSET(Calc2!$I$4,,,$F$26*B515,1)))+SUMPRODUCT((OFFSET(Calc2!$G$4,,,$F$26*B515,1)=F528)*(OFFSET(Calc2!$H$4,,,$F$26*B515,1)&gt;OFFSET(Calc2!$I$4,,,$F$26*B515,1)))</f>
        <v>9</v>
      </c>
      <c r="O528" s="132">
        <f ca="1">SUMPRODUCT((F528=OFFSET(Calc2!$F$4,,,$F$26*B515,1))*OFFSET(Calc2!$O$4,,,$F$26*B515,1))+SUMPRODUCT((F528=OFFSET(Calc2!$G$4,,,$F$26*B515,1))*OFFSET(Calc2!$P$4,,,$F$26*B515,1))</f>
        <v>0</v>
      </c>
      <c r="P528" s="2"/>
      <c r="Q528" s="2"/>
      <c r="R528" s="13">
        <f t="shared" ca="1" si="96"/>
        <v>19499989019</v>
      </c>
      <c r="S528" s="134">
        <f>Tie_Break!$D$18</f>
        <v>0</v>
      </c>
      <c r="T528" s="9">
        <f ca="1">RANK(R528,R517:R536)+(9-S528)/10000+(F528="")*1000</f>
        <v>13.0009</v>
      </c>
      <c r="U528" s="2"/>
      <c r="V528" s="134">
        <f ca="1">IF($K$24=0,"",IF(VLOOKUP(B528,C517:E536,3,0)=MAX(V$4:V527),VLOOKUP(B528,C517:E536,3,0),B528))</f>
        <v>12</v>
      </c>
      <c r="W528" s="4" t="str">
        <f ca="1">IF($K$24=0,Calc2!$C$15,VLOOKUP(B528,C517:N536,4,0))</f>
        <v>Borussia Mönchengladbach</v>
      </c>
      <c r="X528" s="1">
        <f ca="1">INDEX(V490:V509,MATCH(W528,W490:W509,0))</f>
        <v>11</v>
      </c>
      <c r="Y528" s="1">
        <f t="shared" ca="1" si="99"/>
        <v>-1</v>
      </c>
    </row>
    <row r="529" spans="2:25" x14ac:dyDescent="0.2">
      <c r="B529" s="1">
        <v>13</v>
      </c>
      <c r="C529" s="9">
        <f ca="1">RANK(D529,D517:D536,1)</f>
        <v>6</v>
      </c>
      <c r="D529" s="134">
        <f t="shared" ca="1" si="97"/>
        <v>6.5289999999999999</v>
      </c>
      <c r="E529" s="134">
        <f ca="1">RANK(T529,T517:T536,1)</f>
        <v>6</v>
      </c>
      <c r="F529" s="187" t="str">
        <f>Calc2!$C$16</f>
        <v>RB Leipzig</v>
      </c>
      <c r="G529" s="1">
        <f ca="1">SUMIFS(OFFSET(Calc2!$H$4,,,$F$26*B515,1),OFFSET(Calc2!$F$4,,,$F$26*B515,1),F529)+SUMIFS(OFFSET(Calc2!$I$4,,,$F$26*B515,1),OFFSET(Calc2!$G$4,,,$F$26*B515,1),F529)</f>
        <v>38</v>
      </c>
      <c r="H529" s="1">
        <f ca="1">SUMIFS(OFFSET(Calc2!$I$4,,,$F$26*B515,1),OFFSET(Calc2!$F$4,,,$F$26*B515,1),F529)+SUMIFS(OFFSET(Calc2!$H$4,,,$F$26*B515,1),OFFSET(Calc2!$G$4,,,$F$26*B515,1),F529)</f>
        <v>27</v>
      </c>
      <c r="I529" s="134">
        <f t="shared" ca="1" si="95"/>
        <v>11</v>
      </c>
      <c r="J529" s="12">
        <f ca="1">L529*Settings!$C$3+M529+O529</f>
        <v>36</v>
      </c>
      <c r="K529" s="1">
        <f t="shared" ca="1" si="98"/>
        <v>20</v>
      </c>
      <c r="L529" s="1">
        <f t="array" aca="1" ref="L529" ca="1">SUMPRODUCT((OFFSET(Calc2!$F$4,,,$F$26*B515,1)=F529)*(OFFSET(Calc2!$H$4,,,$F$26*B515,1)&gt;OFFSET(Calc2!$I$4,,,$F$26*B515,1)))+SUMPRODUCT((OFFSET(Calc2!$G$4,,,$F$26*B515,1)=F529)*(OFFSET(Calc2!$H$4,,,$F$26*B515,1)&lt;OFFSET(Calc2!$I$4,,,$F$26*B515,1)))</f>
        <v>11</v>
      </c>
      <c r="M529" s="1">
        <f t="array" aca="1" ref="M529" ca="1">SUMPRODUCT((OFFSET(Calc2!$F$4,,,$F$26*B515,2)=F529)*(OFFSET(Calc2!$H$4,,,$F$26*B515,1)=OFFSET(Calc2!$I$4,,,$F$26*B515,1))*(OFFSET(Calc2!$H$4,,,$F$26*B515,1)&lt;&gt;"")*(OFFSET(Calc2!$I$4,,,$F$26*B515,1)&lt;&gt;""))</f>
        <v>3</v>
      </c>
      <c r="N529" s="1">
        <f t="array" aca="1" ref="N529" ca="1">SUMPRODUCT((OFFSET(Calc2!$F$4,,,$F$26*B515,1)=F529)*(OFFSET(Calc2!$H$4,,,$F$26*B515,1)&lt;OFFSET(Calc2!$I$4,,,$F$26*B515,1)))+SUMPRODUCT((OFFSET(Calc2!$G$4,,,$F$26*B515,1)=F529)*(OFFSET(Calc2!$H$4,,,$F$26*B515,1)&gt;OFFSET(Calc2!$I$4,,,$F$26*B515,1)))</f>
        <v>6</v>
      </c>
      <c r="O529" s="132">
        <f ca="1">SUMPRODUCT((F529=OFFSET(Calc2!$F$4,,,$F$26*B515,1))*OFFSET(Calc2!$O$4,,,$F$26*B515,1))+SUMPRODUCT((F529=OFFSET(Calc2!$G$4,,,$F$26*B515,1))*OFFSET(Calc2!$P$4,,,$F$26*B515,1))</f>
        <v>0</v>
      </c>
      <c r="P529" s="2"/>
      <c r="Q529" s="2"/>
      <c r="R529" s="13">
        <f t="shared" ca="1" si="96"/>
        <v>36500011038</v>
      </c>
      <c r="S529" s="134">
        <f>Tie_Break!$D$19</f>
        <v>0</v>
      </c>
      <c r="T529" s="9">
        <f ca="1">RANK(R529,R517:R536)+(9-S529)/10000+(F529="")*1000</f>
        <v>6.0008999999999997</v>
      </c>
      <c r="U529" s="1"/>
      <c r="V529" s="134">
        <f ca="1">IF($K$24=0,"",IF(VLOOKUP(B529,C517:E536,3,0)=MAX(V$4:V528),VLOOKUP(B529,C517:E536,3,0),B529))</f>
        <v>13</v>
      </c>
      <c r="W529" s="4" t="str">
        <f ca="1">IF($K$24=0,Calc2!$C$16,VLOOKUP(B529,C517:N536,4,0))</f>
        <v>Hamburger SV</v>
      </c>
      <c r="X529" s="1">
        <f ca="1">INDEX(V490:V509,MATCH(W529,W490:W509,0))</f>
        <v>14</v>
      </c>
      <c r="Y529" s="1">
        <f t="shared" ca="1" si="99"/>
        <v>1</v>
      </c>
    </row>
    <row r="530" spans="2:25" x14ac:dyDescent="0.2">
      <c r="B530" s="1">
        <v>14</v>
      </c>
      <c r="C530" s="9">
        <f ca="1">RANK(D530,D517:D536,1)</f>
        <v>7</v>
      </c>
      <c r="D530" s="134">
        <f t="shared" ca="1" si="97"/>
        <v>7.53</v>
      </c>
      <c r="E530" s="134">
        <f ca="1">RANK(T530,T517:T536,1)</f>
        <v>7</v>
      </c>
      <c r="F530" s="187" t="str">
        <f>Calc2!$C$17</f>
        <v>SC Freiburg</v>
      </c>
      <c r="G530" s="1">
        <f ca="1">SUMIFS(OFFSET(Calc2!$H$4,,,$F$26*B515,1),OFFSET(Calc2!$F$4,,,$F$26*B515,1),F530)+SUMIFS(OFFSET(Calc2!$I$4,,,$F$26*B515,1),OFFSET(Calc2!$G$4,,,$F$26*B515,1),F530)</f>
        <v>31</v>
      </c>
      <c r="H530" s="1">
        <f ca="1">SUMIFS(OFFSET(Calc2!$I$4,,,$F$26*B515,1),OFFSET(Calc2!$F$4,,,$F$26*B515,1),F530)+SUMIFS(OFFSET(Calc2!$H$4,,,$F$26*B515,1),OFFSET(Calc2!$G$4,,,$F$26*B515,1),F530)</f>
        <v>33</v>
      </c>
      <c r="I530" s="134">
        <f t="shared" ca="1" si="95"/>
        <v>-2</v>
      </c>
      <c r="J530" s="12">
        <f ca="1">L530*Settings!$C$3+M530+O530</f>
        <v>27</v>
      </c>
      <c r="K530" s="1">
        <f t="shared" ca="1" si="98"/>
        <v>20</v>
      </c>
      <c r="L530" s="1">
        <f t="array" aca="1" ref="L530" ca="1">SUMPRODUCT((OFFSET(Calc2!$F$4,,,$F$26*B515,1)=F530)*(OFFSET(Calc2!$H$4,,,$F$26*B515,1)&gt;OFFSET(Calc2!$I$4,,,$F$26*B515,1)))+SUMPRODUCT((OFFSET(Calc2!$G$4,,,$F$26*B515,1)=F530)*(OFFSET(Calc2!$H$4,,,$F$26*B515,1)&lt;OFFSET(Calc2!$I$4,,,$F$26*B515,1)))</f>
        <v>7</v>
      </c>
      <c r="M530" s="1">
        <f t="array" aca="1" ref="M530" ca="1">SUMPRODUCT((OFFSET(Calc2!$F$4,,,$F$26*B515,2)=F530)*(OFFSET(Calc2!$H$4,,,$F$26*B515,1)=OFFSET(Calc2!$I$4,,,$F$26*B515,1))*(OFFSET(Calc2!$H$4,,,$F$26*B515,1)&lt;&gt;"")*(OFFSET(Calc2!$I$4,,,$F$26*B515,1)&lt;&gt;""))</f>
        <v>6</v>
      </c>
      <c r="N530" s="1">
        <f t="array" aca="1" ref="N530" ca="1">SUMPRODUCT((OFFSET(Calc2!$F$4,,,$F$26*B515,1)=F530)*(OFFSET(Calc2!$H$4,,,$F$26*B515,1)&lt;OFFSET(Calc2!$I$4,,,$F$26*B515,1)))+SUMPRODUCT((OFFSET(Calc2!$G$4,,,$F$26*B515,1)=F530)*(OFFSET(Calc2!$H$4,,,$F$26*B515,1)&gt;OFFSET(Calc2!$I$4,,,$F$26*B515,1)))</f>
        <v>7</v>
      </c>
      <c r="O530" s="132">
        <f ca="1">SUMPRODUCT((F530=OFFSET(Calc2!$F$4,,,$F$26*B515,1))*OFFSET(Calc2!$O$4,,,$F$26*B515,1))+SUMPRODUCT((F530=OFFSET(Calc2!$G$4,,,$F$26*B515,1))*OFFSET(Calc2!$P$4,,,$F$26*B515,1))</f>
        <v>0</v>
      </c>
      <c r="P530" s="2"/>
      <c r="Q530" s="2"/>
      <c r="R530" s="13">
        <f t="shared" ca="1" si="96"/>
        <v>27499998031</v>
      </c>
      <c r="S530" s="134">
        <f>Tie_Break!$D$20</f>
        <v>0</v>
      </c>
      <c r="T530" s="9">
        <f ca="1">RANK(R530,R517:R536)+(9-S530)/10000+(F530="")*1000</f>
        <v>7.0008999999999997</v>
      </c>
      <c r="U530" s="2"/>
      <c r="V530" s="134">
        <f ca="1">IF($K$24=0,"",IF(VLOOKUP(B530,C517:E536,3,0)=MAX(V$4:V529),VLOOKUP(B530,C517:E536,3,0),B530))</f>
        <v>14</v>
      </c>
      <c r="W530" s="4" t="str">
        <f ca="1">IF($K$24=0,Calc2!$C$17,VLOOKUP(B530,C517:N536,4,0))</f>
        <v>VfL Wolfsburg</v>
      </c>
      <c r="X530" s="1">
        <f ca="1">INDEX(V490:V509,MATCH(W530,W490:W509,0))</f>
        <v>12</v>
      </c>
      <c r="Y530" s="1">
        <f t="shared" ca="1" si="99"/>
        <v>-1</v>
      </c>
    </row>
    <row r="531" spans="2:25" x14ac:dyDescent="0.2">
      <c r="B531" s="1">
        <v>15</v>
      </c>
      <c r="C531" s="9">
        <f ca="1">RANK(D531,D517:D536,1)</f>
        <v>15</v>
      </c>
      <c r="D531" s="134">
        <f t="shared" ca="1" si="97"/>
        <v>15.531000000000001</v>
      </c>
      <c r="E531" s="134">
        <f ca="1">RANK(T531,T517:T536,1)</f>
        <v>15</v>
      </c>
      <c r="F531" s="187" t="str">
        <f>Calc2!$C$18</f>
        <v>SV Werder Bremen</v>
      </c>
      <c r="G531" s="1">
        <f ca="1">SUMIFS(OFFSET(Calc2!$H$4,,,$F$26*B515,1),OFFSET(Calc2!$F$4,,,$F$26*B515,1),F531)+SUMIFS(OFFSET(Calc2!$I$4,,,$F$26*B515,1),OFFSET(Calc2!$G$4,,,$F$26*B515,1),F531)</f>
        <v>22</v>
      </c>
      <c r="H531" s="1">
        <f ca="1">SUMIFS(OFFSET(Calc2!$I$4,,,$F$26*B515,1),OFFSET(Calc2!$F$4,,,$F$26*B515,1),F531)+SUMIFS(OFFSET(Calc2!$H$4,,,$F$26*B515,1),OFFSET(Calc2!$G$4,,,$F$26*B515,1),F531)</f>
        <v>38</v>
      </c>
      <c r="I531" s="134">
        <f t="shared" ca="1" si="95"/>
        <v>-16</v>
      </c>
      <c r="J531" s="12">
        <f ca="1">L531*Settings!$C$3+M531+O531</f>
        <v>19</v>
      </c>
      <c r="K531" s="1">
        <f t="shared" ca="1" si="98"/>
        <v>20</v>
      </c>
      <c r="L531" s="1">
        <f t="array" aca="1" ref="L531" ca="1">SUMPRODUCT((OFFSET(Calc2!$F$4,,,$F$26*B515,1)=F531)*(OFFSET(Calc2!$H$4,,,$F$26*B515,1)&gt;OFFSET(Calc2!$I$4,,,$F$26*B515,1)))+SUMPRODUCT((OFFSET(Calc2!$G$4,,,$F$26*B515,1)=F531)*(OFFSET(Calc2!$H$4,,,$F$26*B515,1)&lt;OFFSET(Calc2!$I$4,,,$F$26*B515,1)))</f>
        <v>4</v>
      </c>
      <c r="M531" s="1">
        <f t="array" aca="1" ref="M531" ca="1">SUMPRODUCT((OFFSET(Calc2!$F$4,,,$F$26*B515,2)=F531)*(OFFSET(Calc2!$H$4,,,$F$26*B515,1)=OFFSET(Calc2!$I$4,,,$F$26*B515,1))*(OFFSET(Calc2!$H$4,,,$F$26*B515,1)&lt;&gt;"")*(OFFSET(Calc2!$I$4,,,$F$26*B515,1)&lt;&gt;""))</f>
        <v>7</v>
      </c>
      <c r="N531" s="1">
        <f t="array" aca="1" ref="N531" ca="1">SUMPRODUCT((OFFSET(Calc2!$F$4,,,$F$26*B515,1)=F531)*(OFFSET(Calc2!$H$4,,,$F$26*B515,1)&lt;OFFSET(Calc2!$I$4,,,$F$26*B515,1)))+SUMPRODUCT((OFFSET(Calc2!$G$4,,,$F$26*B515,1)=F531)*(OFFSET(Calc2!$H$4,,,$F$26*B515,1)&gt;OFFSET(Calc2!$I$4,,,$F$26*B515,1)))</f>
        <v>9</v>
      </c>
      <c r="O531" s="132">
        <f ca="1">SUMPRODUCT((F531=OFFSET(Calc2!$F$4,,,$F$26*B515,1))*OFFSET(Calc2!$O$4,,,$F$26*B515,1))+SUMPRODUCT((F531=OFFSET(Calc2!$G$4,,,$F$26*B515,1))*OFFSET(Calc2!$P$4,,,$F$26*B515,1))</f>
        <v>0</v>
      </c>
      <c r="P531" s="2"/>
      <c r="Q531" s="2"/>
      <c r="R531" s="13">
        <f t="shared" ca="1" si="96"/>
        <v>19499984022</v>
      </c>
      <c r="S531" s="134">
        <f>Tie_Break!$D$21</f>
        <v>0</v>
      </c>
      <c r="T531" s="9">
        <f ca="1">RANK(R531,R517:R536)+(9-S531)/10000+(F531="")*1000</f>
        <v>15.0009</v>
      </c>
      <c r="U531" s="2"/>
      <c r="V531" s="134">
        <f ca="1">IF($K$24=0,"",IF(VLOOKUP(B531,C517:E536,3,0)=MAX(V$4:V530),VLOOKUP(B531,C517:E536,3,0),B531))</f>
        <v>15</v>
      </c>
      <c r="W531" s="4" t="str">
        <f ca="1">IF($K$24=0,Calc2!$C$18,VLOOKUP(B531,C517:N536,4,0))</f>
        <v>SV Werder Bremen</v>
      </c>
      <c r="X531" s="1">
        <f ca="1">INDEX(V490:V509,MATCH(W531,W490:W509,0))</f>
        <v>15</v>
      </c>
      <c r="Y531" s="1">
        <f t="shared" ca="1" si="99"/>
        <v>0</v>
      </c>
    </row>
    <row r="532" spans="2:25" x14ac:dyDescent="0.2">
      <c r="B532" s="1">
        <v>16</v>
      </c>
      <c r="C532" s="9">
        <f ca="1">RANK(D532,D517:D536,1)</f>
        <v>3</v>
      </c>
      <c r="D532" s="134">
        <f t="shared" ca="1" si="97"/>
        <v>3.532</v>
      </c>
      <c r="E532" s="134">
        <f ca="1">RANK(T532,T517:T536,1)</f>
        <v>3</v>
      </c>
      <c r="F532" s="187" t="str">
        <f>Calc2!$C$19</f>
        <v>TSG Hoffenheim</v>
      </c>
      <c r="G532" s="1">
        <f ca="1">SUMIFS(OFFSET(Calc2!$H$4,,,$F$26*B515,1),OFFSET(Calc2!$F$4,,,$F$26*B515,1),F532)+SUMIFS(OFFSET(Calc2!$I$4,,,$F$26*B515,1),OFFSET(Calc2!$G$4,,,$F$26*B515,1),F532)</f>
        <v>43</v>
      </c>
      <c r="H532" s="1">
        <f ca="1">SUMIFS(OFFSET(Calc2!$I$4,,,$F$26*B515,1),OFFSET(Calc2!$F$4,,,$F$26*B515,1),F532)+SUMIFS(OFFSET(Calc2!$H$4,,,$F$26*B515,1),OFFSET(Calc2!$G$4,,,$F$26*B515,1),F532)</f>
        <v>23</v>
      </c>
      <c r="I532" s="134">
        <f t="shared" ca="1" si="95"/>
        <v>20</v>
      </c>
      <c r="J532" s="12">
        <f ca="1">L532*Settings!$C$3+M532+O532</f>
        <v>42</v>
      </c>
      <c r="K532" s="1">
        <f t="shared" ca="1" si="98"/>
        <v>20</v>
      </c>
      <c r="L532" s="1">
        <f t="array" aca="1" ref="L532" ca="1">SUMPRODUCT((OFFSET(Calc2!$F$4,,,$F$26*B515,1)=F532)*(OFFSET(Calc2!$H$4,,,$F$26*B515,1)&gt;OFFSET(Calc2!$I$4,,,$F$26*B515,1)))+SUMPRODUCT((OFFSET(Calc2!$G$4,,,$F$26*B515,1)=F532)*(OFFSET(Calc2!$H$4,,,$F$26*B515,1)&lt;OFFSET(Calc2!$I$4,,,$F$26*B515,1)))</f>
        <v>13</v>
      </c>
      <c r="M532" s="1">
        <f t="array" aca="1" ref="M532" ca="1">SUMPRODUCT((OFFSET(Calc2!$F$4,,,$F$26*B515,2)=F532)*(OFFSET(Calc2!$H$4,,,$F$26*B515,1)=OFFSET(Calc2!$I$4,,,$F$26*B515,1))*(OFFSET(Calc2!$H$4,,,$F$26*B515,1)&lt;&gt;"")*(OFFSET(Calc2!$I$4,,,$F$26*B515,1)&lt;&gt;""))</f>
        <v>3</v>
      </c>
      <c r="N532" s="1">
        <f t="array" aca="1" ref="N532" ca="1">SUMPRODUCT((OFFSET(Calc2!$F$4,,,$F$26*B515,1)=F532)*(OFFSET(Calc2!$H$4,,,$F$26*B515,1)&lt;OFFSET(Calc2!$I$4,,,$F$26*B515,1)))+SUMPRODUCT((OFFSET(Calc2!$G$4,,,$F$26*B515,1)=F532)*(OFFSET(Calc2!$H$4,,,$F$26*B515,1)&gt;OFFSET(Calc2!$I$4,,,$F$26*B515,1)))</f>
        <v>4</v>
      </c>
      <c r="O532" s="132">
        <f ca="1">SUMPRODUCT((F532=OFFSET(Calc2!$F$4,,,$F$26*B515,1))*OFFSET(Calc2!$O$4,,,$F$26*B515,1))+SUMPRODUCT((F532=OFFSET(Calc2!$G$4,,,$F$26*B515,1))*OFFSET(Calc2!$P$4,,,$F$26*B515,1))</f>
        <v>0</v>
      </c>
      <c r="P532" s="2"/>
      <c r="Q532" s="2"/>
      <c r="R532" s="13">
        <f t="shared" ca="1" si="96"/>
        <v>42500020043</v>
      </c>
      <c r="S532" s="134">
        <f>Tie_Break!$D$22</f>
        <v>0</v>
      </c>
      <c r="T532" s="9">
        <f ca="1">RANK(R532,R517:R536)+(9-S532)/10000+(F532="")*1000</f>
        <v>3.0009000000000001</v>
      </c>
      <c r="U532" s="2"/>
      <c r="V532" s="134">
        <f ca="1">IF($K$24=0,"",IF(VLOOKUP(B532,C517:E536,3,0)=MAX(V$4:V531),VLOOKUP(B532,C517:E536,3,0),B532))</f>
        <v>16</v>
      </c>
      <c r="W532" s="4" t="str">
        <f ca="1">IF($K$24=0,Calc2!$C$19,VLOOKUP(B532,C517:N536,4,0))</f>
        <v>1. FSV Mainz 05</v>
      </c>
      <c r="X532" s="1">
        <f ca="1">INDEX(V490:V509,MATCH(W532,W490:W509,0))</f>
        <v>16</v>
      </c>
      <c r="Y532" s="1">
        <f t="shared" ca="1" si="99"/>
        <v>0</v>
      </c>
    </row>
    <row r="533" spans="2:25" x14ac:dyDescent="0.2">
      <c r="B533" s="1">
        <v>17</v>
      </c>
      <c r="C533" s="9">
        <f ca="1">RANK(D533,D517:D536,1)</f>
        <v>4</v>
      </c>
      <c r="D533" s="134">
        <f t="shared" ca="1" si="97"/>
        <v>4.5330000000000004</v>
      </c>
      <c r="E533" s="134">
        <f ca="1">RANK(T533,T517:T536,1)</f>
        <v>4</v>
      </c>
      <c r="F533" s="187" t="str">
        <f>Calc2!$C$20</f>
        <v>VfB Stuttgart</v>
      </c>
      <c r="G533" s="1">
        <f ca="1">SUMIFS(OFFSET(Calc2!$H$4,,,$F$26*B515,1),OFFSET(Calc2!$F$4,,,$F$26*B515,1),F533)+SUMIFS(OFFSET(Calc2!$I$4,,,$F$26*B515,1),OFFSET(Calc2!$G$4,,,$F$26*B515,1),F533)</f>
        <v>37</v>
      </c>
      <c r="H533" s="1">
        <f ca="1">SUMIFS(OFFSET(Calc2!$I$4,,,$F$26*B515,1),OFFSET(Calc2!$F$4,,,$F$26*B515,1),F533)+SUMIFS(OFFSET(Calc2!$H$4,,,$F$26*B515,1),OFFSET(Calc2!$G$4,,,$F$26*B515,1),F533)</f>
        <v>26</v>
      </c>
      <c r="I533" s="134">
        <f t="shared" ca="1" si="95"/>
        <v>11</v>
      </c>
      <c r="J533" s="12">
        <f ca="1">L533*Settings!$C$3+M533+O533</f>
        <v>39</v>
      </c>
      <c r="K533" s="1">
        <f t="shared" ca="1" si="98"/>
        <v>20</v>
      </c>
      <c r="L533" s="1">
        <f t="array" aca="1" ref="L533" ca="1">SUMPRODUCT((OFFSET(Calc2!$F$4,,,$F$26*B515,1)=F533)*(OFFSET(Calc2!$H$4,,,$F$26*B515,1)&gt;OFFSET(Calc2!$I$4,,,$F$26*B515,1)))+SUMPRODUCT((OFFSET(Calc2!$G$4,,,$F$26*B515,1)=F533)*(OFFSET(Calc2!$H$4,,,$F$26*B515,1)&lt;OFFSET(Calc2!$I$4,,,$F$26*B515,1)))</f>
        <v>12</v>
      </c>
      <c r="M533" s="1">
        <f t="array" aca="1" ref="M533" ca="1">SUMPRODUCT((OFFSET(Calc2!$F$4,,,$F$26*B515,2)=F533)*(OFFSET(Calc2!$H$4,,,$F$26*B515,1)=OFFSET(Calc2!$I$4,,,$F$26*B515,1))*(OFFSET(Calc2!$H$4,,,$F$26*B515,1)&lt;&gt;"")*(OFFSET(Calc2!$I$4,,,$F$26*B515,1)&lt;&gt;""))</f>
        <v>3</v>
      </c>
      <c r="N533" s="1">
        <f t="array" aca="1" ref="N533" ca="1">SUMPRODUCT((OFFSET(Calc2!$F$4,,,$F$26*B515,1)=F533)*(OFFSET(Calc2!$H$4,,,$F$26*B515,1)&lt;OFFSET(Calc2!$I$4,,,$F$26*B515,1)))+SUMPRODUCT((OFFSET(Calc2!$G$4,,,$F$26*B515,1)=F533)*(OFFSET(Calc2!$H$4,,,$F$26*B515,1)&gt;OFFSET(Calc2!$I$4,,,$F$26*B515,1)))</f>
        <v>5</v>
      </c>
      <c r="O533" s="132">
        <f ca="1">SUMPRODUCT((F533=OFFSET(Calc2!$F$4,,,$F$26*B515,1))*OFFSET(Calc2!$O$4,,,$F$26*B515,1))+SUMPRODUCT((F533=OFFSET(Calc2!$G$4,,,$F$26*B515,1))*OFFSET(Calc2!$P$4,,,$F$26*B515,1))</f>
        <v>0</v>
      </c>
      <c r="P533" s="2"/>
      <c r="Q533" s="2"/>
      <c r="R533" s="13">
        <f t="shared" ca="1" si="96"/>
        <v>39500011037</v>
      </c>
      <c r="S533" s="134">
        <f>Tie_Break!$D$23</f>
        <v>0</v>
      </c>
      <c r="T533" s="9">
        <f ca="1">RANK(R533,R517:R536)+(9-S533)/10000+(F533="")*1000</f>
        <v>4.0008999999999997</v>
      </c>
      <c r="U533" s="2"/>
      <c r="V533" s="134">
        <f ca="1">IF($K$24=0,"",IF(VLOOKUP(B533,C517:E536,3,0)=MAX(V$4:V532),VLOOKUP(B533,C517:E536,3,0),B533))</f>
        <v>17</v>
      </c>
      <c r="W533" s="4" t="str">
        <f ca="1">IF($K$24=0,Calc2!$C$20,VLOOKUP(B533,C517:N536,4,0))</f>
        <v>FC St. Pauli</v>
      </c>
      <c r="X533" s="1">
        <f ca="1">INDEX(V490:V509,MATCH(W533,W490:W509,0))</f>
        <v>17</v>
      </c>
      <c r="Y533" s="1">
        <f t="shared" ca="1" si="99"/>
        <v>0</v>
      </c>
    </row>
    <row r="534" spans="2:25" x14ac:dyDescent="0.2">
      <c r="B534" s="1">
        <v>18</v>
      </c>
      <c r="C534" s="9">
        <f ca="1">RANK(D534,D517:D536,1)</f>
        <v>14</v>
      </c>
      <c r="D534" s="134">
        <f t="shared" ca="1" si="97"/>
        <v>14.534000000000001</v>
      </c>
      <c r="E534" s="134">
        <f ca="1">RANK(T534,T517:T536,1)</f>
        <v>14</v>
      </c>
      <c r="F534" s="187" t="str">
        <f>Calc2!$C$21</f>
        <v>VfL Wolfsburg</v>
      </c>
      <c r="G534" s="1">
        <f ca="1">SUMIFS(OFFSET(Calc2!$H$4,,,$F$26*B515,1),OFFSET(Calc2!$F$4,,,$F$26*B515,1),F534)+SUMIFS(OFFSET(Calc2!$I$4,,,$F$26*B515,1),OFFSET(Calc2!$G$4,,,$F$26*B515,1),F534)</f>
        <v>28</v>
      </c>
      <c r="H534" s="1">
        <f ca="1">SUMIFS(OFFSET(Calc2!$I$4,,,$F$26*B515,1),OFFSET(Calc2!$F$4,,,$F$26*B515,1),F534)+SUMIFS(OFFSET(Calc2!$H$4,,,$F$26*B515,1),OFFSET(Calc2!$G$4,,,$F$26*B515,1),F534)</f>
        <v>42</v>
      </c>
      <c r="I534" s="134">
        <f t="shared" ca="1" si="95"/>
        <v>-14</v>
      </c>
      <c r="J534" s="12">
        <f ca="1">L534*Settings!$C$3+M534+O534</f>
        <v>19</v>
      </c>
      <c r="K534" s="1">
        <f t="shared" ca="1" si="98"/>
        <v>20</v>
      </c>
      <c r="L534" s="1">
        <f t="array" aca="1" ref="L534" ca="1">SUMPRODUCT((OFFSET(Calc2!$F$4,,,$F$26*B515,1)=F534)*(OFFSET(Calc2!$H$4,,,$F$26*B515,1)&gt;OFFSET(Calc2!$I$4,,,$F$26*B515,1)))+SUMPRODUCT((OFFSET(Calc2!$G$4,,,$F$26*B515,1)=F534)*(OFFSET(Calc2!$H$4,,,$F$26*B515,1)&lt;OFFSET(Calc2!$I$4,,,$F$26*B515,1)))</f>
        <v>5</v>
      </c>
      <c r="M534" s="1">
        <f t="array" aca="1" ref="M534" ca="1">SUMPRODUCT((OFFSET(Calc2!$F$4,,,$F$26*B515,2)=F534)*(OFFSET(Calc2!$H$4,,,$F$26*B515,1)=OFFSET(Calc2!$I$4,,,$F$26*B515,1))*(OFFSET(Calc2!$H$4,,,$F$26*B515,1)&lt;&gt;"")*(OFFSET(Calc2!$I$4,,,$F$26*B515,1)&lt;&gt;""))</f>
        <v>4</v>
      </c>
      <c r="N534" s="1">
        <f t="array" aca="1" ref="N534" ca="1">SUMPRODUCT((OFFSET(Calc2!$F$4,,,$F$26*B515,1)=F534)*(OFFSET(Calc2!$H$4,,,$F$26*B515,1)&lt;OFFSET(Calc2!$I$4,,,$F$26*B515,1)))+SUMPRODUCT((OFFSET(Calc2!$G$4,,,$F$26*B515,1)=F534)*(OFFSET(Calc2!$H$4,,,$F$26*B515,1)&gt;OFFSET(Calc2!$I$4,,,$F$26*B515,1)))</f>
        <v>11</v>
      </c>
      <c r="O534" s="132">
        <f ca="1">SUMPRODUCT((F534=OFFSET(Calc2!$F$4,,,$F$26*B515,1))*OFFSET(Calc2!$O$4,,,$F$26*B515,1))+SUMPRODUCT((F534=OFFSET(Calc2!$G$4,,,$F$26*B515,1))*OFFSET(Calc2!$P$4,,,$F$26*B515,1))</f>
        <v>0</v>
      </c>
      <c r="P534" s="2"/>
      <c r="Q534" s="2"/>
      <c r="R534" s="13">
        <f t="shared" ca="1" si="96"/>
        <v>19499986028</v>
      </c>
      <c r="S534" s="134">
        <f>Tie_Break!$D$24</f>
        <v>0</v>
      </c>
      <c r="T534" s="9">
        <f ca="1">RANK(R534,R517:R536)+(9-S534)/10000+(F534="")*1000</f>
        <v>14.0009</v>
      </c>
      <c r="U534" s="2"/>
      <c r="V534" s="134">
        <f ca="1">IF($K$24=0,"",IF(VLOOKUP(B534,C517:E536,3,0)=MAX(V$4:V533),VLOOKUP(B534,C517:E536,3,0),B534))</f>
        <v>18</v>
      </c>
      <c r="W534" s="4" t="str">
        <f ca="1">IF($K$24=0,Calc2!$C$21,VLOOKUP(B534,C517:N536,4,0))</f>
        <v>1. FC Heidenheim 1846</v>
      </c>
      <c r="X534" s="1">
        <f ca="1">INDEX(V490:V509,MATCH(W534,W490:W509,0))</f>
        <v>18</v>
      </c>
      <c r="Y534" s="1">
        <f t="shared" ca="1" si="99"/>
        <v>0</v>
      </c>
    </row>
    <row r="535" spans="2:25" x14ac:dyDescent="0.2">
      <c r="B535" s="1">
        <v>19</v>
      </c>
      <c r="C535" s="9">
        <f ca="1">RANK(D535,D517:D536,1)</f>
        <v>19</v>
      </c>
      <c r="D535" s="134">
        <f t="shared" ca="1" si="97"/>
        <v>19.535</v>
      </c>
      <c r="E535" s="134">
        <f ca="1">RANK(T535,T517:T536,1)</f>
        <v>19</v>
      </c>
      <c r="F535" s="187" t="str">
        <f>Calc2!$C$22</f>
        <v/>
      </c>
      <c r="G535" s="1">
        <f ca="1">SUMIFS(OFFSET(Calc2!$H$4,,,$F$26*B515,1),OFFSET(Calc2!$F$4,,,$F$26*B515,1),F535)+SUMIFS(OFFSET(Calc2!$I$4,,,$F$26*B515,1),OFFSET(Calc2!$G$4,,,$F$26*B515,1),F535)</f>
        <v>0</v>
      </c>
      <c r="H535" s="1">
        <f ca="1">SUMIFS(OFFSET(Calc2!$I$4,,,$F$26*B515,1),OFFSET(Calc2!$F$4,,,$F$26*B515,1),F535)+SUMIFS(OFFSET(Calc2!$H$4,,,$F$26*B515,1),OFFSET(Calc2!$G$4,,,$F$26*B515,1),F535)</f>
        <v>0</v>
      </c>
      <c r="I535" s="134">
        <f t="shared" ca="1" si="95"/>
        <v>0</v>
      </c>
      <c r="J535" s="12">
        <f ca="1">L535*Settings!$C$3+M535+O535</f>
        <v>0</v>
      </c>
      <c r="K535" s="1">
        <f t="shared" ca="1" si="98"/>
        <v>0</v>
      </c>
      <c r="L535" s="1">
        <f t="array" aca="1" ref="L535" ca="1">SUMPRODUCT((OFFSET(Calc2!$F$4,,,$F$26*B515,1)=F535)*(OFFSET(Calc2!$H$4,,,$F$26*B515,1)&gt;OFFSET(Calc2!$I$4,,,$F$26*B515,1)))+SUMPRODUCT((OFFSET(Calc2!$G$4,,,$F$26*B515,1)=F535)*(OFFSET(Calc2!$H$4,,,$F$26*B515,1)&lt;OFFSET(Calc2!$I$4,,,$F$26*B515,1)))</f>
        <v>0</v>
      </c>
      <c r="M535" s="1">
        <f t="array" aca="1" ref="M535" ca="1">SUMPRODUCT((OFFSET(Calc2!$F$4,,,$F$26*B515,2)=F535)*(OFFSET(Calc2!$H$4,,,$F$26*B515,1)=OFFSET(Calc2!$I$4,,,$F$26*B515,1))*(OFFSET(Calc2!$H$4,,,$F$26*B515,1)&lt;&gt;"")*(OFFSET(Calc2!$I$4,,,$F$26*B515,1)&lt;&gt;""))</f>
        <v>0</v>
      </c>
      <c r="N535" s="1">
        <f t="array" aca="1" ref="N535" ca="1">SUMPRODUCT((OFFSET(Calc2!$F$4,,,$F$26*B515,1)=F535)*(OFFSET(Calc2!$H$4,,,$F$26*B515,1)&lt;OFFSET(Calc2!$I$4,,,$F$26*B515,1)))+SUMPRODUCT((OFFSET(Calc2!$G$4,,,$F$26*B515,1)=F535)*(OFFSET(Calc2!$H$4,,,$F$26*B515,1)&gt;OFFSET(Calc2!$I$4,,,$F$26*B515,1)))</f>
        <v>0</v>
      </c>
      <c r="O535" s="132">
        <f ca="1">SUMPRODUCT((F535=OFFSET(Calc2!$F$4,,,$F$26*B515,1))*OFFSET(Calc2!$O$4,,,$F$26*B515,1))+SUMPRODUCT((F535=OFFSET(Calc2!$G$4,,,$F$26*B515,1))*OFFSET(Calc2!$P$4,,,$F$26*B515,1))</f>
        <v>0</v>
      </c>
      <c r="P535" s="2"/>
      <c r="Q535" s="2"/>
      <c r="R535" s="13">
        <f t="shared" ca="1" si="96"/>
        <v>500000000</v>
      </c>
      <c r="S535" s="134">
        <f>Tie_Break!$D$25</f>
        <v>0</v>
      </c>
      <c r="T535" s="9">
        <f ca="1">RANK(R535,R517:R536)+(9-S535)/10000+(F535="")*1000</f>
        <v>1019.0009</v>
      </c>
      <c r="U535" s="2"/>
      <c r="V535" s="134">
        <f ca="1">IF($K$24=0,"",IF(VLOOKUP(B535,C517:E536,3,0)=MAX(V$4:V534),VLOOKUP(B535,C517:E536,3,0),B535))</f>
        <v>19</v>
      </c>
      <c r="W535" s="4" t="str">
        <f ca="1">IF($K$24=0,Calc2!$C$22,VLOOKUP(B535,C517:N536,4,0))</f>
        <v/>
      </c>
      <c r="X535" s="1">
        <f ca="1">INDEX(V490:V509,MATCH(W535,W490:W509,0))</f>
        <v>19</v>
      </c>
      <c r="Y535" s="1">
        <f t="shared" ca="1" si="99"/>
        <v>0</v>
      </c>
    </row>
    <row r="536" spans="2:25" ht="12.75" thickBot="1" x14ac:dyDescent="0.25">
      <c r="B536" s="1">
        <v>20</v>
      </c>
      <c r="C536" s="10">
        <f ca="1">RANK(D536,D517:D536,1)</f>
        <v>20</v>
      </c>
      <c r="D536" s="134">
        <f t="shared" ca="1" si="97"/>
        <v>19.536000000000001</v>
      </c>
      <c r="E536" s="134">
        <f ca="1">RANK(T536,T517:T536,1)</f>
        <v>19</v>
      </c>
      <c r="F536" s="187" t="str">
        <f>Calc2!$C$23</f>
        <v/>
      </c>
      <c r="G536" s="1">
        <f ca="1">SUMIFS(OFFSET(Calc2!$H$4,,,$F$26*B515,1),OFFSET(Calc2!$F$4,,,$F$26*B515,1),F536)+SUMIFS(OFFSET(Calc2!$I$4,,,$F$26*B515,1),OFFSET(Calc2!$G$4,,,$F$26*B515,1),F536)</f>
        <v>0</v>
      </c>
      <c r="H536" s="1">
        <f ca="1">SUMIFS(OFFSET(Calc2!$I$4,,,$F$26*B515,1),OFFSET(Calc2!$F$4,,,$F$26*B515,1),F536)+SUMIFS(OFFSET(Calc2!$H$4,,,$F$26*B515,1),OFFSET(Calc2!$G$4,,,$F$26*B515,1),F536)</f>
        <v>0</v>
      </c>
      <c r="I536" s="134">
        <f t="shared" ca="1" si="95"/>
        <v>0</v>
      </c>
      <c r="J536" s="12">
        <f ca="1">L536*Settings!$C$3+M536+O536</f>
        <v>0</v>
      </c>
      <c r="K536" s="1">
        <f t="shared" ca="1" si="98"/>
        <v>0</v>
      </c>
      <c r="L536" s="1">
        <f t="array" aca="1" ref="L536" ca="1">SUMPRODUCT((OFFSET(Calc2!$F$4,,,$F$26*B515,1)=F536)*(OFFSET(Calc2!$H$4,,,$F$26*B515,1)&gt;OFFSET(Calc2!$I$4,,,$F$26*B515,1)))+SUMPRODUCT((OFFSET(Calc2!$G$4,,,$F$26*B515,1)=F536)*(OFFSET(Calc2!$H$4,,,$F$26*B515,1)&lt;OFFSET(Calc2!$I$4,,,$F$26*B515,1)))</f>
        <v>0</v>
      </c>
      <c r="M536" s="1">
        <f t="array" aca="1" ref="M536" ca="1">SUMPRODUCT((OFFSET(Calc2!$F$4,,,$F$26*B515,2)=F536)*(OFFSET(Calc2!$H$4,,,$F$26*B515,1)=OFFSET(Calc2!$I$4,,,$F$26*B515,1))*(OFFSET(Calc2!$H$4,,,$F$26*B515,1)&lt;&gt;"")*(OFFSET(Calc2!$I$4,,,$F$26*B515,1)&lt;&gt;""))</f>
        <v>0</v>
      </c>
      <c r="N536" s="1">
        <f t="array" aca="1" ref="N536" ca="1">SUMPRODUCT((OFFSET(Calc2!$F$4,,,$F$26*B515,1)=F536)*(OFFSET(Calc2!$H$4,,,$F$26*B515,1)&lt;OFFSET(Calc2!$I$4,,,$F$26*B515,1)))+SUMPRODUCT((OFFSET(Calc2!$G$4,,,$F$26*B515,1)=F536)*(OFFSET(Calc2!$H$4,,,$F$26*B515,1)&gt;OFFSET(Calc2!$I$4,,,$F$26*B515,1)))</f>
        <v>0</v>
      </c>
      <c r="O536" s="132">
        <f ca="1">SUMPRODUCT((F536=OFFSET(Calc2!$F$4,,,$F$26*B515,1))*OFFSET(Calc2!$O$4,,,$F$26*B515,1))+SUMPRODUCT((F536=OFFSET(Calc2!$G$4,,,$F$26*B515,1))*OFFSET(Calc2!$P$4,,,$F$26*B515,1))</f>
        <v>0</v>
      </c>
      <c r="P536" s="2"/>
      <c r="Q536" s="2"/>
      <c r="R536" s="13">
        <f t="shared" ca="1" si="96"/>
        <v>500000000</v>
      </c>
      <c r="S536" s="134">
        <f>Tie_Break!$D$26</f>
        <v>0</v>
      </c>
      <c r="T536" s="10">
        <f ca="1">RANK(R536,R517:R536)+(9-S536)/10000+(F536="")*1000</f>
        <v>1019.0009</v>
      </c>
      <c r="U536" s="2"/>
      <c r="V536" s="134">
        <f ca="1">IF($K$24=0,"",IF(VLOOKUP(B536,C517:E536,3,0)=MAX(V$4:V535),VLOOKUP(B536,C517:E536,3,0),B536))</f>
        <v>19</v>
      </c>
      <c r="W536" s="4" t="str">
        <f ca="1">IF($K$24=0,Calc2!$C$23,VLOOKUP(B536,C517:N536,4,0))</f>
        <v/>
      </c>
      <c r="X536" s="1">
        <f ca="1">INDEX(V490:V509,MATCH(W536,W490:W509,0))</f>
        <v>19</v>
      </c>
      <c r="Y536" s="1">
        <f t="shared" ca="1" si="99"/>
        <v>0</v>
      </c>
    </row>
    <row r="537" spans="2:25" ht="12.75" thickTop="1" x14ac:dyDescent="0.2"/>
    <row r="541" spans="2:25" ht="12.75" thickBot="1" x14ac:dyDescent="0.25"/>
    <row r="542" spans="2:25" ht="12.75" thickBot="1" x14ac:dyDescent="0.25">
      <c r="B542" s="410">
        <v>21</v>
      </c>
      <c r="C542" s="134"/>
      <c r="D542" s="134"/>
      <c r="E542" s="134"/>
      <c r="F542" s="187"/>
      <c r="G542" s="1"/>
      <c r="H542" s="1"/>
      <c r="I542" s="1"/>
      <c r="J542" s="1"/>
      <c r="K542" s="1"/>
      <c r="L542" s="1"/>
      <c r="M542" s="1"/>
      <c r="N542" s="134"/>
      <c r="O542" s="1"/>
      <c r="P542" s="1"/>
      <c r="Q542" s="1"/>
      <c r="R542" s="2"/>
      <c r="S542" s="2"/>
      <c r="T542" s="2"/>
      <c r="U542" s="2"/>
      <c r="V542" s="2"/>
      <c r="W542" s="2"/>
    </row>
    <row r="543" spans="2:25" ht="15.75" thickBot="1" x14ac:dyDescent="0.25">
      <c r="B543" s="1"/>
      <c r="C543" s="134"/>
      <c r="D543" s="134"/>
      <c r="E543" s="134"/>
      <c r="F543" s="11" t="s">
        <v>90</v>
      </c>
      <c r="G543" s="42" t="s">
        <v>95</v>
      </c>
      <c r="H543" s="42" t="s">
        <v>96</v>
      </c>
      <c r="I543" s="11" t="s">
        <v>97</v>
      </c>
      <c r="J543" s="11" t="s">
        <v>98</v>
      </c>
      <c r="K543" s="11" t="s">
        <v>91</v>
      </c>
      <c r="L543" s="12" t="s">
        <v>92</v>
      </c>
      <c r="M543" s="12" t="s">
        <v>93</v>
      </c>
      <c r="N543" s="12" t="s">
        <v>94</v>
      </c>
      <c r="O543" s="12" t="s">
        <v>534</v>
      </c>
      <c r="P543" s="2"/>
      <c r="Q543" s="11"/>
      <c r="R543" s="133" t="s">
        <v>99</v>
      </c>
      <c r="S543" s="6" t="s">
        <v>483</v>
      </c>
      <c r="T543" s="120" t="s">
        <v>146</v>
      </c>
      <c r="U543" s="134"/>
      <c r="V543" s="134"/>
      <c r="W543" s="132"/>
      <c r="X543" s="120" t="s">
        <v>575</v>
      </c>
      <c r="Y543" s="1"/>
    </row>
    <row r="544" spans="2:25" ht="12.75" thickTop="1" x14ac:dyDescent="0.2">
      <c r="B544" s="1">
        <v>1</v>
      </c>
      <c r="C544" s="8">
        <f ca="1">RANK(D544,D544:D563,1)</f>
        <v>18</v>
      </c>
      <c r="D544" s="134">
        <f ca="1">E544+ROW()/1000</f>
        <v>18.544</v>
      </c>
      <c r="E544" s="134">
        <f ca="1">RANK(T544,T544:T563,1)</f>
        <v>18</v>
      </c>
      <c r="F544" s="187" t="str">
        <f>Calc2!$C$4</f>
        <v>1. FC Heidenheim 1846</v>
      </c>
      <c r="G544" s="1">
        <f ca="1">SUMIFS(OFFSET(Calc2!$H$4,,,$F$26*B542,1),OFFSET(Calc2!$F$4,,,$F$26*B542,1),F544)+SUMIFS(OFFSET(Calc2!$I$4,,,$F$26*B542,1),OFFSET(Calc2!$G$4,,,$F$26*B542,1),F544)</f>
        <v>19</v>
      </c>
      <c r="H544" s="1">
        <f ca="1">SUMIFS(OFFSET(Calc2!$I$4,,,$F$26*B542,1),OFFSET(Calc2!$F$4,,,$F$26*B542,1),F544)+SUMIFS(OFFSET(Calc2!$H$4,,,$F$26*B542,1),OFFSET(Calc2!$G$4,,,$F$26*B542,1),F544)</f>
        <v>47</v>
      </c>
      <c r="I544" s="134">
        <f t="shared" ref="I544:I563" ca="1" si="100">G544-H544</f>
        <v>-28</v>
      </c>
      <c r="J544" s="12">
        <f ca="1">L544*Settings!$C$3+M544+O544</f>
        <v>13</v>
      </c>
      <c r="K544" s="1">
        <f ca="1">L544+M544+N544</f>
        <v>21</v>
      </c>
      <c r="L544" s="1">
        <f t="array" aca="1" ref="L544" ca="1">SUMPRODUCT((OFFSET(Calc2!$F$4,,,$F$26*B542,1)=F544)*(OFFSET(Calc2!$H$4,,,$F$26*B542,1)&gt;OFFSET(Calc2!$I$4,,,$F$26*B542,1)))+SUMPRODUCT((OFFSET(Calc2!$G$4,,,$F$26*B542,1)=F544)*(OFFSET(Calc2!$H$4,,,$F$26*B542,1)&lt;OFFSET(Calc2!$I$4,,,$F$26*B542,1)))</f>
        <v>3</v>
      </c>
      <c r="M544" s="1">
        <f t="array" aca="1" ref="M544" ca="1">SUMPRODUCT((OFFSET(Calc2!$F$4,,,$F$26*B542,2)=F544)*(OFFSET(Calc2!$H$4,,,$F$26*B542,1)=OFFSET(Calc2!$I$4,,,$F$26*B542,1))*(OFFSET(Calc2!$H$4,,,$F$26*B542,1)&lt;&gt;"")*(OFFSET(Calc2!$I$4,,,$F$26*B542,1)&lt;&gt;""))</f>
        <v>4</v>
      </c>
      <c r="N544" s="1">
        <f t="array" aca="1" ref="N544" ca="1">SUMPRODUCT((OFFSET(Calc2!$F$4,,,$F$26*B542,1)=F544)*(OFFSET(Calc2!$H$4,,,$F$26*B542,1)&lt;OFFSET(Calc2!$I$4,,,$F$26*B542,1)))+SUMPRODUCT((OFFSET(Calc2!$G$4,,,$F$26*B542,1)=F544)*(OFFSET(Calc2!$H$4,,,$F$26*B542,1)&gt;OFFSET(Calc2!$I$4,,,$F$26*B542,1)))</f>
        <v>14</v>
      </c>
      <c r="O544" s="132">
        <f ca="1">SUMPRODUCT((F544=OFFSET(Calc2!$F$4,,,$F$26*B542,1))*OFFSET(Calc2!$O$4,,,$F$26*B542,1))+SUMPRODUCT((F544=OFFSET(Calc2!$G$4,,,$F$26*B542,1))*OFFSET(Calc2!$P$4,,,$F$26*B542,1))</f>
        <v>0</v>
      </c>
      <c r="P544" s="2"/>
      <c r="Q544" s="2"/>
      <c r="R544" s="13">
        <f t="shared" ref="R544:R563" ca="1" si="101">J544*FactorPts+(I544+GDzero)*FactorGD+G544*FactorGF</f>
        <v>13499972019</v>
      </c>
      <c r="S544" s="134">
        <f>Tie_Break!$D$7</f>
        <v>0</v>
      </c>
      <c r="T544" s="8">
        <f ca="1">RANK(R544,R544:R563)+(9-S544)/10000+(F544="")*1000</f>
        <v>18.000900000000001</v>
      </c>
      <c r="U544" s="134"/>
      <c r="V544" s="134">
        <f ca="1">IF($K$24=0,"",1)</f>
        <v>1</v>
      </c>
      <c r="W544" s="4" t="str">
        <f ca="1">IF($K$24=0,Calc2!$C$4,VLOOKUP(B544,C544:N563,4,0))</f>
        <v>FC Bayern München</v>
      </c>
      <c r="X544" s="1">
        <f ca="1">INDEX(V517:V536,MATCH(W544,W517:W536,0))</f>
        <v>1</v>
      </c>
      <c r="Y544" s="1">
        <f ca="1">IF(X544&gt;V544,1,IF(X544&lt;V544,-1,0))</f>
        <v>0</v>
      </c>
    </row>
    <row r="545" spans="2:25" x14ac:dyDescent="0.2">
      <c r="B545" s="1">
        <v>2</v>
      </c>
      <c r="C545" s="9">
        <f ca="1">RANK(D545,D544:D563,1)</f>
        <v>10</v>
      </c>
      <c r="D545" s="134">
        <f t="shared" ref="D545:D563" ca="1" si="102">E545+ROW()/1000</f>
        <v>10.545</v>
      </c>
      <c r="E545" s="134">
        <f ca="1">RANK(T545,T544:T563,1)</f>
        <v>10</v>
      </c>
      <c r="F545" s="187" t="str">
        <f>Calc2!$C$5</f>
        <v>1. FC Köln</v>
      </c>
      <c r="G545" s="1">
        <f ca="1">SUMIFS(OFFSET(Calc2!$H$4,,,$F$26*B542,1),OFFSET(Calc2!$F$4,,,$F$26*B542,1),F545)+SUMIFS(OFFSET(Calc2!$I$4,,,$F$26*B542,1),OFFSET(Calc2!$G$4,,,$F$26*B542,1),F545)</f>
        <v>30</v>
      </c>
      <c r="H545" s="1">
        <f ca="1">SUMIFS(OFFSET(Calc2!$I$4,,,$F$26*B542,1),OFFSET(Calc2!$F$4,,,$F$26*B542,1),F545)+SUMIFS(OFFSET(Calc2!$H$4,,,$F$26*B542,1),OFFSET(Calc2!$G$4,,,$F$26*B542,1),F545)</f>
        <v>34</v>
      </c>
      <c r="I545" s="134">
        <f t="shared" ca="1" si="100"/>
        <v>-4</v>
      </c>
      <c r="J545" s="12">
        <f ca="1">L545*Settings!$C$3+M545+O545</f>
        <v>23</v>
      </c>
      <c r="K545" s="1">
        <f t="shared" ref="K545:K563" ca="1" si="103">L545+M545+N545</f>
        <v>21</v>
      </c>
      <c r="L545" s="1">
        <f t="array" aca="1" ref="L545" ca="1">SUMPRODUCT((OFFSET(Calc2!$F$4,,,$F$26*B542,1)=F545)*(OFFSET(Calc2!$H$4,,,$F$26*B542,1)&gt;OFFSET(Calc2!$I$4,,,$F$26*B542,1)))+SUMPRODUCT((OFFSET(Calc2!$G$4,,,$F$26*B542,1)=F545)*(OFFSET(Calc2!$H$4,,,$F$26*B542,1)&lt;OFFSET(Calc2!$I$4,,,$F$26*B542,1)))</f>
        <v>6</v>
      </c>
      <c r="M545" s="1">
        <f t="array" aca="1" ref="M545" ca="1">SUMPRODUCT((OFFSET(Calc2!$F$4,,,$F$26*B542,2)=F545)*(OFFSET(Calc2!$H$4,,,$F$26*B542,1)=OFFSET(Calc2!$I$4,,,$F$26*B542,1))*(OFFSET(Calc2!$H$4,,,$F$26*B542,1)&lt;&gt;"")*(OFFSET(Calc2!$I$4,,,$F$26*B542,1)&lt;&gt;""))</f>
        <v>5</v>
      </c>
      <c r="N545" s="1">
        <f t="array" aca="1" ref="N545" ca="1">SUMPRODUCT((OFFSET(Calc2!$F$4,,,$F$26*B542,1)=F545)*(OFFSET(Calc2!$H$4,,,$F$26*B542,1)&lt;OFFSET(Calc2!$I$4,,,$F$26*B542,1)))+SUMPRODUCT((OFFSET(Calc2!$G$4,,,$F$26*B542,1)=F545)*(OFFSET(Calc2!$H$4,,,$F$26*B542,1)&gt;OFFSET(Calc2!$I$4,,,$F$26*B542,1)))</f>
        <v>10</v>
      </c>
      <c r="O545" s="132">
        <f ca="1">SUMPRODUCT((F545=OFFSET(Calc2!$F$4,,,$F$26*B542,1))*OFFSET(Calc2!$O$4,,,$F$26*B542,1))+SUMPRODUCT((F545=OFFSET(Calc2!$G$4,,,$F$26*B542,1))*OFFSET(Calc2!$P$4,,,$F$26*B542,1))</f>
        <v>0</v>
      </c>
      <c r="P545" s="2"/>
      <c r="Q545" s="2"/>
      <c r="R545" s="13">
        <f t="shared" ca="1" si="101"/>
        <v>23499996030</v>
      </c>
      <c r="S545" s="134">
        <f>Tie_Break!$D$8</f>
        <v>0</v>
      </c>
      <c r="T545" s="9">
        <f ca="1">RANK(R545,R544:R563)+(9-S545)/10000+(F545="")*1000</f>
        <v>10.0009</v>
      </c>
      <c r="U545" s="134"/>
      <c r="V545" s="134">
        <f ca="1">IF($K$24=0,"",IF(VLOOKUP(B545,C544:E563,3,0)=MAX(V$4:V544),VLOOKUP(B545,C544:E563,3,0),B545))</f>
        <v>2</v>
      </c>
      <c r="W545" s="4" t="str">
        <f ca="1">IF($K$24=0,Calc2!$C$5,VLOOKUP(B545,C544:N563,4,0))</f>
        <v>Borussia Dortmund</v>
      </c>
      <c r="X545" s="1">
        <f ca="1">INDEX(V517:V536,MATCH(W545,W517:W536,0))</f>
        <v>2</v>
      </c>
      <c r="Y545" s="1">
        <f t="shared" ref="Y545:Y563" ca="1" si="104">IF(X545&gt;V545,1,IF(X545&lt;V545,-1,0))</f>
        <v>0</v>
      </c>
    </row>
    <row r="546" spans="2:25" x14ac:dyDescent="0.2">
      <c r="B546" s="1">
        <v>3</v>
      </c>
      <c r="C546" s="9">
        <f ca="1">RANK(D546,D544:D563,1)</f>
        <v>9</v>
      </c>
      <c r="D546" s="134">
        <f t="shared" ca="1" si="102"/>
        <v>9.5459999999999994</v>
      </c>
      <c r="E546" s="134">
        <f ca="1">RANK(T546,T544:T563,1)</f>
        <v>9</v>
      </c>
      <c r="F546" s="187" t="str">
        <f>Calc2!$C$6</f>
        <v>1. FC Union Berlin</v>
      </c>
      <c r="G546" s="1">
        <f ca="1">SUMIFS(OFFSET(Calc2!$H$4,,,$F$26*B542,1),OFFSET(Calc2!$F$4,,,$F$26*B542,1),F546)+SUMIFS(OFFSET(Calc2!$I$4,,,$F$26*B542,1),OFFSET(Calc2!$G$4,,,$F$26*B542,1),F546)</f>
        <v>26</v>
      </c>
      <c r="H546" s="1">
        <f ca="1">SUMIFS(OFFSET(Calc2!$I$4,,,$F$26*B542,1),OFFSET(Calc2!$F$4,,,$F$26*B542,1),F546)+SUMIFS(OFFSET(Calc2!$H$4,,,$F$26*B542,1),OFFSET(Calc2!$G$4,,,$F$26*B542,1),F546)</f>
        <v>34</v>
      </c>
      <c r="I546" s="134">
        <f t="shared" ca="1" si="100"/>
        <v>-8</v>
      </c>
      <c r="J546" s="12">
        <f ca="1">L546*Settings!$C$3+M546+O546</f>
        <v>25</v>
      </c>
      <c r="K546" s="1">
        <f t="shared" ca="1" si="103"/>
        <v>21</v>
      </c>
      <c r="L546" s="1">
        <f t="array" aca="1" ref="L546" ca="1">SUMPRODUCT((OFFSET(Calc2!$F$4,,,$F$26*B542,1)=F546)*(OFFSET(Calc2!$H$4,,,$F$26*B542,1)&gt;OFFSET(Calc2!$I$4,,,$F$26*B542,1)))+SUMPRODUCT((OFFSET(Calc2!$G$4,,,$F$26*B542,1)=F546)*(OFFSET(Calc2!$H$4,,,$F$26*B542,1)&lt;OFFSET(Calc2!$I$4,,,$F$26*B542,1)))</f>
        <v>6</v>
      </c>
      <c r="M546" s="1">
        <f t="array" aca="1" ref="M546" ca="1">SUMPRODUCT((OFFSET(Calc2!$F$4,,,$F$26*B542,2)=F546)*(OFFSET(Calc2!$H$4,,,$F$26*B542,1)=OFFSET(Calc2!$I$4,,,$F$26*B542,1))*(OFFSET(Calc2!$H$4,,,$F$26*B542,1)&lt;&gt;"")*(OFFSET(Calc2!$I$4,,,$F$26*B542,1)&lt;&gt;""))</f>
        <v>7</v>
      </c>
      <c r="N546" s="1">
        <f t="array" aca="1" ref="N546" ca="1">SUMPRODUCT((OFFSET(Calc2!$F$4,,,$F$26*B542,1)=F546)*(OFFSET(Calc2!$H$4,,,$F$26*B542,1)&lt;OFFSET(Calc2!$I$4,,,$F$26*B542,1)))+SUMPRODUCT((OFFSET(Calc2!$G$4,,,$F$26*B542,1)=F546)*(OFFSET(Calc2!$H$4,,,$F$26*B542,1)&gt;OFFSET(Calc2!$I$4,,,$F$26*B542,1)))</f>
        <v>8</v>
      </c>
      <c r="O546" s="132">
        <f ca="1">SUMPRODUCT((F546=OFFSET(Calc2!$F$4,,,$F$26*B542,1))*OFFSET(Calc2!$O$4,,,$F$26*B542,1))+SUMPRODUCT((F546=OFFSET(Calc2!$G$4,,,$F$26*B542,1))*OFFSET(Calc2!$P$4,,,$F$26*B542,1))</f>
        <v>0</v>
      </c>
      <c r="P546" s="2"/>
      <c r="Q546" s="2"/>
      <c r="R546" s="13">
        <f t="shared" ca="1" si="101"/>
        <v>25499992026</v>
      </c>
      <c r="S546" s="134">
        <f>Tie_Break!$D$9</f>
        <v>0</v>
      </c>
      <c r="T546" s="9">
        <f ca="1">RANK(R546,R544:R563)+(9-S546)/10000+(F546="")*1000</f>
        <v>9.0008999999999997</v>
      </c>
      <c r="U546" s="134"/>
      <c r="V546" s="134">
        <f ca="1">IF($K$24=0,"",IF(VLOOKUP(B546,C544:E563,3,0)=MAX(V$4:V545),VLOOKUP(B546,C544:E563,3,0),B546))</f>
        <v>3</v>
      </c>
      <c r="W546" s="4" t="str">
        <f ca="1">IF($K$24=0,Calc2!$C$6,VLOOKUP(B546,C544:N563,4,0))</f>
        <v>TSG Hoffenheim</v>
      </c>
      <c r="X546" s="1">
        <f ca="1">INDEX(V517:V536,MATCH(W546,W517:W536,0))</f>
        <v>3</v>
      </c>
      <c r="Y546" s="1">
        <f t="shared" ca="1" si="104"/>
        <v>0</v>
      </c>
    </row>
    <row r="547" spans="2:25" x14ac:dyDescent="0.2">
      <c r="B547" s="1">
        <v>4</v>
      </c>
      <c r="C547" s="9">
        <f ca="1">RANK(D547,D544:D563,1)</f>
        <v>14</v>
      </c>
      <c r="D547" s="134">
        <f t="shared" ca="1" si="102"/>
        <v>14.547000000000001</v>
      </c>
      <c r="E547" s="134">
        <f ca="1">RANK(T547,T544:T563,1)</f>
        <v>14</v>
      </c>
      <c r="F547" s="187" t="str">
        <f>Calc2!$C$7</f>
        <v>1. FSV Mainz 05</v>
      </c>
      <c r="G547" s="1">
        <f ca="1">SUMIFS(OFFSET(Calc2!$H$4,,,$F$26*B542,1),OFFSET(Calc2!$F$4,,,$F$26*B542,1),F547)+SUMIFS(OFFSET(Calc2!$I$4,,,$F$26*B542,1),OFFSET(Calc2!$G$4,,,$F$26*B542,1),F547)</f>
        <v>25</v>
      </c>
      <c r="H547" s="1">
        <f ca="1">SUMIFS(OFFSET(Calc2!$I$4,,,$F$26*B542,1),OFFSET(Calc2!$F$4,,,$F$26*B542,1),F547)+SUMIFS(OFFSET(Calc2!$H$4,,,$F$26*B542,1),OFFSET(Calc2!$G$4,,,$F$26*B542,1),F547)</f>
        <v>33</v>
      </c>
      <c r="I547" s="134">
        <f t="shared" ca="1" si="100"/>
        <v>-8</v>
      </c>
      <c r="J547" s="12">
        <f ca="1">L547*Settings!$C$3+M547+O547</f>
        <v>21</v>
      </c>
      <c r="K547" s="1">
        <f t="shared" ca="1" si="103"/>
        <v>21</v>
      </c>
      <c r="L547" s="1">
        <f t="array" aca="1" ref="L547" ca="1">SUMPRODUCT((OFFSET(Calc2!$F$4,,,$F$26*B542,1)=F547)*(OFFSET(Calc2!$H$4,,,$F$26*B542,1)&gt;OFFSET(Calc2!$I$4,,,$F$26*B542,1)))+SUMPRODUCT((OFFSET(Calc2!$G$4,,,$F$26*B542,1)=F547)*(OFFSET(Calc2!$H$4,,,$F$26*B542,1)&lt;OFFSET(Calc2!$I$4,,,$F$26*B542,1)))</f>
        <v>5</v>
      </c>
      <c r="M547" s="1">
        <f t="array" aca="1" ref="M547" ca="1">SUMPRODUCT((OFFSET(Calc2!$F$4,,,$F$26*B542,2)=F547)*(OFFSET(Calc2!$H$4,,,$F$26*B542,1)=OFFSET(Calc2!$I$4,,,$F$26*B542,1))*(OFFSET(Calc2!$H$4,,,$F$26*B542,1)&lt;&gt;"")*(OFFSET(Calc2!$I$4,,,$F$26*B542,1)&lt;&gt;""))</f>
        <v>6</v>
      </c>
      <c r="N547" s="1">
        <f t="array" aca="1" ref="N547" ca="1">SUMPRODUCT((OFFSET(Calc2!$F$4,,,$F$26*B542,1)=F547)*(OFFSET(Calc2!$H$4,,,$F$26*B542,1)&lt;OFFSET(Calc2!$I$4,,,$F$26*B542,1)))+SUMPRODUCT((OFFSET(Calc2!$G$4,,,$F$26*B542,1)=F547)*(OFFSET(Calc2!$H$4,,,$F$26*B542,1)&gt;OFFSET(Calc2!$I$4,,,$F$26*B542,1)))</f>
        <v>10</v>
      </c>
      <c r="O547" s="132">
        <f ca="1">SUMPRODUCT((F547=OFFSET(Calc2!$F$4,,,$F$26*B542,1))*OFFSET(Calc2!$O$4,,,$F$26*B542,1))+SUMPRODUCT((F547=OFFSET(Calc2!$G$4,,,$F$26*B542,1))*OFFSET(Calc2!$P$4,,,$F$26*B542,1))</f>
        <v>0</v>
      </c>
      <c r="P547" s="2"/>
      <c r="Q547" s="2"/>
      <c r="R547" s="13">
        <f t="shared" ca="1" si="101"/>
        <v>21499992025</v>
      </c>
      <c r="S547" s="134">
        <f>Tie_Break!$D$10</f>
        <v>0</v>
      </c>
      <c r="T547" s="9">
        <f ca="1">RANK(R547,R544:R563)+(9-S547)/10000+(F547="")*1000</f>
        <v>14.0009</v>
      </c>
      <c r="U547" s="134"/>
      <c r="V547" s="134">
        <f ca="1">IF($K$24=0,"",IF(VLOOKUP(B547,C544:E563,3,0)=MAX(V$4:V546),VLOOKUP(B547,C544:E563,3,0),B547))</f>
        <v>4</v>
      </c>
      <c r="W547" s="4" t="str">
        <f ca="1">IF($K$24=0,Calc2!$C$7,VLOOKUP(B547,C544:N563,4,0))</f>
        <v>Bayer 04 Leverkusen</v>
      </c>
      <c r="X547" s="1">
        <f ca="1">INDEX(V517:V536,MATCH(W547,W517:W536,0))</f>
        <v>5</v>
      </c>
      <c r="Y547" s="1">
        <f t="shared" ca="1" si="104"/>
        <v>1</v>
      </c>
    </row>
    <row r="548" spans="2:25" x14ac:dyDescent="0.2">
      <c r="B548" s="1">
        <v>5</v>
      </c>
      <c r="C548" s="9">
        <f ca="1">RANK(D548,D544:D563,1)</f>
        <v>4</v>
      </c>
      <c r="D548" s="134">
        <f t="shared" ca="1" si="102"/>
        <v>4.548</v>
      </c>
      <c r="E548" s="134">
        <f ca="1">RANK(T548,T544:T563,1)</f>
        <v>4</v>
      </c>
      <c r="F548" s="187" t="str">
        <f>Calc2!$C$8</f>
        <v>Bayer 04 Leverkusen</v>
      </c>
      <c r="G548" s="1">
        <f ca="1">SUMIFS(OFFSET(Calc2!$H$4,,,$F$26*B542,1),OFFSET(Calc2!$F$4,,,$F$26*B542,1),F548)+SUMIFS(OFFSET(Calc2!$I$4,,,$F$26*B542,1),OFFSET(Calc2!$G$4,,,$F$26*B542,1),F548)</f>
        <v>40</v>
      </c>
      <c r="H548" s="1">
        <f ca="1">SUMIFS(OFFSET(Calc2!$I$4,,,$F$26*B542,1),OFFSET(Calc2!$F$4,,,$F$26*B542,1),F548)+SUMIFS(OFFSET(Calc2!$H$4,,,$F$26*B542,1),OFFSET(Calc2!$G$4,,,$F$26*B542,1),F548)</f>
        <v>27</v>
      </c>
      <c r="I548" s="134">
        <f t="shared" ca="1" si="100"/>
        <v>13</v>
      </c>
      <c r="J548" s="12">
        <f ca="1">L548*Settings!$C$3+M548+O548</f>
        <v>39</v>
      </c>
      <c r="K548" s="1">
        <f t="shared" ca="1" si="103"/>
        <v>21</v>
      </c>
      <c r="L548" s="1">
        <f t="array" aca="1" ref="L548" ca="1">SUMPRODUCT((OFFSET(Calc2!$F$4,,,$F$26*B542,1)=F548)*(OFFSET(Calc2!$H$4,,,$F$26*B542,1)&gt;OFFSET(Calc2!$I$4,,,$F$26*B542,1)))+SUMPRODUCT((OFFSET(Calc2!$G$4,,,$F$26*B542,1)=F548)*(OFFSET(Calc2!$H$4,,,$F$26*B542,1)&lt;OFFSET(Calc2!$I$4,,,$F$26*B542,1)))</f>
        <v>12</v>
      </c>
      <c r="M548" s="1">
        <f t="array" aca="1" ref="M548" ca="1">SUMPRODUCT((OFFSET(Calc2!$F$4,,,$F$26*B542,2)=F548)*(OFFSET(Calc2!$H$4,,,$F$26*B542,1)=OFFSET(Calc2!$I$4,,,$F$26*B542,1))*(OFFSET(Calc2!$H$4,,,$F$26*B542,1)&lt;&gt;"")*(OFFSET(Calc2!$I$4,,,$F$26*B542,1)&lt;&gt;""))</f>
        <v>3</v>
      </c>
      <c r="N548" s="1">
        <f t="array" aca="1" ref="N548" ca="1">SUMPRODUCT((OFFSET(Calc2!$F$4,,,$F$26*B542,1)=F548)*(OFFSET(Calc2!$H$4,,,$F$26*B542,1)&lt;OFFSET(Calc2!$I$4,,,$F$26*B542,1)))+SUMPRODUCT((OFFSET(Calc2!$G$4,,,$F$26*B542,1)=F548)*(OFFSET(Calc2!$H$4,,,$F$26*B542,1)&gt;OFFSET(Calc2!$I$4,,,$F$26*B542,1)))</f>
        <v>6</v>
      </c>
      <c r="O548" s="132">
        <f ca="1">SUMPRODUCT((F548=OFFSET(Calc2!$F$4,,,$F$26*B542,1))*OFFSET(Calc2!$O$4,,,$F$26*B542,1))+SUMPRODUCT((F548=OFFSET(Calc2!$G$4,,,$F$26*B542,1))*OFFSET(Calc2!$P$4,,,$F$26*B542,1))</f>
        <v>0</v>
      </c>
      <c r="P548" s="2"/>
      <c r="Q548" s="2"/>
      <c r="R548" s="13">
        <f t="shared" ca="1" si="101"/>
        <v>39500013040</v>
      </c>
      <c r="S548" s="134">
        <f>Tie_Break!$D$11</f>
        <v>0</v>
      </c>
      <c r="T548" s="9">
        <f ca="1">RANK(R548,R544:R563)+(9-S548)/10000+(F548="")*1000</f>
        <v>4.0008999999999997</v>
      </c>
      <c r="U548" s="134"/>
      <c r="V548" s="134">
        <f ca="1">IF($K$24=0,"",IF(VLOOKUP(B548,C544:E563,3,0)=MAX(V$4:V547),VLOOKUP(B548,C544:E563,3,0),B548))</f>
        <v>5</v>
      </c>
      <c r="W548" s="4" t="str">
        <f ca="1">IF($K$24=0,Calc2!$C$8,VLOOKUP(B548,C544:N563,4,0))</f>
        <v>RB Leipzig</v>
      </c>
      <c r="X548" s="1">
        <f ca="1">INDEX(V517:V536,MATCH(W548,W517:W536,0))</f>
        <v>6</v>
      </c>
      <c r="Y548" s="1">
        <f t="shared" ca="1" si="104"/>
        <v>1</v>
      </c>
    </row>
    <row r="549" spans="2:25" x14ac:dyDescent="0.2">
      <c r="B549" s="1">
        <v>6</v>
      </c>
      <c r="C549" s="9">
        <f ca="1">RANK(D549,D544:D563,1)</f>
        <v>2</v>
      </c>
      <c r="D549" s="134">
        <f t="shared" ca="1" si="102"/>
        <v>2.5489999999999999</v>
      </c>
      <c r="E549" s="134">
        <f ca="1">RANK(T549,T544:T563,1)</f>
        <v>2</v>
      </c>
      <c r="F549" s="187" t="str">
        <f>Calc2!$C$9</f>
        <v>Borussia Dortmund</v>
      </c>
      <c r="G549" s="1">
        <f ca="1">SUMIFS(OFFSET(Calc2!$H$4,,,$F$26*B542,1),OFFSET(Calc2!$F$4,,,$F$26*B542,1),F549)+SUMIFS(OFFSET(Calc2!$I$4,,,$F$26*B542,1),OFFSET(Calc2!$G$4,,,$F$26*B542,1),F549)</f>
        <v>43</v>
      </c>
      <c r="H549" s="1">
        <f ca="1">SUMIFS(OFFSET(Calc2!$I$4,,,$F$26*B542,1),OFFSET(Calc2!$F$4,,,$F$26*B542,1),F549)+SUMIFS(OFFSET(Calc2!$H$4,,,$F$26*B542,1),OFFSET(Calc2!$G$4,,,$F$26*B542,1),F549)</f>
        <v>20</v>
      </c>
      <c r="I549" s="134">
        <f t="shared" ca="1" si="100"/>
        <v>23</v>
      </c>
      <c r="J549" s="12">
        <f ca="1">L549*Settings!$C$3+M549+O549</f>
        <v>48</v>
      </c>
      <c r="K549" s="1">
        <f t="shared" ca="1" si="103"/>
        <v>21</v>
      </c>
      <c r="L549" s="1">
        <f t="array" aca="1" ref="L549" ca="1">SUMPRODUCT((OFFSET(Calc2!$F$4,,,$F$26*B542,1)=F549)*(OFFSET(Calc2!$H$4,,,$F$26*B542,1)&gt;OFFSET(Calc2!$I$4,,,$F$26*B542,1)))+SUMPRODUCT((OFFSET(Calc2!$G$4,,,$F$26*B542,1)=F549)*(OFFSET(Calc2!$H$4,,,$F$26*B542,1)&lt;OFFSET(Calc2!$I$4,,,$F$26*B542,1)))</f>
        <v>14</v>
      </c>
      <c r="M549" s="1">
        <f t="array" aca="1" ref="M549" ca="1">SUMPRODUCT((OFFSET(Calc2!$F$4,,,$F$26*B542,2)=F549)*(OFFSET(Calc2!$H$4,,,$F$26*B542,1)=OFFSET(Calc2!$I$4,,,$F$26*B542,1))*(OFFSET(Calc2!$H$4,,,$F$26*B542,1)&lt;&gt;"")*(OFFSET(Calc2!$I$4,,,$F$26*B542,1)&lt;&gt;""))</f>
        <v>6</v>
      </c>
      <c r="N549" s="1">
        <f t="array" aca="1" ref="N549" ca="1">SUMPRODUCT((OFFSET(Calc2!$F$4,,,$F$26*B542,1)=F549)*(OFFSET(Calc2!$H$4,,,$F$26*B542,1)&lt;OFFSET(Calc2!$I$4,,,$F$26*B542,1)))+SUMPRODUCT((OFFSET(Calc2!$G$4,,,$F$26*B542,1)=F549)*(OFFSET(Calc2!$H$4,,,$F$26*B542,1)&gt;OFFSET(Calc2!$I$4,,,$F$26*B542,1)))</f>
        <v>1</v>
      </c>
      <c r="O549" s="132">
        <f ca="1">SUMPRODUCT((F549=OFFSET(Calc2!$F$4,,,$F$26*B542,1))*OFFSET(Calc2!$O$4,,,$F$26*B542,1))+SUMPRODUCT((F549=OFFSET(Calc2!$G$4,,,$F$26*B542,1))*OFFSET(Calc2!$P$4,,,$F$26*B542,1))</f>
        <v>0</v>
      </c>
      <c r="P549" s="2"/>
      <c r="Q549" s="2"/>
      <c r="R549" s="13">
        <f t="shared" ca="1" si="101"/>
        <v>48500023043</v>
      </c>
      <c r="S549" s="134">
        <f>Tie_Break!$D$12</f>
        <v>0</v>
      </c>
      <c r="T549" s="9">
        <f ca="1">RANK(R549,R544:R563)+(9-S549)/10000+(F549="")*1000</f>
        <v>2.0009000000000001</v>
      </c>
      <c r="U549" s="134"/>
      <c r="V549" s="134">
        <f ca="1">IF($K$24=0,"",IF(VLOOKUP(B549,C544:E563,3,0)=MAX(V$4:V548),VLOOKUP(B549,C544:E563,3,0),B549))</f>
        <v>6</v>
      </c>
      <c r="W549" s="4" t="str">
        <f ca="1">IF($K$24=0,Calc2!$C$9,VLOOKUP(B549,C544:N563,4,0))</f>
        <v>VfB Stuttgart</v>
      </c>
      <c r="X549" s="1">
        <f ca="1">INDEX(V517:V536,MATCH(W549,W517:W536,0))</f>
        <v>4</v>
      </c>
      <c r="Y549" s="1">
        <f t="shared" ca="1" si="104"/>
        <v>-1</v>
      </c>
    </row>
    <row r="550" spans="2:25" x14ac:dyDescent="0.2">
      <c r="B550" s="1">
        <v>7</v>
      </c>
      <c r="C550" s="9">
        <f ca="1">RANK(D550,D544:D563,1)</f>
        <v>11</v>
      </c>
      <c r="D550" s="134">
        <f t="shared" ca="1" si="102"/>
        <v>11.55</v>
      </c>
      <c r="E550" s="134">
        <f ca="1">RANK(T550,T544:T563,1)</f>
        <v>11</v>
      </c>
      <c r="F550" s="187" t="str">
        <f>Calc2!$C$10</f>
        <v>Borussia Mönchengladbach</v>
      </c>
      <c r="G550" s="1">
        <f ca="1">SUMIFS(OFFSET(Calc2!$H$4,,,$F$26*B542,1),OFFSET(Calc2!$F$4,,,$F$26*B542,1),F550)+SUMIFS(OFFSET(Calc2!$I$4,,,$F$26*B542,1),OFFSET(Calc2!$G$4,,,$F$26*B542,1),F550)</f>
        <v>25</v>
      </c>
      <c r="H550" s="1">
        <f ca="1">SUMIFS(OFFSET(Calc2!$I$4,,,$F$26*B542,1),OFFSET(Calc2!$F$4,,,$F$26*B542,1),F550)+SUMIFS(OFFSET(Calc2!$H$4,,,$F$26*B542,1),OFFSET(Calc2!$G$4,,,$F$26*B542,1),F550)</f>
        <v>34</v>
      </c>
      <c r="I550" s="134">
        <f t="shared" ca="1" si="100"/>
        <v>-9</v>
      </c>
      <c r="J550" s="12">
        <f ca="1">L550*Settings!$C$3+M550+O550</f>
        <v>22</v>
      </c>
      <c r="K550" s="1">
        <f t="shared" ca="1" si="103"/>
        <v>21</v>
      </c>
      <c r="L550" s="1">
        <f t="array" aca="1" ref="L550" ca="1">SUMPRODUCT((OFFSET(Calc2!$F$4,,,$F$26*B542,1)=F550)*(OFFSET(Calc2!$H$4,,,$F$26*B542,1)&gt;OFFSET(Calc2!$I$4,,,$F$26*B542,1)))+SUMPRODUCT((OFFSET(Calc2!$G$4,,,$F$26*B542,1)=F550)*(OFFSET(Calc2!$H$4,,,$F$26*B542,1)&lt;OFFSET(Calc2!$I$4,,,$F$26*B542,1)))</f>
        <v>5</v>
      </c>
      <c r="M550" s="1">
        <f t="array" aca="1" ref="M550" ca="1">SUMPRODUCT((OFFSET(Calc2!$F$4,,,$F$26*B542,2)=F550)*(OFFSET(Calc2!$H$4,,,$F$26*B542,1)=OFFSET(Calc2!$I$4,,,$F$26*B542,1))*(OFFSET(Calc2!$H$4,,,$F$26*B542,1)&lt;&gt;"")*(OFFSET(Calc2!$I$4,,,$F$26*B542,1)&lt;&gt;""))</f>
        <v>7</v>
      </c>
      <c r="N550" s="1">
        <f t="array" aca="1" ref="N550" ca="1">SUMPRODUCT((OFFSET(Calc2!$F$4,,,$F$26*B542,1)=F550)*(OFFSET(Calc2!$H$4,,,$F$26*B542,1)&lt;OFFSET(Calc2!$I$4,,,$F$26*B542,1)))+SUMPRODUCT((OFFSET(Calc2!$G$4,,,$F$26*B542,1)=F550)*(OFFSET(Calc2!$H$4,,,$F$26*B542,1)&gt;OFFSET(Calc2!$I$4,,,$F$26*B542,1)))</f>
        <v>9</v>
      </c>
      <c r="O550" s="132">
        <f ca="1">SUMPRODUCT((F550=OFFSET(Calc2!$F$4,,,$F$26*B542,1))*OFFSET(Calc2!$O$4,,,$F$26*B542,1))+SUMPRODUCT((F550=OFFSET(Calc2!$G$4,,,$F$26*B542,1))*OFFSET(Calc2!$P$4,,,$F$26*B542,1))</f>
        <v>0</v>
      </c>
      <c r="P550" s="2"/>
      <c r="Q550" s="2"/>
      <c r="R550" s="13">
        <f t="shared" ca="1" si="101"/>
        <v>22499991025</v>
      </c>
      <c r="S550" s="134">
        <f>Tie_Break!$D$13</f>
        <v>0</v>
      </c>
      <c r="T550" s="9">
        <f ca="1">RANK(R550,R544:R563)+(9-S550)/10000+(F550="")*1000</f>
        <v>11.0009</v>
      </c>
      <c r="U550" s="134"/>
      <c r="V550" s="134">
        <f ca="1">IF($K$24=0,"",IF(VLOOKUP(B550,C544:E563,3,0)=MAX(V$4:V549),VLOOKUP(B550,C544:E563,3,0),B550))</f>
        <v>7</v>
      </c>
      <c r="W550" s="4" t="str">
        <f ca="1">IF($K$24=0,Calc2!$C$10,VLOOKUP(B550,C544:N563,4,0))</f>
        <v>SC Freiburg</v>
      </c>
      <c r="X550" s="1">
        <f ca="1">INDEX(V517:V536,MATCH(W550,W517:W536,0))</f>
        <v>7</v>
      </c>
      <c r="Y550" s="1">
        <f t="shared" ca="1" si="104"/>
        <v>0</v>
      </c>
    </row>
    <row r="551" spans="2:25" x14ac:dyDescent="0.2">
      <c r="B551" s="1">
        <v>8</v>
      </c>
      <c r="C551" s="9">
        <f ca="1">RANK(D551,D544:D563,1)</f>
        <v>8</v>
      </c>
      <c r="D551" s="134">
        <f t="shared" ca="1" si="102"/>
        <v>8.5510000000000002</v>
      </c>
      <c r="E551" s="134">
        <f ca="1">RANK(T551,T544:T563,1)</f>
        <v>8</v>
      </c>
      <c r="F551" s="187" t="str">
        <f>Calc2!$C$11</f>
        <v>Eintracht Frankfurt</v>
      </c>
      <c r="G551" s="1">
        <f ca="1">SUMIFS(OFFSET(Calc2!$H$4,,,$F$26*B542,1),OFFSET(Calc2!$F$4,,,$F$26*B542,1),F551)+SUMIFS(OFFSET(Calc2!$I$4,,,$F$26*B542,1),OFFSET(Calc2!$G$4,,,$F$26*B542,1),F551)</f>
        <v>41</v>
      </c>
      <c r="H551" s="1">
        <f ca="1">SUMIFS(OFFSET(Calc2!$I$4,,,$F$26*B542,1),OFFSET(Calc2!$F$4,,,$F$26*B542,1),F551)+SUMIFS(OFFSET(Calc2!$H$4,,,$F$26*B542,1),OFFSET(Calc2!$G$4,,,$F$26*B542,1),F551)</f>
        <v>46</v>
      </c>
      <c r="I551" s="134">
        <f t="shared" ca="1" si="100"/>
        <v>-5</v>
      </c>
      <c r="J551" s="12">
        <f ca="1">L551*Settings!$C$3+M551+O551</f>
        <v>28</v>
      </c>
      <c r="K551" s="1">
        <f t="shared" ca="1" si="103"/>
        <v>21</v>
      </c>
      <c r="L551" s="1">
        <f t="array" aca="1" ref="L551" ca="1">SUMPRODUCT((OFFSET(Calc2!$F$4,,,$F$26*B542,1)=F551)*(OFFSET(Calc2!$H$4,,,$F$26*B542,1)&gt;OFFSET(Calc2!$I$4,,,$F$26*B542,1)))+SUMPRODUCT((OFFSET(Calc2!$G$4,,,$F$26*B542,1)=F551)*(OFFSET(Calc2!$H$4,,,$F$26*B542,1)&lt;OFFSET(Calc2!$I$4,,,$F$26*B542,1)))</f>
        <v>7</v>
      </c>
      <c r="M551" s="1">
        <f t="array" aca="1" ref="M551" ca="1">SUMPRODUCT((OFFSET(Calc2!$F$4,,,$F$26*B542,2)=F551)*(OFFSET(Calc2!$H$4,,,$F$26*B542,1)=OFFSET(Calc2!$I$4,,,$F$26*B542,1))*(OFFSET(Calc2!$H$4,,,$F$26*B542,1)&lt;&gt;"")*(OFFSET(Calc2!$I$4,,,$F$26*B542,1)&lt;&gt;""))</f>
        <v>7</v>
      </c>
      <c r="N551" s="1">
        <f t="array" aca="1" ref="N551" ca="1">SUMPRODUCT((OFFSET(Calc2!$F$4,,,$F$26*B542,1)=F551)*(OFFSET(Calc2!$H$4,,,$F$26*B542,1)&lt;OFFSET(Calc2!$I$4,,,$F$26*B542,1)))+SUMPRODUCT((OFFSET(Calc2!$G$4,,,$F$26*B542,1)=F551)*(OFFSET(Calc2!$H$4,,,$F$26*B542,1)&gt;OFFSET(Calc2!$I$4,,,$F$26*B542,1)))</f>
        <v>7</v>
      </c>
      <c r="O551" s="132">
        <f ca="1">SUMPRODUCT((F551=OFFSET(Calc2!$F$4,,,$F$26*B542,1))*OFFSET(Calc2!$O$4,,,$F$26*B542,1))+SUMPRODUCT((F551=OFFSET(Calc2!$G$4,,,$F$26*B542,1))*OFFSET(Calc2!$P$4,,,$F$26*B542,1))</f>
        <v>0</v>
      </c>
      <c r="P551" s="2"/>
      <c r="Q551" s="2"/>
      <c r="R551" s="13">
        <f t="shared" ca="1" si="101"/>
        <v>28499995041</v>
      </c>
      <c r="S551" s="134">
        <f>Tie_Break!$D$14</f>
        <v>0</v>
      </c>
      <c r="T551" s="9">
        <f ca="1">RANK(R551,R544:R563)+(9-S551)/10000+(F551="")*1000</f>
        <v>8.0008999999999997</v>
      </c>
      <c r="U551" s="134"/>
      <c r="V551" s="134">
        <f ca="1">IF($K$24=0,"",IF(VLOOKUP(B551,C544:E563,3,0)=MAX(V$4:V550),VLOOKUP(B551,C544:E563,3,0),B551))</f>
        <v>8</v>
      </c>
      <c r="W551" s="4" t="str">
        <f ca="1">IF($K$24=0,Calc2!$C$11,VLOOKUP(B551,C544:N563,4,0))</f>
        <v>Eintracht Frankfurt</v>
      </c>
      <c r="X551" s="1">
        <f ca="1">INDEX(V517:V536,MATCH(W551,W517:W536,0))</f>
        <v>8</v>
      </c>
      <c r="Y551" s="1">
        <f t="shared" ca="1" si="104"/>
        <v>0</v>
      </c>
    </row>
    <row r="552" spans="2:25" x14ac:dyDescent="0.2">
      <c r="B552" s="1">
        <v>9</v>
      </c>
      <c r="C552" s="9">
        <f ca="1">RANK(D552,D544:D563,1)</f>
        <v>13</v>
      </c>
      <c r="D552" s="134">
        <f t="shared" ca="1" si="102"/>
        <v>13.552</v>
      </c>
      <c r="E552" s="134">
        <f ca="1">RANK(T552,T544:T563,1)</f>
        <v>13</v>
      </c>
      <c r="F552" s="187" t="str">
        <f>Calc2!$C$12</f>
        <v>FC Augsburg</v>
      </c>
      <c r="G552" s="1">
        <f ca="1">SUMIFS(OFFSET(Calc2!$H$4,,,$F$26*B542,1),OFFSET(Calc2!$F$4,,,$F$26*B542,1),F552)+SUMIFS(OFFSET(Calc2!$I$4,,,$F$26*B542,1),OFFSET(Calc2!$G$4,,,$F$26*B542,1),F552)</f>
        <v>24</v>
      </c>
      <c r="H552" s="1">
        <f ca="1">SUMIFS(OFFSET(Calc2!$I$4,,,$F$26*B542,1),OFFSET(Calc2!$F$4,,,$F$26*B542,1),F552)+SUMIFS(OFFSET(Calc2!$H$4,,,$F$26*B542,1),OFFSET(Calc2!$G$4,,,$F$26*B542,1),F552)</f>
        <v>39</v>
      </c>
      <c r="I552" s="134">
        <f t="shared" ca="1" si="100"/>
        <v>-15</v>
      </c>
      <c r="J552" s="12">
        <f ca="1">L552*Settings!$C$3+M552+O552</f>
        <v>22</v>
      </c>
      <c r="K552" s="1">
        <f t="shared" ca="1" si="103"/>
        <v>21</v>
      </c>
      <c r="L552" s="1">
        <f t="array" aca="1" ref="L552" ca="1">SUMPRODUCT((OFFSET(Calc2!$F$4,,,$F$26*B542,1)=F552)*(OFFSET(Calc2!$H$4,,,$F$26*B542,1)&gt;OFFSET(Calc2!$I$4,,,$F$26*B542,1)))+SUMPRODUCT((OFFSET(Calc2!$G$4,,,$F$26*B542,1)=F552)*(OFFSET(Calc2!$H$4,,,$F$26*B542,1)&lt;OFFSET(Calc2!$I$4,,,$F$26*B542,1)))</f>
        <v>6</v>
      </c>
      <c r="M552" s="1">
        <f t="array" aca="1" ref="M552" ca="1">SUMPRODUCT((OFFSET(Calc2!$F$4,,,$F$26*B542,2)=F552)*(OFFSET(Calc2!$H$4,,,$F$26*B542,1)=OFFSET(Calc2!$I$4,,,$F$26*B542,1))*(OFFSET(Calc2!$H$4,,,$F$26*B542,1)&lt;&gt;"")*(OFFSET(Calc2!$I$4,,,$F$26*B542,1)&lt;&gt;""))</f>
        <v>4</v>
      </c>
      <c r="N552" s="1">
        <f t="array" aca="1" ref="N552" ca="1">SUMPRODUCT((OFFSET(Calc2!$F$4,,,$F$26*B542,1)=F552)*(OFFSET(Calc2!$H$4,,,$F$26*B542,1)&lt;OFFSET(Calc2!$I$4,,,$F$26*B542,1)))+SUMPRODUCT((OFFSET(Calc2!$G$4,,,$F$26*B542,1)=F552)*(OFFSET(Calc2!$H$4,,,$F$26*B542,1)&gt;OFFSET(Calc2!$I$4,,,$F$26*B542,1)))</f>
        <v>11</v>
      </c>
      <c r="O552" s="132">
        <f ca="1">SUMPRODUCT((F552=OFFSET(Calc2!$F$4,,,$F$26*B542,1))*OFFSET(Calc2!$O$4,,,$F$26*B542,1))+SUMPRODUCT((F552=OFFSET(Calc2!$G$4,,,$F$26*B542,1))*OFFSET(Calc2!$P$4,,,$F$26*B542,1))</f>
        <v>0</v>
      </c>
      <c r="P552" s="2"/>
      <c r="Q552" s="2"/>
      <c r="R552" s="13">
        <f t="shared" ca="1" si="101"/>
        <v>22499985024</v>
      </c>
      <c r="S552" s="134">
        <f>Tie_Break!$D$15</f>
        <v>0</v>
      </c>
      <c r="T552" s="9">
        <f ca="1">RANK(R552,R544:R563)+(9-S552)/10000+(F552="")*1000</f>
        <v>13.0009</v>
      </c>
      <c r="U552" s="134"/>
      <c r="V552" s="134">
        <f ca="1">IF($K$24=0,"",IF(VLOOKUP(B552,C544:E563,3,0)=MAX(V$4:V551),VLOOKUP(B552,C544:E563,3,0),B552))</f>
        <v>9</v>
      </c>
      <c r="W552" s="4" t="str">
        <f ca="1">IF($K$24=0,Calc2!$C$12,VLOOKUP(B552,C544:N563,4,0))</f>
        <v>1. FC Union Berlin</v>
      </c>
      <c r="X552" s="1">
        <f ca="1">INDEX(V517:V536,MATCH(W552,W517:W536,0))</f>
        <v>9</v>
      </c>
      <c r="Y552" s="1">
        <f t="shared" ca="1" si="104"/>
        <v>0</v>
      </c>
    </row>
    <row r="553" spans="2:25" x14ac:dyDescent="0.2">
      <c r="B553" s="1">
        <v>10</v>
      </c>
      <c r="C553" s="9">
        <f ca="1">RANK(D553,D544:D563,1)</f>
        <v>1</v>
      </c>
      <c r="D553" s="134">
        <f t="shared" ca="1" si="102"/>
        <v>1.5529999999999999</v>
      </c>
      <c r="E553" s="134">
        <f ca="1">RANK(T553,T544:T563,1)</f>
        <v>1</v>
      </c>
      <c r="F553" s="187" t="str">
        <f>Calc2!$C$13</f>
        <v>FC Bayern München</v>
      </c>
      <c r="G553" s="1">
        <f ca="1">SUMIFS(OFFSET(Calc2!$H$4,,,$F$26*B542,1),OFFSET(Calc2!$F$4,,,$F$26*B542,1),F553)+SUMIFS(OFFSET(Calc2!$I$4,,,$F$26*B542,1),OFFSET(Calc2!$G$4,,,$F$26*B542,1),F553)</f>
        <v>79</v>
      </c>
      <c r="H553" s="1">
        <f ca="1">SUMIFS(OFFSET(Calc2!$I$4,,,$F$26*B542,1),OFFSET(Calc2!$F$4,,,$F$26*B542,1),F553)+SUMIFS(OFFSET(Calc2!$H$4,,,$F$26*B542,1),OFFSET(Calc2!$G$4,,,$F$26*B542,1),F553)</f>
        <v>19</v>
      </c>
      <c r="I553" s="134">
        <f t="shared" ca="1" si="100"/>
        <v>60</v>
      </c>
      <c r="J553" s="12">
        <f ca="1">L553*Settings!$C$3+M553+O553</f>
        <v>54</v>
      </c>
      <c r="K553" s="1">
        <f t="shared" ca="1" si="103"/>
        <v>21</v>
      </c>
      <c r="L553" s="1">
        <f t="array" aca="1" ref="L553" ca="1">SUMPRODUCT((OFFSET(Calc2!$F$4,,,$F$26*B542,1)=F553)*(OFFSET(Calc2!$H$4,,,$F$26*B542,1)&gt;OFFSET(Calc2!$I$4,,,$F$26*B542,1)))+SUMPRODUCT((OFFSET(Calc2!$G$4,,,$F$26*B542,1)=F553)*(OFFSET(Calc2!$H$4,,,$F$26*B542,1)&lt;OFFSET(Calc2!$I$4,,,$F$26*B542,1)))</f>
        <v>17</v>
      </c>
      <c r="M553" s="1">
        <f t="array" aca="1" ref="M553" ca="1">SUMPRODUCT((OFFSET(Calc2!$F$4,,,$F$26*B542,2)=F553)*(OFFSET(Calc2!$H$4,,,$F$26*B542,1)=OFFSET(Calc2!$I$4,,,$F$26*B542,1))*(OFFSET(Calc2!$H$4,,,$F$26*B542,1)&lt;&gt;"")*(OFFSET(Calc2!$I$4,,,$F$26*B542,1)&lt;&gt;""))</f>
        <v>3</v>
      </c>
      <c r="N553" s="1">
        <f t="array" aca="1" ref="N553" ca="1">SUMPRODUCT((OFFSET(Calc2!$F$4,,,$F$26*B542,1)=F553)*(OFFSET(Calc2!$H$4,,,$F$26*B542,1)&lt;OFFSET(Calc2!$I$4,,,$F$26*B542,1)))+SUMPRODUCT((OFFSET(Calc2!$G$4,,,$F$26*B542,1)=F553)*(OFFSET(Calc2!$H$4,,,$F$26*B542,1)&gt;OFFSET(Calc2!$I$4,,,$F$26*B542,1)))</f>
        <v>1</v>
      </c>
      <c r="O553" s="132">
        <f ca="1">SUMPRODUCT((F553=OFFSET(Calc2!$F$4,,,$F$26*B542,1))*OFFSET(Calc2!$O$4,,,$F$26*B542,1))+SUMPRODUCT((F553=OFFSET(Calc2!$G$4,,,$F$26*B542,1))*OFFSET(Calc2!$P$4,,,$F$26*B542,1))</f>
        <v>0</v>
      </c>
      <c r="P553" s="2"/>
      <c r="Q553" s="2"/>
      <c r="R553" s="13">
        <f t="shared" ca="1" si="101"/>
        <v>54500060079</v>
      </c>
      <c r="S553" s="134">
        <f>Tie_Break!$D$16</f>
        <v>0</v>
      </c>
      <c r="T553" s="9">
        <f ca="1">RANK(R553,R544:R563)+(9-S553)/10000+(F553="")*1000</f>
        <v>1.0008999999999999</v>
      </c>
      <c r="U553" s="2"/>
      <c r="V553" s="134">
        <f ca="1">IF($K$24=0,"",IF(VLOOKUP(B553,C544:E563,3,0)=MAX(V$4:V552),VLOOKUP(B553,C544:E563,3,0),B553))</f>
        <v>10</v>
      </c>
      <c r="W553" s="4" t="str">
        <f ca="1">IF($K$24=0,Calc2!$C$13,VLOOKUP(B553,C544:N563,4,0))</f>
        <v>1. FC Köln</v>
      </c>
      <c r="X553" s="1">
        <f ca="1">INDEX(V517:V536,MATCH(W553,W517:W536,0))</f>
        <v>10</v>
      </c>
      <c r="Y553" s="1">
        <f t="shared" ca="1" si="104"/>
        <v>0</v>
      </c>
    </row>
    <row r="554" spans="2:25" x14ac:dyDescent="0.2">
      <c r="B554" s="1">
        <v>11</v>
      </c>
      <c r="C554" s="9">
        <f ca="1">RANK(D554,D544:D563,1)</f>
        <v>17</v>
      </c>
      <c r="D554" s="134">
        <f t="shared" ca="1" si="102"/>
        <v>17.553999999999998</v>
      </c>
      <c r="E554" s="134">
        <f ca="1">RANK(T554,T544:T563,1)</f>
        <v>17</v>
      </c>
      <c r="F554" s="187" t="str">
        <f>Calc2!$C$14</f>
        <v>FC St. Pauli</v>
      </c>
      <c r="G554" s="1">
        <f ca="1">SUMIFS(OFFSET(Calc2!$H$4,,,$F$26*B542,1),OFFSET(Calc2!$F$4,,,$F$26*B542,1),F554)+SUMIFS(OFFSET(Calc2!$I$4,,,$F$26*B542,1),OFFSET(Calc2!$G$4,,,$F$26*B542,1),F554)</f>
        <v>20</v>
      </c>
      <c r="H554" s="1">
        <f ca="1">SUMIFS(OFFSET(Calc2!$I$4,,,$F$26*B542,1),OFFSET(Calc2!$F$4,,,$F$26*B542,1),F554)+SUMIFS(OFFSET(Calc2!$H$4,,,$F$26*B542,1),OFFSET(Calc2!$G$4,,,$F$26*B542,1),F554)</f>
        <v>35</v>
      </c>
      <c r="I554" s="134">
        <f t="shared" ca="1" si="100"/>
        <v>-15</v>
      </c>
      <c r="J554" s="12">
        <f ca="1">L554*Settings!$C$3+M554+O554</f>
        <v>17</v>
      </c>
      <c r="K554" s="1">
        <f t="shared" ca="1" si="103"/>
        <v>21</v>
      </c>
      <c r="L554" s="1">
        <f t="array" aca="1" ref="L554" ca="1">SUMPRODUCT((OFFSET(Calc2!$F$4,,,$F$26*B542,1)=F554)*(OFFSET(Calc2!$H$4,,,$F$26*B542,1)&gt;OFFSET(Calc2!$I$4,,,$F$26*B542,1)))+SUMPRODUCT((OFFSET(Calc2!$G$4,,,$F$26*B542,1)=F554)*(OFFSET(Calc2!$H$4,,,$F$26*B542,1)&lt;OFFSET(Calc2!$I$4,,,$F$26*B542,1)))</f>
        <v>4</v>
      </c>
      <c r="M554" s="1">
        <f t="array" aca="1" ref="M554" ca="1">SUMPRODUCT((OFFSET(Calc2!$F$4,,,$F$26*B542,2)=F554)*(OFFSET(Calc2!$H$4,,,$F$26*B542,1)=OFFSET(Calc2!$I$4,,,$F$26*B542,1))*(OFFSET(Calc2!$H$4,,,$F$26*B542,1)&lt;&gt;"")*(OFFSET(Calc2!$I$4,,,$F$26*B542,1)&lt;&gt;""))</f>
        <v>5</v>
      </c>
      <c r="N554" s="1">
        <f t="array" aca="1" ref="N554" ca="1">SUMPRODUCT((OFFSET(Calc2!$F$4,,,$F$26*B542,1)=F554)*(OFFSET(Calc2!$H$4,,,$F$26*B542,1)&lt;OFFSET(Calc2!$I$4,,,$F$26*B542,1)))+SUMPRODUCT((OFFSET(Calc2!$G$4,,,$F$26*B542,1)=F554)*(OFFSET(Calc2!$H$4,,,$F$26*B542,1)&gt;OFFSET(Calc2!$I$4,,,$F$26*B542,1)))</f>
        <v>12</v>
      </c>
      <c r="O554" s="132">
        <f ca="1">SUMPRODUCT((F554=OFFSET(Calc2!$F$4,,,$F$26*B542,1))*OFFSET(Calc2!$O$4,,,$F$26*B542,1))+SUMPRODUCT((F554=OFFSET(Calc2!$G$4,,,$F$26*B542,1))*OFFSET(Calc2!$P$4,,,$F$26*B542,1))</f>
        <v>0</v>
      </c>
      <c r="P554" s="2"/>
      <c r="Q554" s="2"/>
      <c r="R554" s="13">
        <f t="shared" ca="1" si="101"/>
        <v>17499985020</v>
      </c>
      <c r="S554" s="134">
        <f>Tie_Break!$D$17</f>
        <v>0</v>
      </c>
      <c r="T554" s="9">
        <f ca="1">RANK(R554,R544:R563)+(9-S554)/10000+(F554="")*1000</f>
        <v>17.000900000000001</v>
      </c>
      <c r="U554" s="2"/>
      <c r="V554" s="134">
        <f ca="1">IF($K$24=0,"",IF(VLOOKUP(B554,C544:E563,3,0)=MAX(V$4:V553),VLOOKUP(B554,C544:E563,3,0),B554))</f>
        <v>11</v>
      </c>
      <c r="W554" s="4" t="str">
        <f ca="1">IF($K$24=0,Calc2!$C$14,VLOOKUP(B554,C544:N563,4,0))</f>
        <v>Borussia Mönchengladbach</v>
      </c>
      <c r="X554" s="1">
        <f ca="1">INDEX(V517:V536,MATCH(W554,W517:W536,0))</f>
        <v>12</v>
      </c>
      <c r="Y554" s="1">
        <f t="shared" ca="1" si="104"/>
        <v>1</v>
      </c>
    </row>
    <row r="555" spans="2:25" x14ac:dyDescent="0.2">
      <c r="B555" s="1">
        <v>12</v>
      </c>
      <c r="C555" s="9">
        <f ca="1">RANK(D555,D544:D563,1)</f>
        <v>12</v>
      </c>
      <c r="D555" s="134">
        <f t="shared" ca="1" si="102"/>
        <v>12.555</v>
      </c>
      <c r="E555" s="134">
        <f ca="1">RANK(T555,T544:T563,1)</f>
        <v>12</v>
      </c>
      <c r="F555" s="187" t="str">
        <f>Calc2!$C$15</f>
        <v>Hamburger SV</v>
      </c>
      <c r="G555" s="1">
        <f ca="1">SUMIFS(OFFSET(Calc2!$H$4,,,$F$26*B542,1),OFFSET(Calc2!$F$4,,,$F$26*B542,1),F555)+SUMIFS(OFFSET(Calc2!$I$4,,,$F$26*B542,1),OFFSET(Calc2!$G$4,,,$F$26*B542,1),F555)</f>
        <v>21</v>
      </c>
      <c r="H555" s="1">
        <f ca="1">SUMIFS(OFFSET(Calc2!$I$4,,,$F$26*B542,1),OFFSET(Calc2!$F$4,,,$F$26*B542,1),F555)+SUMIFS(OFFSET(Calc2!$H$4,,,$F$26*B542,1),OFFSET(Calc2!$G$4,,,$F$26*B542,1),F555)</f>
        <v>30</v>
      </c>
      <c r="I555" s="134">
        <f t="shared" ca="1" si="100"/>
        <v>-9</v>
      </c>
      <c r="J555" s="12">
        <f ca="1">L555*Settings!$C$3+M555+O555</f>
        <v>22</v>
      </c>
      <c r="K555" s="1">
        <f t="shared" ca="1" si="103"/>
        <v>21</v>
      </c>
      <c r="L555" s="1">
        <f t="array" aca="1" ref="L555" ca="1">SUMPRODUCT((OFFSET(Calc2!$F$4,,,$F$26*B542,1)=F555)*(OFFSET(Calc2!$H$4,,,$F$26*B542,1)&gt;OFFSET(Calc2!$I$4,,,$F$26*B542,1)))+SUMPRODUCT((OFFSET(Calc2!$G$4,,,$F$26*B542,1)=F555)*(OFFSET(Calc2!$H$4,,,$F$26*B542,1)&lt;OFFSET(Calc2!$I$4,,,$F$26*B542,1)))</f>
        <v>5</v>
      </c>
      <c r="M555" s="1">
        <f t="array" aca="1" ref="M555" ca="1">SUMPRODUCT((OFFSET(Calc2!$F$4,,,$F$26*B542,2)=F555)*(OFFSET(Calc2!$H$4,,,$F$26*B542,1)=OFFSET(Calc2!$I$4,,,$F$26*B542,1))*(OFFSET(Calc2!$H$4,,,$F$26*B542,1)&lt;&gt;"")*(OFFSET(Calc2!$I$4,,,$F$26*B542,1)&lt;&gt;""))</f>
        <v>7</v>
      </c>
      <c r="N555" s="1">
        <f t="array" aca="1" ref="N555" ca="1">SUMPRODUCT((OFFSET(Calc2!$F$4,,,$F$26*B542,1)=F555)*(OFFSET(Calc2!$H$4,,,$F$26*B542,1)&lt;OFFSET(Calc2!$I$4,,,$F$26*B542,1)))+SUMPRODUCT((OFFSET(Calc2!$G$4,,,$F$26*B542,1)=F555)*(OFFSET(Calc2!$H$4,,,$F$26*B542,1)&gt;OFFSET(Calc2!$I$4,,,$F$26*B542,1)))</f>
        <v>9</v>
      </c>
      <c r="O555" s="132">
        <f ca="1">SUMPRODUCT((F555=OFFSET(Calc2!$F$4,,,$F$26*B542,1))*OFFSET(Calc2!$O$4,,,$F$26*B542,1))+SUMPRODUCT((F555=OFFSET(Calc2!$G$4,,,$F$26*B542,1))*OFFSET(Calc2!$P$4,,,$F$26*B542,1))</f>
        <v>0</v>
      </c>
      <c r="P555" s="2"/>
      <c r="Q555" s="2"/>
      <c r="R555" s="13">
        <f t="shared" ca="1" si="101"/>
        <v>22499991021</v>
      </c>
      <c r="S555" s="134">
        <f>Tie_Break!$D$18</f>
        <v>0</v>
      </c>
      <c r="T555" s="9">
        <f ca="1">RANK(R555,R544:R563)+(9-S555)/10000+(F555="")*1000</f>
        <v>12.0009</v>
      </c>
      <c r="U555" s="2"/>
      <c r="V555" s="134">
        <f ca="1">IF($K$24=0,"",IF(VLOOKUP(B555,C544:E563,3,0)=MAX(V$4:V554),VLOOKUP(B555,C544:E563,3,0),B555))</f>
        <v>12</v>
      </c>
      <c r="W555" s="4" t="str">
        <f ca="1">IF($K$24=0,Calc2!$C$15,VLOOKUP(B555,C544:N563,4,0))</f>
        <v>Hamburger SV</v>
      </c>
      <c r="X555" s="1">
        <f ca="1">INDEX(V517:V536,MATCH(W555,W517:W536,0))</f>
        <v>13</v>
      </c>
      <c r="Y555" s="1">
        <f t="shared" ca="1" si="104"/>
        <v>1</v>
      </c>
    </row>
    <row r="556" spans="2:25" x14ac:dyDescent="0.2">
      <c r="B556" s="1">
        <v>13</v>
      </c>
      <c r="C556" s="9">
        <f ca="1">RANK(D556,D544:D563,1)</f>
        <v>5</v>
      </c>
      <c r="D556" s="134">
        <f t="shared" ca="1" si="102"/>
        <v>5.556</v>
      </c>
      <c r="E556" s="134">
        <f ca="1">RANK(T556,T544:T563,1)</f>
        <v>5</v>
      </c>
      <c r="F556" s="187" t="str">
        <f>Calc2!$C$16</f>
        <v>RB Leipzig</v>
      </c>
      <c r="G556" s="1">
        <f ca="1">SUMIFS(OFFSET(Calc2!$H$4,,,$F$26*B542,1),OFFSET(Calc2!$F$4,,,$F$26*B542,1),F556)+SUMIFS(OFFSET(Calc2!$I$4,,,$F$26*B542,1),OFFSET(Calc2!$G$4,,,$F$26*B542,1),F556)</f>
        <v>40</v>
      </c>
      <c r="H556" s="1">
        <f ca="1">SUMIFS(OFFSET(Calc2!$I$4,,,$F$26*B542,1),OFFSET(Calc2!$F$4,,,$F$26*B542,1),F556)+SUMIFS(OFFSET(Calc2!$H$4,,,$F$26*B542,1),OFFSET(Calc2!$G$4,,,$F$26*B542,1),F556)</f>
        <v>28</v>
      </c>
      <c r="I556" s="134">
        <f t="shared" ca="1" si="100"/>
        <v>12</v>
      </c>
      <c r="J556" s="12">
        <f ca="1">L556*Settings!$C$3+M556+O556</f>
        <v>39</v>
      </c>
      <c r="K556" s="1">
        <f t="shared" ca="1" si="103"/>
        <v>21</v>
      </c>
      <c r="L556" s="1">
        <f t="array" aca="1" ref="L556" ca="1">SUMPRODUCT((OFFSET(Calc2!$F$4,,,$F$26*B542,1)=F556)*(OFFSET(Calc2!$H$4,,,$F$26*B542,1)&gt;OFFSET(Calc2!$I$4,,,$F$26*B542,1)))+SUMPRODUCT((OFFSET(Calc2!$G$4,,,$F$26*B542,1)=F556)*(OFFSET(Calc2!$H$4,,,$F$26*B542,1)&lt;OFFSET(Calc2!$I$4,,,$F$26*B542,1)))</f>
        <v>12</v>
      </c>
      <c r="M556" s="1">
        <f t="array" aca="1" ref="M556" ca="1">SUMPRODUCT((OFFSET(Calc2!$F$4,,,$F$26*B542,2)=F556)*(OFFSET(Calc2!$H$4,,,$F$26*B542,1)=OFFSET(Calc2!$I$4,,,$F$26*B542,1))*(OFFSET(Calc2!$H$4,,,$F$26*B542,1)&lt;&gt;"")*(OFFSET(Calc2!$I$4,,,$F$26*B542,1)&lt;&gt;""))</f>
        <v>3</v>
      </c>
      <c r="N556" s="1">
        <f t="array" aca="1" ref="N556" ca="1">SUMPRODUCT((OFFSET(Calc2!$F$4,,,$F$26*B542,1)=F556)*(OFFSET(Calc2!$H$4,,,$F$26*B542,1)&lt;OFFSET(Calc2!$I$4,,,$F$26*B542,1)))+SUMPRODUCT((OFFSET(Calc2!$G$4,,,$F$26*B542,1)=F556)*(OFFSET(Calc2!$H$4,,,$F$26*B542,1)&gt;OFFSET(Calc2!$I$4,,,$F$26*B542,1)))</f>
        <v>6</v>
      </c>
      <c r="O556" s="132">
        <f ca="1">SUMPRODUCT((F556=OFFSET(Calc2!$F$4,,,$F$26*B542,1))*OFFSET(Calc2!$O$4,,,$F$26*B542,1))+SUMPRODUCT((F556=OFFSET(Calc2!$G$4,,,$F$26*B542,1))*OFFSET(Calc2!$P$4,,,$F$26*B542,1))</f>
        <v>0</v>
      </c>
      <c r="P556" s="2"/>
      <c r="Q556" s="2"/>
      <c r="R556" s="13">
        <f t="shared" ca="1" si="101"/>
        <v>39500012040</v>
      </c>
      <c r="S556" s="134">
        <f>Tie_Break!$D$19</f>
        <v>0</v>
      </c>
      <c r="T556" s="9">
        <f ca="1">RANK(R556,R544:R563)+(9-S556)/10000+(F556="")*1000</f>
        <v>5.0008999999999997</v>
      </c>
      <c r="U556" s="1"/>
      <c r="V556" s="134">
        <f ca="1">IF($K$24=0,"",IF(VLOOKUP(B556,C544:E563,3,0)=MAX(V$4:V555),VLOOKUP(B556,C544:E563,3,0),B556))</f>
        <v>13</v>
      </c>
      <c r="W556" s="4" t="str">
        <f ca="1">IF($K$24=0,Calc2!$C$16,VLOOKUP(B556,C544:N563,4,0))</f>
        <v>FC Augsburg</v>
      </c>
      <c r="X556" s="1">
        <f ca="1">INDEX(V517:V536,MATCH(W556,W517:W536,0))</f>
        <v>11</v>
      </c>
      <c r="Y556" s="1">
        <f t="shared" ca="1" si="104"/>
        <v>-1</v>
      </c>
    </row>
    <row r="557" spans="2:25" x14ac:dyDescent="0.2">
      <c r="B557" s="1">
        <v>14</v>
      </c>
      <c r="C557" s="9">
        <f ca="1">RANK(D557,D544:D563,1)</f>
        <v>7</v>
      </c>
      <c r="D557" s="134">
        <f t="shared" ca="1" si="102"/>
        <v>7.5570000000000004</v>
      </c>
      <c r="E557" s="134">
        <f ca="1">RANK(T557,T544:T563,1)</f>
        <v>7</v>
      </c>
      <c r="F557" s="187" t="str">
        <f>Calc2!$C$17</f>
        <v>SC Freiburg</v>
      </c>
      <c r="G557" s="1">
        <f ca="1">SUMIFS(OFFSET(Calc2!$H$4,,,$F$26*B542,1),OFFSET(Calc2!$F$4,,,$F$26*B542,1),F557)+SUMIFS(OFFSET(Calc2!$I$4,,,$F$26*B542,1),OFFSET(Calc2!$G$4,,,$F$26*B542,1),F557)</f>
        <v>32</v>
      </c>
      <c r="H557" s="1">
        <f ca="1">SUMIFS(OFFSET(Calc2!$I$4,,,$F$26*B542,1),OFFSET(Calc2!$F$4,,,$F$26*B542,1),F557)+SUMIFS(OFFSET(Calc2!$H$4,,,$F$26*B542,1),OFFSET(Calc2!$G$4,,,$F$26*B542,1),F557)</f>
        <v>33</v>
      </c>
      <c r="I557" s="134">
        <f t="shared" ca="1" si="100"/>
        <v>-1</v>
      </c>
      <c r="J557" s="12">
        <f ca="1">L557*Settings!$C$3+M557+O557</f>
        <v>30</v>
      </c>
      <c r="K557" s="1">
        <f t="shared" ca="1" si="103"/>
        <v>21</v>
      </c>
      <c r="L557" s="1">
        <f t="array" aca="1" ref="L557" ca="1">SUMPRODUCT((OFFSET(Calc2!$F$4,,,$F$26*B542,1)=F557)*(OFFSET(Calc2!$H$4,,,$F$26*B542,1)&gt;OFFSET(Calc2!$I$4,,,$F$26*B542,1)))+SUMPRODUCT((OFFSET(Calc2!$G$4,,,$F$26*B542,1)=F557)*(OFFSET(Calc2!$H$4,,,$F$26*B542,1)&lt;OFFSET(Calc2!$I$4,,,$F$26*B542,1)))</f>
        <v>8</v>
      </c>
      <c r="M557" s="1">
        <f t="array" aca="1" ref="M557" ca="1">SUMPRODUCT((OFFSET(Calc2!$F$4,,,$F$26*B542,2)=F557)*(OFFSET(Calc2!$H$4,,,$F$26*B542,1)=OFFSET(Calc2!$I$4,,,$F$26*B542,1))*(OFFSET(Calc2!$H$4,,,$F$26*B542,1)&lt;&gt;"")*(OFFSET(Calc2!$I$4,,,$F$26*B542,1)&lt;&gt;""))</f>
        <v>6</v>
      </c>
      <c r="N557" s="1">
        <f t="array" aca="1" ref="N557" ca="1">SUMPRODUCT((OFFSET(Calc2!$F$4,,,$F$26*B542,1)=F557)*(OFFSET(Calc2!$H$4,,,$F$26*B542,1)&lt;OFFSET(Calc2!$I$4,,,$F$26*B542,1)))+SUMPRODUCT((OFFSET(Calc2!$G$4,,,$F$26*B542,1)=F557)*(OFFSET(Calc2!$H$4,,,$F$26*B542,1)&gt;OFFSET(Calc2!$I$4,,,$F$26*B542,1)))</f>
        <v>7</v>
      </c>
      <c r="O557" s="132">
        <f ca="1">SUMPRODUCT((F557=OFFSET(Calc2!$F$4,,,$F$26*B542,1))*OFFSET(Calc2!$O$4,,,$F$26*B542,1))+SUMPRODUCT((F557=OFFSET(Calc2!$G$4,,,$F$26*B542,1))*OFFSET(Calc2!$P$4,,,$F$26*B542,1))</f>
        <v>0</v>
      </c>
      <c r="P557" s="2"/>
      <c r="Q557" s="2"/>
      <c r="R557" s="13">
        <f t="shared" ca="1" si="101"/>
        <v>30499999032</v>
      </c>
      <c r="S557" s="134">
        <f>Tie_Break!$D$20</f>
        <v>0</v>
      </c>
      <c r="T557" s="9">
        <f ca="1">RANK(R557,R544:R563)+(9-S557)/10000+(F557="")*1000</f>
        <v>7.0008999999999997</v>
      </c>
      <c r="U557" s="2"/>
      <c r="V557" s="134">
        <f ca="1">IF($K$24=0,"",IF(VLOOKUP(B557,C544:E563,3,0)=MAX(V$4:V556),VLOOKUP(B557,C544:E563,3,0),B557))</f>
        <v>14</v>
      </c>
      <c r="W557" s="4" t="str">
        <f ca="1">IF($K$24=0,Calc2!$C$17,VLOOKUP(B557,C544:N563,4,0))</f>
        <v>1. FSV Mainz 05</v>
      </c>
      <c r="X557" s="1">
        <f ca="1">INDEX(V517:V536,MATCH(W557,W517:W536,0))</f>
        <v>16</v>
      </c>
      <c r="Y557" s="1">
        <f t="shared" ca="1" si="104"/>
        <v>1</v>
      </c>
    </row>
    <row r="558" spans="2:25" x14ac:dyDescent="0.2">
      <c r="B558" s="1">
        <v>15</v>
      </c>
      <c r="C558" s="9">
        <f ca="1">RANK(D558,D544:D563,1)</f>
        <v>16</v>
      </c>
      <c r="D558" s="134">
        <f t="shared" ca="1" si="102"/>
        <v>16.558</v>
      </c>
      <c r="E558" s="134">
        <f ca="1">RANK(T558,T544:T563,1)</f>
        <v>16</v>
      </c>
      <c r="F558" s="187" t="str">
        <f>Calc2!$C$18</f>
        <v>SV Werder Bremen</v>
      </c>
      <c r="G558" s="1">
        <f ca="1">SUMIFS(OFFSET(Calc2!$H$4,,,$F$26*B542,1),OFFSET(Calc2!$F$4,,,$F$26*B542,1),F558)+SUMIFS(OFFSET(Calc2!$I$4,,,$F$26*B542,1),OFFSET(Calc2!$G$4,,,$F$26*B542,1),F558)</f>
        <v>22</v>
      </c>
      <c r="H558" s="1">
        <f ca="1">SUMIFS(OFFSET(Calc2!$I$4,,,$F$26*B542,1),OFFSET(Calc2!$F$4,,,$F$26*B542,1),F558)+SUMIFS(OFFSET(Calc2!$H$4,,,$F$26*B542,1),OFFSET(Calc2!$G$4,,,$F$26*B542,1),F558)</f>
        <v>39</v>
      </c>
      <c r="I558" s="134">
        <f t="shared" ca="1" si="100"/>
        <v>-17</v>
      </c>
      <c r="J558" s="12">
        <f ca="1">L558*Settings!$C$3+M558+O558</f>
        <v>19</v>
      </c>
      <c r="K558" s="1">
        <f t="shared" ca="1" si="103"/>
        <v>21</v>
      </c>
      <c r="L558" s="1">
        <f t="array" aca="1" ref="L558" ca="1">SUMPRODUCT((OFFSET(Calc2!$F$4,,,$F$26*B542,1)=F558)*(OFFSET(Calc2!$H$4,,,$F$26*B542,1)&gt;OFFSET(Calc2!$I$4,,,$F$26*B542,1)))+SUMPRODUCT((OFFSET(Calc2!$G$4,,,$F$26*B542,1)=F558)*(OFFSET(Calc2!$H$4,,,$F$26*B542,1)&lt;OFFSET(Calc2!$I$4,,,$F$26*B542,1)))</f>
        <v>4</v>
      </c>
      <c r="M558" s="1">
        <f t="array" aca="1" ref="M558" ca="1">SUMPRODUCT((OFFSET(Calc2!$F$4,,,$F$26*B542,2)=F558)*(OFFSET(Calc2!$H$4,,,$F$26*B542,1)=OFFSET(Calc2!$I$4,,,$F$26*B542,1))*(OFFSET(Calc2!$H$4,,,$F$26*B542,1)&lt;&gt;"")*(OFFSET(Calc2!$I$4,,,$F$26*B542,1)&lt;&gt;""))</f>
        <v>7</v>
      </c>
      <c r="N558" s="1">
        <f t="array" aca="1" ref="N558" ca="1">SUMPRODUCT((OFFSET(Calc2!$F$4,,,$F$26*B542,1)=F558)*(OFFSET(Calc2!$H$4,,,$F$26*B542,1)&lt;OFFSET(Calc2!$I$4,,,$F$26*B542,1)))+SUMPRODUCT((OFFSET(Calc2!$G$4,,,$F$26*B542,1)=F558)*(OFFSET(Calc2!$H$4,,,$F$26*B542,1)&gt;OFFSET(Calc2!$I$4,,,$F$26*B542,1)))</f>
        <v>10</v>
      </c>
      <c r="O558" s="132">
        <f ca="1">SUMPRODUCT((F558=OFFSET(Calc2!$F$4,,,$F$26*B542,1))*OFFSET(Calc2!$O$4,,,$F$26*B542,1))+SUMPRODUCT((F558=OFFSET(Calc2!$G$4,,,$F$26*B542,1))*OFFSET(Calc2!$P$4,,,$F$26*B542,1))</f>
        <v>0</v>
      </c>
      <c r="P558" s="2"/>
      <c r="Q558" s="2"/>
      <c r="R558" s="13">
        <f t="shared" ca="1" si="101"/>
        <v>19499983022</v>
      </c>
      <c r="S558" s="134">
        <f>Tie_Break!$D$21</f>
        <v>0</v>
      </c>
      <c r="T558" s="9">
        <f ca="1">RANK(R558,R544:R563)+(9-S558)/10000+(F558="")*1000</f>
        <v>16.000900000000001</v>
      </c>
      <c r="U558" s="2"/>
      <c r="V558" s="134">
        <f ca="1">IF($K$24=0,"",IF(VLOOKUP(B558,C544:E563,3,0)=MAX(V$4:V557),VLOOKUP(B558,C544:E563,3,0),B558))</f>
        <v>15</v>
      </c>
      <c r="W558" s="4" t="str">
        <f ca="1">IF($K$24=0,Calc2!$C$18,VLOOKUP(B558,C544:N563,4,0))</f>
        <v>VfL Wolfsburg</v>
      </c>
      <c r="X558" s="1">
        <f ca="1">INDEX(V517:V536,MATCH(W558,W517:W536,0))</f>
        <v>14</v>
      </c>
      <c r="Y558" s="1">
        <f t="shared" ca="1" si="104"/>
        <v>-1</v>
      </c>
    </row>
    <row r="559" spans="2:25" x14ac:dyDescent="0.2">
      <c r="B559" s="1">
        <v>16</v>
      </c>
      <c r="C559" s="9">
        <f ca="1">RANK(D559,D544:D563,1)</f>
        <v>3</v>
      </c>
      <c r="D559" s="134">
        <f t="shared" ca="1" si="102"/>
        <v>3.5590000000000002</v>
      </c>
      <c r="E559" s="134">
        <f ca="1">RANK(T559,T544:T563,1)</f>
        <v>3</v>
      </c>
      <c r="F559" s="187" t="str">
        <f>Calc2!$C$19</f>
        <v>TSG Hoffenheim</v>
      </c>
      <c r="G559" s="1">
        <f ca="1">SUMIFS(OFFSET(Calc2!$H$4,,,$F$26*B542,1),OFFSET(Calc2!$F$4,,,$F$26*B542,1),F559)+SUMIFS(OFFSET(Calc2!$I$4,,,$F$26*B542,1),OFFSET(Calc2!$G$4,,,$F$26*B542,1),F559)</f>
        <v>44</v>
      </c>
      <c r="H559" s="1">
        <f ca="1">SUMIFS(OFFSET(Calc2!$I$4,,,$F$26*B542,1),OFFSET(Calc2!$F$4,,,$F$26*B542,1),F559)+SUMIFS(OFFSET(Calc2!$H$4,,,$F$26*B542,1),OFFSET(Calc2!$G$4,,,$F$26*B542,1),F559)</f>
        <v>28</v>
      </c>
      <c r="I559" s="134">
        <f t="shared" ca="1" si="100"/>
        <v>16</v>
      </c>
      <c r="J559" s="12">
        <f ca="1">L559*Settings!$C$3+M559+O559</f>
        <v>42</v>
      </c>
      <c r="K559" s="1">
        <f t="shared" ca="1" si="103"/>
        <v>21</v>
      </c>
      <c r="L559" s="1">
        <f t="array" aca="1" ref="L559" ca="1">SUMPRODUCT((OFFSET(Calc2!$F$4,,,$F$26*B542,1)=F559)*(OFFSET(Calc2!$H$4,,,$F$26*B542,1)&gt;OFFSET(Calc2!$I$4,,,$F$26*B542,1)))+SUMPRODUCT((OFFSET(Calc2!$G$4,,,$F$26*B542,1)=F559)*(OFFSET(Calc2!$H$4,,,$F$26*B542,1)&lt;OFFSET(Calc2!$I$4,,,$F$26*B542,1)))</f>
        <v>13</v>
      </c>
      <c r="M559" s="1">
        <f t="array" aca="1" ref="M559" ca="1">SUMPRODUCT((OFFSET(Calc2!$F$4,,,$F$26*B542,2)=F559)*(OFFSET(Calc2!$H$4,,,$F$26*B542,1)=OFFSET(Calc2!$I$4,,,$F$26*B542,1))*(OFFSET(Calc2!$H$4,,,$F$26*B542,1)&lt;&gt;"")*(OFFSET(Calc2!$I$4,,,$F$26*B542,1)&lt;&gt;""))</f>
        <v>3</v>
      </c>
      <c r="N559" s="1">
        <f t="array" aca="1" ref="N559" ca="1">SUMPRODUCT((OFFSET(Calc2!$F$4,,,$F$26*B542,1)=F559)*(OFFSET(Calc2!$H$4,,,$F$26*B542,1)&lt;OFFSET(Calc2!$I$4,,,$F$26*B542,1)))+SUMPRODUCT((OFFSET(Calc2!$G$4,,,$F$26*B542,1)=F559)*(OFFSET(Calc2!$H$4,,,$F$26*B542,1)&gt;OFFSET(Calc2!$I$4,,,$F$26*B542,1)))</f>
        <v>5</v>
      </c>
      <c r="O559" s="132">
        <f ca="1">SUMPRODUCT((F559=OFFSET(Calc2!$F$4,,,$F$26*B542,1))*OFFSET(Calc2!$O$4,,,$F$26*B542,1))+SUMPRODUCT((F559=OFFSET(Calc2!$G$4,,,$F$26*B542,1))*OFFSET(Calc2!$P$4,,,$F$26*B542,1))</f>
        <v>0</v>
      </c>
      <c r="P559" s="2"/>
      <c r="Q559" s="2"/>
      <c r="R559" s="13">
        <f t="shared" ca="1" si="101"/>
        <v>42500016044</v>
      </c>
      <c r="S559" s="134">
        <f>Tie_Break!$D$22</f>
        <v>0</v>
      </c>
      <c r="T559" s="9">
        <f ca="1">RANK(R559,R544:R563)+(9-S559)/10000+(F559="")*1000</f>
        <v>3.0009000000000001</v>
      </c>
      <c r="U559" s="2"/>
      <c r="V559" s="134">
        <f ca="1">IF($K$24=0,"",IF(VLOOKUP(B559,C544:E563,3,0)=MAX(V$4:V558),VLOOKUP(B559,C544:E563,3,0),B559))</f>
        <v>16</v>
      </c>
      <c r="W559" s="4" t="str">
        <f ca="1">IF($K$24=0,Calc2!$C$19,VLOOKUP(B559,C544:N563,4,0))</f>
        <v>SV Werder Bremen</v>
      </c>
      <c r="X559" s="1">
        <f ca="1">INDEX(V517:V536,MATCH(W559,W517:W536,0))</f>
        <v>15</v>
      </c>
      <c r="Y559" s="1">
        <f t="shared" ca="1" si="104"/>
        <v>-1</v>
      </c>
    </row>
    <row r="560" spans="2:25" x14ac:dyDescent="0.2">
      <c r="B560" s="1">
        <v>17</v>
      </c>
      <c r="C560" s="9">
        <f ca="1">RANK(D560,D544:D563,1)</f>
        <v>6</v>
      </c>
      <c r="D560" s="134">
        <f t="shared" ca="1" si="102"/>
        <v>6.5600000000000005</v>
      </c>
      <c r="E560" s="134">
        <f ca="1">RANK(T560,T544:T563,1)</f>
        <v>6</v>
      </c>
      <c r="F560" s="187" t="str">
        <f>Calc2!$C$20</f>
        <v>VfB Stuttgart</v>
      </c>
      <c r="G560" s="1">
        <f ca="1">SUMIFS(OFFSET(Calc2!$H$4,,,$F$26*B542,1),OFFSET(Calc2!$F$4,,,$F$26*B542,1),F560)+SUMIFS(OFFSET(Calc2!$I$4,,,$F$26*B542,1),OFFSET(Calc2!$G$4,,,$F$26*B542,1),F560)</f>
        <v>38</v>
      </c>
      <c r="H560" s="1">
        <f ca="1">SUMIFS(OFFSET(Calc2!$I$4,,,$F$26*B542,1),OFFSET(Calc2!$F$4,,,$F$26*B542,1),F560)+SUMIFS(OFFSET(Calc2!$H$4,,,$F$26*B542,1),OFFSET(Calc2!$G$4,,,$F$26*B542,1),F560)</f>
        <v>28</v>
      </c>
      <c r="I560" s="134">
        <f t="shared" ca="1" si="100"/>
        <v>10</v>
      </c>
      <c r="J560" s="12">
        <f ca="1">L560*Settings!$C$3+M560+O560</f>
        <v>39</v>
      </c>
      <c r="K560" s="1">
        <f t="shared" ca="1" si="103"/>
        <v>21</v>
      </c>
      <c r="L560" s="1">
        <f t="array" aca="1" ref="L560" ca="1">SUMPRODUCT((OFFSET(Calc2!$F$4,,,$F$26*B542,1)=F560)*(OFFSET(Calc2!$H$4,,,$F$26*B542,1)&gt;OFFSET(Calc2!$I$4,,,$F$26*B542,1)))+SUMPRODUCT((OFFSET(Calc2!$G$4,,,$F$26*B542,1)=F560)*(OFFSET(Calc2!$H$4,,,$F$26*B542,1)&lt;OFFSET(Calc2!$I$4,,,$F$26*B542,1)))</f>
        <v>12</v>
      </c>
      <c r="M560" s="1">
        <f t="array" aca="1" ref="M560" ca="1">SUMPRODUCT((OFFSET(Calc2!$F$4,,,$F$26*B542,2)=F560)*(OFFSET(Calc2!$H$4,,,$F$26*B542,1)=OFFSET(Calc2!$I$4,,,$F$26*B542,1))*(OFFSET(Calc2!$H$4,,,$F$26*B542,1)&lt;&gt;"")*(OFFSET(Calc2!$I$4,,,$F$26*B542,1)&lt;&gt;""))</f>
        <v>3</v>
      </c>
      <c r="N560" s="1">
        <f t="array" aca="1" ref="N560" ca="1">SUMPRODUCT((OFFSET(Calc2!$F$4,,,$F$26*B542,1)=F560)*(OFFSET(Calc2!$H$4,,,$F$26*B542,1)&lt;OFFSET(Calc2!$I$4,,,$F$26*B542,1)))+SUMPRODUCT((OFFSET(Calc2!$G$4,,,$F$26*B542,1)=F560)*(OFFSET(Calc2!$H$4,,,$F$26*B542,1)&gt;OFFSET(Calc2!$I$4,,,$F$26*B542,1)))</f>
        <v>6</v>
      </c>
      <c r="O560" s="132">
        <f ca="1">SUMPRODUCT((F560=OFFSET(Calc2!$F$4,,,$F$26*B542,1))*OFFSET(Calc2!$O$4,,,$F$26*B542,1))+SUMPRODUCT((F560=OFFSET(Calc2!$G$4,,,$F$26*B542,1))*OFFSET(Calc2!$P$4,,,$F$26*B542,1))</f>
        <v>0</v>
      </c>
      <c r="P560" s="2"/>
      <c r="Q560" s="2"/>
      <c r="R560" s="13">
        <f t="shared" ca="1" si="101"/>
        <v>39500010038</v>
      </c>
      <c r="S560" s="134">
        <f>Tie_Break!$D$23</f>
        <v>0</v>
      </c>
      <c r="T560" s="9">
        <f ca="1">RANK(R560,R544:R563)+(9-S560)/10000+(F560="")*1000</f>
        <v>6.0008999999999997</v>
      </c>
      <c r="U560" s="2"/>
      <c r="V560" s="134">
        <f ca="1">IF($K$24=0,"",IF(VLOOKUP(B560,C544:E563,3,0)=MAX(V$4:V559),VLOOKUP(B560,C544:E563,3,0),B560))</f>
        <v>17</v>
      </c>
      <c r="W560" s="4" t="str">
        <f ca="1">IF($K$24=0,Calc2!$C$20,VLOOKUP(B560,C544:N563,4,0))</f>
        <v>FC St. Pauli</v>
      </c>
      <c r="X560" s="1">
        <f ca="1">INDEX(V517:V536,MATCH(W560,W517:W536,0))</f>
        <v>17</v>
      </c>
      <c r="Y560" s="1">
        <f t="shared" ca="1" si="104"/>
        <v>0</v>
      </c>
    </row>
    <row r="561" spans="2:25" x14ac:dyDescent="0.2">
      <c r="B561" s="1">
        <v>18</v>
      </c>
      <c r="C561" s="9">
        <f ca="1">RANK(D561,D544:D563,1)</f>
        <v>15</v>
      </c>
      <c r="D561" s="134">
        <f t="shared" ca="1" si="102"/>
        <v>15.561</v>
      </c>
      <c r="E561" s="134">
        <f ca="1">RANK(T561,T544:T563,1)</f>
        <v>15</v>
      </c>
      <c r="F561" s="187" t="str">
        <f>Calc2!$C$21</f>
        <v>VfL Wolfsburg</v>
      </c>
      <c r="G561" s="1">
        <f ca="1">SUMIFS(OFFSET(Calc2!$H$4,,,$F$26*B542,1),OFFSET(Calc2!$F$4,,,$F$26*B542,1),F561)+SUMIFS(OFFSET(Calc2!$I$4,,,$F$26*B542,1),OFFSET(Calc2!$G$4,,,$F$26*B542,1),F561)</f>
        <v>29</v>
      </c>
      <c r="H561" s="1">
        <f ca="1">SUMIFS(OFFSET(Calc2!$I$4,,,$F$26*B542,1),OFFSET(Calc2!$F$4,,,$F$26*B542,1),F561)+SUMIFS(OFFSET(Calc2!$H$4,,,$F$26*B542,1),OFFSET(Calc2!$G$4,,,$F$26*B542,1),F561)</f>
        <v>44</v>
      </c>
      <c r="I561" s="134">
        <f t="shared" ca="1" si="100"/>
        <v>-15</v>
      </c>
      <c r="J561" s="12">
        <f ca="1">L561*Settings!$C$3+M561+O561</f>
        <v>19</v>
      </c>
      <c r="K561" s="1">
        <f t="shared" ca="1" si="103"/>
        <v>21</v>
      </c>
      <c r="L561" s="1">
        <f t="array" aca="1" ref="L561" ca="1">SUMPRODUCT((OFFSET(Calc2!$F$4,,,$F$26*B542,1)=F561)*(OFFSET(Calc2!$H$4,,,$F$26*B542,1)&gt;OFFSET(Calc2!$I$4,,,$F$26*B542,1)))+SUMPRODUCT((OFFSET(Calc2!$G$4,,,$F$26*B542,1)=F561)*(OFFSET(Calc2!$H$4,,,$F$26*B542,1)&lt;OFFSET(Calc2!$I$4,,,$F$26*B542,1)))</f>
        <v>5</v>
      </c>
      <c r="M561" s="1">
        <f t="array" aca="1" ref="M561" ca="1">SUMPRODUCT((OFFSET(Calc2!$F$4,,,$F$26*B542,2)=F561)*(OFFSET(Calc2!$H$4,,,$F$26*B542,1)=OFFSET(Calc2!$I$4,,,$F$26*B542,1))*(OFFSET(Calc2!$H$4,,,$F$26*B542,1)&lt;&gt;"")*(OFFSET(Calc2!$I$4,,,$F$26*B542,1)&lt;&gt;""))</f>
        <v>4</v>
      </c>
      <c r="N561" s="1">
        <f t="array" aca="1" ref="N561" ca="1">SUMPRODUCT((OFFSET(Calc2!$F$4,,,$F$26*B542,1)=F561)*(OFFSET(Calc2!$H$4,,,$F$26*B542,1)&lt;OFFSET(Calc2!$I$4,,,$F$26*B542,1)))+SUMPRODUCT((OFFSET(Calc2!$G$4,,,$F$26*B542,1)=F561)*(OFFSET(Calc2!$H$4,,,$F$26*B542,1)&gt;OFFSET(Calc2!$I$4,,,$F$26*B542,1)))</f>
        <v>12</v>
      </c>
      <c r="O561" s="132">
        <f ca="1">SUMPRODUCT((F561=OFFSET(Calc2!$F$4,,,$F$26*B542,1))*OFFSET(Calc2!$O$4,,,$F$26*B542,1))+SUMPRODUCT((F561=OFFSET(Calc2!$G$4,,,$F$26*B542,1))*OFFSET(Calc2!$P$4,,,$F$26*B542,1))</f>
        <v>0</v>
      </c>
      <c r="P561" s="2"/>
      <c r="Q561" s="2"/>
      <c r="R561" s="13">
        <f t="shared" ca="1" si="101"/>
        <v>19499985029</v>
      </c>
      <c r="S561" s="134">
        <f>Tie_Break!$D$24</f>
        <v>0</v>
      </c>
      <c r="T561" s="9">
        <f ca="1">RANK(R561,R544:R563)+(9-S561)/10000+(F561="")*1000</f>
        <v>15.0009</v>
      </c>
      <c r="U561" s="2"/>
      <c r="V561" s="134">
        <f ca="1">IF($K$24=0,"",IF(VLOOKUP(B561,C544:E563,3,0)=MAX(V$4:V560),VLOOKUP(B561,C544:E563,3,0),B561))</f>
        <v>18</v>
      </c>
      <c r="W561" s="4" t="str">
        <f ca="1">IF($K$24=0,Calc2!$C$21,VLOOKUP(B561,C544:N563,4,0))</f>
        <v>1. FC Heidenheim 1846</v>
      </c>
      <c r="X561" s="1">
        <f ca="1">INDEX(V517:V536,MATCH(W561,W517:W536,0))</f>
        <v>18</v>
      </c>
      <c r="Y561" s="1">
        <f t="shared" ca="1" si="104"/>
        <v>0</v>
      </c>
    </row>
    <row r="562" spans="2:25" x14ac:dyDescent="0.2">
      <c r="B562" s="1">
        <v>19</v>
      </c>
      <c r="C562" s="9">
        <f ca="1">RANK(D562,D544:D563,1)</f>
        <v>19</v>
      </c>
      <c r="D562" s="134">
        <f t="shared" ca="1" si="102"/>
        <v>19.562000000000001</v>
      </c>
      <c r="E562" s="134">
        <f ca="1">RANK(T562,T544:T563,1)</f>
        <v>19</v>
      </c>
      <c r="F562" s="187" t="str">
        <f>Calc2!$C$22</f>
        <v/>
      </c>
      <c r="G562" s="1">
        <f ca="1">SUMIFS(OFFSET(Calc2!$H$4,,,$F$26*B542,1),OFFSET(Calc2!$F$4,,,$F$26*B542,1),F562)+SUMIFS(OFFSET(Calc2!$I$4,,,$F$26*B542,1),OFFSET(Calc2!$G$4,,,$F$26*B542,1),F562)</f>
        <v>0</v>
      </c>
      <c r="H562" s="1">
        <f ca="1">SUMIFS(OFFSET(Calc2!$I$4,,,$F$26*B542,1),OFFSET(Calc2!$F$4,,,$F$26*B542,1),F562)+SUMIFS(OFFSET(Calc2!$H$4,,,$F$26*B542,1),OFFSET(Calc2!$G$4,,,$F$26*B542,1),F562)</f>
        <v>0</v>
      </c>
      <c r="I562" s="134">
        <f t="shared" ca="1" si="100"/>
        <v>0</v>
      </c>
      <c r="J562" s="12">
        <f ca="1">L562*Settings!$C$3+M562+O562</f>
        <v>0</v>
      </c>
      <c r="K562" s="1">
        <f t="shared" ca="1" si="103"/>
        <v>0</v>
      </c>
      <c r="L562" s="1">
        <f t="array" aca="1" ref="L562" ca="1">SUMPRODUCT((OFFSET(Calc2!$F$4,,,$F$26*B542,1)=F562)*(OFFSET(Calc2!$H$4,,,$F$26*B542,1)&gt;OFFSET(Calc2!$I$4,,,$F$26*B542,1)))+SUMPRODUCT((OFFSET(Calc2!$G$4,,,$F$26*B542,1)=F562)*(OFFSET(Calc2!$H$4,,,$F$26*B542,1)&lt;OFFSET(Calc2!$I$4,,,$F$26*B542,1)))</f>
        <v>0</v>
      </c>
      <c r="M562" s="1">
        <f t="array" aca="1" ref="M562" ca="1">SUMPRODUCT((OFFSET(Calc2!$F$4,,,$F$26*B542,2)=F562)*(OFFSET(Calc2!$H$4,,,$F$26*B542,1)=OFFSET(Calc2!$I$4,,,$F$26*B542,1))*(OFFSET(Calc2!$H$4,,,$F$26*B542,1)&lt;&gt;"")*(OFFSET(Calc2!$I$4,,,$F$26*B542,1)&lt;&gt;""))</f>
        <v>0</v>
      </c>
      <c r="N562" s="1">
        <f t="array" aca="1" ref="N562" ca="1">SUMPRODUCT((OFFSET(Calc2!$F$4,,,$F$26*B542,1)=F562)*(OFFSET(Calc2!$H$4,,,$F$26*B542,1)&lt;OFFSET(Calc2!$I$4,,,$F$26*B542,1)))+SUMPRODUCT((OFFSET(Calc2!$G$4,,,$F$26*B542,1)=F562)*(OFFSET(Calc2!$H$4,,,$F$26*B542,1)&gt;OFFSET(Calc2!$I$4,,,$F$26*B542,1)))</f>
        <v>0</v>
      </c>
      <c r="O562" s="132">
        <f ca="1">SUMPRODUCT((F562=OFFSET(Calc2!$F$4,,,$F$26*B542,1))*OFFSET(Calc2!$O$4,,,$F$26*B542,1))+SUMPRODUCT((F562=OFFSET(Calc2!$G$4,,,$F$26*B542,1))*OFFSET(Calc2!$P$4,,,$F$26*B542,1))</f>
        <v>0</v>
      </c>
      <c r="P562" s="2"/>
      <c r="Q562" s="2"/>
      <c r="R562" s="13">
        <f t="shared" ca="1" si="101"/>
        <v>500000000</v>
      </c>
      <c r="S562" s="134">
        <f>Tie_Break!$D$25</f>
        <v>0</v>
      </c>
      <c r="T562" s="9">
        <f ca="1">RANK(R562,R544:R563)+(9-S562)/10000+(F562="")*1000</f>
        <v>1019.0009</v>
      </c>
      <c r="U562" s="2"/>
      <c r="V562" s="134">
        <f ca="1">IF($K$24=0,"",IF(VLOOKUP(B562,C544:E563,3,0)=MAX(V$4:V561),VLOOKUP(B562,C544:E563,3,0),B562))</f>
        <v>19</v>
      </c>
      <c r="W562" s="4" t="str">
        <f ca="1">IF($K$24=0,Calc2!$C$22,VLOOKUP(B562,C544:N563,4,0))</f>
        <v/>
      </c>
      <c r="X562" s="1">
        <f ca="1">INDEX(V517:V536,MATCH(W562,W517:W536,0))</f>
        <v>19</v>
      </c>
      <c r="Y562" s="1">
        <f t="shared" ca="1" si="104"/>
        <v>0</v>
      </c>
    </row>
    <row r="563" spans="2:25" ht="12.75" thickBot="1" x14ac:dyDescent="0.25">
      <c r="B563" s="1">
        <v>20</v>
      </c>
      <c r="C563" s="10">
        <f ca="1">RANK(D563,D544:D563,1)</f>
        <v>20</v>
      </c>
      <c r="D563" s="134">
        <f t="shared" ca="1" si="102"/>
        <v>19.562999999999999</v>
      </c>
      <c r="E563" s="134">
        <f ca="1">RANK(T563,T544:T563,1)</f>
        <v>19</v>
      </c>
      <c r="F563" s="187" t="str">
        <f>Calc2!$C$23</f>
        <v/>
      </c>
      <c r="G563" s="1">
        <f ca="1">SUMIFS(OFFSET(Calc2!$H$4,,,$F$26*B542,1),OFFSET(Calc2!$F$4,,,$F$26*B542,1),F563)+SUMIFS(OFFSET(Calc2!$I$4,,,$F$26*B542,1),OFFSET(Calc2!$G$4,,,$F$26*B542,1),F563)</f>
        <v>0</v>
      </c>
      <c r="H563" s="1">
        <f ca="1">SUMIFS(OFFSET(Calc2!$I$4,,,$F$26*B542,1),OFFSET(Calc2!$F$4,,,$F$26*B542,1),F563)+SUMIFS(OFFSET(Calc2!$H$4,,,$F$26*B542,1),OFFSET(Calc2!$G$4,,,$F$26*B542,1),F563)</f>
        <v>0</v>
      </c>
      <c r="I563" s="134">
        <f t="shared" ca="1" si="100"/>
        <v>0</v>
      </c>
      <c r="J563" s="12">
        <f ca="1">L563*Settings!$C$3+M563+O563</f>
        <v>0</v>
      </c>
      <c r="K563" s="1">
        <f t="shared" ca="1" si="103"/>
        <v>0</v>
      </c>
      <c r="L563" s="1">
        <f t="array" aca="1" ref="L563" ca="1">SUMPRODUCT((OFFSET(Calc2!$F$4,,,$F$26*B542,1)=F563)*(OFFSET(Calc2!$H$4,,,$F$26*B542,1)&gt;OFFSET(Calc2!$I$4,,,$F$26*B542,1)))+SUMPRODUCT((OFFSET(Calc2!$G$4,,,$F$26*B542,1)=F563)*(OFFSET(Calc2!$H$4,,,$F$26*B542,1)&lt;OFFSET(Calc2!$I$4,,,$F$26*B542,1)))</f>
        <v>0</v>
      </c>
      <c r="M563" s="1">
        <f t="array" aca="1" ref="M563" ca="1">SUMPRODUCT((OFFSET(Calc2!$F$4,,,$F$26*B542,2)=F563)*(OFFSET(Calc2!$H$4,,,$F$26*B542,1)=OFFSET(Calc2!$I$4,,,$F$26*B542,1))*(OFFSET(Calc2!$H$4,,,$F$26*B542,1)&lt;&gt;"")*(OFFSET(Calc2!$I$4,,,$F$26*B542,1)&lt;&gt;""))</f>
        <v>0</v>
      </c>
      <c r="N563" s="1">
        <f t="array" aca="1" ref="N563" ca="1">SUMPRODUCT((OFFSET(Calc2!$F$4,,,$F$26*B542,1)=F563)*(OFFSET(Calc2!$H$4,,,$F$26*B542,1)&lt;OFFSET(Calc2!$I$4,,,$F$26*B542,1)))+SUMPRODUCT((OFFSET(Calc2!$G$4,,,$F$26*B542,1)=F563)*(OFFSET(Calc2!$H$4,,,$F$26*B542,1)&gt;OFFSET(Calc2!$I$4,,,$F$26*B542,1)))</f>
        <v>0</v>
      </c>
      <c r="O563" s="132">
        <f ca="1">SUMPRODUCT((F563=OFFSET(Calc2!$F$4,,,$F$26*B542,1))*OFFSET(Calc2!$O$4,,,$F$26*B542,1))+SUMPRODUCT((F563=OFFSET(Calc2!$G$4,,,$F$26*B542,1))*OFFSET(Calc2!$P$4,,,$F$26*B542,1))</f>
        <v>0</v>
      </c>
      <c r="P563" s="2"/>
      <c r="Q563" s="2"/>
      <c r="R563" s="13">
        <f t="shared" ca="1" si="101"/>
        <v>500000000</v>
      </c>
      <c r="S563" s="134">
        <f>Tie_Break!$D$26</f>
        <v>0</v>
      </c>
      <c r="T563" s="10">
        <f ca="1">RANK(R563,R544:R563)+(9-S563)/10000+(F563="")*1000</f>
        <v>1019.0009</v>
      </c>
      <c r="U563" s="2"/>
      <c r="V563" s="134">
        <f ca="1">IF($K$24=0,"",IF(VLOOKUP(B563,C544:E563,3,0)=MAX(V$4:V562),VLOOKUP(B563,C544:E563,3,0),B563))</f>
        <v>19</v>
      </c>
      <c r="W563" s="4" t="str">
        <f ca="1">IF($K$24=0,Calc2!$C$23,VLOOKUP(B563,C544:N563,4,0))</f>
        <v/>
      </c>
      <c r="X563" s="1">
        <f ca="1">INDEX(V517:V536,MATCH(W563,W517:W536,0))</f>
        <v>19</v>
      </c>
      <c r="Y563" s="1">
        <f t="shared" ca="1" si="104"/>
        <v>0</v>
      </c>
    </row>
    <row r="564" spans="2:25" ht="12.75" thickTop="1" x14ac:dyDescent="0.2"/>
    <row r="568" spans="2:25" ht="12.75" thickBot="1" x14ac:dyDescent="0.25"/>
    <row r="569" spans="2:25" ht="12.75" thickBot="1" x14ac:dyDescent="0.25">
      <c r="B569" s="410">
        <v>22</v>
      </c>
      <c r="C569" s="134"/>
      <c r="D569" s="134"/>
      <c r="E569" s="134"/>
      <c r="F569" s="187"/>
      <c r="G569" s="1"/>
      <c r="H569" s="1"/>
      <c r="I569" s="1"/>
      <c r="J569" s="1"/>
      <c r="K569" s="1"/>
      <c r="L569" s="1"/>
      <c r="M569" s="1"/>
      <c r="N569" s="134"/>
      <c r="O569" s="1"/>
      <c r="P569" s="1"/>
      <c r="Q569" s="1"/>
      <c r="R569" s="2"/>
      <c r="S569" s="2"/>
      <c r="T569" s="2"/>
      <c r="U569" s="2"/>
      <c r="V569" s="2"/>
      <c r="W569" s="2"/>
    </row>
    <row r="570" spans="2:25" ht="15.75" thickBot="1" x14ac:dyDescent="0.25">
      <c r="B570" s="1"/>
      <c r="C570" s="134"/>
      <c r="D570" s="134"/>
      <c r="E570" s="134"/>
      <c r="F570" s="11" t="s">
        <v>90</v>
      </c>
      <c r="G570" s="42" t="s">
        <v>95</v>
      </c>
      <c r="H570" s="42" t="s">
        <v>96</v>
      </c>
      <c r="I570" s="11" t="s">
        <v>97</v>
      </c>
      <c r="J570" s="11" t="s">
        <v>98</v>
      </c>
      <c r="K570" s="11" t="s">
        <v>91</v>
      </c>
      <c r="L570" s="12" t="s">
        <v>92</v>
      </c>
      <c r="M570" s="12" t="s">
        <v>93</v>
      </c>
      <c r="N570" s="12" t="s">
        <v>94</v>
      </c>
      <c r="O570" s="12" t="s">
        <v>534</v>
      </c>
      <c r="P570" s="2"/>
      <c r="Q570" s="11"/>
      <c r="R570" s="133" t="s">
        <v>99</v>
      </c>
      <c r="S570" s="6" t="s">
        <v>483</v>
      </c>
      <c r="T570" s="120" t="s">
        <v>146</v>
      </c>
      <c r="U570" s="134"/>
      <c r="V570" s="134"/>
      <c r="W570" s="132"/>
      <c r="X570" s="120" t="s">
        <v>575</v>
      </c>
      <c r="Y570" s="1"/>
    </row>
    <row r="571" spans="2:25" ht="12.75" thickTop="1" x14ac:dyDescent="0.2">
      <c r="B571" s="1">
        <v>1</v>
      </c>
      <c r="C571" s="8">
        <f ca="1">RANK(D571,D571:D590,1)</f>
        <v>18</v>
      </c>
      <c r="D571" s="134">
        <f ca="1">E571+ROW()/1000</f>
        <v>18.571000000000002</v>
      </c>
      <c r="E571" s="134">
        <f ca="1">RANK(T571,T571:T590,1)</f>
        <v>18</v>
      </c>
      <c r="F571" s="187" t="str">
        <f>Calc2!$C$4</f>
        <v>1. FC Heidenheim 1846</v>
      </c>
      <c r="G571" s="1">
        <f ca="1">SUMIFS(OFFSET(Calc2!$H$4,,,$F$26*B569,1),OFFSET(Calc2!$F$4,,,$F$26*B569,1),F571)+SUMIFS(OFFSET(Calc2!$I$4,,,$F$26*B569,1),OFFSET(Calc2!$G$4,,,$F$26*B569,1),F571)</f>
        <v>19</v>
      </c>
      <c r="H571" s="1">
        <f ca="1">SUMIFS(OFFSET(Calc2!$I$4,,,$F$26*B569,1),OFFSET(Calc2!$F$4,,,$F$26*B569,1),F571)+SUMIFS(OFFSET(Calc2!$H$4,,,$F$26*B569,1),OFFSET(Calc2!$G$4,,,$F$26*B569,1),F571)</f>
        <v>48</v>
      </c>
      <c r="I571" s="134">
        <f t="shared" ref="I571:I590" ca="1" si="105">G571-H571</f>
        <v>-29</v>
      </c>
      <c r="J571" s="12">
        <f ca="1">L571*Settings!$C$3+M571+O571</f>
        <v>13</v>
      </c>
      <c r="K571" s="1">
        <f ca="1">L571+M571+N571</f>
        <v>22</v>
      </c>
      <c r="L571" s="1">
        <f t="array" aca="1" ref="L571" ca="1">SUMPRODUCT((OFFSET(Calc2!$F$4,,,$F$26*B569,1)=F571)*(OFFSET(Calc2!$H$4,,,$F$26*B569,1)&gt;OFFSET(Calc2!$I$4,,,$F$26*B569,1)))+SUMPRODUCT((OFFSET(Calc2!$G$4,,,$F$26*B569,1)=F571)*(OFFSET(Calc2!$H$4,,,$F$26*B569,1)&lt;OFFSET(Calc2!$I$4,,,$F$26*B569,1)))</f>
        <v>3</v>
      </c>
      <c r="M571" s="1">
        <f t="array" aca="1" ref="M571" ca="1">SUMPRODUCT((OFFSET(Calc2!$F$4,,,$F$26*B569,2)=F571)*(OFFSET(Calc2!$H$4,,,$F$26*B569,1)=OFFSET(Calc2!$I$4,,,$F$26*B569,1))*(OFFSET(Calc2!$H$4,,,$F$26*B569,1)&lt;&gt;"")*(OFFSET(Calc2!$I$4,,,$F$26*B569,1)&lt;&gt;""))</f>
        <v>4</v>
      </c>
      <c r="N571" s="1">
        <f t="array" aca="1" ref="N571" ca="1">SUMPRODUCT((OFFSET(Calc2!$F$4,,,$F$26*B569,1)=F571)*(OFFSET(Calc2!$H$4,,,$F$26*B569,1)&lt;OFFSET(Calc2!$I$4,,,$F$26*B569,1)))+SUMPRODUCT((OFFSET(Calc2!$G$4,,,$F$26*B569,1)=F571)*(OFFSET(Calc2!$H$4,,,$F$26*B569,1)&gt;OFFSET(Calc2!$I$4,,,$F$26*B569,1)))</f>
        <v>15</v>
      </c>
      <c r="O571" s="132">
        <f ca="1">SUMPRODUCT((F571=OFFSET(Calc2!$F$4,,,$F$26*B569,1))*OFFSET(Calc2!$O$4,,,$F$26*B569,1))+SUMPRODUCT((F571=OFFSET(Calc2!$G$4,,,$F$26*B569,1))*OFFSET(Calc2!$P$4,,,$F$26*B569,1))</f>
        <v>0</v>
      </c>
      <c r="P571" s="2"/>
      <c r="Q571" s="2"/>
      <c r="R571" s="13">
        <f t="shared" ref="R571:R590" ca="1" si="106">J571*FactorPts+(I571+GDzero)*FactorGD+G571*FactorGF</f>
        <v>13499971019</v>
      </c>
      <c r="S571" s="134">
        <f>Tie_Break!$D$7</f>
        <v>0</v>
      </c>
      <c r="T571" s="8">
        <f ca="1">RANK(R571,R571:R590)+(9-S571)/10000+(F571="")*1000</f>
        <v>18.000900000000001</v>
      </c>
      <c r="U571" s="134"/>
      <c r="V571" s="134">
        <f ca="1">IF($K$24=0,"",1)</f>
        <v>1</v>
      </c>
      <c r="W571" s="4" t="str">
        <f ca="1">IF($K$24=0,Calc2!$C$4,VLOOKUP(B571,C571:N590,4,0))</f>
        <v>FC Bayern München</v>
      </c>
      <c r="X571" s="1">
        <f ca="1">INDEX(V544:V563,MATCH(W571,W544:W563,0))</f>
        <v>1</v>
      </c>
      <c r="Y571" s="1">
        <f ca="1">IF(X571&gt;V571,1,IF(X571&lt;V571,-1,0))</f>
        <v>0</v>
      </c>
    </row>
    <row r="572" spans="2:25" x14ac:dyDescent="0.2">
      <c r="B572" s="1">
        <v>2</v>
      </c>
      <c r="C572" s="9">
        <f ca="1">RANK(D572,D571:D590,1)</f>
        <v>12</v>
      </c>
      <c r="D572" s="134">
        <f t="shared" ref="D572:D590" ca="1" si="107">E572+ROW()/1000</f>
        <v>12.571999999999999</v>
      </c>
      <c r="E572" s="134">
        <f ca="1">RANK(T572,T571:T590,1)</f>
        <v>12</v>
      </c>
      <c r="F572" s="187" t="str">
        <f>Calc2!$C$5</f>
        <v>1. FC Köln</v>
      </c>
      <c r="G572" s="1">
        <f ca="1">SUMIFS(OFFSET(Calc2!$H$4,,,$F$26*B569,1),OFFSET(Calc2!$F$4,,,$F$26*B569,1),F572)+SUMIFS(OFFSET(Calc2!$I$4,,,$F$26*B569,1),OFFSET(Calc2!$G$4,,,$F$26*B569,1),F572)</f>
        <v>31</v>
      </c>
      <c r="H572" s="1">
        <f ca="1">SUMIFS(OFFSET(Calc2!$I$4,,,$F$26*B569,1),OFFSET(Calc2!$F$4,,,$F$26*B569,1),F572)+SUMIFS(OFFSET(Calc2!$H$4,,,$F$26*B569,1),OFFSET(Calc2!$G$4,,,$F$26*B569,1),F572)</f>
        <v>37</v>
      </c>
      <c r="I572" s="134">
        <f t="shared" ca="1" si="105"/>
        <v>-6</v>
      </c>
      <c r="J572" s="12">
        <f ca="1">L572*Settings!$C$3+M572+O572</f>
        <v>23</v>
      </c>
      <c r="K572" s="1">
        <f t="shared" ref="K572:K590" ca="1" si="108">L572+M572+N572</f>
        <v>22</v>
      </c>
      <c r="L572" s="1">
        <f t="array" aca="1" ref="L572" ca="1">SUMPRODUCT((OFFSET(Calc2!$F$4,,,$F$26*B569,1)=F572)*(OFFSET(Calc2!$H$4,,,$F$26*B569,1)&gt;OFFSET(Calc2!$I$4,,,$F$26*B569,1)))+SUMPRODUCT((OFFSET(Calc2!$G$4,,,$F$26*B569,1)=F572)*(OFFSET(Calc2!$H$4,,,$F$26*B569,1)&lt;OFFSET(Calc2!$I$4,,,$F$26*B569,1)))</f>
        <v>6</v>
      </c>
      <c r="M572" s="1">
        <f t="array" aca="1" ref="M572" ca="1">SUMPRODUCT((OFFSET(Calc2!$F$4,,,$F$26*B569,2)=F572)*(OFFSET(Calc2!$H$4,,,$F$26*B569,1)=OFFSET(Calc2!$I$4,,,$F$26*B569,1))*(OFFSET(Calc2!$H$4,,,$F$26*B569,1)&lt;&gt;"")*(OFFSET(Calc2!$I$4,,,$F$26*B569,1)&lt;&gt;""))</f>
        <v>5</v>
      </c>
      <c r="N572" s="1">
        <f t="array" aca="1" ref="N572" ca="1">SUMPRODUCT((OFFSET(Calc2!$F$4,,,$F$26*B569,1)=F572)*(OFFSET(Calc2!$H$4,,,$F$26*B569,1)&lt;OFFSET(Calc2!$I$4,,,$F$26*B569,1)))+SUMPRODUCT((OFFSET(Calc2!$G$4,,,$F$26*B569,1)=F572)*(OFFSET(Calc2!$H$4,,,$F$26*B569,1)&gt;OFFSET(Calc2!$I$4,,,$F$26*B569,1)))</f>
        <v>11</v>
      </c>
      <c r="O572" s="132">
        <f ca="1">SUMPRODUCT((F572=OFFSET(Calc2!$F$4,,,$F$26*B569,1))*OFFSET(Calc2!$O$4,,,$F$26*B569,1))+SUMPRODUCT((F572=OFFSET(Calc2!$G$4,,,$F$26*B569,1))*OFFSET(Calc2!$P$4,,,$F$26*B569,1))</f>
        <v>0</v>
      </c>
      <c r="P572" s="2"/>
      <c r="Q572" s="2"/>
      <c r="R572" s="13">
        <f t="shared" ca="1" si="106"/>
        <v>23499994031</v>
      </c>
      <c r="S572" s="134">
        <f>Tie_Break!$D$8</f>
        <v>0</v>
      </c>
      <c r="T572" s="9">
        <f ca="1">RANK(R572,R571:R590)+(9-S572)/10000+(F572="")*1000</f>
        <v>12.0009</v>
      </c>
      <c r="U572" s="134"/>
      <c r="V572" s="134">
        <f ca="1">IF($K$24=0,"",IF(VLOOKUP(B572,C571:E590,3,0)=MAX(V$4:V571),VLOOKUP(B572,C571:E590,3,0),B572))</f>
        <v>2</v>
      </c>
      <c r="W572" s="4" t="str">
        <f ca="1">IF($K$24=0,Calc2!$C$5,VLOOKUP(B572,C571:N590,4,0))</f>
        <v>Borussia Dortmund</v>
      </c>
      <c r="X572" s="1">
        <f ca="1">INDEX(V544:V563,MATCH(W572,W544:W563,0))</f>
        <v>2</v>
      </c>
      <c r="Y572" s="1">
        <f t="shared" ref="Y572:Y590" ca="1" si="109">IF(X572&gt;V572,1,IF(X572&lt;V572,-1,0))</f>
        <v>0</v>
      </c>
    </row>
    <row r="573" spans="2:25" x14ac:dyDescent="0.2">
      <c r="B573" s="1">
        <v>3</v>
      </c>
      <c r="C573" s="9">
        <f ca="1">RANK(D573,D571:D590,1)</f>
        <v>10</v>
      </c>
      <c r="D573" s="134">
        <f t="shared" ca="1" si="107"/>
        <v>10.573</v>
      </c>
      <c r="E573" s="134">
        <f ca="1">RANK(T573,T571:T590,1)</f>
        <v>10</v>
      </c>
      <c r="F573" s="187" t="str">
        <f>Calc2!$C$6</f>
        <v>1. FC Union Berlin</v>
      </c>
      <c r="G573" s="1">
        <f ca="1">SUMIFS(OFFSET(Calc2!$H$4,,,$F$26*B569,1),OFFSET(Calc2!$F$4,,,$F$26*B569,1),F573)+SUMIFS(OFFSET(Calc2!$I$4,,,$F$26*B569,1),OFFSET(Calc2!$G$4,,,$F$26*B569,1),F573)</f>
        <v>28</v>
      </c>
      <c r="H573" s="1">
        <f ca="1">SUMIFS(OFFSET(Calc2!$I$4,,,$F$26*B569,1),OFFSET(Calc2!$F$4,,,$F$26*B569,1),F573)+SUMIFS(OFFSET(Calc2!$H$4,,,$F$26*B569,1),OFFSET(Calc2!$G$4,,,$F$26*B569,1),F573)</f>
        <v>37</v>
      </c>
      <c r="I573" s="134">
        <f t="shared" ca="1" si="105"/>
        <v>-9</v>
      </c>
      <c r="J573" s="12">
        <f ca="1">L573*Settings!$C$3+M573+O573</f>
        <v>25</v>
      </c>
      <c r="K573" s="1">
        <f t="shared" ca="1" si="108"/>
        <v>22</v>
      </c>
      <c r="L573" s="1">
        <f t="array" aca="1" ref="L573" ca="1">SUMPRODUCT((OFFSET(Calc2!$F$4,,,$F$26*B569,1)=F573)*(OFFSET(Calc2!$H$4,,,$F$26*B569,1)&gt;OFFSET(Calc2!$I$4,,,$F$26*B569,1)))+SUMPRODUCT((OFFSET(Calc2!$G$4,,,$F$26*B569,1)=F573)*(OFFSET(Calc2!$H$4,,,$F$26*B569,1)&lt;OFFSET(Calc2!$I$4,,,$F$26*B569,1)))</f>
        <v>6</v>
      </c>
      <c r="M573" s="1">
        <f t="array" aca="1" ref="M573" ca="1">SUMPRODUCT((OFFSET(Calc2!$F$4,,,$F$26*B569,2)=F573)*(OFFSET(Calc2!$H$4,,,$F$26*B569,1)=OFFSET(Calc2!$I$4,,,$F$26*B569,1))*(OFFSET(Calc2!$H$4,,,$F$26*B569,1)&lt;&gt;"")*(OFFSET(Calc2!$I$4,,,$F$26*B569,1)&lt;&gt;""))</f>
        <v>7</v>
      </c>
      <c r="N573" s="1">
        <f t="array" aca="1" ref="N573" ca="1">SUMPRODUCT((OFFSET(Calc2!$F$4,,,$F$26*B569,1)=F573)*(OFFSET(Calc2!$H$4,,,$F$26*B569,1)&lt;OFFSET(Calc2!$I$4,,,$F$26*B569,1)))+SUMPRODUCT((OFFSET(Calc2!$G$4,,,$F$26*B569,1)=F573)*(OFFSET(Calc2!$H$4,,,$F$26*B569,1)&gt;OFFSET(Calc2!$I$4,,,$F$26*B569,1)))</f>
        <v>9</v>
      </c>
      <c r="O573" s="132">
        <f ca="1">SUMPRODUCT((F573=OFFSET(Calc2!$F$4,,,$F$26*B569,1))*OFFSET(Calc2!$O$4,,,$F$26*B569,1))+SUMPRODUCT((F573=OFFSET(Calc2!$G$4,,,$F$26*B569,1))*OFFSET(Calc2!$P$4,,,$F$26*B569,1))</f>
        <v>0</v>
      </c>
      <c r="P573" s="2"/>
      <c r="Q573" s="2"/>
      <c r="R573" s="13">
        <f t="shared" ca="1" si="106"/>
        <v>25499991028</v>
      </c>
      <c r="S573" s="134">
        <f>Tie_Break!$D$9</f>
        <v>0</v>
      </c>
      <c r="T573" s="9">
        <f ca="1">RANK(R573,R571:R590)+(9-S573)/10000+(F573="")*1000</f>
        <v>10.0009</v>
      </c>
      <c r="U573" s="134"/>
      <c r="V573" s="134">
        <f ca="1">IF($K$24=0,"",IF(VLOOKUP(B573,C571:E590,3,0)=MAX(V$4:V572),VLOOKUP(B573,C571:E590,3,0),B573))</f>
        <v>3</v>
      </c>
      <c r="W573" s="4" t="str">
        <f ca="1">IF($K$24=0,Calc2!$C$6,VLOOKUP(B573,C571:N590,4,0))</f>
        <v>TSG Hoffenheim</v>
      </c>
      <c r="X573" s="1">
        <f ca="1">INDEX(V544:V563,MATCH(W573,W544:W563,0))</f>
        <v>3</v>
      </c>
      <c r="Y573" s="1">
        <f t="shared" ca="1" si="109"/>
        <v>0</v>
      </c>
    </row>
    <row r="574" spans="2:25" x14ac:dyDescent="0.2">
      <c r="B574" s="1">
        <v>4</v>
      </c>
      <c r="C574" s="9">
        <f ca="1">RANK(D574,D571:D590,1)</f>
        <v>14</v>
      </c>
      <c r="D574" s="134">
        <f t="shared" ca="1" si="107"/>
        <v>14.574</v>
      </c>
      <c r="E574" s="134">
        <f ca="1">RANK(T574,T571:T590,1)</f>
        <v>14</v>
      </c>
      <c r="F574" s="187" t="str">
        <f>Calc2!$C$7</f>
        <v>1. FSV Mainz 05</v>
      </c>
      <c r="G574" s="1">
        <f ca="1">SUMIFS(OFFSET(Calc2!$H$4,,,$F$26*B569,1),OFFSET(Calc2!$F$4,,,$F$26*B569,1),F574)+SUMIFS(OFFSET(Calc2!$I$4,,,$F$26*B569,1),OFFSET(Calc2!$G$4,,,$F$26*B569,1),F574)</f>
        <v>25</v>
      </c>
      <c r="H574" s="1">
        <f ca="1">SUMIFS(OFFSET(Calc2!$I$4,,,$F$26*B569,1),OFFSET(Calc2!$F$4,,,$F$26*B569,1),F574)+SUMIFS(OFFSET(Calc2!$H$4,,,$F$26*B569,1),OFFSET(Calc2!$G$4,,,$F$26*B569,1),F574)</f>
        <v>37</v>
      </c>
      <c r="I574" s="134">
        <f t="shared" ca="1" si="105"/>
        <v>-12</v>
      </c>
      <c r="J574" s="12">
        <f ca="1">L574*Settings!$C$3+M574+O574</f>
        <v>21</v>
      </c>
      <c r="K574" s="1">
        <f t="shared" ca="1" si="108"/>
        <v>22</v>
      </c>
      <c r="L574" s="1">
        <f t="array" aca="1" ref="L574" ca="1">SUMPRODUCT((OFFSET(Calc2!$F$4,,,$F$26*B569,1)=F574)*(OFFSET(Calc2!$H$4,,,$F$26*B569,1)&gt;OFFSET(Calc2!$I$4,,,$F$26*B569,1)))+SUMPRODUCT((OFFSET(Calc2!$G$4,,,$F$26*B569,1)=F574)*(OFFSET(Calc2!$H$4,,,$F$26*B569,1)&lt;OFFSET(Calc2!$I$4,,,$F$26*B569,1)))</f>
        <v>5</v>
      </c>
      <c r="M574" s="1">
        <f t="array" aca="1" ref="M574" ca="1">SUMPRODUCT((OFFSET(Calc2!$F$4,,,$F$26*B569,2)=F574)*(OFFSET(Calc2!$H$4,,,$F$26*B569,1)=OFFSET(Calc2!$I$4,,,$F$26*B569,1))*(OFFSET(Calc2!$H$4,,,$F$26*B569,1)&lt;&gt;"")*(OFFSET(Calc2!$I$4,,,$F$26*B569,1)&lt;&gt;""))</f>
        <v>6</v>
      </c>
      <c r="N574" s="1">
        <f t="array" aca="1" ref="N574" ca="1">SUMPRODUCT((OFFSET(Calc2!$F$4,,,$F$26*B569,1)=F574)*(OFFSET(Calc2!$H$4,,,$F$26*B569,1)&lt;OFFSET(Calc2!$I$4,,,$F$26*B569,1)))+SUMPRODUCT((OFFSET(Calc2!$G$4,,,$F$26*B569,1)=F574)*(OFFSET(Calc2!$H$4,,,$F$26*B569,1)&gt;OFFSET(Calc2!$I$4,,,$F$26*B569,1)))</f>
        <v>11</v>
      </c>
      <c r="O574" s="132">
        <f ca="1">SUMPRODUCT((F574=OFFSET(Calc2!$F$4,,,$F$26*B569,1))*OFFSET(Calc2!$O$4,,,$F$26*B569,1))+SUMPRODUCT((F574=OFFSET(Calc2!$G$4,,,$F$26*B569,1))*OFFSET(Calc2!$P$4,,,$F$26*B569,1))</f>
        <v>0</v>
      </c>
      <c r="P574" s="2"/>
      <c r="Q574" s="2"/>
      <c r="R574" s="13">
        <f t="shared" ca="1" si="106"/>
        <v>21499988025</v>
      </c>
      <c r="S574" s="134">
        <f>Tie_Break!$D$10</f>
        <v>0</v>
      </c>
      <c r="T574" s="9">
        <f ca="1">RANK(R574,R571:R590)+(9-S574)/10000+(F574="")*1000</f>
        <v>14.0009</v>
      </c>
      <c r="U574" s="134"/>
      <c r="V574" s="134">
        <f ca="1">IF($K$24=0,"",IF(VLOOKUP(B574,C571:E590,3,0)=MAX(V$4:V573),VLOOKUP(B574,C571:E590,3,0),B574))</f>
        <v>4</v>
      </c>
      <c r="W574" s="4" t="str">
        <f ca="1">IF($K$24=0,Calc2!$C$7,VLOOKUP(B574,C571:N590,4,0))</f>
        <v>Bayer 04 Leverkusen</v>
      </c>
      <c r="X574" s="1">
        <f ca="1">INDEX(V544:V563,MATCH(W574,W544:W563,0))</f>
        <v>4</v>
      </c>
      <c r="Y574" s="1">
        <f t="shared" ca="1" si="109"/>
        <v>0</v>
      </c>
    </row>
    <row r="575" spans="2:25" x14ac:dyDescent="0.2">
      <c r="B575" s="1">
        <v>5</v>
      </c>
      <c r="C575" s="9">
        <f ca="1">RANK(D575,D571:D590,1)</f>
        <v>4</v>
      </c>
      <c r="D575" s="134">
        <f t="shared" ca="1" si="107"/>
        <v>4.5750000000000002</v>
      </c>
      <c r="E575" s="134">
        <f ca="1">RANK(T575,T571:T590,1)</f>
        <v>4</v>
      </c>
      <c r="F575" s="187" t="str">
        <f>Calc2!$C$8</f>
        <v>Bayer 04 Leverkusen</v>
      </c>
      <c r="G575" s="1">
        <f ca="1">SUMIFS(OFFSET(Calc2!$H$4,,,$F$26*B569,1),OFFSET(Calc2!$F$4,,,$F$26*B569,1),F575)+SUMIFS(OFFSET(Calc2!$I$4,,,$F$26*B569,1),OFFSET(Calc2!$G$4,,,$F$26*B569,1),F575)</f>
        <v>44</v>
      </c>
      <c r="H575" s="1">
        <f ca="1">SUMIFS(OFFSET(Calc2!$I$4,,,$F$26*B569,1),OFFSET(Calc2!$F$4,,,$F$26*B569,1),F575)+SUMIFS(OFFSET(Calc2!$H$4,,,$F$26*B569,1),OFFSET(Calc2!$G$4,,,$F$26*B569,1),F575)</f>
        <v>27</v>
      </c>
      <c r="I575" s="134">
        <f t="shared" ca="1" si="105"/>
        <v>17</v>
      </c>
      <c r="J575" s="12">
        <f ca="1">L575*Settings!$C$3+M575+O575</f>
        <v>42</v>
      </c>
      <c r="K575" s="1">
        <f t="shared" ca="1" si="108"/>
        <v>22</v>
      </c>
      <c r="L575" s="1">
        <f t="array" aca="1" ref="L575" ca="1">SUMPRODUCT((OFFSET(Calc2!$F$4,,,$F$26*B569,1)=F575)*(OFFSET(Calc2!$H$4,,,$F$26*B569,1)&gt;OFFSET(Calc2!$I$4,,,$F$26*B569,1)))+SUMPRODUCT((OFFSET(Calc2!$G$4,,,$F$26*B569,1)=F575)*(OFFSET(Calc2!$H$4,,,$F$26*B569,1)&lt;OFFSET(Calc2!$I$4,,,$F$26*B569,1)))</f>
        <v>13</v>
      </c>
      <c r="M575" s="1">
        <f t="array" aca="1" ref="M575" ca="1">SUMPRODUCT((OFFSET(Calc2!$F$4,,,$F$26*B569,2)=F575)*(OFFSET(Calc2!$H$4,,,$F$26*B569,1)=OFFSET(Calc2!$I$4,,,$F$26*B569,1))*(OFFSET(Calc2!$H$4,,,$F$26*B569,1)&lt;&gt;"")*(OFFSET(Calc2!$I$4,,,$F$26*B569,1)&lt;&gt;""))</f>
        <v>3</v>
      </c>
      <c r="N575" s="1">
        <f t="array" aca="1" ref="N575" ca="1">SUMPRODUCT((OFFSET(Calc2!$F$4,,,$F$26*B569,1)=F575)*(OFFSET(Calc2!$H$4,,,$F$26*B569,1)&lt;OFFSET(Calc2!$I$4,,,$F$26*B569,1)))+SUMPRODUCT((OFFSET(Calc2!$G$4,,,$F$26*B569,1)=F575)*(OFFSET(Calc2!$H$4,,,$F$26*B569,1)&gt;OFFSET(Calc2!$I$4,,,$F$26*B569,1)))</f>
        <v>6</v>
      </c>
      <c r="O575" s="132">
        <f ca="1">SUMPRODUCT((F575=OFFSET(Calc2!$F$4,,,$F$26*B569,1))*OFFSET(Calc2!$O$4,,,$F$26*B569,1))+SUMPRODUCT((F575=OFFSET(Calc2!$G$4,,,$F$26*B569,1))*OFFSET(Calc2!$P$4,,,$F$26*B569,1))</f>
        <v>0</v>
      </c>
      <c r="P575" s="2"/>
      <c r="Q575" s="2"/>
      <c r="R575" s="13">
        <f t="shared" ca="1" si="106"/>
        <v>42500017044</v>
      </c>
      <c r="S575" s="134">
        <f>Tie_Break!$D$11</f>
        <v>0</v>
      </c>
      <c r="T575" s="9">
        <f ca="1">RANK(R575,R571:R590)+(9-S575)/10000+(F575="")*1000</f>
        <v>4.0008999999999997</v>
      </c>
      <c r="U575" s="134"/>
      <c r="V575" s="134">
        <f ca="1">IF($K$24=0,"",IF(VLOOKUP(B575,C571:E590,3,0)=MAX(V$4:V574),VLOOKUP(B575,C571:E590,3,0),B575))</f>
        <v>5</v>
      </c>
      <c r="W575" s="4" t="str">
        <f ca="1">IF($K$24=0,Calc2!$C$8,VLOOKUP(B575,C571:N590,4,0))</f>
        <v>VfB Stuttgart</v>
      </c>
      <c r="X575" s="1">
        <f ca="1">INDEX(V544:V563,MATCH(W575,W544:W563,0))</f>
        <v>6</v>
      </c>
      <c r="Y575" s="1">
        <f t="shared" ca="1" si="109"/>
        <v>1</v>
      </c>
    </row>
    <row r="576" spans="2:25" x14ac:dyDescent="0.2">
      <c r="B576" s="1">
        <v>6</v>
      </c>
      <c r="C576" s="9">
        <f ca="1">RANK(D576,D571:D590,1)</f>
        <v>2</v>
      </c>
      <c r="D576" s="134">
        <f t="shared" ca="1" si="107"/>
        <v>2.5760000000000001</v>
      </c>
      <c r="E576" s="134">
        <f ca="1">RANK(T576,T571:T590,1)</f>
        <v>2</v>
      </c>
      <c r="F576" s="187" t="str">
        <f>Calc2!$C$9</f>
        <v>Borussia Dortmund</v>
      </c>
      <c r="G576" s="1">
        <f ca="1">SUMIFS(OFFSET(Calc2!$H$4,,,$F$26*B569,1),OFFSET(Calc2!$F$4,,,$F$26*B569,1),F576)+SUMIFS(OFFSET(Calc2!$I$4,,,$F$26*B569,1),OFFSET(Calc2!$G$4,,,$F$26*B569,1),F576)</f>
        <v>47</v>
      </c>
      <c r="H576" s="1">
        <f ca="1">SUMIFS(OFFSET(Calc2!$I$4,,,$F$26*B569,1),OFFSET(Calc2!$F$4,,,$F$26*B569,1),F576)+SUMIFS(OFFSET(Calc2!$H$4,,,$F$26*B569,1),OFFSET(Calc2!$G$4,,,$F$26*B569,1),F576)</f>
        <v>20</v>
      </c>
      <c r="I576" s="134">
        <f t="shared" ca="1" si="105"/>
        <v>27</v>
      </c>
      <c r="J576" s="12">
        <f ca="1">L576*Settings!$C$3+M576+O576</f>
        <v>51</v>
      </c>
      <c r="K576" s="1">
        <f t="shared" ca="1" si="108"/>
        <v>22</v>
      </c>
      <c r="L576" s="1">
        <f t="array" aca="1" ref="L576" ca="1">SUMPRODUCT((OFFSET(Calc2!$F$4,,,$F$26*B569,1)=F576)*(OFFSET(Calc2!$H$4,,,$F$26*B569,1)&gt;OFFSET(Calc2!$I$4,,,$F$26*B569,1)))+SUMPRODUCT((OFFSET(Calc2!$G$4,,,$F$26*B569,1)=F576)*(OFFSET(Calc2!$H$4,,,$F$26*B569,1)&lt;OFFSET(Calc2!$I$4,,,$F$26*B569,1)))</f>
        <v>15</v>
      </c>
      <c r="M576" s="1">
        <f t="array" aca="1" ref="M576" ca="1">SUMPRODUCT((OFFSET(Calc2!$F$4,,,$F$26*B569,2)=F576)*(OFFSET(Calc2!$H$4,,,$F$26*B569,1)=OFFSET(Calc2!$I$4,,,$F$26*B569,1))*(OFFSET(Calc2!$H$4,,,$F$26*B569,1)&lt;&gt;"")*(OFFSET(Calc2!$I$4,,,$F$26*B569,1)&lt;&gt;""))</f>
        <v>6</v>
      </c>
      <c r="N576" s="1">
        <f t="array" aca="1" ref="N576" ca="1">SUMPRODUCT((OFFSET(Calc2!$F$4,,,$F$26*B569,1)=F576)*(OFFSET(Calc2!$H$4,,,$F$26*B569,1)&lt;OFFSET(Calc2!$I$4,,,$F$26*B569,1)))+SUMPRODUCT((OFFSET(Calc2!$G$4,,,$F$26*B569,1)=F576)*(OFFSET(Calc2!$H$4,,,$F$26*B569,1)&gt;OFFSET(Calc2!$I$4,,,$F$26*B569,1)))</f>
        <v>1</v>
      </c>
      <c r="O576" s="132">
        <f ca="1">SUMPRODUCT((F576=OFFSET(Calc2!$F$4,,,$F$26*B569,1))*OFFSET(Calc2!$O$4,,,$F$26*B569,1))+SUMPRODUCT((F576=OFFSET(Calc2!$G$4,,,$F$26*B569,1))*OFFSET(Calc2!$P$4,,,$F$26*B569,1))</f>
        <v>0</v>
      </c>
      <c r="P576" s="2"/>
      <c r="Q576" s="2"/>
      <c r="R576" s="13">
        <f t="shared" ca="1" si="106"/>
        <v>51500027047</v>
      </c>
      <c r="S576" s="134">
        <f>Tie_Break!$D$12</f>
        <v>0</v>
      </c>
      <c r="T576" s="9">
        <f ca="1">RANK(R576,R571:R590)+(9-S576)/10000+(F576="")*1000</f>
        <v>2.0009000000000001</v>
      </c>
      <c r="U576" s="134"/>
      <c r="V576" s="134">
        <f ca="1">IF($K$24=0,"",IF(VLOOKUP(B576,C571:E590,3,0)=MAX(V$4:V575),VLOOKUP(B576,C571:E590,3,0),B576))</f>
        <v>6</v>
      </c>
      <c r="W576" s="4" t="str">
        <f ca="1">IF($K$24=0,Calc2!$C$9,VLOOKUP(B576,C571:N590,4,0))</f>
        <v>RB Leipzig</v>
      </c>
      <c r="X576" s="1">
        <f ca="1">INDEX(V544:V563,MATCH(W576,W544:W563,0))</f>
        <v>5</v>
      </c>
      <c r="Y576" s="1">
        <f t="shared" ca="1" si="109"/>
        <v>-1</v>
      </c>
    </row>
    <row r="577" spans="2:25" x14ac:dyDescent="0.2">
      <c r="B577" s="1">
        <v>7</v>
      </c>
      <c r="C577" s="9">
        <f ca="1">RANK(D577,D571:D590,1)</f>
        <v>13</v>
      </c>
      <c r="D577" s="134">
        <f t="shared" ca="1" si="107"/>
        <v>13.577</v>
      </c>
      <c r="E577" s="134">
        <f ca="1">RANK(T577,T571:T590,1)</f>
        <v>13</v>
      </c>
      <c r="F577" s="187" t="str">
        <f>Calc2!$C$10</f>
        <v>Borussia Mönchengladbach</v>
      </c>
      <c r="G577" s="1">
        <f ca="1">SUMIFS(OFFSET(Calc2!$H$4,,,$F$26*B569,1),OFFSET(Calc2!$F$4,,,$F$26*B569,1),F577)+SUMIFS(OFFSET(Calc2!$I$4,,,$F$26*B569,1),OFFSET(Calc2!$G$4,,,$F$26*B569,1),F577)</f>
        <v>25</v>
      </c>
      <c r="H577" s="1">
        <f ca="1">SUMIFS(OFFSET(Calc2!$I$4,,,$F$26*B569,1),OFFSET(Calc2!$F$4,,,$F$26*B569,1),F577)+SUMIFS(OFFSET(Calc2!$H$4,,,$F$26*B569,1),OFFSET(Calc2!$G$4,,,$F$26*B569,1),F577)</f>
        <v>37</v>
      </c>
      <c r="I577" s="134">
        <f t="shared" ca="1" si="105"/>
        <v>-12</v>
      </c>
      <c r="J577" s="12">
        <f ca="1">L577*Settings!$C$3+M577+O577</f>
        <v>22</v>
      </c>
      <c r="K577" s="1">
        <f t="shared" ca="1" si="108"/>
        <v>22</v>
      </c>
      <c r="L577" s="1">
        <f t="array" aca="1" ref="L577" ca="1">SUMPRODUCT((OFFSET(Calc2!$F$4,,,$F$26*B569,1)=F577)*(OFFSET(Calc2!$H$4,,,$F$26*B569,1)&gt;OFFSET(Calc2!$I$4,,,$F$26*B569,1)))+SUMPRODUCT((OFFSET(Calc2!$G$4,,,$F$26*B569,1)=F577)*(OFFSET(Calc2!$H$4,,,$F$26*B569,1)&lt;OFFSET(Calc2!$I$4,,,$F$26*B569,1)))</f>
        <v>5</v>
      </c>
      <c r="M577" s="1">
        <f t="array" aca="1" ref="M577" ca="1">SUMPRODUCT((OFFSET(Calc2!$F$4,,,$F$26*B569,2)=F577)*(OFFSET(Calc2!$H$4,,,$F$26*B569,1)=OFFSET(Calc2!$I$4,,,$F$26*B569,1))*(OFFSET(Calc2!$H$4,,,$F$26*B569,1)&lt;&gt;"")*(OFFSET(Calc2!$I$4,,,$F$26*B569,1)&lt;&gt;""))</f>
        <v>7</v>
      </c>
      <c r="N577" s="1">
        <f t="array" aca="1" ref="N577" ca="1">SUMPRODUCT((OFFSET(Calc2!$F$4,,,$F$26*B569,1)=F577)*(OFFSET(Calc2!$H$4,,,$F$26*B569,1)&lt;OFFSET(Calc2!$I$4,,,$F$26*B569,1)))+SUMPRODUCT((OFFSET(Calc2!$G$4,,,$F$26*B569,1)=F577)*(OFFSET(Calc2!$H$4,,,$F$26*B569,1)&gt;OFFSET(Calc2!$I$4,,,$F$26*B569,1)))</f>
        <v>10</v>
      </c>
      <c r="O577" s="132">
        <f ca="1">SUMPRODUCT((F577=OFFSET(Calc2!$F$4,,,$F$26*B569,1))*OFFSET(Calc2!$O$4,,,$F$26*B569,1))+SUMPRODUCT((F577=OFFSET(Calc2!$G$4,,,$F$26*B569,1))*OFFSET(Calc2!$P$4,,,$F$26*B569,1))</f>
        <v>0</v>
      </c>
      <c r="P577" s="2"/>
      <c r="Q577" s="2"/>
      <c r="R577" s="13">
        <f t="shared" ca="1" si="106"/>
        <v>22499988025</v>
      </c>
      <c r="S577" s="134">
        <f>Tie_Break!$D$13</f>
        <v>0</v>
      </c>
      <c r="T577" s="9">
        <f ca="1">RANK(R577,R571:R590)+(9-S577)/10000+(F577="")*1000</f>
        <v>13.0009</v>
      </c>
      <c r="U577" s="134"/>
      <c r="V577" s="134">
        <f ca="1">IF($K$24=0,"",IF(VLOOKUP(B577,C571:E590,3,0)=MAX(V$4:V576),VLOOKUP(B577,C571:E590,3,0),B577))</f>
        <v>7</v>
      </c>
      <c r="W577" s="4" t="str">
        <f ca="1">IF($K$24=0,Calc2!$C$10,VLOOKUP(B577,C571:N590,4,0))</f>
        <v>Eintracht Frankfurt</v>
      </c>
      <c r="X577" s="1">
        <f ca="1">INDEX(V544:V563,MATCH(W577,W544:W563,0))</f>
        <v>8</v>
      </c>
      <c r="Y577" s="1">
        <f t="shared" ca="1" si="109"/>
        <v>1</v>
      </c>
    </row>
    <row r="578" spans="2:25" x14ac:dyDescent="0.2">
      <c r="B578" s="1">
        <v>8</v>
      </c>
      <c r="C578" s="9">
        <f ca="1">RANK(D578,D571:D590,1)</f>
        <v>7</v>
      </c>
      <c r="D578" s="134">
        <f t="shared" ca="1" si="107"/>
        <v>7.5780000000000003</v>
      </c>
      <c r="E578" s="134">
        <f ca="1">RANK(T578,T571:T590,1)</f>
        <v>7</v>
      </c>
      <c r="F578" s="187" t="str">
        <f>Calc2!$C$11</f>
        <v>Eintracht Frankfurt</v>
      </c>
      <c r="G578" s="1">
        <f ca="1">SUMIFS(OFFSET(Calc2!$H$4,,,$F$26*B569,1),OFFSET(Calc2!$F$4,,,$F$26*B569,1),F578)+SUMIFS(OFFSET(Calc2!$I$4,,,$F$26*B569,1),OFFSET(Calc2!$G$4,,,$F$26*B569,1),F578)</f>
        <v>44</v>
      </c>
      <c r="H578" s="1">
        <f ca="1">SUMIFS(OFFSET(Calc2!$I$4,,,$F$26*B569,1),OFFSET(Calc2!$F$4,,,$F$26*B569,1),F578)+SUMIFS(OFFSET(Calc2!$H$4,,,$F$26*B569,1),OFFSET(Calc2!$G$4,,,$F$26*B569,1),F578)</f>
        <v>46</v>
      </c>
      <c r="I578" s="134">
        <f t="shared" ca="1" si="105"/>
        <v>-2</v>
      </c>
      <c r="J578" s="12">
        <f ca="1">L578*Settings!$C$3+M578+O578</f>
        <v>31</v>
      </c>
      <c r="K578" s="1">
        <f t="shared" ca="1" si="108"/>
        <v>22</v>
      </c>
      <c r="L578" s="1">
        <f t="array" aca="1" ref="L578" ca="1">SUMPRODUCT((OFFSET(Calc2!$F$4,,,$F$26*B569,1)=F578)*(OFFSET(Calc2!$H$4,,,$F$26*B569,1)&gt;OFFSET(Calc2!$I$4,,,$F$26*B569,1)))+SUMPRODUCT((OFFSET(Calc2!$G$4,,,$F$26*B569,1)=F578)*(OFFSET(Calc2!$H$4,,,$F$26*B569,1)&lt;OFFSET(Calc2!$I$4,,,$F$26*B569,1)))</f>
        <v>8</v>
      </c>
      <c r="M578" s="1">
        <f t="array" aca="1" ref="M578" ca="1">SUMPRODUCT((OFFSET(Calc2!$F$4,,,$F$26*B569,2)=F578)*(OFFSET(Calc2!$H$4,,,$F$26*B569,1)=OFFSET(Calc2!$I$4,,,$F$26*B569,1))*(OFFSET(Calc2!$H$4,,,$F$26*B569,1)&lt;&gt;"")*(OFFSET(Calc2!$I$4,,,$F$26*B569,1)&lt;&gt;""))</f>
        <v>7</v>
      </c>
      <c r="N578" s="1">
        <f t="array" aca="1" ref="N578" ca="1">SUMPRODUCT((OFFSET(Calc2!$F$4,,,$F$26*B569,1)=F578)*(OFFSET(Calc2!$H$4,,,$F$26*B569,1)&lt;OFFSET(Calc2!$I$4,,,$F$26*B569,1)))+SUMPRODUCT((OFFSET(Calc2!$G$4,,,$F$26*B569,1)=F578)*(OFFSET(Calc2!$H$4,,,$F$26*B569,1)&gt;OFFSET(Calc2!$I$4,,,$F$26*B569,1)))</f>
        <v>7</v>
      </c>
      <c r="O578" s="132">
        <f ca="1">SUMPRODUCT((F578=OFFSET(Calc2!$F$4,,,$F$26*B569,1))*OFFSET(Calc2!$O$4,,,$F$26*B569,1))+SUMPRODUCT((F578=OFFSET(Calc2!$G$4,,,$F$26*B569,1))*OFFSET(Calc2!$P$4,,,$F$26*B569,1))</f>
        <v>0</v>
      </c>
      <c r="P578" s="2"/>
      <c r="Q578" s="2"/>
      <c r="R578" s="13">
        <f t="shared" ca="1" si="106"/>
        <v>31499998044</v>
      </c>
      <c r="S578" s="134">
        <f>Tie_Break!$D$14</f>
        <v>0</v>
      </c>
      <c r="T578" s="9">
        <f ca="1">RANK(R578,R571:R590)+(9-S578)/10000+(F578="")*1000</f>
        <v>7.0008999999999997</v>
      </c>
      <c r="U578" s="134"/>
      <c r="V578" s="134">
        <f ca="1">IF($K$24=0,"",IF(VLOOKUP(B578,C571:E590,3,0)=MAX(V$4:V577),VLOOKUP(B578,C571:E590,3,0),B578))</f>
        <v>8</v>
      </c>
      <c r="W578" s="4" t="str">
        <f ca="1">IF($K$24=0,Calc2!$C$11,VLOOKUP(B578,C571:N590,4,0))</f>
        <v>SC Freiburg</v>
      </c>
      <c r="X578" s="1">
        <f ca="1">INDEX(V544:V563,MATCH(W578,W544:W563,0))</f>
        <v>7</v>
      </c>
      <c r="Y578" s="1">
        <f t="shared" ca="1" si="109"/>
        <v>-1</v>
      </c>
    </row>
    <row r="579" spans="2:25" x14ac:dyDescent="0.2">
      <c r="B579" s="1">
        <v>9</v>
      </c>
      <c r="C579" s="9">
        <f ca="1">RANK(D579,D571:D590,1)</f>
        <v>11</v>
      </c>
      <c r="D579" s="134">
        <f t="shared" ca="1" si="107"/>
        <v>11.579000000000001</v>
      </c>
      <c r="E579" s="134">
        <f ca="1">RANK(T579,T571:T590,1)</f>
        <v>11</v>
      </c>
      <c r="F579" s="187" t="str">
        <f>Calc2!$C$12</f>
        <v>FC Augsburg</v>
      </c>
      <c r="G579" s="1">
        <f ca="1">SUMIFS(OFFSET(Calc2!$H$4,,,$F$26*B569,1),OFFSET(Calc2!$F$4,,,$F$26*B569,1),F579)+SUMIFS(OFFSET(Calc2!$I$4,,,$F$26*B569,1),OFFSET(Calc2!$G$4,,,$F$26*B569,1),F579)</f>
        <v>25</v>
      </c>
      <c r="H579" s="1">
        <f ca="1">SUMIFS(OFFSET(Calc2!$I$4,,,$F$26*B569,1),OFFSET(Calc2!$F$4,,,$F$26*B569,1),F579)+SUMIFS(OFFSET(Calc2!$H$4,,,$F$26*B569,1),OFFSET(Calc2!$G$4,,,$F$26*B569,1),F579)</f>
        <v>39</v>
      </c>
      <c r="I579" s="134">
        <f t="shared" ca="1" si="105"/>
        <v>-14</v>
      </c>
      <c r="J579" s="12">
        <f ca="1">L579*Settings!$C$3+M579+O579</f>
        <v>25</v>
      </c>
      <c r="K579" s="1">
        <f t="shared" ca="1" si="108"/>
        <v>22</v>
      </c>
      <c r="L579" s="1">
        <f t="array" aca="1" ref="L579" ca="1">SUMPRODUCT((OFFSET(Calc2!$F$4,,,$F$26*B569,1)=F579)*(OFFSET(Calc2!$H$4,,,$F$26*B569,1)&gt;OFFSET(Calc2!$I$4,,,$F$26*B569,1)))+SUMPRODUCT((OFFSET(Calc2!$G$4,,,$F$26*B569,1)=F579)*(OFFSET(Calc2!$H$4,,,$F$26*B569,1)&lt;OFFSET(Calc2!$I$4,,,$F$26*B569,1)))</f>
        <v>7</v>
      </c>
      <c r="M579" s="1">
        <f t="array" aca="1" ref="M579" ca="1">SUMPRODUCT((OFFSET(Calc2!$F$4,,,$F$26*B569,2)=F579)*(OFFSET(Calc2!$H$4,,,$F$26*B569,1)=OFFSET(Calc2!$I$4,,,$F$26*B569,1))*(OFFSET(Calc2!$H$4,,,$F$26*B569,1)&lt;&gt;"")*(OFFSET(Calc2!$I$4,,,$F$26*B569,1)&lt;&gt;""))</f>
        <v>4</v>
      </c>
      <c r="N579" s="1">
        <f t="array" aca="1" ref="N579" ca="1">SUMPRODUCT((OFFSET(Calc2!$F$4,,,$F$26*B569,1)=F579)*(OFFSET(Calc2!$H$4,,,$F$26*B569,1)&lt;OFFSET(Calc2!$I$4,,,$F$26*B569,1)))+SUMPRODUCT((OFFSET(Calc2!$G$4,,,$F$26*B569,1)=F579)*(OFFSET(Calc2!$H$4,,,$F$26*B569,1)&gt;OFFSET(Calc2!$I$4,,,$F$26*B569,1)))</f>
        <v>11</v>
      </c>
      <c r="O579" s="132">
        <f ca="1">SUMPRODUCT((F579=OFFSET(Calc2!$F$4,,,$F$26*B569,1))*OFFSET(Calc2!$O$4,,,$F$26*B569,1))+SUMPRODUCT((F579=OFFSET(Calc2!$G$4,,,$F$26*B569,1))*OFFSET(Calc2!$P$4,,,$F$26*B569,1))</f>
        <v>0</v>
      </c>
      <c r="P579" s="2"/>
      <c r="Q579" s="2"/>
      <c r="R579" s="13">
        <f t="shared" ca="1" si="106"/>
        <v>25499986025</v>
      </c>
      <c r="S579" s="134">
        <f>Tie_Break!$D$15</f>
        <v>0</v>
      </c>
      <c r="T579" s="9">
        <f ca="1">RANK(R579,R571:R590)+(9-S579)/10000+(F579="")*1000</f>
        <v>11.0009</v>
      </c>
      <c r="U579" s="134"/>
      <c r="V579" s="134">
        <f ca="1">IF($K$24=0,"",IF(VLOOKUP(B579,C571:E590,3,0)=MAX(V$4:V578),VLOOKUP(B579,C571:E590,3,0),B579))</f>
        <v>9</v>
      </c>
      <c r="W579" s="4" t="str">
        <f ca="1">IF($K$24=0,Calc2!$C$12,VLOOKUP(B579,C571:N590,4,0))</f>
        <v>Hamburger SV</v>
      </c>
      <c r="X579" s="1">
        <f ca="1">INDEX(V544:V563,MATCH(W579,W544:W563,0))</f>
        <v>12</v>
      </c>
      <c r="Y579" s="1">
        <f t="shared" ca="1" si="109"/>
        <v>1</v>
      </c>
    </row>
    <row r="580" spans="2:25" x14ac:dyDescent="0.2">
      <c r="B580" s="1">
        <v>10</v>
      </c>
      <c r="C580" s="9">
        <f ca="1">RANK(D580,D571:D590,1)</f>
        <v>1</v>
      </c>
      <c r="D580" s="134">
        <f t="shared" ca="1" si="107"/>
        <v>1.58</v>
      </c>
      <c r="E580" s="134">
        <f ca="1">RANK(T580,T571:T590,1)</f>
        <v>1</v>
      </c>
      <c r="F580" s="187" t="str">
        <f>Calc2!$C$13</f>
        <v>FC Bayern München</v>
      </c>
      <c r="G580" s="1">
        <f ca="1">SUMIFS(OFFSET(Calc2!$H$4,,,$F$26*B569,1),OFFSET(Calc2!$F$4,,,$F$26*B569,1),F580)+SUMIFS(OFFSET(Calc2!$I$4,,,$F$26*B569,1),OFFSET(Calc2!$G$4,,,$F$26*B569,1),F580)</f>
        <v>82</v>
      </c>
      <c r="H580" s="1">
        <f ca="1">SUMIFS(OFFSET(Calc2!$I$4,,,$F$26*B569,1),OFFSET(Calc2!$F$4,,,$F$26*B569,1),F580)+SUMIFS(OFFSET(Calc2!$H$4,,,$F$26*B569,1),OFFSET(Calc2!$G$4,,,$F$26*B569,1),F580)</f>
        <v>19</v>
      </c>
      <c r="I580" s="134">
        <f t="shared" ca="1" si="105"/>
        <v>63</v>
      </c>
      <c r="J580" s="12">
        <f ca="1">L580*Settings!$C$3+M580+O580</f>
        <v>57</v>
      </c>
      <c r="K580" s="1">
        <f t="shared" ca="1" si="108"/>
        <v>22</v>
      </c>
      <c r="L580" s="1">
        <f t="array" aca="1" ref="L580" ca="1">SUMPRODUCT((OFFSET(Calc2!$F$4,,,$F$26*B569,1)=F580)*(OFFSET(Calc2!$H$4,,,$F$26*B569,1)&gt;OFFSET(Calc2!$I$4,,,$F$26*B569,1)))+SUMPRODUCT((OFFSET(Calc2!$G$4,,,$F$26*B569,1)=F580)*(OFFSET(Calc2!$H$4,,,$F$26*B569,1)&lt;OFFSET(Calc2!$I$4,,,$F$26*B569,1)))</f>
        <v>18</v>
      </c>
      <c r="M580" s="1">
        <f t="array" aca="1" ref="M580" ca="1">SUMPRODUCT((OFFSET(Calc2!$F$4,,,$F$26*B569,2)=F580)*(OFFSET(Calc2!$H$4,,,$F$26*B569,1)=OFFSET(Calc2!$I$4,,,$F$26*B569,1))*(OFFSET(Calc2!$H$4,,,$F$26*B569,1)&lt;&gt;"")*(OFFSET(Calc2!$I$4,,,$F$26*B569,1)&lt;&gt;""))</f>
        <v>3</v>
      </c>
      <c r="N580" s="1">
        <f t="array" aca="1" ref="N580" ca="1">SUMPRODUCT((OFFSET(Calc2!$F$4,,,$F$26*B569,1)=F580)*(OFFSET(Calc2!$H$4,,,$F$26*B569,1)&lt;OFFSET(Calc2!$I$4,,,$F$26*B569,1)))+SUMPRODUCT((OFFSET(Calc2!$G$4,,,$F$26*B569,1)=F580)*(OFFSET(Calc2!$H$4,,,$F$26*B569,1)&gt;OFFSET(Calc2!$I$4,,,$F$26*B569,1)))</f>
        <v>1</v>
      </c>
      <c r="O580" s="132">
        <f ca="1">SUMPRODUCT((F580=OFFSET(Calc2!$F$4,,,$F$26*B569,1))*OFFSET(Calc2!$O$4,,,$F$26*B569,1))+SUMPRODUCT((F580=OFFSET(Calc2!$G$4,,,$F$26*B569,1))*OFFSET(Calc2!$P$4,,,$F$26*B569,1))</f>
        <v>0</v>
      </c>
      <c r="P580" s="2"/>
      <c r="Q580" s="2"/>
      <c r="R580" s="13">
        <f t="shared" ca="1" si="106"/>
        <v>57500063082</v>
      </c>
      <c r="S580" s="134">
        <f>Tie_Break!$D$16</f>
        <v>0</v>
      </c>
      <c r="T580" s="9">
        <f ca="1">RANK(R580,R571:R590)+(9-S580)/10000+(F580="")*1000</f>
        <v>1.0008999999999999</v>
      </c>
      <c r="U580" s="2"/>
      <c r="V580" s="134">
        <f ca="1">IF($K$24=0,"",IF(VLOOKUP(B580,C571:E590,3,0)=MAX(V$4:V579),VLOOKUP(B580,C571:E590,3,0),B580))</f>
        <v>10</v>
      </c>
      <c r="W580" s="4" t="str">
        <f ca="1">IF($K$24=0,Calc2!$C$13,VLOOKUP(B580,C571:N590,4,0))</f>
        <v>1. FC Union Berlin</v>
      </c>
      <c r="X580" s="1">
        <f ca="1">INDEX(V544:V563,MATCH(W580,W544:W563,0))</f>
        <v>9</v>
      </c>
      <c r="Y580" s="1">
        <f t="shared" ca="1" si="109"/>
        <v>-1</v>
      </c>
    </row>
    <row r="581" spans="2:25" x14ac:dyDescent="0.2">
      <c r="B581" s="1">
        <v>11</v>
      </c>
      <c r="C581" s="9">
        <f ca="1">RANK(D581,D571:D590,1)</f>
        <v>17</v>
      </c>
      <c r="D581" s="134">
        <f t="shared" ca="1" si="107"/>
        <v>17.581</v>
      </c>
      <c r="E581" s="134">
        <f ca="1">RANK(T581,T571:T590,1)</f>
        <v>17</v>
      </c>
      <c r="F581" s="187" t="str">
        <f>Calc2!$C$14</f>
        <v>FC St. Pauli</v>
      </c>
      <c r="G581" s="1">
        <f ca="1">SUMIFS(OFFSET(Calc2!$H$4,,,$F$26*B569,1),OFFSET(Calc2!$F$4,,,$F$26*B569,1),F581)+SUMIFS(OFFSET(Calc2!$I$4,,,$F$26*B569,1),OFFSET(Calc2!$G$4,,,$F$26*B569,1),F581)</f>
        <v>20</v>
      </c>
      <c r="H581" s="1">
        <f ca="1">SUMIFS(OFFSET(Calc2!$I$4,,,$F$26*B569,1),OFFSET(Calc2!$F$4,,,$F$26*B569,1),F581)+SUMIFS(OFFSET(Calc2!$H$4,,,$F$26*B569,1),OFFSET(Calc2!$G$4,,,$F$26*B569,1),F581)</f>
        <v>39</v>
      </c>
      <c r="I581" s="134">
        <f t="shared" ca="1" si="105"/>
        <v>-19</v>
      </c>
      <c r="J581" s="12">
        <f ca="1">L581*Settings!$C$3+M581+O581</f>
        <v>17</v>
      </c>
      <c r="K581" s="1">
        <f t="shared" ca="1" si="108"/>
        <v>22</v>
      </c>
      <c r="L581" s="1">
        <f t="array" aca="1" ref="L581" ca="1">SUMPRODUCT((OFFSET(Calc2!$F$4,,,$F$26*B569,1)=F581)*(OFFSET(Calc2!$H$4,,,$F$26*B569,1)&gt;OFFSET(Calc2!$I$4,,,$F$26*B569,1)))+SUMPRODUCT((OFFSET(Calc2!$G$4,,,$F$26*B569,1)=F581)*(OFFSET(Calc2!$H$4,,,$F$26*B569,1)&lt;OFFSET(Calc2!$I$4,,,$F$26*B569,1)))</f>
        <v>4</v>
      </c>
      <c r="M581" s="1">
        <f t="array" aca="1" ref="M581" ca="1">SUMPRODUCT((OFFSET(Calc2!$F$4,,,$F$26*B569,2)=F581)*(OFFSET(Calc2!$H$4,,,$F$26*B569,1)=OFFSET(Calc2!$I$4,,,$F$26*B569,1))*(OFFSET(Calc2!$H$4,,,$F$26*B569,1)&lt;&gt;"")*(OFFSET(Calc2!$I$4,,,$F$26*B569,1)&lt;&gt;""))</f>
        <v>5</v>
      </c>
      <c r="N581" s="1">
        <f t="array" aca="1" ref="N581" ca="1">SUMPRODUCT((OFFSET(Calc2!$F$4,,,$F$26*B569,1)=F581)*(OFFSET(Calc2!$H$4,,,$F$26*B569,1)&lt;OFFSET(Calc2!$I$4,,,$F$26*B569,1)))+SUMPRODUCT((OFFSET(Calc2!$G$4,,,$F$26*B569,1)=F581)*(OFFSET(Calc2!$H$4,,,$F$26*B569,1)&gt;OFFSET(Calc2!$I$4,,,$F$26*B569,1)))</f>
        <v>13</v>
      </c>
      <c r="O581" s="132">
        <f ca="1">SUMPRODUCT((F581=OFFSET(Calc2!$F$4,,,$F$26*B569,1))*OFFSET(Calc2!$O$4,,,$F$26*B569,1))+SUMPRODUCT((F581=OFFSET(Calc2!$G$4,,,$F$26*B569,1))*OFFSET(Calc2!$P$4,,,$F$26*B569,1))</f>
        <v>0</v>
      </c>
      <c r="P581" s="2"/>
      <c r="Q581" s="2"/>
      <c r="R581" s="13">
        <f t="shared" ca="1" si="106"/>
        <v>17499981020</v>
      </c>
      <c r="S581" s="134">
        <f>Tie_Break!$D$17</f>
        <v>0</v>
      </c>
      <c r="T581" s="9">
        <f ca="1">RANK(R581,R571:R590)+(9-S581)/10000+(F581="")*1000</f>
        <v>17.000900000000001</v>
      </c>
      <c r="U581" s="2"/>
      <c r="V581" s="134">
        <f ca="1">IF($K$24=0,"",IF(VLOOKUP(B581,C571:E590,3,0)=MAX(V$4:V580),VLOOKUP(B581,C571:E590,3,0),B581))</f>
        <v>11</v>
      </c>
      <c r="W581" s="4" t="str">
        <f ca="1">IF($K$24=0,Calc2!$C$14,VLOOKUP(B581,C571:N590,4,0))</f>
        <v>FC Augsburg</v>
      </c>
      <c r="X581" s="1">
        <f ca="1">INDEX(V544:V563,MATCH(W581,W544:W563,0))</f>
        <v>13</v>
      </c>
      <c r="Y581" s="1">
        <f t="shared" ca="1" si="109"/>
        <v>1</v>
      </c>
    </row>
    <row r="582" spans="2:25" x14ac:dyDescent="0.2">
      <c r="B582" s="1">
        <v>12</v>
      </c>
      <c r="C582" s="9">
        <f ca="1">RANK(D582,D571:D590,1)</f>
        <v>9</v>
      </c>
      <c r="D582" s="134">
        <f t="shared" ca="1" si="107"/>
        <v>9.5820000000000007</v>
      </c>
      <c r="E582" s="134">
        <f ca="1">RANK(T582,T571:T590,1)</f>
        <v>9</v>
      </c>
      <c r="F582" s="187" t="str">
        <f>Calc2!$C$15</f>
        <v>Hamburger SV</v>
      </c>
      <c r="G582" s="1">
        <f ca="1">SUMIFS(OFFSET(Calc2!$H$4,,,$F$26*B569,1),OFFSET(Calc2!$F$4,,,$F$26*B569,1),F582)+SUMIFS(OFFSET(Calc2!$I$4,,,$F$26*B569,1),OFFSET(Calc2!$G$4,,,$F$26*B569,1),F582)</f>
        <v>24</v>
      </c>
      <c r="H582" s="1">
        <f ca="1">SUMIFS(OFFSET(Calc2!$I$4,,,$F$26*B569,1),OFFSET(Calc2!$F$4,,,$F$26*B569,1),F582)+SUMIFS(OFFSET(Calc2!$H$4,,,$F$26*B569,1),OFFSET(Calc2!$G$4,,,$F$26*B569,1),F582)</f>
        <v>32</v>
      </c>
      <c r="I582" s="134">
        <f t="shared" ca="1" si="105"/>
        <v>-8</v>
      </c>
      <c r="J582" s="12">
        <f ca="1">L582*Settings!$C$3+M582+O582</f>
        <v>25</v>
      </c>
      <c r="K582" s="1">
        <f t="shared" ca="1" si="108"/>
        <v>22</v>
      </c>
      <c r="L582" s="1">
        <f t="array" aca="1" ref="L582" ca="1">SUMPRODUCT((OFFSET(Calc2!$F$4,,,$F$26*B569,1)=F582)*(OFFSET(Calc2!$H$4,,,$F$26*B569,1)&gt;OFFSET(Calc2!$I$4,,,$F$26*B569,1)))+SUMPRODUCT((OFFSET(Calc2!$G$4,,,$F$26*B569,1)=F582)*(OFFSET(Calc2!$H$4,,,$F$26*B569,1)&lt;OFFSET(Calc2!$I$4,,,$F$26*B569,1)))</f>
        <v>6</v>
      </c>
      <c r="M582" s="1">
        <f t="array" aca="1" ref="M582" ca="1">SUMPRODUCT((OFFSET(Calc2!$F$4,,,$F$26*B569,2)=F582)*(OFFSET(Calc2!$H$4,,,$F$26*B569,1)=OFFSET(Calc2!$I$4,,,$F$26*B569,1))*(OFFSET(Calc2!$H$4,,,$F$26*B569,1)&lt;&gt;"")*(OFFSET(Calc2!$I$4,,,$F$26*B569,1)&lt;&gt;""))</f>
        <v>7</v>
      </c>
      <c r="N582" s="1">
        <f t="array" aca="1" ref="N582" ca="1">SUMPRODUCT((OFFSET(Calc2!$F$4,,,$F$26*B569,1)=F582)*(OFFSET(Calc2!$H$4,,,$F$26*B569,1)&lt;OFFSET(Calc2!$I$4,,,$F$26*B569,1)))+SUMPRODUCT((OFFSET(Calc2!$G$4,,,$F$26*B569,1)=F582)*(OFFSET(Calc2!$H$4,,,$F$26*B569,1)&gt;OFFSET(Calc2!$I$4,,,$F$26*B569,1)))</f>
        <v>9</v>
      </c>
      <c r="O582" s="132">
        <f ca="1">SUMPRODUCT((F582=OFFSET(Calc2!$F$4,,,$F$26*B569,1))*OFFSET(Calc2!$O$4,,,$F$26*B569,1))+SUMPRODUCT((F582=OFFSET(Calc2!$G$4,,,$F$26*B569,1))*OFFSET(Calc2!$P$4,,,$F$26*B569,1))</f>
        <v>0</v>
      </c>
      <c r="P582" s="2"/>
      <c r="Q582" s="2"/>
      <c r="R582" s="13">
        <f t="shared" ca="1" si="106"/>
        <v>25499992024</v>
      </c>
      <c r="S582" s="134">
        <f>Tie_Break!$D$18</f>
        <v>0</v>
      </c>
      <c r="T582" s="9">
        <f ca="1">RANK(R582,R571:R590)+(9-S582)/10000+(F582="")*1000</f>
        <v>9.0008999999999997</v>
      </c>
      <c r="U582" s="2"/>
      <c r="V582" s="134">
        <f ca="1">IF($K$24=0,"",IF(VLOOKUP(B582,C571:E590,3,0)=MAX(V$4:V581),VLOOKUP(B582,C571:E590,3,0),B582))</f>
        <v>12</v>
      </c>
      <c r="W582" s="4" t="str">
        <f ca="1">IF($K$24=0,Calc2!$C$15,VLOOKUP(B582,C571:N590,4,0))</f>
        <v>1. FC Köln</v>
      </c>
      <c r="X582" s="1">
        <f ca="1">INDEX(V544:V563,MATCH(W582,W544:W563,0))</f>
        <v>10</v>
      </c>
      <c r="Y582" s="1">
        <f t="shared" ca="1" si="109"/>
        <v>-1</v>
      </c>
    </row>
    <row r="583" spans="2:25" x14ac:dyDescent="0.2">
      <c r="B583" s="1">
        <v>13</v>
      </c>
      <c r="C583" s="9">
        <f ca="1">RANK(D583,D571:D590,1)</f>
        <v>6</v>
      </c>
      <c r="D583" s="134">
        <f t="shared" ca="1" si="107"/>
        <v>6.5830000000000002</v>
      </c>
      <c r="E583" s="134">
        <f ca="1">RANK(T583,T571:T590,1)</f>
        <v>6</v>
      </c>
      <c r="F583" s="187" t="str">
        <f>Calc2!$C$16</f>
        <v>RB Leipzig</v>
      </c>
      <c r="G583" s="1">
        <f ca="1">SUMIFS(OFFSET(Calc2!$H$4,,,$F$26*B569,1),OFFSET(Calc2!$F$4,,,$F$26*B569,1),F583)+SUMIFS(OFFSET(Calc2!$I$4,,,$F$26*B569,1),OFFSET(Calc2!$G$4,,,$F$26*B569,1),F583)</f>
        <v>42</v>
      </c>
      <c r="H583" s="1">
        <f ca="1">SUMIFS(OFFSET(Calc2!$I$4,,,$F$26*B569,1),OFFSET(Calc2!$F$4,,,$F$26*B569,1),F583)+SUMIFS(OFFSET(Calc2!$H$4,,,$F$26*B569,1),OFFSET(Calc2!$G$4,,,$F$26*B569,1),F583)</f>
        <v>30</v>
      </c>
      <c r="I583" s="134">
        <f t="shared" ca="1" si="105"/>
        <v>12</v>
      </c>
      <c r="J583" s="12">
        <f ca="1">L583*Settings!$C$3+M583+O583</f>
        <v>40</v>
      </c>
      <c r="K583" s="1">
        <f t="shared" ca="1" si="108"/>
        <v>22</v>
      </c>
      <c r="L583" s="1">
        <f t="array" aca="1" ref="L583" ca="1">SUMPRODUCT((OFFSET(Calc2!$F$4,,,$F$26*B569,1)=F583)*(OFFSET(Calc2!$H$4,,,$F$26*B569,1)&gt;OFFSET(Calc2!$I$4,,,$F$26*B569,1)))+SUMPRODUCT((OFFSET(Calc2!$G$4,,,$F$26*B569,1)=F583)*(OFFSET(Calc2!$H$4,,,$F$26*B569,1)&lt;OFFSET(Calc2!$I$4,,,$F$26*B569,1)))</f>
        <v>12</v>
      </c>
      <c r="M583" s="1">
        <f t="array" aca="1" ref="M583" ca="1">SUMPRODUCT((OFFSET(Calc2!$F$4,,,$F$26*B569,2)=F583)*(OFFSET(Calc2!$H$4,,,$F$26*B569,1)=OFFSET(Calc2!$I$4,,,$F$26*B569,1))*(OFFSET(Calc2!$H$4,,,$F$26*B569,1)&lt;&gt;"")*(OFFSET(Calc2!$I$4,,,$F$26*B569,1)&lt;&gt;""))</f>
        <v>4</v>
      </c>
      <c r="N583" s="1">
        <f t="array" aca="1" ref="N583" ca="1">SUMPRODUCT((OFFSET(Calc2!$F$4,,,$F$26*B569,1)=F583)*(OFFSET(Calc2!$H$4,,,$F$26*B569,1)&lt;OFFSET(Calc2!$I$4,,,$F$26*B569,1)))+SUMPRODUCT((OFFSET(Calc2!$G$4,,,$F$26*B569,1)=F583)*(OFFSET(Calc2!$H$4,,,$F$26*B569,1)&gt;OFFSET(Calc2!$I$4,,,$F$26*B569,1)))</f>
        <v>6</v>
      </c>
      <c r="O583" s="132">
        <f ca="1">SUMPRODUCT((F583=OFFSET(Calc2!$F$4,,,$F$26*B569,1))*OFFSET(Calc2!$O$4,,,$F$26*B569,1))+SUMPRODUCT((F583=OFFSET(Calc2!$G$4,,,$F$26*B569,1))*OFFSET(Calc2!$P$4,,,$F$26*B569,1))</f>
        <v>0</v>
      </c>
      <c r="P583" s="2"/>
      <c r="Q583" s="2"/>
      <c r="R583" s="13">
        <f t="shared" ca="1" si="106"/>
        <v>40500012042</v>
      </c>
      <c r="S583" s="134">
        <f>Tie_Break!$D$19</f>
        <v>0</v>
      </c>
      <c r="T583" s="9">
        <f ca="1">RANK(R583,R571:R590)+(9-S583)/10000+(F583="")*1000</f>
        <v>6.0008999999999997</v>
      </c>
      <c r="U583" s="1"/>
      <c r="V583" s="134">
        <f ca="1">IF($K$24=0,"",IF(VLOOKUP(B583,C571:E590,3,0)=MAX(V$4:V582),VLOOKUP(B583,C571:E590,3,0),B583))</f>
        <v>13</v>
      </c>
      <c r="W583" s="4" t="str">
        <f ca="1">IF($K$24=0,Calc2!$C$16,VLOOKUP(B583,C571:N590,4,0))</f>
        <v>Borussia Mönchengladbach</v>
      </c>
      <c r="X583" s="1">
        <f ca="1">INDEX(V544:V563,MATCH(W583,W544:W563,0))</f>
        <v>11</v>
      </c>
      <c r="Y583" s="1">
        <f t="shared" ca="1" si="109"/>
        <v>-1</v>
      </c>
    </row>
    <row r="584" spans="2:25" x14ac:dyDescent="0.2">
      <c r="B584" s="1">
        <v>14</v>
      </c>
      <c r="C584" s="9">
        <f ca="1">RANK(D584,D571:D590,1)</f>
        <v>8</v>
      </c>
      <c r="D584" s="134">
        <f t="shared" ca="1" si="107"/>
        <v>8.5839999999999996</v>
      </c>
      <c r="E584" s="134">
        <f ca="1">RANK(T584,T571:T590,1)</f>
        <v>8</v>
      </c>
      <c r="F584" s="187" t="str">
        <f>Calc2!$C$17</f>
        <v>SC Freiburg</v>
      </c>
      <c r="G584" s="1">
        <f ca="1">SUMIFS(OFFSET(Calc2!$H$4,,,$F$26*B569,1),OFFSET(Calc2!$F$4,,,$F$26*B569,1),F584)+SUMIFS(OFFSET(Calc2!$I$4,,,$F$26*B569,1),OFFSET(Calc2!$G$4,,,$F$26*B569,1),F584)</f>
        <v>32</v>
      </c>
      <c r="H584" s="1">
        <f ca="1">SUMIFS(OFFSET(Calc2!$I$4,,,$F$26*B569,1),OFFSET(Calc2!$F$4,,,$F$26*B569,1),F584)+SUMIFS(OFFSET(Calc2!$H$4,,,$F$26*B569,1),OFFSET(Calc2!$G$4,,,$F$26*B569,1),F584)</f>
        <v>36</v>
      </c>
      <c r="I584" s="134">
        <f t="shared" ca="1" si="105"/>
        <v>-4</v>
      </c>
      <c r="J584" s="12">
        <f ca="1">L584*Settings!$C$3+M584+O584</f>
        <v>30</v>
      </c>
      <c r="K584" s="1">
        <f t="shared" ca="1" si="108"/>
        <v>22</v>
      </c>
      <c r="L584" s="1">
        <f t="array" aca="1" ref="L584" ca="1">SUMPRODUCT((OFFSET(Calc2!$F$4,,,$F$26*B569,1)=F584)*(OFFSET(Calc2!$H$4,,,$F$26*B569,1)&gt;OFFSET(Calc2!$I$4,,,$F$26*B569,1)))+SUMPRODUCT((OFFSET(Calc2!$G$4,,,$F$26*B569,1)=F584)*(OFFSET(Calc2!$H$4,,,$F$26*B569,1)&lt;OFFSET(Calc2!$I$4,,,$F$26*B569,1)))</f>
        <v>8</v>
      </c>
      <c r="M584" s="1">
        <f t="array" aca="1" ref="M584" ca="1">SUMPRODUCT((OFFSET(Calc2!$F$4,,,$F$26*B569,2)=F584)*(OFFSET(Calc2!$H$4,,,$F$26*B569,1)=OFFSET(Calc2!$I$4,,,$F$26*B569,1))*(OFFSET(Calc2!$H$4,,,$F$26*B569,1)&lt;&gt;"")*(OFFSET(Calc2!$I$4,,,$F$26*B569,1)&lt;&gt;""))</f>
        <v>6</v>
      </c>
      <c r="N584" s="1">
        <f t="array" aca="1" ref="N584" ca="1">SUMPRODUCT((OFFSET(Calc2!$F$4,,,$F$26*B569,1)=F584)*(OFFSET(Calc2!$H$4,,,$F$26*B569,1)&lt;OFFSET(Calc2!$I$4,,,$F$26*B569,1)))+SUMPRODUCT((OFFSET(Calc2!$G$4,,,$F$26*B569,1)=F584)*(OFFSET(Calc2!$H$4,,,$F$26*B569,1)&gt;OFFSET(Calc2!$I$4,,,$F$26*B569,1)))</f>
        <v>8</v>
      </c>
      <c r="O584" s="132">
        <f ca="1">SUMPRODUCT((F584=OFFSET(Calc2!$F$4,,,$F$26*B569,1))*OFFSET(Calc2!$O$4,,,$F$26*B569,1))+SUMPRODUCT((F584=OFFSET(Calc2!$G$4,,,$F$26*B569,1))*OFFSET(Calc2!$P$4,,,$F$26*B569,1))</f>
        <v>0</v>
      </c>
      <c r="P584" s="2"/>
      <c r="Q584" s="2"/>
      <c r="R584" s="13">
        <f t="shared" ca="1" si="106"/>
        <v>30499996032</v>
      </c>
      <c r="S584" s="134">
        <f>Tie_Break!$D$20</f>
        <v>0</v>
      </c>
      <c r="T584" s="9">
        <f ca="1">RANK(R584,R571:R590)+(9-S584)/10000+(F584="")*1000</f>
        <v>8.0008999999999997</v>
      </c>
      <c r="U584" s="2"/>
      <c r="V584" s="134">
        <f ca="1">IF($K$24=0,"",IF(VLOOKUP(B584,C571:E590,3,0)=MAX(V$4:V583),VLOOKUP(B584,C571:E590,3,0),B584))</f>
        <v>14</v>
      </c>
      <c r="W584" s="4" t="str">
        <f ca="1">IF($K$24=0,Calc2!$C$17,VLOOKUP(B584,C571:N590,4,0))</f>
        <v>1. FSV Mainz 05</v>
      </c>
      <c r="X584" s="1">
        <f ca="1">INDEX(V544:V563,MATCH(W584,W544:W563,0))</f>
        <v>14</v>
      </c>
      <c r="Y584" s="1">
        <f t="shared" ca="1" si="109"/>
        <v>0</v>
      </c>
    </row>
    <row r="585" spans="2:25" x14ac:dyDescent="0.2">
      <c r="B585" s="1">
        <v>15</v>
      </c>
      <c r="C585" s="9">
        <f ca="1">RANK(D585,D571:D590,1)</f>
        <v>16</v>
      </c>
      <c r="D585" s="134">
        <f t="shared" ca="1" si="107"/>
        <v>16.585000000000001</v>
      </c>
      <c r="E585" s="134">
        <f ca="1">RANK(T585,T571:T590,1)</f>
        <v>16</v>
      </c>
      <c r="F585" s="187" t="str">
        <f>Calc2!$C$18</f>
        <v>SV Werder Bremen</v>
      </c>
      <c r="G585" s="1">
        <f ca="1">SUMIFS(OFFSET(Calc2!$H$4,,,$F$26*B569,1),OFFSET(Calc2!$F$4,,,$F$26*B569,1),F585)+SUMIFS(OFFSET(Calc2!$I$4,,,$F$26*B569,1),OFFSET(Calc2!$G$4,,,$F$26*B569,1),F585)</f>
        <v>22</v>
      </c>
      <c r="H585" s="1">
        <f ca="1">SUMIFS(OFFSET(Calc2!$I$4,,,$F$26*B569,1),OFFSET(Calc2!$F$4,,,$F$26*B569,1),F585)+SUMIFS(OFFSET(Calc2!$H$4,,,$F$26*B569,1),OFFSET(Calc2!$G$4,,,$F$26*B569,1),F585)</f>
        <v>42</v>
      </c>
      <c r="I585" s="134">
        <f t="shared" ca="1" si="105"/>
        <v>-20</v>
      </c>
      <c r="J585" s="12">
        <f ca="1">L585*Settings!$C$3+M585+O585</f>
        <v>19</v>
      </c>
      <c r="K585" s="1">
        <f t="shared" ca="1" si="108"/>
        <v>22</v>
      </c>
      <c r="L585" s="1">
        <f t="array" aca="1" ref="L585" ca="1">SUMPRODUCT((OFFSET(Calc2!$F$4,,,$F$26*B569,1)=F585)*(OFFSET(Calc2!$H$4,,,$F$26*B569,1)&gt;OFFSET(Calc2!$I$4,,,$F$26*B569,1)))+SUMPRODUCT((OFFSET(Calc2!$G$4,,,$F$26*B569,1)=F585)*(OFFSET(Calc2!$H$4,,,$F$26*B569,1)&lt;OFFSET(Calc2!$I$4,,,$F$26*B569,1)))</f>
        <v>4</v>
      </c>
      <c r="M585" s="1">
        <f t="array" aca="1" ref="M585" ca="1">SUMPRODUCT((OFFSET(Calc2!$F$4,,,$F$26*B569,2)=F585)*(OFFSET(Calc2!$H$4,,,$F$26*B569,1)=OFFSET(Calc2!$I$4,,,$F$26*B569,1))*(OFFSET(Calc2!$H$4,,,$F$26*B569,1)&lt;&gt;"")*(OFFSET(Calc2!$I$4,,,$F$26*B569,1)&lt;&gt;""))</f>
        <v>7</v>
      </c>
      <c r="N585" s="1">
        <f t="array" aca="1" ref="N585" ca="1">SUMPRODUCT((OFFSET(Calc2!$F$4,,,$F$26*B569,1)=F585)*(OFFSET(Calc2!$H$4,,,$F$26*B569,1)&lt;OFFSET(Calc2!$I$4,,,$F$26*B569,1)))+SUMPRODUCT((OFFSET(Calc2!$G$4,,,$F$26*B569,1)=F585)*(OFFSET(Calc2!$H$4,,,$F$26*B569,1)&gt;OFFSET(Calc2!$I$4,,,$F$26*B569,1)))</f>
        <v>11</v>
      </c>
      <c r="O585" s="132">
        <f ca="1">SUMPRODUCT((F585=OFFSET(Calc2!$F$4,,,$F$26*B569,1))*OFFSET(Calc2!$O$4,,,$F$26*B569,1))+SUMPRODUCT((F585=OFFSET(Calc2!$G$4,,,$F$26*B569,1))*OFFSET(Calc2!$P$4,,,$F$26*B569,1))</f>
        <v>0</v>
      </c>
      <c r="P585" s="2"/>
      <c r="Q585" s="2"/>
      <c r="R585" s="13">
        <f t="shared" ca="1" si="106"/>
        <v>19499980022</v>
      </c>
      <c r="S585" s="134">
        <f>Tie_Break!$D$21</f>
        <v>0</v>
      </c>
      <c r="T585" s="9">
        <f ca="1">RANK(R585,R571:R590)+(9-S585)/10000+(F585="")*1000</f>
        <v>16.000900000000001</v>
      </c>
      <c r="U585" s="2"/>
      <c r="V585" s="134">
        <f ca="1">IF($K$24=0,"",IF(VLOOKUP(B585,C571:E590,3,0)=MAX(V$4:V584),VLOOKUP(B585,C571:E590,3,0),B585))</f>
        <v>15</v>
      </c>
      <c r="W585" s="4" t="str">
        <f ca="1">IF($K$24=0,Calc2!$C$18,VLOOKUP(B585,C571:N590,4,0))</f>
        <v>VfL Wolfsburg</v>
      </c>
      <c r="X585" s="1">
        <f ca="1">INDEX(V544:V563,MATCH(W585,W544:W563,0))</f>
        <v>15</v>
      </c>
      <c r="Y585" s="1">
        <f t="shared" ca="1" si="109"/>
        <v>0</v>
      </c>
    </row>
    <row r="586" spans="2:25" x14ac:dyDescent="0.2">
      <c r="B586" s="1">
        <v>16</v>
      </c>
      <c r="C586" s="9">
        <f ca="1">RANK(D586,D571:D590,1)</f>
        <v>3</v>
      </c>
      <c r="D586" s="134">
        <f t="shared" ca="1" si="107"/>
        <v>3.5859999999999999</v>
      </c>
      <c r="E586" s="134">
        <f ca="1">RANK(T586,T571:T590,1)</f>
        <v>3</v>
      </c>
      <c r="F586" s="187" t="str">
        <f>Calc2!$C$19</f>
        <v>TSG Hoffenheim</v>
      </c>
      <c r="G586" s="1">
        <f ca="1">SUMIFS(OFFSET(Calc2!$H$4,,,$F$26*B569,1),OFFSET(Calc2!$F$4,,,$F$26*B569,1),F586)+SUMIFS(OFFSET(Calc2!$I$4,,,$F$26*B569,1),OFFSET(Calc2!$G$4,,,$F$26*B569,1),F586)</f>
        <v>47</v>
      </c>
      <c r="H586" s="1">
        <f ca="1">SUMIFS(OFFSET(Calc2!$I$4,,,$F$26*B569,1),OFFSET(Calc2!$F$4,,,$F$26*B569,1),F586)+SUMIFS(OFFSET(Calc2!$H$4,,,$F$26*B569,1),OFFSET(Calc2!$G$4,,,$F$26*B569,1),F586)</f>
        <v>28</v>
      </c>
      <c r="I586" s="134">
        <f t="shared" ca="1" si="105"/>
        <v>19</v>
      </c>
      <c r="J586" s="12">
        <f ca="1">L586*Settings!$C$3+M586+O586</f>
        <v>45</v>
      </c>
      <c r="K586" s="1">
        <f t="shared" ca="1" si="108"/>
        <v>22</v>
      </c>
      <c r="L586" s="1">
        <f t="array" aca="1" ref="L586" ca="1">SUMPRODUCT((OFFSET(Calc2!$F$4,,,$F$26*B569,1)=F586)*(OFFSET(Calc2!$H$4,,,$F$26*B569,1)&gt;OFFSET(Calc2!$I$4,,,$F$26*B569,1)))+SUMPRODUCT((OFFSET(Calc2!$G$4,,,$F$26*B569,1)=F586)*(OFFSET(Calc2!$H$4,,,$F$26*B569,1)&lt;OFFSET(Calc2!$I$4,,,$F$26*B569,1)))</f>
        <v>14</v>
      </c>
      <c r="M586" s="1">
        <f t="array" aca="1" ref="M586" ca="1">SUMPRODUCT((OFFSET(Calc2!$F$4,,,$F$26*B569,2)=F586)*(OFFSET(Calc2!$H$4,,,$F$26*B569,1)=OFFSET(Calc2!$I$4,,,$F$26*B569,1))*(OFFSET(Calc2!$H$4,,,$F$26*B569,1)&lt;&gt;"")*(OFFSET(Calc2!$I$4,,,$F$26*B569,1)&lt;&gt;""))</f>
        <v>3</v>
      </c>
      <c r="N586" s="1">
        <f t="array" aca="1" ref="N586" ca="1">SUMPRODUCT((OFFSET(Calc2!$F$4,,,$F$26*B569,1)=F586)*(OFFSET(Calc2!$H$4,,,$F$26*B569,1)&lt;OFFSET(Calc2!$I$4,,,$F$26*B569,1)))+SUMPRODUCT((OFFSET(Calc2!$G$4,,,$F$26*B569,1)=F586)*(OFFSET(Calc2!$H$4,,,$F$26*B569,1)&gt;OFFSET(Calc2!$I$4,,,$F$26*B569,1)))</f>
        <v>5</v>
      </c>
      <c r="O586" s="132">
        <f ca="1">SUMPRODUCT((F586=OFFSET(Calc2!$F$4,,,$F$26*B569,1))*OFFSET(Calc2!$O$4,,,$F$26*B569,1))+SUMPRODUCT((F586=OFFSET(Calc2!$G$4,,,$F$26*B569,1))*OFFSET(Calc2!$P$4,,,$F$26*B569,1))</f>
        <v>0</v>
      </c>
      <c r="P586" s="2"/>
      <c r="Q586" s="2"/>
      <c r="R586" s="13">
        <f t="shared" ca="1" si="106"/>
        <v>45500019047</v>
      </c>
      <c r="S586" s="134">
        <f>Tie_Break!$D$22</f>
        <v>0</v>
      </c>
      <c r="T586" s="9">
        <f ca="1">RANK(R586,R571:R590)+(9-S586)/10000+(F586="")*1000</f>
        <v>3.0009000000000001</v>
      </c>
      <c r="U586" s="2"/>
      <c r="V586" s="134">
        <f ca="1">IF($K$24=0,"",IF(VLOOKUP(B586,C571:E590,3,0)=MAX(V$4:V585),VLOOKUP(B586,C571:E590,3,0),B586))</f>
        <v>16</v>
      </c>
      <c r="W586" s="4" t="str">
        <f ca="1">IF($K$24=0,Calc2!$C$19,VLOOKUP(B586,C571:N590,4,0))</f>
        <v>SV Werder Bremen</v>
      </c>
      <c r="X586" s="1">
        <f ca="1">INDEX(V544:V563,MATCH(W586,W544:W563,0))</f>
        <v>16</v>
      </c>
      <c r="Y586" s="1">
        <f t="shared" ca="1" si="109"/>
        <v>0</v>
      </c>
    </row>
    <row r="587" spans="2:25" x14ac:dyDescent="0.2">
      <c r="B587" s="1">
        <v>17</v>
      </c>
      <c r="C587" s="9">
        <f ca="1">RANK(D587,D571:D590,1)</f>
        <v>5</v>
      </c>
      <c r="D587" s="134">
        <f t="shared" ca="1" si="107"/>
        <v>5.5869999999999997</v>
      </c>
      <c r="E587" s="134">
        <f ca="1">RANK(T587,T571:T590,1)</f>
        <v>5</v>
      </c>
      <c r="F587" s="187" t="str">
        <f>Calc2!$C$20</f>
        <v>VfB Stuttgart</v>
      </c>
      <c r="G587" s="1">
        <f ca="1">SUMIFS(OFFSET(Calc2!$H$4,,,$F$26*B569,1),OFFSET(Calc2!$F$4,,,$F$26*B569,1),F587)+SUMIFS(OFFSET(Calc2!$I$4,,,$F$26*B569,1),OFFSET(Calc2!$G$4,,,$F$26*B569,1),F587)</f>
        <v>41</v>
      </c>
      <c r="H587" s="1">
        <f ca="1">SUMIFS(OFFSET(Calc2!$I$4,,,$F$26*B569,1),OFFSET(Calc2!$F$4,,,$F$26*B569,1),F587)+SUMIFS(OFFSET(Calc2!$H$4,,,$F$26*B569,1),OFFSET(Calc2!$G$4,,,$F$26*B569,1),F587)</f>
        <v>29</v>
      </c>
      <c r="I587" s="134">
        <f t="shared" ca="1" si="105"/>
        <v>12</v>
      </c>
      <c r="J587" s="12">
        <f ca="1">L587*Settings!$C$3+M587+O587</f>
        <v>42</v>
      </c>
      <c r="K587" s="1">
        <f t="shared" ca="1" si="108"/>
        <v>22</v>
      </c>
      <c r="L587" s="1">
        <f t="array" aca="1" ref="L587" ca="1">SUMPRODUCT((OFFSET(Calc2!$F$4,,,$F$26*B569,1)=F587)*(OFFSET(Calc2!$H$4,,,$F$26*B569,1)&gt;OFFSET(Calc2!$I$4,,,$F$26*B569,1)))+SUMPRODUCT((OFFSET(Calc2!$G$4,,,$F$26*B569,1)=F587)*(OFFSET(Calc2!$H$4,,,$F$26*B569,1)&lt;OFFSET(Calc2!$I$4,,,$F$26*B569,1)))</f>
        <v>13</v>
      </c>
      <c r="M587" s="1">
        <f t="array" aca="1" ref="M587" ca="1">SUMPRODUCT((OFFSET(Calc2!$F$4,,,$F$26*B569,2)=F587)*(OFFSET(Calc2!$H$4,,,$F$26*B569,1)=OFFSET(Calc2!$I$4,,,$F$26*B569,1))*(OFFSET(Calc2!$H$4,,,$F$26*B569,1)&lt;&gt;"")*(OFFSET(Calc2!$I$4,,,$F$26*B569,1)&lt;&gt;""))</f>
        <v>3</v>
      </c>
      <c r="N587" s="1">
        <f t="array" aca="1" ref="N587" ca="1">SUMPRODUCT((OFFSET(Calc2!$F$4,,,$F$26*B569,1)=F587)*(OFFSET(Calc2!$H$4,,,$F$26*B569,1)&lt;OFFSET(Calc2!$I$4,,,$F$26*B569,1)))+SUMPRODUCT((OFFSET(Calc2!$G$4,,,$F$26*B569,1)=F587)*(OFFSET(Calc2!$H$4,,,$F$26*B569,1)&gt;OFFSET(Calc2!$I$4,,,$F$26*B569,1)))</f>
        <v>6</v>
      </c>
      <c r="O587" s="132">
        <f ca="1">SUMPRODUCT((F587=OFFSET(Calc2!$F$4,,,$F$26*B569,1))*OFFSET(Calc2!$O$4,,,$F$26*B569,1))+SUMPRODUCT((F587=OFFSET(Calc2!$G$4,,,$F$26*B569,1))*OFFSET(Calc2!$P$4,,,$F$26*B569,1))</f>
        <v>0</v>
      </c>
      <c r="P587" s="2"/>
      <c r="Q587" s="2"/>
      <c r="R587" s="13">
        <f t="shared" ca="1" si="106"/>
        <v>42500012041</v>
      </c>
      <c r="S587" s="134">
        <f>Tie_Break!$D$23</f>
        <v>0</v>
      </c>
      <c r="T587" s="9">
        <f ca="1">RANK(R587,R571:R590)+(9-S587)/10000+(F587="")*1000</f>
        <v>5.0008999999999997</v>
      </c>
      <c r="U587" s="2"/>
      <c r="V587" s="134">
        <f ca="1">IF($K$24=0,"",IF(VLOOKUP(B587,C571:E590,3,0)=MAX(V$4:V586),VLOOKUP(B587,C571:E590,3,0),B587))</f>
        <v>17</v>
      </c>
      <c r="W587" s="4" t="str">
        <f ca="1">IF($K$24=0,Calc2!$C$20,VLOOKUP(B587,C571:N590,4,0))</f>
        <v>FC St. Pauli</v>
      </c>
      <c r="X587" s="1">
        <f ca="1">INDEX(V544:V563,MATCH(W587,W544:W563,0))</f>
        <v>17</v>
      </c>
      <c r="Y587" s="1">
        <f t="shared" ca="1" si="109"/>
        <v>0</v>
      </c>
    </row>
    <row r="588" spans="2:25" x14ac:dyDescent="0.2">
      <c r="B588" s="1">
        <v>18</v>
      </c>
      <c r="C588" s="9">
        <f ca="1">RANK(D588,D571:D590,1)</f>
        <v>15</v>
      </c>
      <c r="D588" s="134">
        <f t="shared" ca="1" si="107"/>
        <v>15.587999999999999</v>
      </c>
      <c r="E588" s="134">
        <f ca="1">RANK(T588,T571:T590,1)</f>
        <v>15</v>
      </c>
      <c r="F588" s="187" t="str">
        <f>Calc2!$C$21</f>
        <v>VfL Wolfsburg</v>
      </c>
      <c r="G588" s="1">
        <f ca="1">SUMIFS(OFFSET(Calc2!$H$4,,,$F$26*B569,1),OFFSET(Calc2!$F$4,,,$F$26*B569,1),F588)+SUMIFS(OFFSET(Calc2!$I$4,,,$F$26*B569,1),OFFSET(Calc2!$G$4,,,$F$26*B569,1),F588)</f>
        <v>31</v>
      </c>
      <c r="H588" s="1">
        <f ca="1">SUMIFS(OFFSET(Calc2!$I$4,,,$F$26*B569,1),OFFSET(Calc2!$F$4,,,$F$26*B569,1),F588)+SUMIFS(OFFSET(Calc2!$H$4,,,$F$26*B569,1),OFFSET(Calc2!$G$4,,,$F$26*B569,1),F588)</f>
        <v>46</v>
      </c>
      <c r="I588" s="134">
        <f t="shared" ca="1" si="105"/>
        <v>-15</v>
      </c>
      <c r="J588" s="12">
        <f ca="1">L588*Settings!$C$3+M588+O588</f>
        <v>20</v>
      </c>
      <c r="K588" s="1">
        <f t="shared" ca="1" si="108"/>
        <v>22</v>
      </c>
      <c r="L588" s="1">
        <f t="array" aca="1" ref="L588" ca="1">SUMPRODUCT((OFFSET(Calc2!$F$4,,,$F$26*B569,1)=F588)*(OFFSET(Calc2!$H$4,,,$F$26*B569,1)&gt;OFFSET(Calc2!$I$4,,,$F$26*B569,1)))+SUMPRODUCT((OFFSET(Calc2!$G$4,,,$F$26*B569,1)=F588)*(OFFSET(Calc2!$H$4,,,$F$26*B569,1)&lt;OFFSET(Calc2!$I$4,,,$F$26*B569,1)))</f>
        <v>5</v>
      </c>
      <c r="M588" s="1">
        <f t="array" aca="1" ref="M588" ca="1">SUMPRODUCT((OFFSET(Calc2!$F$4,,,$F$26*B569,2)=F588)*(OFFSET(Calc2!$H$4,,,$F$26*B569,1)=OFFSET(Calc2!$I$4,,,$F$26*B569,1))*(OFFSET(Calc2!$H$4,,,$F$26*B569,1)&lt;&gt;"")*(OFFSET(Calc2!$I$4,,,$F$26*B569,1)&lt;&gt;""))</f>
        <v>5</v>
      </c>
      <c r="N588" s="1">
        <f t="array" aca="1" ref="N588" ca="1">SUMPRODUCT((OFFSET(Calc2!$F$4,,,$F$26*B569,1)=F588)*(OFFSET(Calc2!$H$4,,,$F$26*B569,1)&lt;OFFSET(Calc2!$I$4,,,$F$26*B569,1)))+SUMPRODUCT((OFFSET(Calc2!$G$4,,,$F$26*B569,1)=F588)*(OFFSET(Calc2!$H$4,,,$F$26*B569,1)&gt;OFFSET(Calc2!$I$4,,,$F$26*B569,1)))</f>
        <v>12</v>
      </c>
      <c r="O588" s="132">
        <f ca="1">SUMPRODUCT((F588=OFFSET(Calc2!$F$4,,,$F$26*B569,1))*OFFSET(Calc2!$O$4,,,$F$26*B569,1))+SUMPRODUCT((F588=OFFSET(Calc2!$G$4,,,$F$26*B569,1))*OFFSET(Calc2!$P$4,,,$F$26*B569,1))</f>
        <v>0</v>
      </c>
      <c r="P588" s="2"/>
      <c r="Q588" s="2"/>
      <c r="R588" s="13">
        <f t="shared" ca="1" si="106"/>
        <v>20499985031</v>
      </c>
      <c r="S588" s="134">
        <f>Tie_Break!$D$24</f>
        <v>0</v>
      </c>
      <c r="T588" s="9">
        <f ca="1">RANK(R588,R571:R590)+(9-S588)/10000+(F588="")*1000</f>
        <v>15.0009</v>
      </c>
      <c r="U588" s="2"/>
      <c r="V588" s="134">
        <f ca="1">IF($K$24=0,"",IF(VLOOKUP(B588,C571:E590,3,0)=MAX(V$4:V587),VLOOKUP(B588,C571:E590,3,0),B588))</f>
        <v>18</v>
      </c>
      <c r="W588" s="4" t="str">
        <f ca="1">IF($K$24=0,Calc2!$C$21,VLOOKUP(B588,C571:N590,4,0))</f>
        <v>1. FC Heidenheim 1846</v>
      </c>
      <c r="X588" s="1">
        <f ca="1">INDEX(V544:V563,MATCH(W588,W544:W563,0))</f>
        <v>18</v>
      </c>
      <c r="Y588" s="1">
        <f t="shared" ca="1" si="109"/>
        <v>0</v>
      </c>
    </row>
    <row r="589" spans="2:25" x14ac:dyDescent="0.2">
      <c r="B589" s="1">
        <v>19</v>
      </c>
      <c r="C589" s="9">
        <f ca="1">RANK(D589,D571:D590,1)</f>
        <v>19</v>
      </c>
      <c r="D589" s="134">
        <f t="shared" ca="1" si="107"/>
        <v>19.588999999999999</v>
      </c>
      <c r="E589" s="134">
        <f ca="1">RANK(T589,T571:T590,1)</f>
        <v>19</v>
      </c>
      <c r="F589" s="187" t="str">
        <f>Calc2!$C$22</f>
        <v/>
      </c>
      <c r="G589" s="1">
        <f ca="1">SUMIFS(OFFSET(Calc2!$H$4,,,$F$26*B569,1),OFFSET(Calc2!$F$4,,,$F$26*B569,1),F589)+SUMIFS(OFFSET(Calc2!$I$4,,,$F$26*B569,1),OFFSET(Calc2!$G$4,,,$F$26*B569,1),F589)</f>
        <v>0</v>
      </c>
      <c r="H589" s="1">
        <f ca="1">SUMIFS(OFFSET(Calc2!$I$4,,,$F$26*B569,1),OFFSET(Calc2!$F$4,,,$F$26*B569,1),F589)+SUMIFS(OFFSET(Calc2!$H$4,,,$F$26*B569,1),OFFSET(Calc2!$G$4,,,$F$26*B569,1),F589)</f>
        <v>0</v>
      </c>
      <c r="I589" s="134">
        <f t="shared" ca="1" si="105"/>
        <v>0</v>
      </c>
      <c r="J589" s="12">
        <f ca="1">L589*Settings!$C$3+M589+O589</f>
        <v>0</v>
      </c>
      <c r="K589" s="1">
        <f t="shared" ca="1" si="108"/>
        <v>0</v>
      </c>
      <c r="L589" s="1">
        <f t="array" aca="1" ref="L589" ca="1">SUMPRODUCT((OFFSET(Calc2!$F$4,,,$F$26*B569,1)=F589)*(OFFSET(Calc2!$H$4,,,$F$26*B569,1)&gt;OFFSET(Calc2!$I$4,,,$F$26*B569,1)))+SUMPRODUCT((OFFSET(Calc2!$G$4,,,$F$26*B569,1)=F589)*(OFFSET(Calc2!$H$4,,,$F$26*B569,1)&lt;OFFSET(Calc2!$I$4,,,$F$26*B569,1)))</f>
        <v>0</v>
      </c>
      <c r="M589" s="1">
        <f t="array" aca="1" ref="M589" ca="1">SUMPRODUCT((OFFSET(Calc2!$F$4,,,$F$26*B569,2)=F589)*(OFFSET(Calc2!$H$4,,,$F$26*B569,1)=OFFSET(Calc2!$I$4,,,$F$26*B569,1))*(OFFSET(Calc2!$H$4,,,$F$26*B569,1)&lt;&gt;"")*(OFFSET(Calc2!$I$4,,,$F$26*B569,1)&lt;&gt;""))</f>
        <v>0</v>
      </c>
      <c r="N589" s="1">
        <f t="array" aca="1" ref="N589" ca="1">SUMPRODUCT((OFFSET(Calc2!$F$4,,,$F$26*B569,1)=F589)*(OFFSET(Calc2!$H$4,,,$F$26*B569,1)&lt;OFFSET(Calc2!$I$4,,,$F$26*B569,1)))+SUMPRODUCT((OFFSET(Calc2!$G$4,,,$F$26*B569,1)=F589)*(OFFSET(Calc2!$H$4,,,$F$26*B569,1)&gt;OFFSET(Calc2!$I$4,,,$F$26*B569,1)))</f>
        <v>0</v>
      </c>
      <c r="O589" s="132">
        <f ca="1">SUMPRODUCT((F589=OFFSET(Calc2!$F$4,,,$F$26*B569,1))*OFFSET(Calc2!$O$4,,,$F$26*B569,1))+SUMPRODUCT((F589=OFFSET(Calc2!$G$4,,,$F$26*B569,1))*OFFSET(Calc2!$P$4,,,$F$26*B569,1))</f>
        <v>0</v>
      </c>
      <c r="P589" s="2"/>
      <c r="Q589" s="2"/>
      <c r="R589" s="13">
        <f t="shared" ca="1" si="106"/>
        <v>500000000</v>
      </c>
      <c r="S589" s="134">
        <f>Tie_Break!$D$25</f>
        <v>0</v>
      </c>
      <c r="T589" s="9">
        <f ca="1">RANK(R589,R571:R590)+(9-S589)/10000+(F589="")*1000</f>
        <v>1019.0009</v>
      </c>
      <c r="U589" s="2"/>
      <c r="V589" s="134">
        <f ca="1">IF($K$24=0,"",IF(VLOOKUP(B589,C571:E590,3,0)=MAX(V$4:V588),VLOOKUP(B589,C571:E590,3,0),B589))</f>
        <v>19</v>
      </c>
      <c r="W589" s="4" t="str">
        <f ca="1">IF($K$24=0,Calc2!$C$22,VLOOKUP(B589,C571:N590,4,0))</f>
        <v/>
      </c>
      <c r="X589" s="1">
        <f ca="1">INDEX(V544:V563,MATCH(W589,W544:W563,0))</f>
        <v>19</v>
      </c>
      <c r="Y589" s="1">
        <f t="shared" ca="1" si="109"/>
        <v>0</v>
      </c>
    </row>
    <row r="590" spans="2:25" ht="12.75" thickBot="1" x14ac:dyDescent="0.25">
      <c r="B590" s="1">
        <v>20</v>
      </c>
      <c r="C590" s="10">
        <f ca="1">RANK(D590,D571:D590,1)</f>
        <v>20</v>
      </c>
      <c r="D590" s="134">
        <f t="shared" ca="1" si="107"/>
        <v>19.59</v>
      </c>
      <c r="E590" s="134">
        <f ca="1">RANK(T590,T571:T590,1)</f>
        <v>19</v>
      </c>
      <c r="F590" s="187" t="str">
        <f>Calc2!$C$23</f>
        <v/>
      </c>
      <c r="G590" s="1">
        <f ca="1">SUMIFS(OFFSET(Calc2!$H$4,,,$F$26*B569,1),OFFSET(Calc2!$F$4,,,$F$26*B569,1),F590)+SUMIFS(OFFSET(Calc2!$I$4,,,$F$26*B569,1),OFFSET(Calc2!$G$4,,,$F$26*B569,1),F590)</f>
        <v>0</v>
      </c>
      <c r="H590" s="1">
        <f ca="1">SUMIFS(OFFSET(Calc2!$I$4,,,$F$26*B569,1),OFFSET(Calc2!$F$4,,,$F$26*B569,1),F590)+SUMIFS(OFFSET(Calc2!$H$4,,,$F$26*B569,1),OFFSET(Calc2!$G$4,,,$F$26*B569,1),F590)</f>
        <v>0</v>
      </c>
      <c r="I590" s="134">
        <f t="shared" ca="1" si="105"/>
        <v>0</v>
      </c>
      <c r="J590" s="12">
        <f ca="1">L590*Settings!$C$3+M590+O590</f>
        <v>0</v>
      </c>
      <c r="K590" s="1">
        <f t="shared" ca="1" si="108"/>
        <v>0</v>
      </c>
      <c r="L590" s="1">
        <f t="array" aca="1" ref="L590" ca="1">SUMPRODUCT((OFFSET(Calc2!$F$4,,,$F$26*B569,1)=F590)*(OFFSET(Calc2!$H$4,,,$F$26*B569,1)&gt;OFFSET(Calc2!$I$4,,,$F$26*B569,1)))+SUMPRODUCT((OFFSET(Calc2!$G$4,,,$F$26*B569,1)=F590)*(OFFSET(Calc2!$H$4,,,$F$26*B569,1)&lt;OFFSET(Calc2!$I$4,,,$F$26*B569,1)))</f>
        <v>0</v>
      </c>
      <c r="M590" s="1">
        <f t="array" aca="1" ref="M590" ca="1">SUMPRODUCT((OFFSET(Calc2!$F$4,,,$F$26*B569,2)=F590)*(OFFSET(Calc2!$H$4,,,$F$26*B569,1)=OFFSET(Calc2!$I$4,,,$F$26*B569,1))*(OFFSET(Calc2!$H$4,,,$F$26*B569,1)&lt;&gt;"")*(OFFSET(Calc2!$I$4,,,$F$26*B569,1)&lt;&gt;""))</f>
        <v>0</v>
      </c>
      <c r="N590" s="1">
        <f t="array" aca="1" ref="N590" ca="1">SUMPRODUCT((OFFSET(Calc2!$F$4,,,$F$26*B569,1)=F590)*(OFFSET(Calc2!$H$4,,,$F$26*B569,1)&lt;OFFSET(Calc2!$I$4,,,$F$26*B569,1)))+SUMPRODUCT((OFFSET(Calc2!$G$4,,,$F$26*B569,1)=F590)*(OFFSET(Calc2!$H$4,,,$F$26*B569,1)&gt;OFFSET(Calc2!$I$4,,,$F$26*B569,1)))</f>
        <v>0</v>
      </c>
      <c r="O590" s="132">
        <f ca="1">SUMPRODUCT((F590=OFFSET(Calc2!$F$4,,,$F$26*B569,1))*OFFSET(Calc2!$O$4,,,$F$26*B569,1))+SUMPRODUCT((F590=OFFSET(Calc2!$G$4,,,$F$26*B569,1))*OFFSET(Calc2!$P$4,,,$F$26*B569,1))</f>
        <v>0</v>
      </c>
      <c r="P590" s="2"/>
      <c r="Q590" s="2"/>
      <c r="R590" s="13">
        <f t="shared" ca="1" si="106"/>
        <v>500000000</v>
      </c>
      <c r="S590" s="134">
        <f>Tie_Break!$D$26</f>
        <v>0</v>
      </c>
      <c r="T590" s="10">
        <f ca="1">RANK(R590,R571:R590)+(9-S590)/10000+(F590="")*1000</f>
        <v>1019.0009</v>
      </c>
      <c r="U590" s="2"/>
      <c r="V590" s="134">
        <f ca="1">IF($K$24=0,"",IF(VLOOKUP(B590,C571:E590,3,0)=MAX(V$4:V589),VLOOKUP(B590,C571:E590,3,0),B590))</f>
        <v>19</v>
      </c>
      <c r="W590" s="4" t="str">
        <f ca="1">IF($K$24=0,Calc2!$C$23,VLOOKUP(B590,C571:N590,4,0))</f>
        <v/>
      </c>
      <c r="X590" s="1">
        <f ca="1">INDEX(V544:V563,MATCH(W590,W544:W563,0))</f>
        <v>19</v>
      </c>
      <c r="Y590" s="1">
        <f t="shared" ca="1" si="109"/>
        <v>0</v>
      </c>
    </row>
    <row r="591" spans="2:25" ht="12.75" thickTop="1" x14ac:dyDescent="0.2">
      <c r="X591" s="1"/>
      <c r="Y591" s="1"/>
    </row>
    <row r="592" spans="2:25" x14ac:dyDescent="0.2">
      <c r="X592" s="1"/>
      <c r="Y592" s="1"/>
    </row>
    <row r="593" spans="2:25" x14ac:dyDescent="0.2">
      <c r="X593" s="1"/>
      <c r="Y593" s="1"/>
    </row>
    <row r="594" spans="2:25" x14ac:dyDescent="0.2">
      <c r="X594" s="1"/>
      <c r="Y594" s="1"/>
    </row>
    <row r="595" spans="2:25" ht="12.75" thickBot="1" x14ac:dyDescent="0.25">
      <c r="X595" s="1"/>
      <c r="Y595" s="1"/>
    </row>
    <row r="596" spans="2:25" ht="12.75" thickBot="1" x14ac:dyDescent="0.25">
      <c r="B596" s="410">
        <v>23</v>
      </c>
      <c r="C596" s="134"/>
      <c r="D596" s="134"/>
      <c r="E596" s="134"/>
      <c r="F596" s="187"/>
      <c r="G596" s="1"/>
      <c r="H596" s="1"/>
      <c r="I596" s="1"/>
      <c r="J596" s="1"/>
      <c r="K596" s="1"/>
      <c r="L596" s="1"/>
      <c r="M596" s="1"/>
      <c r="N596" s="134"/>
      <c r="O596" s="1"/>
      <c r="P596" s="1"/>
      <c r="Q596" s="1"/>
      <c r="R596" s="2"/>
      <c r="S596" s="2"/>
      <c r="T596" s="2"/>
      <c r="U596" s="2"/>
      <c r="V596" s="2"/>
      <c r="W596" s="2"/>
      <c r="X596" s="1"/>
      <c r="Y596" s="1"/>
    </row>
    <row r="597" spans="2:25" ht="15.75" thickBot="1" x14ac:dyDescent="0.25">
      <c r="B597" s="1"/>
      <c r="C597" s="134"/>
      <c r="D597" s="134"/>
      <c r="E597" s="134"/>
      <c r="F597" s="11" t="s">
        <v>90</v>
      </c>
      <c r="G597" s="42" t="s">
        <v>95</v>
      </c>
      <c r="H597" s="42" t="s">
        <v>96</v>
      </c>
      <c r="I597" s="11" t="s">
        <v>97</v>
      </c>
      <c r="J597" s="11" t="s">
        <v>98</v>
      </c>
      <c r="K597" s="11" t="s">
        <v>91</v>
      </c>
      <c r="L597" s="12" t="s">
        <v>92</v>
      </c>
      <c r="M597" s="12" t="s">
        <v>93</v>
      </c>
      <c r="N597" s="12" t="s">
        <v>94</v>
      </c>
      <c r="O597" s="12" t="s">
        <v>534</v>
      </c>
      <c r="P597" s="2"/>
      <c r="Q597" s="11"/>
      <c r="R597" s="133" t="s">
        <v>99</v>
      </c>
      <c r="S597" s="6" t="s">
        <v>483</v>
      </c>
      <c r="T597" s="120" t="s">
        <v>146</v>
      </c>
      <c r="U597" s="134"/>
      <c r="V597" s="134"/>
      <c r="W597" s="132"/>
      <c r="X597" s="120" t="s">
        <v>575</v>
      </c>
      <c r="Y597" s="1"/>
    </row>
    <row r="598" spans="2:25" ht="12.75" thickTop="1" x14ac:dyDescent="0.2">
      <c r="B598" s="1">
        <v>1</v>
      </c>
      <c r="C598" s="8">
        <f ca="1">RANK(D598,D598:D617,1)</f>
        <v>18</v>
      </c>
      <c r="D598" s="134">
        <f ca="1">E598+ROW()/1000</f>
        <v>18.597999999999999</v>
      </c>
      <c r="E598" s="134">
        <f ca="1">RANK(T598,T598:T617,1)</f>
        <v>18</v>
      </c>
      <c r="F598" s="187" t="str">
        <f>Calc2!$C$4</f>
        <v>1. FC Heidenheim 1846</v>
      </c>
      <c r="G598" s="1">
        <f ca="1">SUMIFS(OFFSET(Calc2!$H$4,,,$F$26*B596,1),OFFSET(Calc2!$F$4,,,$F$26*B596,1),F598)+SUMIFS(OFFSET(Calc2!$I$4,,,$F$26*B596,1),OFFSET(Calc2!$G$4,,,$F$26*B596,1),F598)</f>
        <v>22</v>
      </c>
      <c r="H598" s="1">
        <f ca="1">SUMIFS(OFFSET(Calc2!$I$4,,,$F$26*B596,1),OFFSET(Calc2!$F$4,,,$F$26*B596,1),F598)+SUMIFS(OFFSET(Calc2!$H$4,,,$F$26*B596,1),OFFSET(Calc2!$G$4,,,$F$26*B596,1),F598)</f>
        <v>51</v>
      </c>
      <c r="I598" s="134">
        <f t="shared" ref="I598:I617" ca="1" si="110">G598-H598</f>
        <v>-29</v>
      </c>
      <c r="J598" s="12">
        <f ca="1">L598*Settings!$C$3+M598+O598</f>
        <v>14</v>
      </c>
      <c r="K598" s="1">
        <f ca="1">L598+M598+N598</f>
        <v>23</v>
      </c>
      <c r="L598" s="1">
        <f t="array" aca="1" ref="L598" ca="1">SUMPRODUCT((OFFSET(Calc2!$F$4,,,$F$26*B596,1)=F598)*(OFFSET(Calc2!$H$4,,,$F$26*B596,1)&gt;OFFSET(Calc2!$I$4,,,$F$26*B596,1)))+SUMPRODUCT((OFFSET(Calc2!$G$4,,,$F$26*B596,1)=F598)*(OFFSET(Calc2!$H$4,,,$F$26*B596,1)&lt;OFFSET(Calc2!$I$4,,,$F$26*B596,1)))</f>
        <v>3</v>
      </c>
      <c r="M598" s="1">
        <f t="array" aca="1" ref="M598" ca="1">SUMPRODUCT((OFFSET(Calc2!$F$4,,,$F$26*B596,2)=F598)*(OFFSET(Calc2!$H$4,,,$F$26*B596,1)=OFFSET(Calc2!$I$4,,,$F$26*B596,1))*(OFFSET(Calc2!$H$4,,,$F$26*B596,1)&lt;&gt;"")*(OFFSET(Calc2!$I$4,,,$F$26*B596,1)&lt;&gt;""))</f>
        <v>5</v>
      </c>
      <c r="N598" s="1">
        <f t="array" aca="1" ref="N598" ca="1">SUMPRODUCT((OFFSET(Calc2!$F$4,,,$F$26*B596,1)=F598)*(OFFSET(Calc2!$H$4,,,$F$26*B596,1)&lt;OFFSET(Calc2!$I$4,,,$F$26*B596,1)))+SUMPRODUCT((OFFSET(Calc2!$G$4,,,$F$26*B596,1)=F598)*(OFFSET(Calc2!$H$4,,,$F$26*B596,1)&gt;OFFSET(Calc2!$I$4,,,$F$26*B596,1)))</f>
        <v>15</v>
      </c>
      <c r="O598" s="132">
        <f ca="1">SUMPRODUCT((F598=OFFSET(Calc2!$F$4,,,$F$26*B596,1))*OFFSET(Calc2!$O$4,,,$F$26*B596,1))+SUMPRODUCT((F598=OFFSET(Calc2!$G$4,,,$F$26*B596,1))*OFFSET(Calc2!$P$4,,,$F$26*B596,1))</f>
        <v>0</v>
      </c>
      <c r="P598" s="2"/>
      <c r="Q598" s="2"/>
      <c r="R598" s="13">
        <f t="shared" ref="R598:R617" ca="1" si="111">J598*FactorPts+(I598+GDzero)*FactorGD+G598*FactorGF</f>
        <v>14499971022</v>
      </c>
      <c r="S598" s="134">
        <f>Tie_Break!$D$7</f>
        <v>0</v>
      </c>
      <c r="T598" s="8">
        <f ca="1">RANK(R598,R598:R617)+(9-S598)/10000+(F598="")*1000</f>
        <v>18.000900000000001</v>
      </c>
      <c r="U598" s="134"/>
      <c r="V598" s="134">
        <f ca="1">IF($K$24=0,"",1)</f>
        <v>1</v>
      </c>
      <c r="W598" s="4" t="str">
        <f ca="1">IF($K$24=0,Calc2!$C$4,VLOOKUP(B598,C598:N617,4,0))</f>
        <v>FC Bayern München</v>
      </c>
      <c r="X598" s="1">
        <f ca="1">INDEX(V571:V590,MATCH(W598,W571:W590,0))</f>
        <v>1</v>
      </c>
      <c r="Y598" s="1">
        <f ca="1">IF(X598&gt;V598,1,IF(X598&lt;V598,-1,0))</f>
        <v>0</v>
      </c>
    </row>
    <row r="599" spans="2:25" x14ac:dyDescent="0.2">
      <c r="B599" s="1">
        <v>2</v>
      </c>
      <c r="C599" s="9">
        <f ca="1">RANK(D599,D598:D617,1)</f>
        <v>12</v>
      </c>
      <c r="D599" s="134">
        <f t="shared" ref="D599:D617" ca="1" si="112">E599+ROW()/1000</f>
        <v>12.599</v>
      </c>
      <c r="E599" s="134">
        <f ca="1">RANK(T599,T598:T617,1)</f>
        <v>12</v>
      </c>
      <c r="F599" s="187" t="str">
        <f>Calc2!$C$5</f>
        <v>1. FC Köln</v>
      </c>
      <c r="G599" s="1">
        <f ca="1">SUMIFS(OFFSET(Calc2!$H$4,,,$F$26*B596,1),OFFSET(Calc2!$F$4,,,$F$26*B596,1),F599)+SUMIFS(OFFSET(Calc2!$I$4,,,$F$26*B596,1),OFFSET(Calc2!$G$4,,,$F$26*B596,1),F599)</f>
        <v>33</v>
      </c>
      <c r="H599" s="1">
        <f ca="1">SUMIFS(OFFSET(Calc2!$I$4,,,$F$26*B596,1),OFFSET(Calc2!$F$4,,,$F$26*B596,1),F599)+SUMIFS(OFFSET(Calc2!$H$4,,,$F$26*B596,1),OFFSET(Calc2!$G$4,,,$F$26*B596,1),F599)</f>
        <v>39</v>
      </c>
      <c r="I599" s="134">
        <f t="shared" ca="1" si="110"/>
        <v>-6</v>
      </c>
      <c r="J599" s="12">
        <f ca="1">L599*Settings!$C$3+M599+O599</f>
        <v>24</v>
      </c>
      <c r="K599" s="1">
        <f t="shared" ref="K599:K617" ca="1" si="113">L599+M599+N599</f>
        <v>23</v>
      </c>
      <c r="L599" s="1">
        <f t="array" aca="1" ref="L599" ca="1">SUMPRODUCT((OFFSET(Calc2!$F$4,,,$F$26*B596,1)=F599)*(OFFSET(Calc2!$H$4,,,$F$26*B596,1)&gt;OFFSET(Calc2!$I$4,,,$F$26*B596,1)))+SUMPRODUCT((OFFSET(Calc2!$G$4,,,$F$26*B596,1)=F599)*(OFFSET(Calc2!$H$4,,,$F$26*B596,1)&lt;OFFSET(Calc2!$I$4,,,$F$26*B596,1)))</f>
        <v>6</v>
      </c>
      <c r="M599" s="1">
        <f t="array" aca="1" ref="M599" ca="1">SUMPRODUCT((OFFSET(Calc2!$F$4,,,$F$26*B596,2)=F599)*(OFFSET(Calc2!$H$4,,,$F$26*B596,1)=OFFSET(Calc2!$I$4,,,$F$26*B596,1))*(OFFSET(Calc2!$H$4,,,$F$26*B596,1)&lt;&gt;"")*(OFFSET(Calc2!$I$4,,,$F$26*B596,1)&lt;&gt;""))</f>
        <v>6</v>
      </c>
      <c r="N599" s="1">
        <f t="array" aca="1" ref="N599" ca="1">SUMPRODUCT((OFFSET(Calc2!$F$4,,,$F$26*B596,1)=F599)*(OFFSET(Calc2!$H$4,,,$F$26*B596,1)&lt;OFFSET(Calc2!$I$4,,,$F$26*B596,1)))+SUMPRODUCT((OFFSET(Calc2!$G$4,,,$F$26*B596,1)=F599)*(OFFSET(Calc2!$H$4,,,$F$26*B596,1)&gt;OFFSET(Calc2!$I$4,,,$F$26*B596,1)))</f>
        <v>11</v>
      </c>
      <c r="O599" s="132">
        <f ca="1">SUMPRODUCT((F599=OFFSET(Calc2!$F$4,,,$F$26*B596,1))*OFFSET(Calc2!$O$4,,,$F$26*B596,1))+SUMPRODUCT((F599=OFFSET(Calc2!$G$4,,,$F$26*B596,1))*OFFSET(Calc2!$P$4,,,$F$26*B596,1))</f>
        <v>0</v>
      </c>
      <c r="P599" s="2"/>
      <c r="Q599" s="2"/>
      <c r="R599" s="13">
        <f t="shared" ca="1" si="111"/>
        <v>24499994033</v>
      </c>
      <c r="S599" s="134">
        <f>Tie_Break!$D$8</f>
        <v>0</v>
      </c>
      <c r="T599" s="9">
        <f ca="1">RANK(R599,R598:R617)+(9-S599)/10000+(F599="")*1000</f>
        <v>12.0009</v>
      </c>
      <c r="U599" s="134"/>
      <c r="V599" s="134">
        <f ca="1">IF($K$24=0,"",IF(VLOOKUP(B599,C598:E617,3,0)=MAX(V$4:V598),VLOOKUP(B599,C598:E617,3,0),B599))</f>
        <v>2</v>
      </c>
      <c r="W599" s="4" t="str">
        <f ca="1">IF($K$24=0,Calc2!$C$5,VLOOKUP(B599,C598:N617,4,0))</f>
        <v>Borussia Dortmund</v>
      </c>
      <c r="X599" s="1">
        <f ca="1">INDEX(V571:V590,MATCH(W599,W571:W590,0))</f>
        <v>2</v>
      </c>
      <c r="Y599" s="1">
        <f t="shared" ref="Y599:Y617" ca="1" si="114">IF(X599&gt;V599,1,IF(X599&lt;V599,-1,0))</f>
        <v>0</v>
      </c>
    </row>
    <row r="600" spans="2:25" x14ac:dyDescent="0.2">
      <c r="B600" s="1">
        <v>3</v>
      </c>
      <c r="C600" s="9">
        <f ca="1">RANK(D600,D598:D617,1)</f>
        <v>9</v>
      </c>
      <c r="D600" s="134">
        <f t="shared" ca="1" si="112"/>
        <v>9.6</v>
      </c>
      <c r="E600" s="134">
        <f ca="1">RANK(T600,T598:T617,1)</f>
        <v>9</v>
      </c>
      <c r="F600" s="187" t="str">
        <f>Calc2!$C$6</f>
        <v>1. FC Union Berlin</v>
      </c>
      <c r="G600" s="1">
        <f ca="1">SUMIFS(OFFSET(Calc2!$H$4,,,$F$26*B596,1),OFFSET(Calc2!$F$4,,,$F$26*B596,1),F600)+SUMIFS(OFFSET(Calc2!$I$4,,,$F$26*B596,1),OFFSET(Calc2!$G$4,,,$F$26*B596,1),F600)</f>
        <v>29</v>
      </c>
      <c r="H600" s="1">
        <f ca="1">SUMIFS(OFFSET(Calc2!$I$4,,,$F$26*B596,1),OFFSET(Calc2!$F$4,,,$F$26*B596,1),F600)+SUMIFS(OFFSET(Calc2!$H$4,,,$F$26*B596,1),OFFSET(Calc2!$G$4,,,$F$26*B596,1),F600)</f>
        <v>37</v>
      </c>
      <c r="I600" s="134">
        <f t="shared" ca="1" si="110"/>
        <v>-8</v>
      </c>
      <c r="J600" s="12">
        <f ca="1">L600*Settings!$C$3+M600+O600</f>
        <v>28</v>
      </c>
      <c r="K600" s="1">
        <f t="shared" ca="1" si="113"/>
        <v>23</v>
      </c>
      <c r="L600" s="1">
        <f t="array" aca="1" ref="L600" ca="1">SUMPRODUCT((OFFSET(Calc2!$F$4,,,$F$26*B596,1)=F600)*(OFFSET(Calc2!$H$4,,,$F$26*B596,1)&gt;OFFSET(Calc2!$I$4,,,$F$26*B596,1)))+SUMPRODUCT((OFFSET(Calc2!$G$4,,,$F$26*B596,1)=F600)*(OFFSET(Calc2!$H$4,,,$F$26*B596,1)&lt;OFFSET(Calc2!$I$4,,,$F$26*B596,1)))</f>
        <v>7</v>
      </c>
      <c r="M600" s="1">
        <f t="array" aca="1" ref="M600" ca="1">SUMPRODUCT((OFFSET(Calc2!$F$4,,,$F$26*B596,2)=F600)*(OFFSET(Calc2!$H$4,,,$F$26*B596,1)=OFFSET(Calc2!$I$4,,,$F$26*B596,1))*(OFFSET(Calc2!$H$4,,,$F$26*B596,1)&lt;&gt;"")*(OFFSET(Calc2!$I$4,,,$F$26*B596,1)&lt;&gt;""))</f>
        <v>7</v>
      </c>
      <c r="N600" s="1">
        <f t="array" aca="1" ref="N600" ca="1">SUMPRODUCT((OFFSET(Calc2!$F$4,,,$F$26*B596,1)=F600)*(OFFSET(Calc2!$H$4,,,$F$26*B596,1)&lt;OFFSET(Calc2!$I$4,,,$F$26*B596,1)))+SUMPRODUCT((OFFSET(Calc2!$G$4,,,$F$26*B596,1)=F600)*(OFFSET(Calc2!$H$4,,,$F$26*B596,1)&gt;OFFSET(Calc2!$I$4,,,$F$26*B596,1)))</f>
        <v>9</v>
      </c>
      <c r="O600" s="132">
        <f ca="1">SUMPRODUCT((F600=OFFSET(Calc2!$F$4,,,$F$26*B596,1))*OFFSET(Calc2!$O$4,,,$F$26*B596,1))+SUMPRODUCT((F600=OFFSET(Calc2!$G$4,,,$F$26*B596,1))*OFFSET(Calc2!$P$4,,,$F$26*B596,1))</f>
        <v>0</v>
      </c>
      <c r="P600" s="2"/>
      <c r="Q600" s="2"/>
      <c r="R600" s="13">
        <f t="shared" ca="1" si="111"/>
        <v>28499992029</v>
      </c>
      <c r="S600" s="134">
        <f>Tie_Break!$D$9</f>
        <v>0</v>
      </c>
      <c r="T600" s="9">
        <f ca="1">RANK(R600,R598:R617)+(9-S600)/10000+(F600="")*1000</f>
        <v>9.0008999999999997</v>
      </c>
      <c r="U600" s="134"/>
      <c r="V600" s="134">
        <f ca="1">IF($K$24=0,"",IF(VLOOKUP(B600,C598:E617,3,0)=MAX(V$4:V599),VLOOKUP(B600,C598:E617,3,0),B600))</f>
        <v>3</v>
      </c>
      <c r="W600" s="4" t="str">
        <f ca="1">IF($K$24=0,Calc2!$C$6,VLOOKUP(B600,C598:N617,4,0))</f>
        <v>TSG Hoffenheim</v>
      </c>
      <c r="X600" s="1">
        <f ca="1">INDEX(V571:V590,MATCH(W600,W571:W590,0))</f>
        <v>3</v>
      </c>
      <c r="Y600" s="1">
        <f t="shared" ca="1" si="114"/>
        <v>0</v>
      </c>
    </row>
    <row r="601" spans="2:25" x14ac:dyDescent="0.2">
      <c r="B601" s="1">
        <v>4</v>
      </c>
      <c r="C601" s="9">
        <f ca="1">RANK(D601,D598:D617,1)</f>
        <v>13</v>
      </c>
      <c r="D601" s="134">
        <f t="shared" ca="1" si="112"/>
        <v>13.600999999999999</v>
      </c>
      <c r="E601" s="134">
        <f ca="1">RANK(T601,T598:T617,1)</f>
        <v>13</v>
      </c>
      <c r="F601" s="187" t="str">
        <f>Calc2!$C$7</f>
        <v>1. FSV Mainz 05</v>
      </c>
      <c r="G601" s="1">
        <f ca="1">SUMIFS(OFFSET(Calc2!$H$4,,,$F$26*B596,1),OFFSET(Calc2!$F$4,,,$F$26*B596,1),F601)+SUMIFS(OFFSET(Calc2!$I$4,,,$F$26*B596,1),OFFSET(Calc2!$G$4,,,$F$26*B596,1),F601)</f>
        <v>26</v>
      </c>
      <c r="H601" s="1">
        <f ca="1">SUMIFS(OFFSET(Calc2!$I$4,,,$F$26*B596,1),OFFSET(Calc2!$F$4,,,$F$26*B596,1),F601)+SUMIFS(OFFSET(Calc2!$H$4,,,$F$26*B596,1),OFFSET(Calc2!$G$4,,,$F$26*B596,1),F601)</f>
        <v>38</v>
      </c>
      <c r="I601" s="134">
        <f t="shared" ca="1" si="110"/>
        <v>-12</v>
      </c>
      <c r="J601" s="12">
        <f ca="1">L601*Settings!$C$3+M601+O601</f>
        <v>22</v>
      </c>
      <c r="K601" s="1">
        <f t="shared" ca="1" si="113"/>
        <v>23</v>
      </c>
      <c r="L601" s="1">
        <f t="array" aca="1" ref="L601" ca="1">SUMPRODUCT((OFFSET(Calc2!$F$4,,,$F$26*B596,1)=F601)*(OFFSET(Calc2!$H$4,,,$F$26*B596,1)&gt;OFFSET(Calc2!$I$4,,,$F$26*B596,1)))+SUMPRODUCT((OFFSET(Calc2!$G$4,,,$F$26*B596,1)=F601)*(OFFSET(Calc2!$H$4,,,$F$26*B596,1)&lt;OFFSET(Calc2!$I$4,,,$F$26*B596,1)))</f>
        <v>5</v>
      </c>
      <c r="M601" s="1">
        <f t="array" aca="1" ref="M601" ca="1">SUMPRODUCT((OFFSET(Calc2!$F$4,,,$F$26*B596,2)=F601)*(OFFSET(Calc2!$H$4,,,$F$26*B596,1)=OFFSET(Calc2!$I$4,,,$F$26*B596,1))*(OFFSET(Calc2!$H$4,,,$F$26*B596,1)&lt;&gt;"")*(OFFSET(Calc2!$I$4,,,$F$26*B596,1)&lt;&gt;""))</f>
        <v>7</v>
      </c>
      <c r="N601" s="1">
        <f t="array" aca="1" ref="N601" ca="1">SUMPRODUCT((OFFSET(Calc2!$F$4,,,$F$26*B596,1)=F601)*(OFFSET(Calc2!$H$4,,,$F$26*B596,1)&lt;OFFSET(Calc2!$I$4,,,$F$26*B596,1)))+SUMPRODUCT((OFFSET(Calc2!$G$4,,,$F$26*B596,1)=F601)*(OFFSET(Calc2!$H$4,,,$F$26*B596,1)&gt;OFFSET(Calc2!$I$4,,,$F$26*B596,1)))</f>
        <v>11</v>
      </c>
      <c r="O601" s="132">
        <f ca="1">SUMPRODUCT((F601=OFFSET(Calc2!$F$4,,,$F$26*B596,1))*OFFSET(Calc2!$O$4,,,$F$26*B596,1))+SUMPRODUCT((F601=OFFSET(Calc2!$G$4,,,$F$26*B596,1))*OFFSET(Calc2!$P$4,,,$F$26*B596,1))</f>
        <v>0</v>
      </c>
      <c r="P601" s="2"/>
      <c r="Q601" s="2"/>
      <c r="R601" s="13">
        <f t="shared" ca="1" si="111"/>
        <v>22499988026</v>
      </c>
      <c r="S601" s="134">
        <f>Tie_Break!$D$10</f>
        <v>0</v>
      </c>
      <c r="T601" s="9">
        <f ca="1">RANK(R601,R598:R617)+(9-S601)/10000+(F601="")*1000</f>
        <v>13.0009</v>
      </c>
      <c r="U601" s="134"/>
      <c r="V601" s="134">
        <f ca="1">IF($K$24=0,"",IF(VLOOKUP(B601,C598:E617,3,0)=MAX(V$4:V600),VLOOKUP(B601,C598:E617,3,0),B601))</f>
        <v>4</v>
      </c>
      <c r="W601" s="4" t="str">
        <f ca="1">IF($K$24=0,Calc2!$C$7,VLOOKUP(B601,C598:N617,4,0))</f>
        <v>VfB Stuttgart</v>
      </c>
      <c r="X601" s="1">
        <f ca="1">INDEX(V571:V590,MATCH(W601,W571:W590,0))</f>
        <v>5</v>
      </c>
      <c r="Y601" s="1">
        <f t="shared" ca="1" si="114"/>
        <v>1</v>
      </c>
    </row>
    <row r="602" spans="2:25" x14ac:dyDescent="0.2">
      <c r="B602" s="1">
        <v>5</v>
      </c>
      <c r="C602" s="9">
        <f ca="1">RANK(D602,D598:D617,1)</f>
        <v>5</v>
      </c>
      <c r="D602" s="134">
        <f t="shared" ca="1" si="112"/>
        <v>5.6020000000000003</v>
      </c>
      <c r="E602" s="134">
        <f ca="1">RANK(T602,T598:T617,1)</f>
        <v>5</v>
      </c>
      <c r="F602" s="187" t="str">
        <f>Calc2!$C$8</f>
        <v>Bayer 04 Leverkusen</v>
      </c>
      <c r="G602" s="1">
        <f ca="1">SUMIFS(OFFSET(Calc2!$H$4,,,$F$26*B596,1),OFFSET(Calc2!$F$4,,,$F$26*B596,1),F602)+SUMIFS(OFFSET(Calc2!$I$4,,,$F$26*B596,1),OFFSET(Calc2!$G$4,,,$F$26*B596,1),F602)</f>
        <v>44</v>
      </c>
      <c r="H602" s="1">
        <f ca="1">SUMIFS(OFFSET(Calc2!$I$4,,,$F$26*B596,1),OFFSET(Calc2!$F$4,,,$F$26*B596,1),F602)+SUMIFS(OFFSET(Calc2!$H$4,,,$F$26*B596,1),OFFSET(Calc2!$G$4,,,$F$26*B596,1),F602)</f>
        <v>28</v>
      </c>
      <c r="I602" s="134">
        <f t="shared" ca="1" si="110"/>
        <v>16</v>
      </c>
      <c r="J602" s="12">
        <f ca="1">L602*Settings!$C$3+M602+O602</f>
        <v>42</v>
      </c>
      <c r="K602" s="1">
        <f t="shared" ca="1" si="113"/>
        <v>23</v>
      </c>
      <c r="L602" s="1">
        <f t="array" aca="1" ref="L602" ca="1">SUMPRODUCT((OFFSET(Calc2!$F$4,,,$F$26*B596,1)=F602)*(OFFSET(Calc2!$H$4,,,$F$26*B596,1)&gt;OFFSET(Calc2!$I$4,,,$F$26*B596,1)))+SUMPRODUCT((OFFSET(Calc2!$G$4,,,$F$26*B596,1)=F602)*(OFFSET(Calc2!$H$4,,,$F$26*B596,1)&lt;OFFSET(Calc2!$I$4,,,$F$26*B596,1)))</f>
        <v>13</v>
      </c>
      <c r="M602" s="1">
        <f t="array" aca="1" ref="M602" ca="1">SUMPRODUCT((OFFSET(Calc2!$F$4,,,$F$26*B596,2)=F602)*(OFFSET(Calc2!$H$4,,,$F$26*B596,1)=OFFSET(Calc2!$I$4,,,$F$26*B596,1))*(OFFSET(Calc2!$H$4,,,$F$26*B596,1)&lt;&gt;"")*(OFFSET(Calc2!$I$4,,,$F$26*B596,1)&lt;&gt;""))</f>
        <v>3</v>
      </c>
      <c r="N602" s="1">
        <f t="array" aca="1" ref="N602" ca="1">SUMPRODUCT((OFFSET(Calc2!$F$4,,,$F$26*B596,1)=F602)*(OFFSET(Calc2!$H$4,,,$F$26*B596,1)&lt;OFFSET(Calc2!$I$4,,,$F$26*B596,1)))+SUMPRODUCT((OFFSET(Calc2!$G$4,,,$F$26*B596,1)=F602)*(OFFSET(Calc2!$H$4,,,$F$26*B596,1)&gt;OFFSET(Calc2!$I$4,,,$F$26*B596,1)))</f>
        <v>7</v>
      </c>
      <c r="O602" s="132">
        <f ca="1">SUMPRODUCT((F602=OFFSET(Calc2!$F$4,,,$F$26*B596,1))*OFFSET(Calc2!$O$4,,,$F$26*B596,1))+SUMPRODUCT((F602=OFFSET(Calc2!$G$4,,,$F$26*B596,1))*OFFSET(Calc2!$P$4,,,$F$26*B596,1))</f>
        <v>0</v>
      </c>
      <c r="P602" s="2"/>
      <c r="Q602" s="2"/>
      <c r="R602" s="13">
        <f t="shared" ca="1" si="111"/>
        <v>42500016044</v>
      </c>
      <c r="S602" s="134">
        <f>Tie_Break!$D$11</f>
        <v>0</v>
      </c>
      <c r="T602" s="9">
        <f ca="1">RANK(R602,R598:R617)+(9-S602)/10000+(F602="")*1000</f>
        <v>5.0008999999999997</v>
      </c>
      <c r="U602" s="134"/>
      <c r="V602" s="134">
        <f ca="1">IF($K$24=0,"",IF(VLOOKUP(B602,C598:E617,3,0)=MAX(V$4:V601),VLOOKUP(B602,C598:E617,3,0),B602))</f>
        <v>5</v>
      </c>
      <c r="W602" s="4" t="str">
        <f ca="1">IF($K$24=0,Calc2!$C$8,VLOOKUP(B602,C598:N617,4,0))</f>
        <v>Bayer 04 Leverkusen</v>
      </c>
      <c r="X602" s="1">
        <f ca="1">INDEX(V571:V590,MATCH(W602,W571:W590,0))</f>
        <v>4</v>
      </c>
      <c r="Y602" s="1">
        <f t="shared" ca="1" si="114"/>
        <v>-1</v>
      </c>
    </row>
    <row r="603" spans="2:25" x14ac:dyDescent="0.2">
      <c r="B603" s="1">
        <v>6</v>
      </c>
      <c r="C603" s="9">
        <f ca="1">RANK(D603,D598:D617,1)</f>
        <v>2</v>
      </c>
      <c r="D603" s="134">
        <f t="shared" ca="1" si="112"/>
        <v>2.6029999999999998</v>
      </c>
      <c r="E603" s="134">
        <f ca="1">RANK(T603,T598:T617,1)</f>
        <v>2</v>
      </c>
      <c r="F603" s="187" t="str">
        <f>Calc2!$C$9</f>
        <v>Borussia Dortmund</v>
      </c>
      <c r="G603" s="1">
        <f ca="1">SUMIFS(OFFSET(Calc2!$H$4,,,$F$26*B596,1),OFFSET(Calc2!$F$4,,,$F$26*B596,1),F603)+SUMIFS(OFFSET(Calc2!$I$4,,,$F$26*B596,1),OFFSET(Calc2!$G$4,,,$F$26*B596,1),F603)</f>
        <v>49</v>
      </c>
      <c r="H603" s="1">
        <f ca="1">SUMIFS(OFFSET(Calc2!$I$4,,,$F$26*B596,1),OFFSET(Calc2!$F$4,,,$F$26*B596,1),F603)+SUMIFS(OFFSET(Calc2!$H$4,,,$F$26*B596,1),OFFSET(Calc2!$G$4,,,$F$26*B596,1),F603)</f>
        <v>22</v>
      </c>
      <c r="I603" s="134">
        <f t="shared" ca="1" si="110"/>
        <v>27</v>
      </c>
      <c r="J603" s="12">
        <f ca="1">L603*Settings!$C$3+M603+O603</f>
        <v>52</v>
      </c>
      <c r="K603" s="1">
        <f t="shared" ca="1" si="113"/>
        <v>23</v>
      </c>
      <c r="L603" s="1">
        <f t="array" aca="1" ref="L603" ca="1">SUMPRODUCT((OFFSET(Calc2!$F$4,,,$F$26*B596,1)=F603)*(OFFSET(Calc2!$H$4,,,$F$26*B596,1)&gt;OFFSET(Calc2!$I$4,,,$F$26*B596,1)))+SUMPRODUCT((OFFSET(Calc2!$G$4,,,$F$26*B596,1)=F603)*(OFFSET(Calc2!$H$4,,,$F$26*B596,1)&lt;OFFSET(Calc2!$I$4,,,$F$26*B596,1)))</f>
        <v>15</v>
      </c>
      <c r="M603" s="1">
        <f t="array" aca="1" ref="M603" ca="1">SUMPRODUCT((OFFSET(Calc2!$F$4,,,$F$26*B596,2)=F603)*(OFFSET(Calc2!$H$4,,,$F$26*B596,1)=OFFSET(Calc2!$I$4,,,$F$26*B596,1))*(OFFSET(Calc2!$H$4,,,$F$26*B596,1)&lt;&gt;"")*(OFFSET(Calc2!$I$4,,,$F$26*B596,1)&lt;&gt;""))</f>
        <v>7</v>
      </c>
      <c r="N603" s="1">
        <f t="array" aca="1" ref="N603" ca="1">SUMPRODUCT((OFFSET(Calc2!$F$4,,,$F$26*B596,1)=F603)*(OFFSET(Calc2!$H$4,,,$F$26*B596,1)&lt;OFFSET(Calc2!$I$4,,,$F$26*B596,1)))+SUMPRODUCT((OFFSET(Calc2!$G$4,,,$F$26*B596,1)=F603)*(OFFSET(Calc2!$H$4,,,$F$26*B596,1)&gt;OFFSET(Calc2!$I$4,,,$F$26*B596,1)))</f>
        <v>1</v>
      </c>
      <c r="O603" s="132">
        <f ca="1">SUMPRODUCT((F603=OFFSET(Calc2!$F$4,,,$F$26*B596,1))*OFFSET(Calc2!$O$4,,,$F$26*B596,1))+SUMPRODUCT((F603=OFFSET(Calc2!$G$4,,,$F$26*B596,1))*OFFSET(Calc2!$P$4,,,$F$26*B596,1))</f>
        <v>0</v>
      </c>
      <c r="P603" s="2"/>
      <c r="Q603" s="2"/>
      <c r="R603" s="13">
        <f t="shared" ca="1" si="111"/>
        <v>52500027049</v>
      </c>
      <c r="S603" s="134">
        <f>Tie_Break!$D$12</f>
        <v>0</v>
      </c>
      <c r="T603" s="9">
        <f ca="1">RANK(R603,R598:R617)+(9-S603)/10000+(F603="")*1000</f>
        <v>2.0009000000000001</v>
      </c>
      <c r="U603" s="134"/>
      <c r="V603" s="134">
        <f ca="1">IF($K$24=0,"",IF(VLOOKUP(B603,C598:E617,3,0)=MAX(V$4:V602),VLOOKUP(B603,C598:E617,3,0),B603))</f>
        <v>6</v>
      </c>
      <c r="W603" s="4" t="str">
        <f ca="1">IF($K$24=0,Calc2!$C$9,VLOOKUP(B603,C598:N617,4,0))</f>
        <v>RB Leipzig</v>
      </c>
      <c r="X603" s="1">
        <f ca="1">INDEX(V571:V590,MATCH(W603,W571:W590,0))</f>
        <v>6</v>
      </c>
      <c r="Y603" s="1">
        <f t="shared" ca="1" si="114"/>
        <v>0</v>
      </c>
    </row>
    <row r="604" spans="2:25" x14ac:dyDescent="0.2">
      <c r="B604" s="1">
        <v>7</v>
      </c>
      <c r="C604" s="9">
        <f ca="1">RANK(D604,D598:D617,1)</f>
        <v>14</v>
      </c>
      <c r="D604" s="134">
        <f t="shared" ca="1" si="112"/>
        <v>14.603999999999999</v>
      </c>
      <c r="E604" s="134">
        <f ca="1">RANK(T604,T598:T617,1)</f>
        <v>14</v>
      </c>
      <c r="F604" s="187" t="str">
        <f>Calc2!$C$10</f>
        <v>Borussia Mönchengladbach</v>
      </c>
      <c r="G604" s="1">
        <f ca="1">SUMIFS(OFFSET(Calc2!$H$4,,,$F$26*B596,1),OFFSET(Calc2!$F$4,,,$F$26*B596,1),F604)+SUMIFS(OFFSET(Calc2!$I$4,,,$F$26*B596,1),OFFSET(Calc2!$G$4,,,$F$26*B596,1),F604)</f>
        <v>26</v>
      </c>
      <c r="H604" s="1">
        <f ca="1">SUMIFS(OFFSET(Calc2!$I$4,,,$F$26*B596,1),OFFSET(Calc2!$F$4,,,$F$26*B596,1),F604)+SUMIFS(OFFSET(Calc2!$H$4,,,$F$26*B596,1),OFFSET(Calc2!$G$4,,,$F$26*B596,1),F604)</f>
        <v>39</v>
      </c>
      <c r="I604" s="134">
        <f t="shared" ca="1" si="110"/>
        <v>-13</v>
      </c>
      <c r="J604" s="12">
        <f ca="1">L604*Settings!$C$3+M604+O604</f>
        <v>22</v>
      </c>
      <c r="K604" s="1">
        <f t="shared" ca="1" si="113"/>
        <v>23</v>
      </c>
      <c r="L604" s="1">
        <f t="array" aca="1" ref="L604" ca="1">SUMPRODUCT((OFFSET(Calc2!$F$4,,,$F$26*B596,1)=F604)*(OFFSET(Calc2!$H$4,,,$F$26*B596,1)&gt;OFFSET(Calc2!$I$4,,,$F$26*B596,1)))+SUMPRODUCT((OFFSET(Calc2!$G$4,,,$F$26*B596,1)=F604)*(OFFSET(Calc2!$H$4,,,$F$26*B596,1)&lt;OFFSET(Calc2!$I$4,,,$F$26*B596,1)))</f>
        <v>5</v>
      </c>
      <c r="M604" s="1">
        <f t="array" aca="1" ref="M604" ca="1">SUMPRODUCT((OFFSET(Calc2!$F$4,,,$F$26*B596,2)=F604)*(OFFSET(Calc2!$H$4,,,$F$26*B596,1)=OFFSET(Calc2!$I$4,,,$F$26*B596,1))*(OFFSET(Calc2!$H$4,,,$F$26*B596,1)&lt;&gt;"")*(OFFSET(Calc2!$I$4,,,$F$26*B596,1)&lt;&gt;""))</f>
        <v>7</v>
      </c>
      <c r="N604" s="1">
        <f t="array" aca="1" ref="N604" ca="1">SUMPRODUCT((OFFSET(Calc2!$F$4,,,$F$26*B596,1)=F604)*(OFFSET(Calc2!$H$4,,,$F$26*B596,1)&lt;OFFSET(Calc2!$I$4,,,$F$26*B596,1)))+SUMPRODUCT((OFFSET(Calc2!$G$4,,,$F$26*B596,1)=F604)*(OFFSET(Calc2!$H$4,,,$F$26*B596,1)&gt;OFFSET(Calc2!$I$4,,,$F$26*B596,1)))</f>
        <v>11</v>
      </c>
      <c r="O604" s="132">
        <f ca="1">SUMPRODUCT((F604=OFFSET(Calc2!$F$4,,,$F$26*B596,1))*OFFSET(Calc2!$O$4,,,$F$26*B596,1))+SUMPRODUCT((F604=OFFSET(Calc2!$G$4,,,$F$26*B596,1))*OFFSET(Calc2!$P$4,,,$F$26*B596,1))</f>
        <v>0</v>
      </c>
      <c r="P604" s="2"/>
      <c r="Q604" s="2"/>
      <c r="R604" s="13">
        <f t="shared" ca="1" si="111"/>
        <v>22499987026</v>
      </c>
      <c r="S604" s="134">
        <f>Tie_Break!$D$13</f>
        <v>0</v>
      </c>
      <c r="T604" s="9">
        <f ca="1">RANK(R604,R598:R617)+(9-S604)/10000+(F604="")*1000</f>
        <v>14.0009</v>
      </c>
      <c r="U604" s="134"/>
      <c r="V604" s="134">
        <f ca="1">IF($K$24=0,"",IF(VLOOKUP(B604,C598:E617,3,0)=MAX(V$4:V603),VLOOKUP(B604,C598:E617,3,0),B604))</f>
        <v>7</v>
      </c>
      <c r="W604" s="4" t="str">
        <f ca="1">IF($K$24=0,Calc2!$C$10,VLOOKUP(B604,C598:N617,4,0))</f>
        <v>SC Freiburg</v>
      </c>
      <c r="X604" s="1">
        <f ca="1">INDEX(V571:V590,MATCH(W604,W571:W590,0))</f>
        <v>8</v>
      </c>
      <c r="Y604" s="1">
        <f t="shared" ca="1" si="114"/>
        <v>1</v>
      </c>
    </row>
    <row r="605" spans="2:25" x14ac:dyDescent="0.2">
      <c r="B605" s="1">
        <v>8</v>
      </c>
      <c r="C605" s="9">
        <f ca="1">RANK(D605,D598:D617,1)</f>
        <v>8</v>
      </c>
      <c r="D605" s="134">
        <f t="shared" ca="1" si="112"/>
        <v>8.6050000000000004</v>
      </c>
      <c r="E605" s="134">
        <f ca="1">RANK(T605,T598:T617,1)</f>
        <v>8</v>
      </c>
      <c r="F605" s="187" t="str">
        <f>Calc2!$C$11</f>
        <v>Eintracht Frankfurt</v>
      </c>
      <c r="G605" s="1">
        <f ca="1">SUMIFS(OFFSET(Calc2!$H$4,,,$F$26*B596,1),OFFSET(Calc2!$F$4,,,$F$26*B596,1),F605)+SUMIFS(OFFSET(Calc2!$I$4,,,$F$26*B596,1),OFFSET(Calc2!$G$4,,,$F$26*B596,1),F605)</f>
        <v>46</v>
      </c>
      <c r="H605" s="1">
        <f ca="1">SUMIFS(OFFSET(Calc2!$I$4,,,$F$26*B596,1),OFFSET(Calc2!$F$4,,,$F$26*B596,1),F605)+SUMIFS(OFFSET(Calc2!$H$4,,,$F$26*B596,1),OFFSET(Calc2!$G$4,,,$F$26*B596,1),F605)</f>
        <v>49</v>
      </c>
      <c r="I605" s="134">
        <f t="shared" ca="1" si="110"/>
        <v>-3</v>
      </c>
      <c r="J605" s="12">
        <f ca="1">L605*Settings!$C$3+M605+O605</f>
        <v>31</v>
      </c>
      <c r="K605" s="1">
        <f t="shared" ca="1" si="113"/>
        <v>23</v>
      </c>
      <c r="L605" s="1">
        <f t="array" aca="1" ref="L605" ca="1">SUMPRODUCT((OFFSET(Calc2!$F$4,,,$F$26*B596,1)=F605)*(OFFSET(Calc2!$H$4,,,$F$26*B596,1)&gt;OFFSET(Calc2!$I$4,,,$F$26*B596,1)))+SUMPRODUCT((OFFSET(Calc2!$G$4,,,$F$26*B596,1)=F605)*(OFFSET(Calc2!$H$4,,,$F$26*B596,1)&lt;OFFSET(Calc2!$I$4,,,$F$26*B596,1)))</f>
        <v>8</v>
      </c>
      <c r="M605" s="1">
        <f t="array" aca="1" ref="M605" ca="1">SUMPRODUCT((OFFSET(Calc2!$F$4,,,$F$26*B596,2)=F605)*(OFFSET(Calc2!$H$4,,,$F$26*B596,1)=OFFSET(Calc2!$I$4,,,$F$26*B596,1))*(OFFSET(Calc2!$H$4,,,$F$26*B596,1)&lt;&gt;"")*(OFFSET(Calc2!$I$4,,,$F$26*B596,1)&lt;&gt;""))</f>
        <v>7</v>
      </c>
      <c r="N605" s="1">
        <f t="array" aca="1" ref="N605" ca="1">SUMPRODUCT((OFFSET(Calc2!$F$4,,,$F$26*B596,1)=F605)*(OFFSET(Calc2!$H$4,,,$F$26*B596,1)&lt;OFFSET(Calc2!$I$4,,,$F$26*B596,1)))+SUMPRODUCT((OFFSET(Calc2!$G$4,,,$F$26*B596,1)=F605)*(OFFSET(Calc2!$H$4,,,$F$26*B596,1)&gt;OFFSET(Calc2!$I$4,,,$F$26*B596,1)))</f>
        <v>8</v>
      </c>
      <c r="O605" s="132">
        <f ca="1">SUMPRODUCT((F605=OFFSET(Calc2!$F$4,,,$F$26*B596,1))*OFFSET(Calc2!$O$4,,,$F$26*B596,1))+SUMPRODUCT((F605=OFFSET(Calc2!$G$4,,,$F$26*B596,1))*OFFSET(Calc2!$P$4,,,$F$26*B596,1))</f>
        <v>0</v>
      </c>
      <c r="P605" s="2"/>
      <c r="Q605" s="2"/>
      <c r="R605" s="13">
        <f t="shared" ca="1" si="111"/>
        <v>31499997046</v>
      </c>
      <c r="S605" s="134">
        <f>Tie_Break!$D$14</f>
        <v>0</v>
      </c>
      <c r="T605" s="9">
        <f ca="1">RANK(R605,R598:R617)+(9-S605)/10000+(F605="")*1000</f>
        <v>8.0008999999999997</v>
      </c>
      <c r="U605" s="134"/>
      <c r="V605" s="134">
        <f ca="1">IF($K$24=0,"",IF(VLOOKUP(B605,C598:E617,3,0)=MAX(V$4:V604),VLOOKUP(B605,C598:E617,3,0),B605))</f>
        <v>8</v>
      </c>
      <c r="W605" s="4" t="str">
        <f ca="1">IF($K$24=0,Calc2!$C$11,VLOOKUP(B605,C598:N617,4,0))</f>
        <v>Eintracht Frankfurt</v>
      </c>
      <c r="X605" s="1">
        <f ca="1">INDEX(V571:V590,MATCH(W605,W571:W590,0))</f>
        <v>7</v>
      </c>
      <c r="Y605" s="1">
        <f t="shared" ca="1" si="114"/>
        <v>-1</v>
      </c>
    </row>
    <row r="606" spans="2:25" x14ac:dyDescent="0.2">
      <c r="B606" s="1">
        <v>9</v>
      </c>
      <c r="C606" s="9">
        <f ca="1">RANK(D606,D598:D617,1)</f>
        <v>10</v>
      </c>
      <c r="D606" s="134">
        <f t="shared" ca="1" si="112"/>
        <v>10.606</v>
      </c>
      <c r="E606" s="134">
        <f ca="1">RANK(T606,T598:T617,1)</f>
        <v>10</v>
      </c>
      <c r="F606" s="187" t="str">
        <f>Calc2!$C$12</f>
        <v>FC Augsburg</v>
      </c>
      <c r="G606" s="1">
        <f ca="1">SUMIFS(OFFSET(Calc2!$H$4,,,$F$26*B596,1),OFFSET(Calc2!$F$4,,,$F$26*B596,1),F606)+SUMIFS(OFFSET(Calc2!$I$4,,,$F$26*B596,1),OFFSET(Calc2!$G$4,,,$F$26*B596,1),F606)</f>
        <v>28</v>
      </c>
      <c r="H606" s="1">
        <f ca="1">SUMIFS(OFFSET(Calc2!$I$4,,,$F$26*B596,1),OFFSET(Calc2!$F$4,,,$F$26*B596,1),F606)+SUMIFS(OFFSET(Calc2!$H$4,,,$F$26*B596,1),OFFSET(Calc2!$G$4,,,$F$26*B596,1),F606)</f>
        <v>41</v>
      </c>
      <c r="I606" s="134">
        <f t="shared" ca="1" si="110"/>
        <v>-13</v>
      </c>
      <c r="J606" s="12">
        <f ca="1">L606*Settings!$C$3+M606+O606</f>
        <v>28</v>
      </c>
      <c r="K606" s="1">
        <f t="shared" ca="1" si="113"/>
        <v>23</v>
      </c>
      <c r="L606" s="1">
        <f t="array" aca="1" ref="L606" ca="1">SUMPRODUCT((OFFSET(Calc2!$F$4,,,$F$26*B596,1)=F606)*(OFFSET(Calc2!$H$4,,,$F$26*B596,1)&gt;OFFSET(Calc2!$I$4,,,$F$26*B596,1)))+SUMPRODUCT((OFFSET(Calc2!$G$4,,,$F$26*B596,1)=F606)*(OFFSET(Calc2!$H$4,,,$F$26*B596,1)&lt;OFFSET(Calc2!$I$4,,,$F$26*B596,1)))</f>
        <v>8</v>
      </c>
      <c r="M606" s="1">
        <f t="array" aca="1" ref="M606" ca="1">SUMPRODUCT((OFFSET(Calc2!$F$4,,,$F$26*B596,2)=F606)*(OFFSET(Calc2!$H$4,,,$F$26*B596,1)=OFFSET(Calc2!$I$4,,,$F$26*B596,1))*(OFFSET(Calc2!$H$4,,,$F$26*B596,1)&lt;&gt;"")*(OFFSET(Calc2!$I$4,,,$F$26*B596,1)&lt;&gt;""))</f>
        <v>4</v>
      </c>
      <c r="N606" s="1">
        <f t="array" aca="1" ref="N606" ca="1">SUMPRODUCT((OFFSET(Calc2!$F$4,,,$F$26*B596,1)=F606)*(OFFSET(Calc2!$H$4,,,$F$26*B596,1)&lt;OFFSET(Calc2!$I$4,,,$F$26*B596,1)))+SUMPRODUCT((OFFSET(Calc2!$G$4,,,$F$26*B596,1)=F606)*(OFFSET(Calc2!$H$4,,,$F$26*B596,1)&gt;OFFSET(Calc2!$I$4,,,$F$26*B596,1)))</f>
        <v>11</v>
      </c>
      <c r="O606" s="132">
        <f ca="1">SUMPRODUCT((F606=OFFSET(Calc2!$F$4,,,$F$26*B596,1))*OFFSET(Calc2!$O$4,,,$F$26*B596,1))+SUMPRODUCT((F606=OFFSET(Calc2!$G$4,,,$F$26*B596,1))*OFFSET(Calc2!$P$4,,,$F$26*B596,1))</f>
        <v>0</v>
      </c>
      <c r="P606" s="2"/>
      <c r="Q606" s="2"/>
      <c r="R606" s="13">
        <f t="shared" ca="1" si="111"/>
        <v>28499987028</v>
      </c>
      <c r="S606" s="134">
        <f>Tie_Break!$D$15</f>
        <v>0</v>
      </c>
      <c r="T606" s="9">
        <f ca="1">RANK(R606,R598:R617)+(9-S606)/10000+(F606="")*1000</f>
        <v>10.0009</v>
      </c>
      <c r="U606" s="134"/>
      <c r="V606" s="134">
        <f ca="1">IF($K$24=0,"",IF(VLOOKUP(B606,C598:E617,3,0)=MAX(V$4:V605),VLOOKUP(B606,C598:E617,3,0),B606))</f>
        <v>9</v>
      </c>
      <c r="W606" s="4" t="str">
        <f ca="1">IF($K$24=0,Calc2!$C$12,VLOOKUP(B606,C598:N617,4,0))</f>
        <v>1. FC Union Berlin</v>
      </c>
      <c r="X606" s="1">
        <f ca="1">INDEX(V571:V590,MATCH(W606,W571:W590,0))</f>
        <v>10</v>
      </c>
      <c r="Y606" s="1">
        <f t="shared" ca="1" si="114"/>
        <v>1</v>
      </c>
    </row>
    <row r="607" spans="2:25" x14ac:dyDescent="0.2">
      <c r="B607" s="1">
        <v>10</v>
      </c>
      <c r="C607" s="9">
        <f ca="1">RANK(D607,D598:D617,1)</f>
        <v>1</v>
      </c>
      <c r="D607" s="134">
        <f t="shared" ca="1" si="112"/>
        <v>1.607</v>
      </c>
      <c r="E607" s="134">
        <f ca="1">RANK(T607,T598:T617,1)</f>
        <v>1</v>
      </c>
      <c r="F607" s="187" t="str">
        <f>Calc2!$C$13</f>
        <v>FC Bayern München</v>
      </c>
      <c r="G607" s="1">
        <f ca="1">SUMIFS(OFFSET(Calc2!$H$4,,,$F$26*B596,1),OFFSET(Calc2!$F$4,,,$F$26*B596,1),F607)+SUMIFS(OFFSET(Calc2!$I$4,,,$F$26*B596,1),OFFSET(Calc2!$G$4,,,$F$26*B596,1),F607)</f>
        <v>85</v>
      </c>
      <c r="H607" s="1">
        <f ca="1">SUMIFS(OFFSET(Calc2!$I$4,,,$F$26*B596,1),OFFSET(Calc2!$F$4,,,$F$26*B596,1),F607)+SUMIFS(OFFSET(Calc2!$H$4,,,$F$26*B596,1),OFFSET(Calc2!$G$4,,,$F$26*B596,1),F607)</f>
        <v>21</v>
      </c>
      <c r="I607" s="134">
        <f t="shared" ca="1" si="110"/>
        <v>64</v>
      </c>
      <c r="J607" s="12">
        <f ca="1">L607*Settings!$C$3+M607+O607</f>
        <v>60</v>
      </c>
      <c r="K607" s="1">
        <f t="shared" ca="1" si="113"/>
        <v>23</v>
      </c>
      <c r="L607" s="1">
        <f t="array" aca="1" ref="L607" ca="1">SUMPRODUCT((OFFSET(Calc2!$F$4,,,$F$26*B596,1)=F607)*(OFFSET(Calc2!$H$4,,,$F$26*B596,1)&gt;OFFSET(Calc2!$I$4,,,$F$26*B596,1)))+SUMPRODUCT((OFFSET(Calc2!$G$4,,,$F$26*B596,1)=F607)*(OFFSET(Calc2!$H$4,,,$F$26*B596,1)&lt;OFFSET(Calc2!$I$4,,,$F$26*B596,1)))</f>
        <v>19</v>
      </c>
      <c r="M607" s="1">
        <f t="array" aca="1" ref="M607" ca="1">SUMPRODUCT((OFFSET(Calc2!$F$4,,,$F$26*B596,2)=F607)*(OFFSET(Calc2!$H$4,,,$F$26*B596,1)=OFFSET(Calc2!$I$4,,,$F$26*B596,1))*(OFFSET(Calc2!$H$4,,,$F$26*B596,1)&lt;&gt;"")*(OFFSET(Calc2!$I$4,,,$F$26*B596,1)&lt;&gt;""))</f>
        <v>3</v>
      </c>
      <c r="N607" s="1">
        <f t="array" aca="1" ref="N607" ca="1">SUMPRODUCT((OFFSET(Calc2!$F$4,,,$F$26*B596,1)=F607)*(OFFSET(Calc2!$H$4,,,$F$26*B596,1)&lt;OFFSET(Calc2!$I$4,,,$F$26*B596,1)))+SUMPRODUCT((OFFSET(Calc2!$G$4,,,$F$26*B596,1)=F607)*(OFFSET(Calc2!$H$4,,,$F$26*B596,1)&gt;OFFSET(Calc2!$I$4,,,$F$26*B596,1)))</f>
        <v>1</v>
      </c>
      <c r="O607" s="132">
        <f ca="1">SUMPRODUCT((F607=OFFSET(Calc2!$F$4,,,$F$26*B596,1))*OFFSET(Calc2!$O$4,,,$F$26*B596,1))+SUMPRODUCT((F607=OFFSET(Calc2!$G$4,,,$F$26*B596,1))*OFFSET(Calc2!$P$4,,,$F$26*B596,1))</f>
        <v>0</v>
      </c>
      <c r="P607" s="2"/>
      <c r="Q607" s="2"/>
      <c r="R607" s="13">
        <f t="shared" ca="1" si="111"/>
        <v>60500064085</v>
      </c>
      <c r="S607" s="134">
        <f>Tie_Break!$D$16</f>
        <v>0</v>
      </c>
      <c r="T607" s="9">
        <f ca="1">RANK(R607,R598:R617)+(9-S607)/10000+(F607="")*1000</f>
        <v>1.0008999999999999</v>
      </c>
      <c r="U607" s="2"/>
      <c r="V607" s="134">
        <f ca="1">IF($K$24=0,"",IF(VLOOKUP(B607,C598:E617,3,0)=MAX(V$4:V606),VLOOKUP(B607,C598:E617,3,0),B607))</f>
        <v>10</v>
      </c>
      <c r="W607" s="4" t="str">
        <f ca="1">IF($K$24=0,Calc2!$C$13,VLOOKUP(B607,C598:N617,4,0))</f>
        <v>FC Augsburg</v>
      </c>
      <c r="X607" s="1">
        <f ca="1">INDEX(V571:V590,MATCH(W607,W571:W590,0))</f>
        <v>11</v>
      </c>
      <c r="Y607" s="1">
        <f t="shared" ca="1" si="114"/>
        <v>1</v>
      </c>
    </row>
    <row r="608" spans="2:25" x14ac:dyDescent="0.2">
      <c r="B608" s="1">
        <v>11</v>
      </c>
      <c r="C608" s="9">
        <f ca="1">RANK(D608,D598:D617,1)</f>
        <v>16</v>
      </c>
      <c r="D608" s="134">
        <f t="shared" ca="1" si="112"/>
        <v>16.608000000000001</v>
      </c>
      <c r="E608" s="134">
        <f ca="1">RANK(T608,T598:T617,1)</f>
        <v>16</v>
      </c>
      <c r="F608" s="187" t="str">
        <f>Calc2!$C$14</f>
        <v>FC St. Pauli</v>
      </c>
      <c r="G608" s="1">
        <f ca="1">SUMIFS(OFFSET(Calc2!$H$4,,,$F$26*B596,1),OFFSET(Calc2!$F$4,,,$F$26*B596,1),F608)+SUMIFS(OFFSET(Calc2!$I$4,,,$F$26*B596,1),OFFSET(Calc2!$G$4,,,$F$26*B596,1),F608)</f>
        <v>22</v>
      </c>
      <c r="H608" s="1">
        <f ca="1">SUMIFS(OFFSET(Calc2!$I$4,,,$F$26*B596,1),OFFSET(Calc2!$F$4,,,$F$26*B596,1),F608)+SUMIFS(OFFSET(Calc2!$H$4,,,$F$26*B596,1),OFFSET(Calc2!$G$4,,,$F$26*B596,1),F608)</f>
        <v>40</v>
      </c>
      <c r="I608" s="134">
        <f t="shared" ca="1" si="110"/>
        <v>-18</v>
      </c>
      <c r="J608" s="12">
        <f ca="1">L608*Settings!$C$3+M608+O608</f>
        <v>20</v>
      </c>
      <c r="K608" s="1">
        <f t="shared" ca="1" si="113"/>
        <v>23</v>
      </c>
      <c r="L608" s="1">
        <f t="array" aca="1" ref="L608" ca="1">SUMPRODUCT((OFFSET(Calc2!$F$4,,,$F$26*B596,1)=F608)*(OFFSET(Calc2!$H$4,,,$F$26*B596,1)&gt;OFFSET(Calc2!$I$4,,,$F$26*B596,1)))+SUMPRODUCT((OFFSET(Calc2!$G$4,,,$F$26*B596,1)=F608)*(OFFSET(Calc2!$H$4,,,$F$26*B596,1)&lt;OFFSET(Calc2!$I$4,,,$F$26*B596,1)))</f>
        <v>5</v>
      </c>
      <c r="M608" s="1">
        <f t="array" aca="1" ref="M608" ca="1">SUMPRODUCT((OFFSET(Calc2!$F$4,,,$F$26*B596,2)=F608)*(OFFSET(Calc2!$H$4,,,$F$26*B596,1)=OFFSET(Calc2!$I$4,,,$F$26*B596,1))*(OFFSET(Calc2!$H$4,,,$F$26*B596,1)&lt;&gt;"")*(OFFSET(Calc2!$I$4,,,$F$26*B596,1)&lt;&gt;""))</f>
        <v>5</v>
      </c>
      <c r="N608" s="1">
        <f t="array" aca="1" ref="N608" ca="1">SUMPRODUCT((OFFSET(Calc2!$F$4,,,$F$26*B596,1)=F608)*(OFFSET(Calc2!$H$4,,,$F$26*B596,1)&lt;OFFSET(Calc2!$I$4,,,$F$26*B596,1)))+SUMPRODUCT((OFFSET(Calc2!$G$4,,,$F$26*B596,1)=F608)*(OFFSET(Calc2!$H$4,,,$F$26*B596,1)&gt;OFFSET(Calc2!$I$4,,,$F$26*B596,1)))</f>
        <v>13</v>
      </c>
      <c r="O608" s="132">
        <f ca="1">SUMPRODUCT((F608=OFFSET(Calc2!$F$4,,,$F$26*B596,1))*OFFSET(Calc2!$O$4,,,$F$26*B596,1))+SUMPRODUCT((F608=OFFSET(Calc2!$G$4,,,$F$26*B596,1))*OFFSET(Calc2!$P$4,,,$F$26*B596,1))</f>
        <v>0</v>
      </c>
      <c r="P608" s="2"/>
      <c r="Q608" s="2"/>
      <c r="R608" s="13">
        <f t="shared" ca="1" si="111"/>
        <v>20499982022</v>
      </c>
      <c r="S608" s="134">
        <f>Tie_Break!$D$17</f>
        <v>0</v>
      </c>
      <c r="T608" s="9">
        <f ca="1">RANK(R608,R598:R617)+(9-S608)/10000+(F608="")*1000</f>
        <v>16.000900000000001</v>
      </c>
      <c r="U608" s="2"/>
      <c r="V608" s="134">
        <f ca="1">IF($K$24=0,"",IF(VLOOKUP(B608,C598:E617,3,0)=MAX(V$4:V607),VLOOKUP(B608,C598:E617,3,0),B608))</f>
        <v>11</v>
      </c>
      <c r="W608" s="4" t="str">
        <f ca="1">IF($K$24=0,Calc2!$C$14,VLOOKUP(B608,C598:N617,4,0))</f>
        <v>Hamburger SV</v>
      </c>
      <c r="X608" s="1">
        <f ca="1">INDEX(V571:V590,MATCH(W608,W571:W590,0))</f>
        <v>9</v>
      </c>
      <c r="Y608" s="1">
        <f t="shared" ca="1" si="114"/>
        <v>-1</v>
      </c>
    </row>
    <row r="609" spans="2:25" x14ac:dyDescent="0.2">
      <c r="B609" s="1">
        <v>12</v>
      </c>
      <c r="C609" s="9">
        <f ca="1">RANK(D609,D598:D617,1)</f>
        <v>11</v>
      </c>
      <c r="D609" s="134">
        <f t="shared" ca="1" si="112"/>
        <v>11.609</v>
      </c>
      <c r="E609" s="134">
        <f ca="1">RANK(T609,T598:T617,1)</f>
        <v>11</v>
      </c>
      <c r="F609" s="187" t="str">
        <f>Calc2!$C$15</f>
        <v>Hamburger SV</v>
      </c>
      <c r="G609" s="1">
        <f ca="1">SUMIFS(OFFSET(Calc2!$H$4,,,$F$26*B596,1),OFFSET(Calc2!$F$4,,,$F$26*B596,1),F609)+SUMIFS(OFFSET(Calc2!$I$4,,,$F$26*B596,1),OFFSET(Calc2!$G$4,,,$F$26*B596,1),F609)</f>
        <v>25</v>
      </c>
      <c r="H609" s="1">
        <f ca="1">SUMIFS(OFFSET(Calc2!$I$4,,,$F$26*B596,1),OFFSET(Calc2!$F$4,,,$F$26*B596,1),F609)+SUMIFS(OFFSET(Calc2!$H$4,,,$F$26*B596,1),OFFSET(Calc2!$G$4,,,$F$26*B596,1),F609)</f>
        <v>33</v>
      </c>
      <c r="I609" s="134">
        <f t="shared" ca="1" si="110"/>
        <v>-8</v>
      </c>
      <c r="J609" s="12">
        <f ca="1">L609*Settings!$C$3+M609+O609</f>
        <v>26</v>
      </c>
      <c r="K609" s="1">
        <f t="shared" ca="1" si="113"/>
        <v>23</v>
      </c>
      <c r="L609" s="1">
        <f t="array" aca="1" ref="L609" ca="1">SUMPRODUCT((OFFSET(Calc2!$F$4,,,$F$26*B596,1)=F609)*(OFFSET(Calc2!$H$4,,,$F$26*B596,1)&gt;OFFSET(Calc2!$I$4,,,$F$26*B596,1)))+SUMPRODUCT((OFFSET(Calc2!$G$4,,,$F$26*B596,1)=F609)*(OFFSET(Calc2!$H$4,,,$F$26*B596,1)&lt;OFFSET(Calc2!$I$4,,,$F$26*B596,1)))</f>
        <v>6</v>
      </c>
      <c r="M609" s="1">
        <f t="array" aca="1" ref="M609" ca="1">SUMPRODUCT((OFFSET(Calc2!$F$4,,,$F$26*B596,2)=F609)*(OFFSET(Calc2!$H$4,,,$F$26*B596,1)=OFFSET(Calc2!$I$4,,,$F$26*B596,1))*(OFFSET(Calc2!$H$4,,,$F$26*B596,1)&lt;&gt;"")*(OFFSET(Calc2!$I$4,,,$F$26*B596,1)&lt;&gt;""))</f>
        <v>8</v>
      </c>
      <c r="N609" s="1">
        <f t="array" aca="1" ref="N609" ca="1">SUMPRODUCT((OFFSET(Calc2!$F$4,,,$F$26*B596,1)=F609)*(OFFSET(Calc2!$H$4,,,$F$26*B596,1)&lt;OFFSET(Calc2!$I$4,,,$F$26*B596,1)))+SUMPRODUCT((OFFSET(Calc2!$G$4,,,$F$26*B596,1)=F609)*(OFFSET(Calc2!$H$4,,,$F$26*B596,1)&gt;OFFSET(Calc2!$I$4,,,$F$26*B596,1)))</f>
        <v>9</v>
      </c>
      <c r="O609" s="132">
        <f ca="1">SUMPRODUCT((F609=OFFSET(Calc2!$F$4,,,$F$26*B596,1))*OFFSET(Calc2!$O$4,,,$F$26*B596,1))+SUMPRODUCT((F609=OFFSET(Calc2!$G$4,,,$F$26*B596,1))*OFFSET(Calc2!$P$4,,,$F$26*B596,1))</f>
        <v>0</v>
      </c>
      <c r="P609" s="2"/>
      <c r="Q609" s="2"/>
      <c r="R609" s="13">
        <f t="shared" ca="1" si="111"/>
        <v>26499992025</v>
      </c>
      <c r="S609" s="134">
        <f>Tie_Break!$D$18</f>
        <v>0</v>
      </c>
      <c r="T609" s="9">
        <f ca="1">RANK(R609,R598:R617)+(9-S609)/10000+(F609="")*1000</f>
        <v>11.0009</v>
      </c>
      <c r="U609" s="2"/>
      <c r="V609" s="134">
        <f ca="1">IF($K$24=0,"",IF(VLOOKUP(B609,C598:E617,3,0)=MAX(V$4:V608),VLOOKUP(B609,C598:E617,3,0),B609))</f>
        <v>12</v>
      </c>
      <c r="W609" s="4" t="str">
        <f ca="1">IF($K$24=0,Calc2!$C$15,VLOOKUP(B609,C598:N617,4,0))</f>
        <v>1. FC Köln</v>
      </c>
      <c r="X609" s="1">
        <f ca="1">INDEX(V571:V590,MATCH(W609,W571:W590,0))</f>
        <v>12</v>
      </c>
      <c r="Y609" s="1">
        <f t="shared" ca="1" si="114"/>
        <v>0</v>
      </c>
    </row>
    <row r="610" spans="2:25" x14ac:dyDescent="0.2">
      <c r="B610" s="1">
        <v>13</v>
      </c>
      <c r="C610" s="9">
        <f ca="1">RANK(D610,D598:D617,1)</f>
        <v>6</v>
      </c>
      <c r="D610" s="134">
        <f t="shared" ca="1" si="112"/>
        <v>6.61</v>
      </c>
      <c r="E610" s="134">
        <f ca="1">RANK(T610,T598:T617,1)</f>
        <v>6</v>
      </c>
      <c r="F610" s="187" t="str">
        <f>Calc2!$C$16</f>
        <v>RB Leipzig</v>
      </c>
      <c r="G610" s="1">
        <f ca="1">SUMIFS(OFFSET(Calc2!$H$4,,,$F$26*B596,1),OFFSET(Calc2!$F$4,,,$F$26*B596,1),F610)+SUMIFS(OFFSET(Calc2!$I$4,,,$F$26*B596,1),OFFSET(Calc2!$G$4,,,$F$26*B596,1),F610)</f>
        <v>44</v>
      </c>
      <c r="H610" s="1">
        <f ca="1">SUMIFS(OFFSET(Calc2!$I$4,,,$F$26*B596,1),OFFSET(Calc2!$F$4,,,$F$26*B596,1),F610)+SUMIFS(OFFSET(Calc2!$H$4,,,$F$26*B596,1),OFFSET(Calc2!$G$4,,,$F$26*B596,1),F610)</f>
        <v>32</v>
      </c>
      <c r="I610" s="134">
        <f t="shared" ca="1" si="110"/>
        <v>12</v>
      </c>
      <c r="J610" s="12">
        <f ca="1">L610*Settings!$C$3+M610+O610</f>
        <v>41</v>
      </c>
      <c r="K610" s="1">
        <f t="shared" ca="1" si="113"/>
        <v>23</v>
      </c>
      <c r="L610" s="1">
        <f t="array" aca="1" ref="L610" ca="1">SUMPRODUCT((OFFSET(Calc2!$F$4,,,$F$26*B596,1)=F610)*(OFFSET(Calc2!$H$4,,,$F$26*B596,1)&gt;OFFSET(Calc2!$I$4,,,$F$26*B596,1)))+SUMPRODUCT((OFFSET(Calc2!$G$4,,,$F$26*B596,1)=F610)*(OFFSET(Calc2!$H$4,,,$F$26*B596,1)&lt;OFFSET(Calc2!$I$4,,,$F$26*B596,1)))</f>
        <v>12</v>
      </c>
      <c r="M610" s="1">
        <f t="array" aca="1" ref="M610" ca="1">SUMPRODUCT((OFFSET(Calc2!$F$4,,,$F$26*B596,2)=F610)*(OFFSET(Calc2!$H$4,,,$F$26*B596,1)=OFFSET(Calc2!$I$4,,,$F$26*B596,1))*(OFFSET(Calc2!$H$4,,,$F$26*B596,1)&lt;&gt;"")*(OFFSET(Calc2!$I$4,,,$F$26*B596,1)&lt;&gt;""))</f>
        <v>5</v>
      </c>
      <c r="N610" s="1">
        <f t="array" aca="1" ref="N610" ca="1">SUMPRODUCT((OFFSET(Calc2!$F$4,,,$F$26*B596,1)=F610)*(OFFSET(Calc2!$H$4,,,$F$26*B596,1)&lt;OFFSET(Calc2!$I$4,,,$F$26*B596,1)))+SUMPRODUCT((OFFSET(Calc2!$G$4,,,$F$26*B596,1)=F610)*(OFFSET(Calc2!$H$4,,,$F$26*B596,1)&gt;OFFSET(Calc2!$I$4,,,$F$26*B596,1)))</f>
        <v>6</v>
      </c>
      <c r="O610" s="132">
        <f ca="1">SUMPRODUCT((F610=OFFSET(Calc2!$F$4,,,$F$26*B596,1))*OFFSET(Calc2!$O$4,,,$F$26*B596,1))+SUMPRODUCT((F610=OFFSET(Calc2!$G$4,,,$F$26*B596,1))*OFFSET(Calc2!$P$4,,,$F$26*B596,1))</f>
        <v>0</v>
      </c>
      <c r="P610" s="2"/>
      <c r="Q610" s="2"/>
      <c r="R610" s="13">
        <f t="shared" ca="1" si="111"/>
        <v>41500012044</v>
      </c>
      <c r="S610" s="134">
        <f>Tie_Break!$D$19</f>
        <v>0</v>
      </c>
      <c r="T610" s="9">
        <f ca="1">RANK(R610,R598:R617)+(9-S610)/10000+(F610="")*1000</f>
        <v>6.0008999999999997</v>
      </c>
      <c r="U610" s="1"/>
      <c r="V610" s="134">
        <f ca="1">IF($K$24=0,"",IF(VLOOKUP(B610,C598:E617,3,0)=MAX(V$4:V609),VLOOKUP(B610,C598:E617,3,0),B610))</f>
        <v>13</v>
      </c>
      <c r="W610" s="4" t="str">
        <f ca="1">IF($K$24=0,Calc2!$C$16,VLOOKUP(B610,C598:N617,4,0))</f>
        <v>1. FSV Mainz 05</v>
      </c>
      <c r="X610" s="1">
        <f ca="1">INDEX(V571:V590,MATCH(W610,W571:W590,0))</f>
        <v>14</v>
      </c>
      <c r="Y610" s="1">
        <f t="shared" ca="1" si="114"/>
        <v>1</v>
      </c>
    </row>
    <row r="611" spans="2:25" x14ac:dyDescent="0.2">
      <c r="B611" s="1">
        <v>14</v>
      </c>
      <c r="C611" s="9">
        <f ca="1">RANK(D611,D598:D617,1)</f>
        <v>7</v>
      </c>
      <c r="D611" s="134">
        <f t="shared" ca="1" si="112"/>
        <v>7.6109999999999998</v>
      </c>
      <c r="E611" s="134">
        <f ca="1">RANK(T611,T598:T617,1)</f>
        <v>7</v>
      </c>
      <c r="F611" s="187" t="str">
        <f>Calc2!$C$17</f>
        <v>SC Freiburg</v>
      </c>
      <c r="G611" s="1">
        <f ca="1">SUMIFS(OFFSET(Calc2!$H$4,,,$F$26*B596,1),OFFSET(Calc2!$F$4,,,$F$26*B596,1),F611)+SUMIFS(OFFSET(Calc2!$I$4,,,$F$26*B596,1),OFFSET(Calc2!$G$4,,,$F$26*B596,1),F611)</f>
        <v>34</v>
      </c>
      <c r="H611" s="1">
        <f ca="1">SUMIFS(OFFSET(Calc2!$I$4,,,$F$26*B596,1),OFFSET(Calc2!$F$4,,,$F$26*B596,1),F611)+SUMIFS(OFFSET(Calc2!$H$4,,,$F$26*B596,1),OFFSET(Calc2!$G$4,,,$F$26*B596,1),F611)</f>
        <v>37</v>
      </c>
      <c r="I611" s="134">
        <f t="shared" ca="1" si="110"/>
        <v>-3</v>
      </c>
      <c r="J611" s="12">
        <f ca="1">L611*Settings!$C$3+M611+O611</f>
        <v>33</v>
      </c>
      <c r="K611" s="1">
        <f t="shared" ca="1" si="113"/>
        <v>23</v>
      </c>
      <c r="L611" s="1">
        <f t="array" aca="1" ref="L611" ca="1">SUMPRODUCT((OFFSET(Calc2!$F$4,,,$F$26*B596,1)=F611)*(OFFSET(Calc2!$H$4,,,$F$26*B596,1)&gt;OFFSET(Calc2!$I$4,,,$F$26*B596,1)))+SUMPRODUCT((OFFSET(Calc2!$G$4,,,$F$26*B596,1)=F611)*(OFFSET(Calc2!$H$4,,,$F$26*B596,1)&lt;OFFSET(Calc2!$I$4,,,$F$26*B596,1)))</f>
        <v>9</v>
      </c>
      <c r="M611" s="1">
        <f t="array" aca="1" ref="M611" ca="1">SUMPRODUCT((OFFSET(Calc2!$F$4,,,$F$26*B596,2)=F611)*(OFFSET(Calc2!$H$4,,,$F$26*B596,1)=OFFSET(Calc2!$I$4,,,$F$26*B596,1))*(OFFSET(Calc2!$H$4,,,$F$26*B596,1)&lt;&gt;"")*(OFFSET(Calc2!$I$4,,,$F$26*B596,1)&lt;&gt;""))</f>
        <v>6</v>
      </c>
      <c r="N611" s="1">
        <f t="array" aca="1" ref="N611" ca="1">SUMPRODUCT((OFFSET(Calc2!$F$4,,,$F$26*B596,1)=F611)*(OFFSET(Calc2!$H$4,,,$F$26*B596,1)&lt;OFFSET(Calc2!$I$4,,,$F$26*B596,1)))+SUMPRODUCT((OFFSET(Calc2!$G$4,,,$F$26*B596,1)=F611)*(OFFSET(Calc2!$H$4,,,$F$26*B596,1)&gt;OFFSET(Calc2!$I$4,,,$F$26*B596,1)))</f>
        <v>8</v>
      </c>
      <c r="O611" s="132">
        <f ca="1">SUMPRODUCT((F611=OFFSET(Calc2!$F$4,,,$F$26*B596,1))*OFFSET(Calc2!$O$4,,,$F$26*B596,1))+SUMPRODUCT((F611=OFFSET(Calc2!$G$4,,,$F$26*B596,1))*OFFSET(Calc2!$P$4,,,$F$26*B596,1))</f>
        <v>0</v>
      </c>
      <c r="P611" s="2"/>
      <c r="Q611" s="2"/>
      <c r="R611" s="13">
        <f t="shared" ca="1" si="111"/>
        <v>33499997034</v>
      </c>
      <c r="S611" s="134">
        <f>Tie_Break!$D$20</f>
        <v>0</v>
      </c>
      <c r="T611" s="9">
        <f ca="1">RANK(R611,R598:R617)+(9-S611)/10000+(F611="")*1000</f>
        <v>7.0008999999999997</v>
      </c>
      <c r="U611" s="2"/>
      <c r="V611" s="134">
        <f ca="1">IF($K$24=0,"",IF(VLOOKUP(B611,C598:E617,3,0)=MAX(V$4:V610),VLOOKUP(B611,C598:E617,3,0),B611))</f>
        <v>14</v>
      </c>
      <c r="W611" s="4" t="str">
        <f ca="1">IF($K$24=0,Calc2!$C$17,VLOOKUP(B611,C598:N617,4,0))</f>
        <v>Borussia Mönchengladbach</v>
      </c>
      <c r="X611" s="1">
        <f ca="1">INDEX(V571:V590,MATCH(W611,W571:W590,0))</f>
        <v>13</v>
      </c>
      <c r="Y611" s="1">
        <f t="shared" ca="1" si="114"/>
        <v>-1</v>
      </c>
    </row>
    <row r="612" spans="2:25" x14ac:dyDescent="0.2">
      <c r="B612" s="1">
        <v>15</v>
      </c>
      <c r="C612" s="9">
        <f ca="1">RANK(D612,D598:D617,1)</f>
        <v>17</v>
      </c>
      <c r="D612" s="134">
        <f t="shared" ca="1" si="112"/>
        <v>17.611999999999998</v>
      </c>
      <c r="E612" s="134">
        <f ca="1">RANK(T612,T598:T617,1)</f>
        <v>17</v>
      </c>
      <c r="F612" s="187" t="str">
        <f>Calc2!$C$18</f>
        <v>SV Werder Bremen</v>
      </c>
      <c r="G612" s="1">
        <f ca="1">SUMIFS(OFFSET(Calc2!$H$4,,,$F$26*B596,1),OFFSET(Calc2!$F$4,,,$F$26*B596,1),F612)+SUMIFS(OFFSET(Calc2!$I$4,,,$F$26*B596,1),OFFSET(Calc2!$G$4,,,$F$26*B596,1),F612)</f>
        <v>23</v>
      </c>
      <c r="H612" s="1">
        <f ca="1">SUMIFS(OFFSET(Calc2!$I$4,,,$F$26*B596,1),OFFSET(Calc2!$F$4,,,$F$26*B596,1),F612)+SUMIFS(OFFSET(Calc2!$H$4,,,$F$26*B596,1),OFFSET(Calc2!$G$4,,,$F$26*B596,1),F612)</f>
        <v>44</v>
      </c>
      <c r="I612" s="134">
        <f t="shared" ca="1" si="110"/>
        <v>-21</v>
      </c>
      <c r="J612" s="12">
        <f ca="1">L612*Settings!$C$3+M612+O612</f>
        <v>19</v>
      </c>
      <c r="K612" s="1">
        <f t="shared" ca="1" si="113"/>
        <v>23</v>
      </c>
      <c r="L612" s="1">
        <f t="array" aca="1" ref="L612" ca="1">SUMPRODUCT((OFFSET(Calc2!$F$4,,,$F$26*B596,1)=F612)*(OFFSET(Calc2!$H$4,,,$F$26*B596,1)&gt;OFFSET(Calc2!$I$4,,,$F$26*B596,1)))+SUMPRODUCT((OFFSET(Calc2!$G$4,,,$F$26*B596,1)=F612)*(OFFSET(Calc2!$H$4,,,$F$26*B596,1)&lt;OFFSET(Calc2!$I$4,,,$F$26*B596,1)))</f>
        <v>4</v>
      </c>
      <c r="M612" s="1">
        <f t="array" aca="1" ref="M612" ca="1">SUMPRODUCT((OFFSET(Calc2!$F$4,,,$F$26*B596,2)=F612)*(OFFSET(Calc2!$H$4,,,$F$26*B596,1)=OFFSET(Calc2!$I$4,,,$F$26*B596,1))*(OFFSET(Calc2!$H$4,,,$F$26*B596,1)&lt;&gt;"")*(OFFSET(Calc2!$I$4,,,$F$26*B596,1)&lt;&gt;""))</f>
        <v>7</v>
      </c>
      <c r="N612" s="1">
        <f t="array" aca="1" ref="N612" ca="1">SUMPRODUCT((OFFSET(Calc2!$F$4,,,$F$26*B596,1)=F612)*(OFFSET(Calc2!$H$4,,,$F$26*B596,1)&lt;OFFSET(Calc2!$I$4,,,$F$26*B596,1)))+SUMPRODUCT((OFFSET(Calc2!$G$4,,,$F$26*B596,1)=F612)*(OFFSET(Calc2!$H$4,,,$F$26*B596,1)&gt;OFFSET(Calc2!$I$4,,,$F$26*B596,1)))</f>
        <v>12</v>
      </c>
      <c r="O612" s="132">
        <f ca="1">SUMPRODUCT((F612=OFFSET(Calc2!$F$4,,,$F$26*B596,1))*OFFSET(Calc2!$O$4,,,$F$26*B596,1))+SUMPRODUCT((F612=OFFSET(Calc2!$G$4,,,$F$26*B596,1))*OFFSET(Calc2!$P$4,,,$F$26*B596,1))</f>
        <v>0</v>
      </c>
      <c r="P612" s="2"/>
      <c r="Q612" s="2"/>
      <c r="R612" s="13">
        <f t="shared" ca="1" si="111"/>
        <v>19499979023</v>
      </c>
      <c r="S612" s="134">
        <f>Tie_Break!$D$21</f>
        <v>0</v>
      </c>
      <c r="T612" s="9">
        <f ca="1">RANK(R612,R598:R617)+(9-S612)/10000+(F612="")*1000</f>
        <v>17.000900000000001</v>
      </c>
      <c r="U612" s="2"/>
      <c r="V612" s="134">
        <f ca="1">IF($K$24=0,"",IF(VLOOKUP(B612,C598:E617,3,0)=MAX(V$4:V611),VLOOKUP(B612,C598:E617,3,0),B612))</f>
        <v>15</v>
      </c>
      <c r="W612" s="4" t="str">
        <f ca="1">IF($K$24=0,Calc2!$C$18,VLOOKUP(B612,C598:N617,4,0))</f>
        <v>VfL Wolfsburg</v>
      </c>
      <c r="X612" s="1">
        <f ca="1">INDEX(V571:V590,MATCH(W612,W571:W590,0))</f>
        <v>15</v>
      </c>
      <c r="Y612" s="1">
        <f t="shared" ca="1" si="114"/>
        <v>0</v>
      </c>
    </row>
    <row r="613" spans="2:25" x14ac:dyDescent="0.2">
      <c r="B613" s="1">
        <v>16</v>
      </c>
      <c r="C613" s="9">
        <f ca="1">RANK(D613,D598:D617,1)</f>
        <v>3</v>
      </c>
      <c r="D613" s="134">
        <f t="shared" ca="1" si="112"/>
        <v>3.613</v>
      </c>
      <c r="E613" s="134">
        <f ca="1">RANK(T613,T598:T617,1)</f>
        <v>3</v>
      </c>
      <c r="F613" s="187" t="str">
        <f>Calc2!$C$19</f>
        <v>TSG Hoffenheim</v>
      </c>
      <c r="G613" s="1">
        <f ca="1">SUMIFS(OFFSET(Calc2!$H$4,,,$F$26*B596,1),OFFSET(Calc2!$F$4,,,$F$26*B596,1),F613)+SUMIFS(OFFSET(Calc2!$I$4,,,$F$26*B596,1),OFFSET(Calc2!$G$4,,,$F$26*B596,1),F613)</f>
        <v>49</v>
      </c>
      <c r="H613" s="1">
        <f ca="1">SUMIFS(OFFSET(Calc2!$I$4,,,$F$26*B596,1),OFFSET(Calc2!$F$4,,,$F$26*B596,1),F613)+SUMIFS(OFFSET(Calc2!$H$4,,,$F$26*B596,1),OFFSET(Calc2!$G$4,,,$F$26*B596,1),F613)</f>
        <v>30</v>
      </c>
      <c r="I613" s="134">
        <f t="shared" ca="1" si="110"/>
        <v>19</v>
      </c>
      <c r="J613" s="12">
        <f ca="1">L613*Settings!$C$3+M613+O613</f>
        <v>46</v>
      </c>
      <c r="K613" s="1">
        <f t="shared" ca="1" si="113"/>
        <v>23</v>
      </c>
      <c r="L613" s="1">
        <f t="array" aca="1" ref="L613" ca="1">SUMPRODUCT((OFFSET(Calc2!$F$4,,,$F$26*B596,1)=F613)*(OFFSET(Calc2!$H$4,,,$F$26*B596,1)&gt;OFFSET(Calc2!$I$4,,,$F$26*B596,1)))+SUMPRODUCT((OFFSET(Calc2!$G$4,,,$F$26*B596,1)=F613)*(OFFSET(Calc2!$H$4,,,$F$26*B596,1)&lt;OFFSET(Calc2!$I$4,,,$F$26*B596,1)))</f>
        <v>14</v>
      </c>
      <c r="M613" s="1">
        <f t="array" aca="1" ref="M613" ca="1">SUMPRODUCT((OFFSET(Calc2!$F$4,,,$F$26*B596,2)=F613)*(OFFSET(Calc2!$H$4,,,$F$26*B596,1)=OFFSET(Calc2!$I$4,,,$F$26*B596,1))*(OFFSET(Calc2!$H$4,,,$F$26*B596,1)&lt;&gt;"")*(OFFSET(Calc2!$I$4,,,$F$26*B596,1)&lt;&gt;""))</f>
        <v>4</v>
      </c>
      <c r="N613" s="1">
        <f t="array" aca="1" ref="N613" ca="1">SUMPRODUCT((OFFSET(Calc2!$F$4,,,$F$26*B596,1)=F613)*(OFFSET(Calc2!$H$4,,,$F$26*B596,1)&lt;OFFSET(Calc2!$I$4,,,$F$26*B596,1)))+SUMPRODUCT((OFFSET(Calc2!$G$4,,,$F$26*B596,1)=F613)*(OFFSET(Calc2!$H$4,,,$F$26*B596,1)&gt;OFFSET(Calc2!$I$4,,,$F$26*B596,1)))</f>
        <v>5</v>
      </c>
      <c r="O613" s="132">
        <f ca="1">SUMPRODUCT((F613=OFFSET(Calc2!$F$4,,,$F$26*B596,1))*OFFSET(Calc2!$O$4,,,$F$26*B596,1))+SUMPRODUCT((F613=OFFSET(Calc2!$G$4,,,$F$26*B596,1))*OFFSET(Calc2!$P$4,,,$F$26*B596,1))</f>
        <v>0</v>
      </c>
      <c r="P613" s="2"/>
      <c r="Q613" s="2"/>
      <c r="R613" s="13">
        <f t="shared" ca="1" si="111"/>
        <v>46500019049</v>
      </c>
      <c r="S613" s="134">
        <f>Tie_Break!$D$22</f>
        <v>0</v>
      </c>
      <c r="T613" s="9">
        <f ca="1">RANK(R613,R598:R617)+(9-S613)/10000+(F613="")*1000</f>
        <v>3.0009000000000001</v>
      </c>
      <c r="U613" s="2"/>
      <c r="V613" s="134">
        <f ca="1">IF($K$24=0,"",IF(VLOOKUP(B613,C598:E617,3,0)=MAX(V$4:V612),VLOOKUP(B613,C598:E617,3,0),B613))</f>
        <v>16</v>
      </c>
      <c r="W613" s="4" t="str">
        <f ca="1">IF($K$24=0,Calc2!$C$19,VLOOKUP(B613,C598:N617,4,0))</f>
        <v>FC St. Pauli</v>
      </c>
      <c r="X613" s="1">
        <f ca="1">INDEX(V571:V590,MATCH(W613,W571:W590,0))</f>
        <v>17</v>
      </c>
      <c r="Y613" s="1">
        <f t="shared" ca="1" si="114"/>
        <v>1</v>
      </c>
    </row>
    <row r="614" spans="2:25" x14ac:dyDescent="0.2">
      <c r="B614" s="1">
        <v>17</v>
      </c>
      <c r="C614" s="9">
        <f ca="1">RANK(D614,D598:D617,1)</f>
        <v>4</v>
      </c>
      <c r="D614" s="134">
        <f t="shared" ca="1" si="112"/>
        <v>4.6139999999999999</v>
      </c>
      <c r="E614" s="134">
        <f ca="1">RANK(T614,T598:T617,1)</f>
        <v>4</v>
      </c>
      <c r="F614" s="187" t="str">
        <f>Calc2!$C$20</f>
        <v>VfB Stuttgart</v>
      </c>
      <c r="G614" s="1">
        <f ca="1">SUMIFS(OFFSET(Calc2!$H$4,,,$F$26*B596,1),OFFSET(Calc2!$F$4,,,$F$26*B596,1),F614)+SUMIFS(OFFSET(Calc2!$I$4,,,$F$26*B596,1),OFFSET(Calc2!$G$4,,,$F$26*B596,1),F614)</f>
        <v>44</v>
      </c>
      <c r="H614" s="1">
        <f ca="1">SUMIFS(OFFSET(Calc2!$I$4,,,$F$26*B596,1),OFFSET(Calc2!$F$4,,,$F$26*B596,1),F614)+SUMIFS(OFFSET(Calc2!$H$4,,,$F$26*B596,1),OFFSET(Calc2!$G$4,,,$F$26*B596,1),F614)</f>
        <v>32</v>
      </c>
      <c r="I614" s="134">
        <f t="shared" ca="1" si="110"/>
        <v>12</v>
      </c>
      <c r="J614" s="12">
        <f ca="1">L614*Settings!$C$3+M614+O614</f>
        <v>43</v>
      </c>
      <c r="K614" s="1">
        <f t="shared" ca="1" si="113"/>
        <v>23</v>
      </c>
      <c r="L614" s="1">
        <f t="array" aca="1" ref="L614" ca="1">SUMPRODUCT((OFFSET(Calc2!$F$4,,,$F$26*B596,1)=F614)*(OFFSET(Calc2!$H$4,,,$F$26*B596,1)&gt;OFFSET(Calc2!$I$4,,,$F$26*B596,1)))+SUMPRODUCT((OFFSET(Calc2!$G$4,,,$F$26*B596,1)=F614)*(OFFSET(Calc2!$H$4,,,$F$26*B596,1)&lt;OFFSET(Calc2!$I$4,,,$F$26*B596,1)))</f>
        <v>13</v>
      </c>
      <c r="M614" s="1">
        <f t="array" aca="1" ref="M614" ca="1">SUMPRODUCT((OFFSET(Calc2!$F$4,,,$F$26*B596,2)=F614)*(OFFSET(Calc2!$H$4,,,$F$26*B596,1)=OFFSET(Calc2!$I$4,,,$F$26*B596,1))*(OFFSET(Calc2!$H$4,,,$F$26*B596,1)&lt;&gt;"")*(OFFSET(Calc2!$I$4,,,$F$26*B596,1)&lt;&gt;""))</f>
        <v>4</v>
      </c>
      <c r="N614" s="1">
        <f t="array" aca="1" ref="N614" ca="1">SUMPRODUCT((OFFSET(Calc2!$F$4,,,$F$26*B596,1)=F614)*(OFFSET(Calc2!$H$4,,,$F$26*B596,1)&lt;OFFSET(Calc2!$I$4,,,$F$26*B596,1)))+SUMPRODUCT((OFFSET(Calc2!$G$4,,,$F$26*B596,1)=F614)*(OFFSET(Calc2!$H$4,,,$F$26*B596,1)&gt;OFFSET(Calc2!$I$4,,,$F$26*B596,1)))</f>
        <v>6</v>
      </c>
      <c r="O614" s="132">
        <f ca="1">SUMPRODUCT((F614=OFFSET(Calc2!$F$4,,,$F$26*B596,1))*OFFSET(Calc2!$O$4,,,$F$26*B596,1))+SUMPRODUCT((F614=OFFSET(Calc2!$G$4,,,$F$26*B596,1))*OFFSET(Calc2!$P$4,,,$F$26*B596,1))</f>
        <v>0</v>
      </c>
      <c r="P614" s="2"/>
      <c r="Q614" s="2"/>
      <c r="R614" s="13">
        <f t="shared" ca="1" si="111"/>
        <v>43500012044</v>
      </c>
      <c r="S614" s="134">
        <f>Tie_Break!$D$23</f>
        <v>0</v>
      </c>
      <c r="T614" s="9">
        <f ca="1">RANK(R614,R598:R617)+(9-S614)/10000+(F614="")*1000</f>
        <v>4.0008999999999997</v>
      </c>
      <c r="U614" s="2"/>
      <c r="V614" s="134">
        <f ca="1">IF($K$24=0,"",IF(VLOOKUP(B614,C598:E617,3,0)=MAX(V$4:V613),VLOOKUP(B614,C598:E617,3,0),B614))</f>
        <v>17</v>
      </c>
      <c r="W614" s="4" t="str">
        <f ca="1">IF($K$24=0,Calc2!$C$20,VLOOKUP(B614,C598:N617,4,0))</f>
        <v>SV Werder Bremen</v>
      </c>
      <c r="X614" s="1">
        <f ca="1">INDEX(V571:V590,MATCH(W614,W571:W590,0))</f>
        <v>16</v>
      </c>
      <c r="Y614" s="1">
        <f t="shared" ca="1" si="114"/>
        <v>-1</v>
      </c>
    </row>
    <row r="615" spans="2:25" x14ac:dyDescent="0.2">
      <c r="B615" s="1">
        <v>18</v>
      </c>
      <c r="C615" s="9">
        <f ca="1">RANK(D615,D598:D617,1)</f>
        <v>15</v>
      </c>
      <c r="D615" s="134">
        <f t="shared" ca="1" si="112"/>
        <v>15.615</v>
      </c>
      <c r="E615" s="134">
        <f ca="1">RANK(T615,T598:T617,1)</f>
        <v>15</v>
      </c>
      <c r="F615" s="187" t="str">
        <f>Calc2!$C$21</f>
        <v>VfL Wolfsburg</v>
      </c>
      <c r="G615" s="1">
        <f ca="1">SUMIFS(OFFSET(Calc2!$H$4,,,$F$26*B596,1),OFFSET(Calc2!$F$4,,,$F$26*B596,1),F615)+SUMIFS(OFFSET(Calc2!$I$4,,,$F$26*B596,1),OFFSET(Calc2!$G$4,,,$F$26*B596,1),F615)</f>
        <v>33</v>
      </c>
      <c r="H615" s="1">
        <f ca="1">SUMIFS(OFFSET(Calc2!$I$4,,,$F$26*B596,1),OFFSET(Calc2!$F$4,,,$F$26*B596,1),F615)+SUMIFS(OFFSET(Calc2!$H$4,,,$F$26*B596,1),OFFSET(Calc2!$G$4,,,$F$26*B596,1),F615)</f>
        <v>49</v>
      </c>
      <c r="I615" s="134">
        <f t="shared" ca="1" si="110"/>
        <v>-16</v>
      </c>
      <c r="J615" s="12">
        <f ca="1">L615*Settings!$C$3+M615+O615</f>
        <v>20</v>
      </c>
      <c r="K615" s="1">
        <f t="shared" ca="1" si="113"/>
        <v>23</v>
      </c>
      <c r="L615" s="1">
        <f t="array" aca="1" ref="L615" ca="1">SUMPRODUCT((OFFSET(Calc2!$F$4,,,$F$26*B596,1)=F615)*(OFFSET(Calc2!$H$4,,,$F$26*B596,1)&gt;OFFSET(Calc2!$I$4,,,$F$26*B596,1)))+SUMPRODUCT((OFFSET(Calc2!$G$4,,,$F$26*B596,1)=F615)*(OFFSET(Calc2!$H$4,,,$F$26*B596,1)&lt;OFFSET(Calc2!$I$4,,,$F$26*B596,1)))</f>
        <v>5</v>
      </c>
      <c r="M615" s="1">
        <f t="array" aca="1" ref="M615" ca="1">SUMPRODUCT((OFFSET(Calc2!$F$4,,,$F$26*B596,2)=F615)*(OFFSET(Calc2!$H$4,,,$F$26*B596,1)=OFFSET(Calc2!$I$4,,,$F$26*B596,1))*(OFFSET(Calc2!$H$4,,,$F$26*B596,1)&lt;&gt;"")*(OFFSET(Calc2!$I$4,,,$F$26*B596,1)&lt;&gt;""))</f>
        <v>5</v>
      </c>
      <c r="N615" s="1">
        <f t="array" aca="1" ref="N615" ca="1">SUMPRODUCT((OFFSET(Calc2!$F$4,,,$F$26*B596,1)=F615)*(OFFSET(Calc2!$H$4,,,$F$26*B596,1)&lt;OFFSET(Calc2!$I$4,,,$F$26*B596,1)))+SUMPRODUCT((OFFSET(Calc2!$G$4,,,$F$26*B596,1)=F615)*(OFFSET(Calc2!$H$4,,,$F$26*B596,1)&gt;OFFSET(Calc2!$I$4,,,$F$26*B596,1)))</f>
        <v>13</v>
      </c>
      <c r="O615" s="132">
        <f ca="1">SUMPRODUCT((F615=OFFSET(Calc2!$F$4,,,$F$26*B596,1))*OFFSET(Calc2!$O$4,,,$F$26*B596,1))+SUMPRODUCT((F615=OFFSET(Calc2!$G$4,,,$F$26*B596,1))*OFFSET(Calc2!$P$4,,,$F$26*B596,1))</f>
        <v>0</v>
      </c>
      <c r="P615" s="2"/>
      <c r="Q615" s="2"/>
      <c r="R615" s="13">
        <f t="shared" ca="1" si="111"/>
        <v>20499984033</v>
      </c>
      <c r="S615" s="134">
        <f>Tie_Break!$D$24</f>
        <v>0</v>
      </c>
      <c r="T615" s="9">
        <f ca="1">RANK(R615,R598:R617)+(9-S615)/10000+(F615="")*1000</f>
        <v>15.0009</v>
      </c>
      <c r="U615" s="2"/>
      <c r="V615" s="134">
        <f ca="1">IF($K$24=0,"",IF(VLOOKUP(B615,C598:E617,3,0)=MAX(V$4:V614),VLOOKUP(B615,C598:E617,3,0),B615))</f>
        <v>18</v>
      </c>
      <c r="W615" s="4" t="str">
        <f ca="1">IF($K$24=0,Calc2!$C$21,VLOOKUP(B615,C598:N617,4,0))</f>
        <v>1. FC Heidenheim 1846</v>
      </c>
      <c r="X615" s="1">
        <f ca="1">INDEX(V571:V590,MATCH(W615,W571:W590,0))</f>
        <v>18</v>
      </c>
      <c r="Y615" s="1">
        <f t="shared" ca="1" si="114"/>
        <v>0</v>
      </c>
    </row>
    <row r="616" spans="2:25" x14ac:dyDescent="0.2">
      <c r="B616" s="1">
        <v>19</v>
      </c>
      <c r="C616" s="9">
        <f ca="1">RANK(D616,D598:D617,1)</f>
        <v>19</v>
      </c>
      <c r="D616" s="134">
        <f t="shared" ca="1" si="112"/>
        <v>19.616</v>
      </c>
      <c r="E616" s="134">
        <f ca="1">RANK(T616,T598:T617,1)</f>
        <v>19</v>
      </c>
      <c r="F616" s="187" t="str">
        <f>Calc2!$C$22</f>
        <v/>
      </c>
      <c r="G616" s="1">
        <f ca="1">SUMIFS(OFFSET(Calc2!$H$4,,,$F$26*B596,1),OFFSET(Calc2!$F$4,,,$F$26*B596,1),F616)+SUMIFS(OFFSET(Calc2!$I$4,,,$F$26*B596,1),OFFSET(Calc2!$G$4,,,$F$26*B596,1),F616)</f>
        <v>0</v>
      </c>
      <c r="H616" s="1">
        <f ca="1">SUMIFS(OFFSET(Calc2!$I$4,,,$F$26*B596,1),OFFSET(Calc2!$F$4,,,$F$26*B596,1),F616)+SUMIFS(OFFSET(Calc2!$H$4,,,$F$26*B596,1),OFFSET(Calc2!$G$4,,,$F$26*B596,1),F616)</f>
        <v>0</v>
      </c>
      <c r="I616" s="134">
        <f t="shared" ca="1" si="110"/>
        <v>0</v>
      </c>
      <c r="J616" s="12">
        <f ca="1">L616*Settings!$C$3+M616+O616</f>
        <v>0</v>
      </c>
      <c r="K616" s="1">
        <f t="shared" ca="1" si="113"/>
        <v>0</v>
      </c>
      <c r="L616" s="1">
        <f t="array" aca="1" ref="L616" ca="1">SUMPRODUCT((OFFSET(Calc2!$F$4,,,$F$26*B596,1)=F616)*(OFFSET(Calc2!$H$4,,,$F$26*B596,1)&gt;OFFSET(Calc2!$I$4,,,$F$26*B596,1)))+SUMPRODUCT((OFFSET(Calc2!$G$4,,,$F$26*B596,1)=F616)*(OFFSET(Calc2!$H$4,,,$F$26*B596,1)&lt;OFFSET(Calc2!$I$4,,,$F$26*B596,1)))</f>
        <v>0</v>
      </c>
      <c r="M616" s="1">
        <f t="array" aca="1" ref="M616" ca="1">SUMPRODUCT((OFFSET(Calc2!$F$4,,,$F$26*B596,2)=F616)*(OFFSET(Calc2!$H$4,,,$F$26*B596,1)=OFFSET(Calc2!$I$4,,,$F$26*B596,1))*(OFFSET(Calc2!$H$4,,,$F$26*B596,1)&lt;&gt;"")*(OFFSET(Calc2!$I$4,,,$F$26*B596,1)&lt;&gt;""))</f>
        <v>0</v>
      </c>
      <c r="N616" s="1">
        <f t="array" aca="1" ref="N616" ca="1">SUMPRODUCT((OFFSET(Calc2!$F$4,,,$F$26*B596,1)=F616)*(OFFSET(Calc2!$H$4,,,$F$26*B596,1)&lt;OFFSET(Calc2!$I$4,,,$F$26*B596,1)))+SUMPRODUCT((OFFSET(Calc2!$G$4,,,$F$26*B596,1)=F616)*(OFFSET(Calc2!$H$4,,,$F$26*B596,1)&gt;OFFSET(Calc2!$I$4,,,$F$26*B596,1)))</f>
        <v>0</v>
      </c>
      <c r="O616" s="132">
        <f ca="1">SUMPRODUCT((F616=OFFSET(Calc2!$F$4,,,$F$26*B596,1))*OFFSET(Calc2!$O$4,,,$F$26*B596,1))+SUMPRODUCT((F616=OFFSET(Calc2!$G$4,,,$F$26*B596,1))*OFFSET(Calc2!$P$4,,,$F$26*B596,1))</f>
        <v>0</v>
      </c>
      <c r="P616" s="2"/>
      <c r="Q616" s="2"/>
      <c r="R616" s="13">
        <f t="shared" ca="1" si="111"/>
        <v>500000000</v>
      </c>
      <c r="S616" s="134">
        <f>Tie_Break!$D$25</f>
        <v>0</v>
      </c>
      <c r="T616" s="9">
        <f ca="1">RANK(R616,R598:R617)+(9-S616)/10000+(F616="")*1000</f>
        <v>1019.0009</v>
      </c>
      <c r="U616" s="2"/>
      <c r="V616" s="134">
        <f ca="1">IF($K$24=0,"",IF(VLOOKUP(B616,C598:E617,3,0)=MAX(V$4:V615),VLOOKUP(B616,C598:E617,3,0),B616))</f>
        <v>19</v>
      </c>
      <c r="W616" s="4" t="str">
        <f ca="1">IF($K$24=0,Calc2!$C$22,VLOOKUP(B616,C598:N617,4,0))</f>
        <v/>
      </c>
      <c r="X616" s="1">
        <f ca="1">INDEX(V571:V590,MATCH(W616,W571:W590,0))</f>
        <v>19</v>
      </c>
      <c r="Y616" s="1">
        <f t="shared" ca="1" si="114"/>
        <v>0</v>
      </c>
    </row>
    <row r="617" spans="2:25" ht="12.75" thickBot="1" x14ac:dyDescent="0.25">
      <c r="B617" s="1">
        <v>20</v>
      </c>
      <c r="C617" s="10">
        <f ca="1">RANK(D617,D598:D617,1)</f>
        <v>20</v>
      </c>
      <c r="D617" s="134">
        <f t="shared" ca="1" si="112"/>
        <v>19.617000000000001</v>
      </c>
      <c r="E617" s="134">
        <f ca="1">RANK(T617,T598:T617,1)</f>
        <v>19</v>
      </c>
      <c r="F617" s="187" t="str">
        <f>Calc2!$C$23</f>
        <v/>
      </c>
      <c r="G617" s="1">
        <f ca="1">SUMIFS(OFFSET(Calc2!$H$4,,,$F$26*B596,1),OFFSET(Calc2!$F$4,,,$F$26*B596,1),F617)+SUMIFS(OFFSET(Calc2!$I$4,,,$F$26*B596,1),OFFSET(Calc2!$G$4,,,$F$26*B596,1),F617)</f>
        <v>0</v>
      </c>
      <c r="H617" s="1">
        <f ca="1">SUMIFS(OFFSET(Calc2!$I$4,,,$F$26*B596,1),OFFSET(Calc2!$F$4,,,$F$26*B596,1),F617)+SUMIFS(OFFSET(Calc2!$H$4,,,$F$26*B596,1),OFFSET(Calc2!$G$4,,,$F$26*B596,1),F617)</f>
        <v>0</v>
      </c>
      <c r="I617" s="134">
        <f t="shared" ca="1" si="110"/>
        <v>0</v>
      </c>
      <c r="J617" s="12">
        <f ca="1">L617*Settings!$C$3+M617+O617</f>
        <v>0</v>
      </c>
      <c r="K617" s="1">
        <f t="shared" ca="1" si="113"/>
        <v>0</v>
      </c>
      <c r="L617" s="1">
        <f t="array" aca="1" ref="L617" ca="1">SUMPRODUCT((OFFSET(Calc2!$F$4,,,$F$26*B596,1)=F617)*(OFFSET(Calc2!$H$4,,,$F$26*B596,1)&gt;OFFSET(Calc2!$I$4,,,$F$26*B596,1)))+SUMPRODUCT((OFFSET(Calc2!$G$4,,,$F$26*B596,1)=F617)*(OFFSET(Calc2!$H$4,,,$F$26*B596,1)&lt;OFFSET(Calc2!$I$4,,,$F$26*B596,1)))</f>
        <v>0</v>
      </c>
      <c r="M617" s="1">
        <f t="array" aca="1" ref="M617" ca="1">SUMPRODUCT((OFFSET(Calc2!$F$4,,,$F$26*B596,2)=F617)*(OFFSET(Calc2!$H$4,,,$F$26*B596,1)=OFFSET(Calc2!$I$4,,,$F$26*B596,1))*(OFFSET(Calc2!$H$4,,,$F$26*B596,1)&lt;&gt;"")*(OFFSET(Calc2!$I$4,,,$F$26*B596,1)&lt;&gt;""))</f>
        <v>0</v>
      </c>
      <c r="N617" s="1">
        <f t="array" aca="1" ref="N617" ca="1">SUMPRODUCT((OFFSET(Calc2!$F$4,,,$F$26*B596,1)=F617)*(OFFSET(Calc2!$H$4,,,$F$26*B596,1)&lt;OFFSET(Calc2!$I$4,,,$F$26*B596,1)))+SUMPRODUCT((OFFSET(Calc2!$G$4,,,$F$26*B596,1)=F617)*(OFFSET(Calc2!$H$4,,,$F$26*B596,1)&gt;OFFSET(Calc2!$I$4,,,$F$26*B596,1)))</f>
        <v>0</v>
      </c>
      <c r="O617" s="132">
        <f ca="1">SUMPRODUCT((F617=OFFSET(Calc2!$F$4,,,$F$26*B596,1))*OFFSET(Calc2!$O$4,,,$F$26*B596,1))+SUMPRODUCT((F617=OFFSET(Calc2!$G$4,,,$F$26*B596,1))*OFFSET(Calc2!$P$4,,,$F$26*B596,1))</f>
        <v>0</v>
      </c>
      <c r="P617" s="2"/>
      <c r="Q617" s="2"/>
      <c r="R617" s="13">
        <f t="shared" ca="1" si="111"/>
        <v>500000000</v>
      </c>
      <c r="S617" s="134">
        <f>Tie_Break!$D$26</f>
        <v>0</v>
      </c>
      <c r="T617" s="10">
        <f ca="1">RANK(R617,R598:R617)+(9-S617)/10000+(F617="")*1000</f>
        <v>1019.0009</v>
      </c>
      <c r="U617" s="2"/>
      <c r="V617" s="134">
        <f ca="1">IF($K$24=0,"",IF(VLOOKUP(B617,C598:E617,3,0)=MAX(V$4:V616),VLOOKUP(B617,C598:E617,3,0),B617))</f>
        <v>19</v>
      </c>
      <c r="W617" s="4" t="str">
        <f ca="1">IF($K$24=0,Calc2!$C$23,VLOOKUP(B617,C598:N617,4,0))</f>
        <v/>
      </c>
      <c r="X617" s="1">
        <f ca="1">INDEX(V571:V590,MATCH(W617,W571:W590,0))</f>
        <v>19</v>
      </c>
      <c r="Y617" s="1">
        <f t="shared" ca="1" si="114"/>
        <v>0</v>
      </c>
    </row>
    <row r="618" spans="2:25" ht="12.75" thickTop="1" x14ac:dyDescent="0.2">
      <c r="X618" s="1"/>
      <c r="Y618" s="1"/>
    </row>
    <row r="619" spans="2:25" x14ac:dyDescent="0.2">
      <c r="X619" s="1"/>
      <c r="Y619" s="1"/>
    </row>
    <row r="620" spans="2:25" x14ac:dyDescent="0.2">
      <c r="X620" s="1"/>
      <c r="Y620" s="1"/>
    </row>
    <row r="621" spans="2:25" x14ac:dyDescent="0.2">
      <c r="X621" s="1"/>
      <c r="Y621" s="1"/>
    </row>
    <row r="622" spans="2:25" ht="12.75" thickBot="1" x14ac:dyDescent="0.25">
      <c r="X622" s="1"/>
      <c r="Y622" s="1"/>
    </row>
    <row r="623" spans="2:25" ht="12.75" thickBot="1" x14ac:dyDescent="0.25">
      <c r="B623" s="410">
        <v>24</v>
      </c>
      <c r="C623" s="134"/>
      <c r="D623" s="134"/>
      <c r="E623" s="134"/>
      <c r="F623" s="187"/>
      <c r="G623" s="1"/>
      <c r="H623" s="1"/>
      <c r="I623" s="1"/>
      <c r="J623" s="1"/>
      <c r="K623" s="1"/>
      <c r="L623" s="1"/>
      <c r="M623" s="1"/>
      <c r="N623" s="134"/>
      <c r="O623" s="1"/>
      <c r="P623" s="1"/>
      <c r="Q623" s="1"/>
      <c r="R623" s="2"/>
      <c r="S623" s="2"/>
      <c r="T623" s="2"/>
      <c r="U623" s="2"/>
      <c r="V623" s="2"/>
      <c r="W623" s="2"/>
      <c r="X623" s="1"/>
      <c r="Y623" s="1"/>
    </row>
    <row r="624" spans="2:25" ht="15.75" thickBot="1" x14ac:dyDescent="0.25">
      <c r="B624" s="1"/>
      <c r="C624" s="134"/>
      <c r="D624" s="134"/>
      <c r="E624" s="134"/>
      <c r="F624" s="11" t="s">
        <v>90</v>
      </c>
      <c r="G624" s="42" t="s">
        <v>95</v>
      </c>
      <c r="H624" s="42" t="s">
        <v>96</v>
      </c>
      <c r="I624" s="11" t="s">
        <v>97</v>
      </c>
      <c r="J624" s="11" t="s">
        <v>98</v>
      </c>
      <c r="K624" s="11" t="s">
        <v>91</v>
      </c>
      <c r="L624" s="12" t="s">
        <v>92</v>
      </c>
      <c r="M624" s="12" t="s">
        <v>93</v>
      </c>
      <c r="N624" s="12" t="s">
        <v>94</v>
      </c>
      <c r="O624" s="12" t="s">
        <v>534</v>
      </c>
      <c r="P624" s="2"/>
      <c r="Q624" s="11"/>
      <c r="R624" s="133" t="s">
        <v>99</v>
      </c>
      <c r="S624" s="6" t="s">
        <v>483</v>
      </c>
      <c r="T624" s="120" t="s">
        <v>146</v>
      </c>
      <c r="U624" s="134"/>
      <c r="V624" s="134"/>
      <c r="W624" s="132"/>
      <c r="X624" s="120" t="s">
        <v>575</v>
      </c>
      <c r="Y624" s="1"/>
    </row>
    <row r="625" spans="2:25" ht="12.75" thickTop="1" x14ac:dyDescent="0.2">
      <c r="B625" s="1">
        <v>1</v>
      </c>
      <c r="C625" s="8">
        <f ca="1">RANK(D625,D625:D644,1)</f>
        <v>18</v>
      </c>
      <c r="D625" s="134">
        <f ca="1">E625+ROW()/1000</f>
        <v>18.625</v>
      </c>
      <c r="E625" s="134">
        <f ca="1">RANK(T625,T625:T644,1)</f>
        <v>18</v>
      </c>
      <c r="F625" s="187" t="str">
        <f>Calc2!$C$4</f>
        <v>1. FC Heidenheim 1846</v>
      </c>
      <c r="G625" s="1">
        <f ca="1">SUMIFS(OFFSET(Calc2!$H$4,,,$F$26*B623,1),OFFSET(Calc2!$F$4,,,$F$26*B623,1),F625)+SUMIFS(OFFSET(Calc2!$I$4,,,$F$26*B623,1),OFFSET(Calc2!$G$4,,,$F$26*B623,1),F625)</f>
        <v>22</v>
      </c>
      <c r="H625" s="1">
        <f ca="1">SUMIFS(OFFSET(Calc2!$I$4,,,$F$26*B623,1),OFFSET(Calc2!$F$4,,,$F$26*B623,1),F625)+SUMIFS(OFFSET(Calc2!$H$4,,,$F$26*B623,1),OFFSET(Calc2!$G$4,,,$F$26*B623,1),F625)</f>
        <v>53</v>
      </c>
      <c r="I625" s="134">
        <f t="shared" ref="I625:I644" ca="1" si="115">G625-H625</f>
        <v>-31</v>
      </c>
      <c r="J625" s="12">
        <f ca="1">L625*Settings!$C$3+M625+O625</f>
        <v>14</v>
      </c>
      <c r="K625" s="1">
        <f ca="1">L625+M625+N625</f>
        <v>24</v>
      </c>
      <c r="L625" s="1">
        <f t="array" aca="1" ref="L625" ca="1">SUMPRODUCT((OFFSET(Calc2!$F$4,,,$F$26*B623,1)=F625)*(OFFSET(Calc2!$H$4,,,$F$26*B623,1)&gt;OFFSET(Calc2!$I$4,,,$F$26*B623,1)))+SUMPRODUCT((OFFSET(Calc2!$G$4,,,$F$26*B623,1)=F625)*(OFFSET(Calc2!$H$4,,,$F$26*B623,1)&lt;OFFSET(Calc2!$I$4,,,$F$26*B623,1)))</f>
        <v>3</v>
      </c>
      <c r="M625" s="1">
        <f t="array" aca="1" ref="M625" ca="1">SUMPRODUCT((OFFSET(Calc2!$F$4,,,$F$26*B623,2)=F625)*(OFFSET(Calc2!$H$4,,,$F$26*B623,1)=OFFSET(Calc2!$I$4,,,$F$26*B623,1))*(OFFSET(Calc2!$H$4,,,$F$26*B623,1)&lt;&gt;"")*(OFFSET(Calc2!$I$4,,,$F$26*B623,1)&lt;&gt;""))</f>
        <v>5</v>
      </c>
      <c r="N625" s="1">
        <f t="array" aca="1" ref="N625" ca="1">SUMPRODUCT((OFFSET(Calc2!$F$4,,,$F$26*B623,1)=F625)*(OFFSET(Calc2!$H$4,,,$F$26*B623,1)&lt;OFFSET(Calc2!$I$4,,,$F$26*B623,1)))+SUMPRODUCT((OFFSET(Calc2!$G$4,,,$F$26*B623,1)=F625)*(OFFSET(Calc2!$H$4,,,$F$26*B623,1)&gt;OFFSET(Calc2!$I$4,,,$F$26*B623,1)))</f>
        <v>16</v>
      </c>
      <c r="O625" s="132">
        <f ca="1">SUMPRODUCT((F625=OFFSET(Calc2!$F$4,,,$F$26*B623,1))*OFFSET(Calc2!$O$4,,,$F$26*B623,1))+SUMPRODUCT((F625=OFFSET(Calc2!$G$4,,,$F$26*B623,1))*OFFSET(Calc2!$P$4,,,$F$26*B623,1))</f>
        <v>0</v>
      </c>
      <c r="P625" s="2"/>
      <c r="Q625" s="2"/>
      <c r="R625" s="13">
        <f t="shared" ref="R625:R644" ca="1" si="116">J625*FactorPts+(I625+GDzero)*FactorGD+G625*FactorGF</f>
        <v>14499969022</v>
      </c>
      <c r="S625" s="134">
        <f>Tie_Break!$D$7</f>
        <v>0</v>
      </c>
      <c r="T625" s="8">
        <f ca="1">RANK(R625,R625:R644)+(9-S625)/10000+(F625="")*1000</f>
        <v>18.000900000000001</v>
      </c>
      <c r="U625" s="134"/>
      <c r="V625" s="134">
        <f ca="1">IF($K$24=0,"",1)</f>
        <v>1</v>
      </c>
      <c r="W625" s="4" t="str">
        <f ca="1">IF($K$24=0,Calc2!$C$4,VLOOKUP(B625,C625:N644,4,0))</f>
        <v>FC Bayern München</v>
      </c>
      <c r="X625" s="1">
        <f ca="1">INDEX(V598:V617,MATCH(W625,W598:W617,0))</f>
        <v>1</v>
      </c>
      <c r="Y625" s="1">
        <f ca="1">IF(X625&gt;V625,1,IF(X625&lt;V625,-1,0))</f>
        <v>0</v>
      </c>
    </row>
    <row r="626" spans="2:25" x14ac:dyDescent="0.2">
      <c r="B626" s="1">
        <v>2</v>
      </c>
      <c r="C626" s="9">
        <f ca="1">RANK(D626,D625:D644,1)</f>
        <v>13</v>
      </c>
      <c r="D626" s="134">
        <f t="shared" ref="D626:D644" ca="1" si="117">E626+ROW()/1000</f>
        <v>13.625999999999999</v>
      </c>
      <c r="E626" s="134">
        <f ca="1">RANK(T626,T625:T644,1)</f>
        <v>13</v>
      </c>
      <c r="F626" s="187" t="str">
        <f>Calc2!$C$5</f>
        <v>1. FC Köln</v>
      </c>
      <c r="G626" s="1">
        <f ca="1">SUMIFS(OFFSET(Calc2!$H$4,,,$F$26*B623,1),OFFSET(Calc2!$F$4,,,$F$26*B623,1),F626)+SUMIFS(OFFSET(Calc2!$I$4,,,$F$26*B623,1),OFFSET(Calc2!$G$4,,,$F$26*B623,1),F626)</f>
        <v>33</v>
      </c>
      <c r="H626" s="1">
        <f ca="1">SUMIFS(OFFSET(Calc2!$I$4,,,$F$26*B623,1),OFFSET(Calc2!$F$4,,,$F$26*B623,1),F626)+SUMIFS(OFFSET(Calc2!$H$4,,,$F$26*B623,1),OFFSET(Calc2!$G$4,,,$F$26*B623,1),F626)</f>
        <v>41</v>
      </c>
      <c r="I626" s="134">
        <f t="shared" ca="1" si="115"/>
        <v>-8</v>
      </c>
      <c r="J626" s="12">
        <f ca="1">L626*Settings!$C$3+M626+O626</f>
        <v>24</v>
      </c>
      <c r="K626" s="1">
        <f t="shared" ref="K626:K644" ca="1" si="118">L626+M626+N626</f>
        <v>24</v>
      </c>
      <c r="L626" s="1">
        <f t="array" aca="1" ref="L626" ca="1">SUMPRODUCT((OFFSET(Calc2!$F$4,,,$F$26*B623,1)=F626)*(OFFSET(Calc2!$H$4,,,$F$26*B623,1)&gt;OFFSET(Calc2!$I$4,,,$F$26*B623,1)))+SUMPRODUCT((OFFSET(Calc2!$G$4,,,$F$26*B623,1)=F626)*(OFFSET(Calc2!$H$4,,,$F$26*B623,1)&lt;OFFSET(Calc2!$I$4,,,$F$26*B623,1)))</f>
        <v>6</v>
      </c>
      <c r="M626" s="1">
        <f t="array" aca="1" ref="M626" ca="1">SUMPRODUCT((OFFSET(Calc2!$F$4,,,$F$26*B623,2)=F626)*(OFFSET(Calc2!$H$4,,,$F$26*B623,1)=OFFSET(Calc2!$I$4,,,$F$26*B623,1))*(OFFSET(Calc2!$H$4,,,$F$26*B623,1)&lt;&gt;"")*(OFFSET(Calc2!$I$4,,,$F$26*B623,1)&lt;&gt;""))</f>
        <v>6</v>
      </c>
      <c r="N626" s="1">
        <f t="array" aca="1" ref="N626" ca="1">SUMPRODUCT((OFFSET(Calc2!$F$4,,,$F$26*B623,1)=F626)*(OFFSET(Calc2!$H$4,,,$F$26*B623,1)&lt;OFFSET(Calc2!$I$4,,,$F$26*B623,1)))+SUMPRODUCT((OFFSET(Calc2!$G$4,,,$F$26*B623,1)=F626)*(OFFSET(Calc2!$H$4,,,$F$26*B623,1)&gt;OFFSET(Calc2!$I$4,,,$F$26*B623,1)))</f>
        <v>12</v>
      </c>
      <c r="O626" s="132">
        <f ca="1">SUMPRODUCT((F626=OFFSET(Calc2!$F$4,,,$F$26*B623,1))*OFFSET(Calc2!$O$4,,,$F$26*B623,1))+SUMPRODUCT((F626=OFFSET(Calc2!$G$4,,,$F$26*B623,1))*OFFSET(Calc2!$P$4,,,$F$26*B623,1))</f>
        <v>0</v>
      </c>
      <c r="P626" s="2"/>
      <c r="Q626" s="2"/>
      <c r="R626" s="13">
        <f t="shared" ca="1" si="116"/>
        <v>24499992033</v>
      </c>
      <c r="S626" s="134">
        <f>Tie_Break!$D$8</f>
        <v>0</v>
      </c>
      <c r="T626" s="9">
        <f ca="1">RANK(R626,R625:R644)+(9-S626)/10000+(F626="")*1000</f>
        <v>13.0009</v>
      </c>
      <c r="U626" s="134"/>
      <c r="V626" s="134">
        <f ca="1">IF($K$24=0,"",IF(VLOOKUP(B626,C625:E644,3,0)=MAX(V$4:V625),VLOOKUP(B626,C625:E644,3,0),B626))</f>
        <v>2</v>
      </c>
      <c r="W626" s="4" t="str">
        <f ca="1">IF($K$24=0,Calc2!$C$5,VLOOKUP(B626,C625:N644,4,0))</f>
        <v>Borussia Dortmund</v>
      </c>
      <c r="X626" s="1">
        <f ca="1">INDEX(V598:V617,MATCH(W626,W598:W617,0))</f>
        <v>2</v>
      </c>
      <c r="Y626" s="1">
        <f t="shared" ref="Y626:Y644" ca="1" si="119">IF(X626&gt;V626,1,IF(X626&lt;V626,-1,0))</f>
        <v>0</v>
      </c>
    </row>
    <row r="627" spans="2:25" x14ac:dyDescent="0.2">
      <c r="B627" s="1">
        <v>3</v>
      </c>
      <c r="C627" s="9">
        <f ca="1">RANK(D627,D625:D644,1)</f>
        <v>10</v>
      </c>
      <c r="D627" s="134">
        <f t="shared" ca="1" si="117"/>
        <v>10.627000000000001</v>
      </c>
      <c r="E627" s="134">
        <f ca="1">RANK(T627,T625:T644,1)</f>
        <v>10</v>
      </c>
      <c r="F627" s="187" t="str">
        <f>Calc2!$C$6</f>
        <v>1. FC Union Berlin</v>
      </c>
      <c r="G627" s="1">
        <f ca="1">SUMIFS(OFFSET(Calc2!$H$4,,,$F$26*B623,1),OFFSET(Calc2!$F$4,,,$F$26*B623,1),F627)+SUMIFS(OFFSET(Calc2!$I$4,,,$F$26*B623,1),OFFSET(Calc2!$G$4,,,$F$26*B623,1),F627)</f>
        <v>29</v>
      </c>
      <c r="H627" s="1">
        <f ca="1">SUMIFS(OFFSET(Calc2!$I$4,,,$F$26*B623,1),OFFSET(Calc2!$F$4,,,$F$26*B623,1),F627)+SUMIFS(OFFSET(Calc2!$H$4,,,$F$26*B623,1),OFFSET(Calc2!$G$4,,,$F$26*B623,1),F627)</f>
        <v>38</v>
      </c>
      <c r="I627" s="134">
        <f t="shared" ca="1" si="115"/>
        <v>-9</v>
      </c>
      <c r="J627" s="12">
        <f ca="1">L627*Settings!$C$3+M627+O627</f>
        <v>28</v>
      </c>
      <c r="K627" s="1">
        <f t="shared" ca="1" si="118"/>
        <v>24</v>
      </c>
      <c r="L627" s="1">
        <f t="array" aca="1" ref="L627" ca="1">SUMPRODUCT((OFFSET(Calc2!$F$4,,,$F$26*B623,1)=F627)*(OFFSET(Calc2!$H$4,,,$F$26*B623,1)&gt;OFFSET(Calc2!$I$4,,,$F$26*B623,1)))+SUMPRODUCT((OFFSET(Calc2!$G$4,,,$F$26*B623,1)=F627)*(OFFSET(Calc2!$H$4,,,$F$26*B623,1)&lt;OFFSET(Calc2!$I$4,,,$F$26*B623,1)))</f>
        <v>7</v>
      </c>
      <c r="M627" s="1">
        <f t="array" aca="1" ref="M627" ca="1">SUMPRODUCT((OFFSET(Calc2!$F$4,,,$F$26*B623,2)=F627)*(OFFSET(Calc2!$H$4,,,$F$26*B623,1)=OFFSET(Calc2!$I$4,,,$F$26*B623,1))*(OFFSET(Calc2!$H$4,,,$F$26*B623,1)&lt;&gt;"")*(OFFSET(Calc2!$I$4,,,$F$26*B623,1)&lt;&gt;""))</f>
        <v>7</v>
      </c>
      <c r="N627" s="1">
        <f t="array" aca="1" ref="N627" ca="1">SUMPRODUCT((OFFSET(Calc2!$F$4,,,$F$26*B623,1)=F627)*(OFFSET(Calc2!$H$4,,,$F$26*B623,1)&lt;OFFSET(Calc2!$I$4,,,$F$26*B623,1)))+SUMPRODUCT((OFFSET(Calc2!$G$4,,,$F$26*B623,1)=F627)*(OFFSET(Calc2!$H$4,,,$F$26*B623,1)&gt;OFFSET(Calc2!$I$4,,,$F$26*B623,1)))</f>
        <v>10</v>
      </c>
      <c r="O627" s="132">
        <f ca="1">SUMPRODUCT((F627=OFFSET(Calc2!$F$4,,,$F$26*B623,1))*OFFSET(Calc2!$O$4,,,$F$26*B623,1))+SUMPRODUCT((F627=OFFSET(Calc2!$G$4,,,$F$26*B623,1))*OFFSET(Calc2!$P$4,,,$F$26*B623,1))</f>
        <v>0</v>
      </c>
      <c r="P627" s="2"/>
      <c r="Q627" s="2"/>
      <c r="R627" s="13">
        <f t="shared" ca="1" si="116"/>
        <v>28499991029</v>
      </c>
      <c r="S627" s="134">
        <f>Tie_Break!$D$9</f>
        <v>0</v>
      </c>
      <c r="T627" s="9">
        <f ca="1">RANK(R627,R625:R644)+(9-S627)/10000+(F627="")*1000</f>
        <v>10.0009</v>
      </c>
      <c r="U627" s="134"/>
      <c r="V627" s="134">
        <f ca="1">IF($K$24=0,"",IF(VLOOKUP(B627,C625:E644,3,0)=MAX(V$4:V626),VLOOKUP(B627,C625:E644,3,0),B627))</f>
        <v>3</v>
      </c>
      <c r="W627" s="4" t="str">
        <f ca="1">IF($K$24=0,Calc2!$C$6,VLOOKUP(B627,C625:N644,4,0))</f>
        <v>TSG Hoffenheim</v>
      </c>
      <c r="X627" s="1">
        <f ca="1">INDEX(V598:V617,MATCH(W627,W598:W617,0))</f>
        <v>3</v>
      </c>
      <c r="Y627" s="1">
        <f t="shared" ca="1" si="119"/>
        <v>0</v>
      </c>
    </row>
    <row r="628" spans="2:25" x14ac:dyDescent="0.2">
      <c r="B628" s="1">
        <v>4</v>
      </c>
      <c r="C628" s="9">
        <f ca="1">RANK(D628,D625:D644,1)</f>
        <v>14</v>
      </c>
      <c r="D628" s="134">
        <f t="shared" ca="1" si="117"/>
        <v>14.628</v>
      </c>
      <c r="E628" s="134">
        <f ca="1">RANK(T628,T625:T644,1)</f>
        <v>14</v>
      </c>
      <c r="F628" s="187" t="str">
        <f>Calc2!$C$7</f>
        <v>1. FSV Mainz 05</v>
      </c>
      <c r="G628" s="1">
        <f ca="1">SUMIFS(OFFSET(Calc2!$H$4,,,$F$26*B623,1),OFFSET(Calc2!$F$4,,,$F$26*B623,1),F628)+SUMIFS(OFFSET(Calc2!$I$4,,,$F$26*B623,1),OFFSET(Calc2!$G$4,,,$F$26*B623,1),F628)</f>
        <v>27</v>
      </c>
      <c r="H628" s="1">
        <f ca="1">SUMIFS(OFFSET(Calc2!$I$4,,,$F$26*B623,1),OFFSET(Calc2!$F$4,,,$F$26*B623,1),F628)+SUMIFS(OFFSET(Calc2!$H$4,,,$F$26*B623,1),OFFSET(Calc2!$G$4,,,$F$26*B623,1),F628)</f>
        <v>39</v>
      </c>
      <c r="I628" s="134">
        <f t="shared" ca="1" si="115"/>
        <v>-12</v>
      </c>
      <c r="J628" s="12">
        <f ca="1">L628*Settings!$C$3+M628+O628</f>
        <v>23</v>
      </c>
      <c r="K628" s="1">
        <f t="shared" ca="1" si="118"/>
        <v>24</v>
      </c>
      <c r="L628" s="1">
        <f t="array" aca="1" ref="L628" ca="1">SUMPRODUCT((OFFSET(Calc2!$F$4,,,$F$26*B623,1)=F628)*(OFFSET(Calc2!$H$4,,,$F$26*B623,1)&gt;OFFSET(Calc2!$I$4,,,$F$26*B623,1)))+SUMPRODUCT((OFFSET(Calc2!$G$4,,,$F$26*B623,1)=F628)*(OFFSET(Calc2!$H$4,,,$F$26*B623,1)&lt;OFFSET(Calc2!$I$4,,,$F$26*B623,1)))</f>
        <v>5</v>
      </c>
      <c r="M628" s="1">
        <f t="array" aca="1" ref="M628" ca="1">SUMPRODUCT((OFFSET(Calc2!$F$4,,,$F$26*B623,2)=F628)*(OFFSET(Calc2!$H$4,,,$F$26*B623,1)=OFFSET(Calc2!$I$4,,,$F$26*B623,1))*(OFFSET(Calc2!$H$4,,,$F$26*B623,1)&lt;&gt;"")*(OFFSET(Calc2!$I$4,,,$F$26*B623,1)&lt;&gt;""))</f>
        <v>8</v>
      </c>
      <c r="N628" s="1">
        <f t="array" aca="1" ref="N628" ca="1">SUMPRODUCT((OFFSET(Calc2!$F$4,,,$F$26*B623,1)=F628)*(OFFSET(Calc2!$H$4,,,$F$26*B623,1)&lt;OFFSET(Calc2!$I$4,,,$F$26*B623,1)))+SUMPRODUCT((OFFSET(Calc2!$G$4,,,$F$26*B623,1)=F628)*(OFFSET(Calc2!$H$4,,,$F$26*B623,1)&gt;OFFSET(Calc2!$I$4,,,$F$26*B623,1)))</f>
        <v>11</v>
      </c>
      <c r="O628" s="132">
        <f ca="1">SUMPRODUCT((F628=OFFSET(Calc2!$F$4,,,$F$26*B623,1))*OFFSET(Calc2!$O$4,,,$F$26*B623,1))+SUMPRODUCT((F628=OFFSET(Calc2!$G$4,,,$F$26*B623,1))*OFFSET(Calc2!$P$4,,,$F$26*B623,1))</f>
        <v>0</v>
      </c>
      <c r="P628" s="2"/>
      <c r="Q628" s="2"/>
      <c r="R628" s="13">
        <f t="shared" ca="1" si="116"/>
        <v>23499988027</v>
      </c>
      <c r="S628" s="134">
        <f>Tie_Break!$D$10</f>
        <v>0</v>
      </c>
      <c r="T628" s="9">
        <f ca="1">RANK(R628,R625:R644)+(9-S628)/10000+(F628="")*1000</f>
        <v>14.0009</v>
      </c>
      <c r="U628" s="134"/>
      <c r="V628" s="134">
        <f ca="1">IF($K$24=0,"",IF(VLOOKUP(B628,C625:E644,3,0)=MAX(V$4:V627),VLOOKUP(B628,C625:E644,3,0),B628))</f>
        <v>4</v>
      </c>
      <c r="W628" s="4" t="str">
        <f ca="1">IF($K$24=0,Calc2!$C$7,VLOOKUP(B628,C625:N644,4,0))</f>
        <v>VfB Stuttgart</v>
      </c>
      <c r="X628" s="1">
        <f ca="1">INDEX(V598:V617,MATCH(W628,W598:W617,0))</f>
        <v>4</v>
      </c>
      <c r="Y628" s="1">
        <f t="shared" ca="1" si="119"/>
        <v>0</v>
      </c>
    </row>
    <row r="629" spans="2:25" x14ac:dyDescent="0.2">
      <c r="B629" s="1">
        <v>5</v>
      </c>
      <c r="C629" s="9">
        <f ca="1">RANK(D629,D625:D644,1)</f>
        <v>6</v>
      </c>
      <c r="D629" s="134">
        <f t="shared" ca="1" si="117"/>
        <v>6.6289999999999996</v>
      </c>
      <c r="E629" s="134">
        <f ca="1">RANK(T629,T625:T644,1)</f>
        <v>6</v>
      </c>
      <c r="F629" s="187" t="str">
        <f>Calc2!$C$8</f>
        <v>Bayer 04 Leverkusen</v>
      </c>
      <c r="G629" s="1">
        <f ca="1">SUMIFS(OFFSET(Calc2!$H$4,,,$F$26*B623,1),OFFSET(Calc2!$F$4,,,$F$26*B623,1),F629)+SUMIFS(OFFSET(Calc2!$I$4,,,$F$26*B623,1),OFFSET(Calc2!$G$4,,,$F$26*B623,1),F629)</f>
        <v>45</v>
      </c>
      <c r="H629" s="1">
        <f ca="1">SUMIFS(OFFSET(Calc2!$I$4,,,$F$26*B623,1),OFFSET(Calc2!$F$4,,,$F$26*B623,1),F629)+SUMIFS(OFFSET(Calc2!$H$4,,,$F$26*B623,1),OFFSET(Calc2!$G$4,,,$F$26*B623,1),F629)</f>
        <v>29</v>
      </c>
      <c r="I629" s="134">
        <f t="shared" ca="1" si="115"/>
        <v>16</v>
      </c>
      <c r="J629" s="12">
        <f ca="1">L629*Settings!$C$3+M629+O629</f>
        <v>43</v>
      </c>
      <c r="K629" s="1">
        <f t="shared" ca="1" si="118"/>
        <v>24</v>
      </c>
      <c r="L629" s="1">
        <f t="array" aca="1" ref="L629" ca="1">SUMPRODUCT((OFFSET(Calc2!$F$4,,,$F$26*B623,1)=F629)*(OFFSET(Calc2!$H$4,,,$F$26*B623,1)&gt;OFFSET(Calc2!$I$4,,,$F$26*B623,1)))+SUMPRODUCT((OFFSET(Calc2!$G$4,,,$F$26*B623,1)=F629)*(OFFSET(Calc2!$H$4,,,$F$26*B623,1)&lt;OFFSET(Calc2!$I$4,,,$F$26*B623,1)))</f>
        <v>13</v>
      </c>
      <c r="M629" s="1">
        <f t="array" aca="1" ref="M629" ca="1">SUMPRODUCT((OFFSET(Calc2!$F$4,,,$F$26*B623,2)=F629)*(OFFSET(Calc2!$H$4,,,$F$26*B623,1)=OFFSET(Calc2!$I$4,,,$F$26*B623,1))*(OFFSET(Calc2!$H$4,,,$F$26*B623,1)&lt;&gt;"")*(OFFSET(Calc2!$I$4,,,$F$26*B623,1)&lt;&gt;""))</f>
        <v>4</v>
      </c>
      <c r="N629" s="1">
        <f t="array" aca="1" ref="N629" ca="1">SUMPRODUCT((OFFSET(Calc2!$F$4,,,$F$26*B623,1)=F629)*(OFFSET(Calc2!$H$4,,,$F$26*B623,1)&lt;OFFSET(Calc2!$I$4,,,$F$26*B623,1)))+SUMPRODUCT((OFFSET(Calc2!$G$4,,,$F$26*B623,1)=F629)*(OFFSET(Calc2!$H$4,,,$F$26*B623,1)&gt;OFFSET(Calc2!$I$4,,,$F$26*B623,1)))</f>
        <v>7</v>
      </c>
      <c r="O629" s="132">
        <f ca="1">SUMPRODUCT((F629=OFFSET(Calc2!$F$4,,,$F$26*B623,1))*OFFSET(Calc2!$O$4,,,$F$26*B623,1))+SUMPRODUCT((F629=OFFSET(Calc2!$G$4,,,$F$26*B623,1))*OFFSET(Calc2!$P$4,,,$F$26*B623,1))</f>
        <v>0</v>
      </c>
      <c r="P629" s="2"/>
      <c r="Q629" s="2"/>
      <c r="R629" s="13">
        <f t="shared" ca="1" si="116"/>
        <v>43500016045</v>
      </c>
      <c r="S629" s="134">
        <f>Tie_Break!$D$11</f>
        <v>0</v>
      </c>
      <c r="T629" s="9">
        <f ca="1">RANK(R629,R625:R644)+(9-S629)/10000+(F629="")*1000</f>
        <v>6.0008999999999997</v>
      </c>
      <c r="U629" s="134"/>
      <c r="V629" s="134">
        <f ca="1">IF($K$24=0,"",IF(VLOOKUP(B629,C625:E644,3,0)=MAX(V$4:V628),VLOOKUP(B629,C625:E644,3,0),B629))</f>
        <v>5</v>
      </c>
      <c r="W629" s="4" t="str">
        <f ca="1">IF($K$24=0,Calc2!$C$8,VLOOKUP(B629,C625:N644,4,0))</f>
        <v>RB Leipzig</v>
      </c>
      <c r="X629" s="1">
        <f ca="1">INDEX(V598:V617,MATCH(W629,W598:W617,0))</f>
        <v>6</v>
      </c>
      <c r="Y629" s="1">
        <f t="shared" ca="1" si="119"/>
        <v>1</v>
      </c>
    </row>
    <row r="630" spans="2:25" x14ac:dyDescent="0.2">
      <c r="B630" s="1">
        <v>6</v>
      </c>
      <c r="C630" s="9">
        <f ca="1">RANK(D630,D625:D644,1)</f>
        <v>2</v>
      </c>
      <c r="D630" s="134">
        <f t="shared" ca="1" si="117"/>
        <v>2.63</v>
      </c>
      <c r="E630" s="134">
        <f ca="1">RANK(T630,T625:T644,1)</f>
        <v>2</v>
      </c>
      <c r="F630" s="187" t="str">
        <f>Calc2!$C$9</f>
        <v>Borussia Dortmund</v>
      </c>
      <c r="G630" s="1">
        <f ca="1">SUMIFS(OFFSET(Calc2!$H$4,,,$F$26*B623,1),OFFSET(Calc2!$F$4,,,$F$26*B623,1),F630)+SUMIFS(OFFSET(Calc2!$I$4,,,$F$26*B623,1),OFFSET(Calc2!$G$4,,,$F$26*B623,1),F630)</f>
        <v>51</v>
      </c>
      <c r="H630" s="1">
        <f ca="1">SUMIFS(OFFSET(Calc2!$I$4,,,$F$26*B623,1),OFFSET(Calc2!$F$4,,,$F$26*B623,1),F630)+SUMIFS(OFFSET(Calc2!$H$4,,,$F$26*B623,1),OFFSET(Calc2!$G$4,,,$F$26*B623,1),F630)</f>
        <v>25</v>
      </c>
      <c r="I630" s="134">
        <f t="shared" ca="1" si="115"/>
        <v>26</v>
      </c>
      <c r="J630" s="12">
        <f ca="1">L630*Settings!$C$3+M630+O630</f>
        <v>52</v>
      </c>
      <c r="K630" s="1">
        <f t="shared" ca="1" si="118"/>
        <v>24</v>
      </c>
      <c r="L630" s="1">
        <f t="array" aca="1" ref="L630" ca="1">SUMPRODUCT((OFFSET(Calc2!$F$4,,,$F$26*B623,1)=F630)*(OFFSET(Calc2!$H$4,,,$F$26*B623,1)&gt;OFFSET(Calc2!$I$4,,,$F$26*B623,1)))+SUMPRODUCT((OFFSET(Calc2!$G$4,,,$F$26*B623,1)=F630)*(OFFSET(Calc2!$H$4,,,$F$26*B623,1)&lt;OFFSET(Calc2!$I$4,,,$F$26*B623,1)))</f>
        <v>15</v>
      </c>
      <c r="M630" s="1">
        <f t="array" aca="1" ref="M630" ca="1">SUMPRODUCT((OFFSET(Calc2!$F$4,,,$F$26*B623,2)=F630)*(OFFSET(Calc2!$H$4,,,$F$26*B623,1)=OFFSET(Calc2!$I$4,,,$F$26*B623,1))*(OFFSET(Calc2!$H$4,,,$F$26*B623,1)&lt;&gt;"")*(OFFSET(Calc2!$I$4,,,$F$26*B623,1)&lt;&gt;""))</f>
        <v>7</v>
      </c>
      <c r="N630" s="1">
        <f t="array" aca="1" ref="N630" ca="1">SUMPRODUCT((OFFSET(Calc2!$F$4,,,$F$26*B623,1)=F630)*(OFFSET(Calc2!$H$4,,,$F$26*B623,1)&lt;OFFSET(Calc2!$I$4,,,$F$26*B623,1)))+SUMPRODUCT((OFFSET(Calc2!$G$4,,,$F$26*B623,1)=F630)*(OFFSET(Calc2!$H$4,,,$F$26*B623,1)&gt;OFFSET(Calc2!$I$4,,,$F$26*B623,1)))</f>
        <v>2</v>
      </c>
      <c r="O630" s="132">
        <f ca="1">SUMPRODUCT((F630=OFFSET(Calc2!$F$4,,,$F$26*B623,1))*OFFSET(Calc2!$O$4,,,$F$26*B623,1))+SUMPRODUCT((F630=OFFSET(Calc2!$G$4,,,$F$26*B623,1))*OFFSET(Calc2!$P$4,,,$F$26*B623,1))</f>
        <v>0</v>
      </c>
      <c r="P630" s="2"/>
      <c r="Q630" s="2"/>
      <c r="R630" s="13">
        <f t="shared" ca="1" si="116"/>
        <v>52500026051</v>
      </c>
      <c r="S630" s="134">
        <f>Tie_Break!$D$12</f>
        <v>0</v>
      </c>
      <c r="T630" s="9">
        <f ca="1">RANK(R630,R625:R644)+(9-S630)/10000+(F630="")*1000</f>
        <v>2.0009000000000001</v>
      </c>
      <c r="U630" s="134"/>
      <c r="V630" s="134">
        <f ca="1">IF($K$24=0,"",IF(VLOOKUP(B630,C625:E644,3,0)=MAX(V$4:V629),VLOOKUP(B630,C625:E644,3,0),B630))</f>
        <v>6</v>
      </c>
      <c r="W630" s="4" t="str">
        <f ca="1">IF($K$24=0,Calc2!$C$9,VLOOKUP(B630,C625:N644,4,0))</f>
        <v>Bayer 04 Leverkusen</v>
      </c>
      <c r="X630" s="1">
        <f ca="1">INDEX(V598:V617,MATCH(W630,W598:W617,0))</f>
        <v>5</v>
      </c>
      <c r="Y630" s="1">
        <f t="shared" ca="1" si="119"/>
        <v>-1</v>
      </c>
    </row>
    <row r="631" spans="2:25" x14ac:dyDescent="0.2">
      <c r="B631" s="1">
        <v>7</v>
      </c>
      <c r="C631" s="9">
        <f ca="1">RANK(D631,D625:D644,1)</f>
        <v>12</v>
      </c>
      <c r="D631" s="134">
        <f t="shared" ca="1" si="117"/>
        <v>12.631</v>
      </c>
      <c r="E631" s="134">
        <f ca="1">RANK(T631,T625:T644,1)</f>
        <v>12</v>
      </c>
      <c r="F631" s="187" t="str">
        <f>Calc2!$C$10</f>
        <v>Borussia Mönchengladbach</v>
      </c>
      <c r="G631" s="1">
        <f ca="1">SUMIFS(OFFSET(Calc2!$H$4,,,$F$26*B623,1),OFFSET(Calc2!$F$4,,,$F$26*B623,1),F631)+SUMIFS(OFFSET(Calc2!$I$4,,,$F$26*B623,1),OFFSET(Calc2!$G$4,,,$F$26*B623,1),F631)</f>
        <v>27</v>
      </c>
      <c r="H631" s="1">
        <f ca="1">SUMIFS(OFFSET(Calc2!$I$4,,,$F$26*B623,1),OFFSET(Calc2!$F$4,,,$F$26*B623,1),F631)+SUMIFS(OFFSET(Calc2!$H$4,,,$F$26*B623,1),OFFSET(Calc2!$G$4,,,$F$26*B623,1),F631)</f>
        <v>39</v>
      </c>
      <c r="I631" s="134">
        <f t="shared" ca="1" si="115"/>
        <v>-12</v>
      </c>
      <c r="J631" s="12">
        <f ca="1">L631*Settings!$C$3+M631+O631</f>
        <v>25</v>
      </c>
      <c r="K631" s="1">
        <f t="shared" ca="1" si="118"/>
        <v>24</v>
      </c>
      <c r="L631" s="1">
        <f t="array" aca="1" ref="L631" ca="1">SUMPRODUCT((OFFSET(Calc2!$F$4,,,$F$26*B623,1)=F631)*(OFFSET(Calc2!$H$4,,,$F$26*B623,1)&gt;OFFSET(Calc2!$I$4,,,$F$26*B623,1)))+SUMPRODUCT((OFFSET(Calc2!$G$4,,,$F$26*B623,1)=F631)*(OFFSET(Calc2!$H$4,,,$F$26*B623,1)&lt;OFFSET(Calc2!$I$4,,,$F$26*B623,1)))</f>
        <v>6</v>
      </c>
      <c r="M631" s="1">
        <f t="array" aca="1" ref="M631" ca="1">SUMPRODUCT((OFFSET(Calc2!$F$4,,,$F$26*B623,2)=F631)*(OFFSET(Calc2!$H$4,,,$F$26*B623,1)=OFFSET(Calc2!$I$4,,,$F$26*B623,1))*(OFFSET(Calc2!$H$4,,,$F$26*B623,1)&lt;&gt;"")*(OFFSET(Calc2!$I$4,,,$F$26*B623,1)&lt;&gt;""))</f>
        <v>7</v>
      </c>
      <c r="N631" s="1">
        <f t="array" aca="1" ref="N631" ca="1">SUMPRODUCT((OFFSET(Calc2!$F$4,,,$F$26*B623,1)=F631)*(OFFSET(Calc2!$H$4,,,$F$26*B623,1)&lt;OFFSET(Calc2!$I$4,,,$F$26*B623,1)))+SUMPRODUCT((OFFSET(Calc2!$G$4,,,$F$26*B623,1)=F631)*(OFFSET(Calc2!$H$4,,,$F$26*B623,1)&gt;OFFSET(Calc2!$I$4,,,$F$26*B623,1)))</f>
        <v>11</v>
      </c>
      <c r="O631" s="132">
        <f ca="1">SUMPRODUCT((F631=OFFSET(Calc2!$F$4,,,$F$26*B623,1))*OFFSET(Calc2!$O$4,,,$F$26*B623,1))+SUMPRODUCT((F631=OFFSET(Calc2!$G$4,,,$F$26*B623,1))*OFFSET(Calc2!$P$4,,,$F$26*B623,1))</f>
        <v>0</v>
      </c>
      <c r="P631" s="2"/>
      <c r="Q631" s="2"/>
      <c r="R631" s="13">
        <f t="shared" ca="1" si="116"/>
        <v>25499988027</v>
      </c>
      <c r="S631" s="134">
        <f>Tie_Break!$D$13</f>
        <v>0</v>
      </c>
      <c r="T631" s="9">
        <f ca="1">RANK(R631,R625:R644)+(9-S631)/10000+(F631="")*1000</f>
        <v>12.0009</v>
      </c>
      <c r="U631" s="134"/>
      <c r="V631" s="134">
        <f ca="1">IF($K$24=0,"",IF(VLOOKUP(B631,C625:E644,3,0)=MAX(V$4:V630),VLOOKUP(B631,C625:E644,3,0),B631))</f>
        <v>7</v>
      </c>
      <c r="W631" s="4" t="str">
        <f ca="1">IF($K$24=0,Calc2!$C$10,VLOOKUP(B631,C625:N644,4,0))</f>
        <v>Eintracht Frankfurt</v>
      </c>
      <c r="X631" s="1">
        <f ca="1">INDEX(V598:V617,MATCH(W631,W598:W617,0))</f>
        <v>8</v>
      </c>
      <c r="Y631" s="1">
        <f t="shared" ca="1" si="119"/>
        <v>1</v>
      </c>
    </row>
    <row r="632" spans="2:25" x14ac:dyDescent="0.2">
      <c r="B632" s="1">
        <v>8</v>
      </c>
      <c r="C632" s="9">
        <f ca="1">RANK(D632,D625:D644,1)</f>
        <v>7</v>
      </c>
      <c r="D632" s="134">
        <f t="shared" ca="1" si="117"/>
        <v>7.6319999999999997</v>
      </c>
      <c r="E632" s="134">
        <f ca="1">RANK(T632,T625:T644,1)</f>
        <v>7</v>
      </c>
      <c r="F632" s="187" t="str">
        <f>Calc2!$C$11</f>
        <v>Eintracht Frankfurt</v>
      </c>
      <c r="G632" s="1">
        <f ca="1">SUMIFS(OFFSET(Calc2!$H$4,,,$F$26*B623,1),OFFSET(Calc2!$F$4,,,$F$26*B623,1),F632)+SUMIFS(OFFSET(Calc2!$I$4,,,$F$26*B623,1),OFFSET(Calc2!$G$4,,,$F$26*B623,1),F632)</f>
        <v>48</v>
      </c>
      <c r="H632" s="1">
        <f ca="1">SUMIFS(OFFSET(Calc2!$I$4,,,$F$26*B623,1),OFFSET(Calc2!$F$4,,,$F$26*B623,1),F632)+SUMIFS(OFFSET(Calc2!$H$4,,,$F$26*B623,1),OFFSET(Calc2!$G$4,,,$F$26*B623,1),F632)</f>
        <v>49</v>
      </c>
      <c r="I632" s="134">
        <f t="shared" ca="1" si="115"/>
        <v>-1</v>
      </c>
      <c r="J632" s="12">
        <f ca="1">L632*Settings!$C$3+M632+O632</f>
        <v>34</v>
      </c>
      <c r="K632" s="1">
        <f t="shared" ca="1" si="118"/>
        <v>24</v>
      </c>
      <c r="L632" s="1">
        <f t="array" aca="1" ref="L632" ca="1">SUMPRODUCT((OFFSET(Calc2!$F$4,,,$F$26*B623,1)=F632)*(OFFSET(Calc2!$H$4,,,$F$26*B623,1)&gt;OFFSET(Calc2!$I$4,,,$F$26*B623,1)))+SUMPRODUCT((OFFSET(Calc2!$G$4,,,$F$26*B623,1)=F632)*(OFFSET(Calc2!$H$4,,,$F$26*B623,1)&lt;OFFSET(Calc2!$I$4,,,$F$26*B623,1)))</f>
        <v>9</v>
      </c>
      <c r="M632" s="1">
        <f t="array" aca="1" ref="M632" ca="1">SUMPRODUCT((OFFSET(Calc2!$F$4,,,$F$26*B623,2)=F632)*(OFFSET(Calc2!$H$4,,,$F$26*B623,1)=OFFSET(Calc2!$I$4,,,$F$26*B623,1))*(OFFSET(Calc2!$H$4,,,$F$26*B623,1)&lt;&gt;"")*(OFFSET(Calc2!$I$4,,,$F$26*B623,1)&lt;&gt;""))</f>
        <v>7</v>
      </c>
      <c r="N632" s="1">
        <f t="array" aca="1" ref="N632" ca="1">SUMPRODUCT((OFFSET(Calc2!$F$4,,,$F$26*B623,1)=F632)*(OFFSET(Calc2!$H$4,,,$F$26*B623,1)&lt;OFFSET(Calc2!$I$4,,,$F$26*B623,1)))+SUMPRODUCT((OFFSET(Calc2!$G$4,,,$F$26*B623,1)=F632)*(OFFSET(Calc2!$H$4,,,$F$26*B623,1)&gt;OFFSET(Calc2!$I$4,,,$F$26*B623,1)))</f>
        <v>8</v>
      </c>
      <c r="O632" s="132">
        <f ca="1">SUMPRODUCT((F632=OFFSET(Calc2!$F$4,,,$F$26*B623,1))*OFFSET(Calc2!$O$4,,,$F$26*B623,1))+SUMPRODUCT((F632=OFFSET(Calc2!$G$4,,,$F$26*B623,1))*OFFSET(Calc2!$P$4,,,$F$26*B623,1))</f>
        <v>0</v>
      </c>
      <c r="P632" s="2"/>
      <c r="Q632" s="2"/>
      <c r="R632" s="13">
        <f t="shared" ca="1" si="116"/>
        <v>34499999048</v>
      </c>
      <c r="S632" s="134">
        <f>Tie_Break!$D$14</f>
        <v>0</v>
      </c>
      <c r="T632" s="9">
        <f ca="1">RANK(R632,R625:R644)+(9-S632)/10000+(F632="")*1000</f>
        <v>7.0008999999999997</v>
      </c>
      <c r="U632" s="134"/>
      <c r="V632" s="134">
        <f ca="1">IF($K$24=0,"",IF(VLOOKUP(B632,C625:E644,3,0)=MAX(V$4:V631),VLOOKUP(B632,C625:E644,3,0),B632))</f>
        <v>8</v>
      </c>
      <c r="W632" s="4" t="str">
        <f ca="1">IF($K$24=0,Calc2!$C$11,VLOOKUP(B632,C625:N644,4,0))</f>
        <v>SC Freiburg</v>
      </c>
      <c r="X632" s="1">
        <f ca="1">INDEX(V598:V617,MATCH(W632,W598:W617,0))</f>
        <v>7</v>
      </c>
      <c r="Y632" s="1">
        <f t="shared" ca="1" si="119"/>
        <v>-1</v>
      </c>
    </row>
    <row r="633" spans="2:25" x14ac:dyDescent="0.2">
      <c r="B633" s="1">
        <v>9</v>
      </c>
      <c r="C633" s="9">
        <f ca="1">RANK(D633,D625:D644,1)</f>
        <v>9</v>
      </c>
      <c r="D633" s="134">
        <f t="shared" ca="1" si="117"/>
        <v>9.6329999999999991</v>
      </c>
      <c r="E633" s="134">
        <f ca="1">RANK(T633,T625:T644,1)</f>
        <v>9</v>
      </c>
      <c r="F633" s="187" t="str">
        <f>Calc2!$C$12</f>
        <v>FC Augsburg</v>
      </c>
      <c r="G633" s="1">
        <f ca="1">SUMIFS(OFFSET(Calc2!$H$4,,,$F$26*B623,1),OFFSET(Calc2!$F$4,,,$F$26*B623,1),F633)+SUMIFS(OFFSET(Calc2!$I$4,,,$F$26*B623,1),OFFSET(Calc2!$G$4,,,$F$26*B623,1),F633)</f>
        <v>30</v>
      </c>
      <c r="H633" s="1">
        <f ca="1">SUMIFS(OFFSET(Calc2!$I$4,,,$F$26*B623,1),OFFSET(Calc2!$F$4,,,$F$26*B623,1),F633)+SUMIFS(OFFSET(Calc2!$H$4,,,$F$26*B623,1),OFFSET(Calc2!$G$4,,,$F$26*B623,1),F633)</f>
        <v>41</v>
      </c>
      <c r="I633" s="134">
        <f t="shared" ca="1" si="115"/>
        <v>-11</v>
      </c>
      <c r="J633" s="12">
        <f ca="1">L633*Settings!$C$3+M633+O633</f>
        <v>31</v>
      </c>
      <c r="K633" s="1">
        <f t="shared" ca="1" si="118"/>
        <v>24</v>
      </c>
      <c r="L633" s="1">
        <f t="array" aca="1" ref="L633" ca="1">SUMPRODUCT((OFFSET(Calc2!$F$4,,,$F$26*B623,1)=F633)*(OFFSET(Calc2!$H$4,,,$F$26*B623,1)&gt;OFFSET(Calc2!$I$4,,,$F$26*B623,1)))+SUMPRODUCT((OFFSET(Calc2!$G$4,,,$F$26*B623,1)=F633)*(OFFSET(Calc2!$H$4,,,$F$26*B623,1)&lt;OFFSET(Calc2!$I$4,,,$F$26*B623,1)))</f>
        <v>9</v>
      </c>
      <c r="M633" s="1">
        <f t="array" aca="1" ref="M633" ca="1">SUMPRODUCT((OFFSET(Calc2!$F$4,,,$F$26*B623,2)=F633)*(OFFSET(Calc2!$H$4,,,$F$26*B623,1)=OFFSET(Calc2!$I$4,,,$F$26*B623,1))*(OFFSET(Calc2!$H$4,,,$F$26*B623,1)&lt;&gt;"")*(OFFSET(Calc2!$I$4,,,$F$26*B623,1)&lt;&gt;""))</f>
        <v>4</v>
      </c>
      <c r="N633" s="1">
        <f t="array" aca="1" ref="N633" ca="1">SUMPRODUCT((OFFSET(Calc2!$F$4,,,$F$26*B623,1)=F633)*(OFFSET(Calc2!$H$4,,,$F$26*B623,1)&lt;OFFSET(Calc2!$I$4,,,$F$26*B623,1)))+SUMPRODUCT((OFFSET(Calc2!$G$4,,,$F$26*B623,1)=F633)*(OFFSET(Calc2!$H$4,,,$F$26*B623,1)&gt;OFFSET(Calc2!$I$4,,,$F$26*B623,1)))</f>
        <v>11</v>
      </c>
      <c r="O633" s="132">
        <f ca="1">SUMPRODUCT((F633=OFFSET(Calc2!$F$4,,,$F$26*B623,1))*OFFSET(Calc2!$O$4,,,$F$26*B623,1))+SUMPRODUCT((F633=OFFSET(Calc2!$G$4,,,$F$26*B623,1))*OFFSET(Calc2!$P$4,,,$F$26*B623,1))</f>
        <v>0</v>
      </c>
      <c r="P633" s="2"/>
      <c r="Q633" s="2"/>
      <c r="R633" s="13">
        <f t="shared" ca="1" si="116"/>
        <v>31499989030</v>
      </c>
      <c r="S633" s="134">
        <f>Tie_Break!$D$15</f>
        <v>0</v>
      </c>
      <c r="T633" s="9">
        <f ca="1">RANK(R633,R625:R644)+(9-S633)/10000+(F633="")*1000</f>
        <v>9.0008999999999997</v>
      </c>
      <c r="U633" s="134"/>
      <c r="V633" s="134">
        <f ca="1">IF($K$24=0,"",IF(VLOOKUP(B633,C625:E644,3,0)=MAX(V$4:V632),VLOOKUP(B633,C625:E644,3,0),B633))</f>
        <v>9</v>
      </c>
      <c r="W633" s="4" t="str">
        <f ca="1">IF($K$24=0,Calc2!$C$12,VLOOKUP(B633,C625:N644,4,0))</f>
        <v>FC Augsburg</v>
      </c>
      <c r="X633" s="1">
        <f ca="1">INDEX(V598:V617,MATCH(W633,W598:W617,0))</f>
        <v>10</v>
      </c>
      <c r="Y633" s="1">
        <f t="shared" ca="1" si="119"/>
        <v>1</v>
      </c>
    </row>
    <row r="634" spans="2:25" x14ac:dyDescent="0.2">
      <c r="B634" s="1">
        <v>10</v>
      </c>
      <c r="C634" s="9">
        <f ca="1">RANK(D634,D625:D644,1)</f>
        <v>1</v>
      </c>
      <c r="D634" s="134">
        <f t="shared" ca="1" si="117"/>
        <v>1.6339999999999999</v>
      </c>
      <c r="E634" s="134">
        <f ca="1">RANK(T634,T625:T644,1)</f>
        <v>1</v>
      </c>
      <c r="F634" s="187" t="str">
        <f>Calc2!$C$13</f>
        <v>FC Bayern München</v>
      </c>
      <c r="G634" s="1">
        <f ca="1">SUMIFS(OFFSET(Calc2!$H$4,,,$F$26*B623,1),OFFSET(Calc2!$F$4,,,$F$26*B623,1),F634)+SUMIFS(OFFSET(Calc2!$I$4,,,$F$26*B623,1),OFFSET(Calc2!$G$4,,,$F$26*B623,1),F634)</f>
        <v>88</v>
      </c>
      <c r="H634" s="1">
        <f ca="1">SUMIFS(OFFSET(Calc2!$I$4,,,$F$26*B623,1),OFFSET(Calc2!$F$4,,,$F$26*B623,1),F634)+SUMIFS(OFFSET(Calc2!$H$4,,,$F$26*B623,1),OFFSET(Calc2!$G$4,,,$F$26*B623,1),F634)</f>
        <v>23</v>
      </c>
      <c r="I634" s="134">
        <f t="shared" ca="1" si="115"/>
        <v>65</v>
      </c>
      <c r="J634" s="12">
        <f ca="1">L634*Settings!$C$3+M634+O634</f>
        <v>63</v>
      </c>
      <c r="K634" s="1">
        <f t="shared" ca="1" si="118"/>
        <v>24</v>
      </c>
      <c r="L634" s="1">
        <f t="array" aca="1" ref="L634" ca="1">SUMPRODUCT((OFFSET(Calc2!$F$4,,,$F$26*B623,1)=F634)*(OFFSET(Calc2!$H$4,,,$F$26*B623,1)&gt;OFFSET(Calc2!$I$4,,,$F$26*B623,1)))+SUMPRODUCT((OFFSET(Calc2!$G$4,,,$F$26*B623,1)=F634)*(OFFSET(Calc2!$H$4,,,$F$26*B623,1)&lt;OFFSET(Calc2!$I$4,,,$F$26*B623,1)))</f>
        <v>20</v>
      </c>
      <c r="M634" s="1">
        <f t="array" aca="1" ref="M634" ca="1">SUMPRODUCT((OFFSET(Calc2!$F$4,,,$F$26*B623,2)=F634)*(OFFSET(Calc2!$H$4,,,$F$26*B623,1)=OFFSET(Calc2!$I$4,,,$F$26*B623,1))*(OFFSET(Calc2!$H$4,,,$F$26*B623,1)&lt;&gt;"")*(OFFSET(Calc2!$I$4,,,$F$26*B623,1)&lt;&gt;""))</f>
        <v>3</v>
      </c>
      <c r="N634" s="1">
        <f t="array" aca="1" ref="N634" ca="1">SUMPRODUCT((OFFSET(Calc2!$F$4,,,$F$26*B623,1)=F634)*(OFFSET(Calc2!$H$4,,,$F$26*B623,1)&lt;OFFSET(Calc2!$I$4,,,$F$26*B623,1)))+SUMPRODUCT((OFFSET(Calc2!$G$4,,,$F$26*B623,1)=F634)*(OFFSET(Calc2!$H$4,,,$F$26*B623,1)&gt;OFFSET(Calc2!$I$4,,,$F$26*B623,1)))</f>
        <v>1</v>
      </c>
      <c r="O634" s="132">
        <f ca="1">SUMPRODUCT((F634=OFFSET(Calc2!$F$4,,,$F$26*B623,1))*OFFSET(Calc2!$O$4,,,$F$26*B623,1))+SUMPRODUCT((F634=OFFSET(Calc2!$G$4,,,$F$26*B623,1))*OFFSET(Calc2!$P$4,,,$F$26*B623,1))</f>
        <v>0</v>
      </c>
      <c r="P634" s="2"/>
      <c r="Q634" s="2"/>
      <c r="R634" s="13">
        <f t="shared" ca="1" si="116"/>
        <v>63500065088</v>
      </c>
      <c r="S634" s="134">
        <f>Tie_Break!$D$16</f>
        <v>0</v>
      </c>
      <c r="T634" s="9">
        <f ca="1">RANK(R634,R625:R644)+(9-S634)/10000+(F634="")*1000</f>
        <v>1.0008999999999999</v>
      </c>
      <c r="U634" s="2"/>
      <c r="V634" s="134">
        <f ca="1">IF($K$24=0,"",IF(VLOOKUP(B634,C625:E644,3,0)=MAX(V$4:V633),VLOOKUP(B634,C625:E644,3,0),B634))</f>
        <v>10</v>
      </c>
      <c r="W634" s="4" t="str">
        <f ca="1">IF($K$24=0,Calc2!$C$13,VLOOKUP(B634,C625:N644,4,0))</f>
        <v>1. FC Union Berlin</v>
      </c>
      <c r="X634" s="1">
        <f ca="1">INDEX(V598:V617,MATCH(W634,W598:W617,0))</f>
        <v>9</v>
      </c>
      <c r="Y634" s="1">
        <f t="shared" ca="1" si="119"/>
        <v>-1</v>
      </c>
    </row>
    <row r="635" spans="2:25" x14ac:dyDescent="0.2">
      <c r="B635" s="1">
        <v>11</v>
      </c>
      <c r="C635" s="9">
        <f ca="1">RANK(D635,D625:D644,1)</f>
        <v>15</v>
      </c>
      <c r="D635" s="134">
        <f t="shared" ca="1" si="117"/>
        <v>15.635</v>
      </c>
      <c r="E635" s="134">
        <f ca="1">RANK(T635,T625:T644,1)</f>
        <v>15</v>
      </c>
      <c r="F635" s="187" t="str">
        <f>Calc2!$C$14</f>
        <v>FC St. Pauli</v>
      </c>
      <c r="G635" s="1">
        <f ca="1">SUMIFS(OFFSET(Calc2!$H$4,,,$F$26*B623,1),OFFSET(Calc2!$F$4,,,$F$26*B623,1),F635)+SUMIFS(OFFSET(Calc2!$I$4,,,$F$26*B623,1),OFFSET(Calc2!$G$4,,,$F$26*B623,1),F635)</f>
        <v>23</v>
      </c>
      <c r="H635" s="1">
        <f ca="1">SUMIFS(OFFSET(Calc2!$I$4,,,$F$26*B623,1),OFFSET(Calc2!$F$4,,,$F$26*B623,1),F635)+SUMIFS(OFFSET(Calc2!$H$4,,,$F$26*B623,1),OFFSET(Calc2!$G$4,,,$F$26*B623,1),F635)</f>
        <v>40</v>
      </c>
      <c r="I635" s="134">
        <f t="shared" ca="1" si="115"/>
        <v>-17</v>
      </c>
      <c r="J635" s="12">
        <f ca="1">L635*Settings!$C$3+M635+O635</f>
        <v>23</v>
      </c>
      <c r="K635" s="1">
        <f t="shared" ca="1" si="118"/>
        <v>24</v>
      </c>
      <c r="L635" s="1">
        <f t="array" aca="1" ref="L635" ca="1">SUMPRODUCT((OFFSET(Calc2!$F$4,,,$F$26*B623,1)=F635)*(OFFSET(Calc2!$H$4,,,$F$26*B623,1)&gt;OFFSET(Calc2!$I$4,,,$F$26*B623,1)))+SUMPRODUCT((OFFSET(Calc2!$G$4,,,$F$26*B623,1)=F635)*(OFFSET(Calc2!$H$4,,,$F$26*B623,1)&lt;OFFSET(Calc2!$I$4,,,$F$26*B623,1)))</f>
        <v>6</v>
      </c>
      <c r="M635" s="1">
        <f t="array" aca="1" ref="M635" ca="1">SUMPRODUCT((OFFSET(Calc2!$F$4,,,$F$26*B623,2)=F635)*(OFFSET(Calc2!$H$4,,,$F$26*B623,1)=OFFSET(Calc2!$I$4,,,$F$26*B623,1))*(OFFSET(Calc2!$H$4,,,$F$26*B623,1)&lt;&gt;"")*(OFFSET(Calc2!$I$4,,,$F$26*B623,1)&lt;&gt;""))</f>
        <v>5</v>
      </c>
      <c r="N635" s="1">
        <f t="array" aca="1" ref="N635" ca="1">SUMPRODUCT((OFFSET(Calc2!$F$4,,,$F$26*B623,1)=F635)*(OFFSET(Calc2!$H$4,,,$F$26*B623,1)&lt;OFFSET(Calc2!$I$4,,,$F$26*B623,1)))+SUMPRODUCT((OFFSET(Calc2!$G$4,,,$F$26*B623,1)=F635)*(OFFSET(Calc2!$H$4,,,$F$26*B623,1)&gt;OFFSET(Calc2!$I$4,,,$F$26*B623,1)))</f>
        <v>13</v>
      </c>
      <c r="O635" s="132">
        <f ca="1">SUMPRODUCT((F635=OFFSET(Calc2!$F$4,,,$F$26*B623,1))*OFFSET(Calc2!$O$4,,,$F$26*B623,1))+SUMPRODUCT((F635=OFFSET(Calc2!$G$4,,,$F$26*B623,1))*OFFSET(Calc2!$P$4,,,$F$26*B623,1))</f>
        <v>0</v>
      </c>
      <c r="P635" s="2"/>
      <c r="Q635" s="2"/>
      <c r="R635" s="13">
        <f t="shared" ca="1" si="116"/>
        <v>23499983023</v>
      </c>
      <c r="S635" s="134">
        <f>Tie_Break!$D$17</f>
        <v>0</v>
      </c>
      <c r="T635" s="9">
        <f ca="1">RANK(R635,R625:R644)+(9-S635)/10000+(F635="")*1000</f>
        <v>15.0009</v>
      </c>
      <c r="U635" s="2"/>
      <c r="V635" s="134">
        <f ca="1">IF($K$24=0,"",IF(VLOOKUP(B635,C625:E644,3,0)=MAX(V$4:V634),VLOOKUP(B635,C625:E644,3,0),B635))</f>
        <v>11</v>
      </c>
      <c r="W635" s="4" t="str">
        <f ca="1">IF($K$24=0,Calc2!$C$14,VLOOKUP(B635,C625:N644,4,0))</f>
        <v>Hamburger SV</v>
      </c>
      <c r="X635" s="1">
        <f ca="1">INDEX(V598:V617,MATCH(W635,W598:W617,0))</f>
        <v>11</v>
      </c>
      <c r="Y635" s="1">
        <f t="shared" ca="1" si="119"/>
        <v>0</v>
      </c>
    </row>
    <row r="636" spans="2:25" x14ac:dyDescent="0.2">
      <c r="B636" s="1">
        <v>12</v>
      </c>
      <c r="C636" s="9">
        <f ca="1">RANK(D636,D625:D644,1)</f>
        <v>11</v>
      </c>
      <c r="D636" s="134">
        <f t="shared" ca="1" si="117"/>
        <v>11.635999999999999</v>
      </c>
      <c r="E636" s="134">
        <f ca="1">RANK(T636,T625:T644,1)</f>
        <v>11</v>
      </c>
      <c r="F636" s="187" t="str">
        <f>Calc2!$C$15</f>
        <v>Hamburger SV</v>
      </c>
      <c r="G636" s="1">
        <f ca="1">SUMIFS(OFFSET(Calc2!$H$4,,,$F$26*B623,1),OFFSET(Calc2!$F$4,,,$F$26*B623,1),F636)+SUMIFS(OFFSET(Calc2!$I$4,,,$F$26*B623,1),OFFSET(Calc2!$G$4,,,$F$26*B623,1),F636)</f>
        <v>26</v>
      </c>
      <c r="H636" s="1">
        <f ca="1">SUMIFS(OFFSET(Calc2!$I$4,,,$F$26*B623,1),OFFSET(Calc2!$F$4,,,$F$26*B623,1),F636)+SUMIFS(OFFSET(Calc2!$H$4,,,$F$26*B623,1),OFFSET(Calc2!$G$4,,,$F$26*B623,1),F636)</f>
        <v>35</v>
      </c>
      <c r="I636" s="134">
        <f t="shared" ca="1" si="115"/>
        <v>-9</v>
      </c>
      <c r="J636" s="12">
        <f ca="1">L636*Settings!$C$3+M636+O636</f>
        <v>26</v>
      </c>
      <c r="K636" s="1">
        <f t="shared" ca="1" si="118"/>
        <v>24</v>
      </c>
      <c r="L636" s="1">
        <f t="array" aca="1" ref="L636" ca="1">SUMPRODUCT((OFFSET(Calc2!$F$4,,,$F$26*B623,1)=F636)*(OFFSET(Calc2!$H$4,,,$F$26*B623,1)&gt;OFFSET(Calc2!$I$4,,,$F$26*B623,1)))+SUMPRODUCT((OFFSET(Calc2!$G$4,,,$F$26*B623,1)=F636)*(OFFSET(Calc2!$H$4,,,$F$26*B623,1)&lt;OFFSET(Calc2!$I$4,,,$F$26*B623,1)))</f>
        <v>6</v>
      </c>
      <c r="M636" s="1">
        <f t="array" aca="1" ref="M636" ca="1">SUMPRODUCT((OFFSET(Calc2!$F$4,,,$F$26*B623,2)=F636)*(OFFSET(Calc2!$H$4,,,$F$26*B623,1)=OFFSET(Calc2!$I$4,,,$F$26*B623,1))*(OFFSET(Calc2!$H$4,,,$F$26*B623,1)&lt;&gt;"")*(OFFSET(Calc2!$I$4,,,$F$26*B623,1)&lt;&gt;""))</f>
        <v>8</v>
      </c>
      <c r="N636" s="1">
        <f t="array" aca="1" ref="N636" ca="1">SUMPRODUCT((OFFSET(Calc2!$F$4,,,$F$26*B623,1)=F636)*(OFFSET(Calc2!$H$4,,,$F$26*B623,1)&lt;OFFSET(Calc2!$I$4,,,$F$26*B623,1)))+SUMPRODUCT((OFFSET(Calc2!$G$4,,,$F$26*B623,1)=F636)*(OFFSET(Calc2!$H$4,,,$F$26*B623,1)&gt;OFFSET(Calc2!$I$4,,,$F$26*B623,1)))</f>
        <v>10</v>
      </c>
      <c r="O636" s="132">
        <f ca="1">SUMPRODUCT((F636=OFFSET(Calc2!$F$4,,,$F$26*B623,1))*OFFSET(Calc2!$O$4,,,$F$26*B623,1))+SUMPRODUCT((F636=OFFSET(Calc2!$G$4,,,$F$26*B623,1))*OFFSET(Calc2!$P$4,,,$F$26*B623,1))</f>
        <v>0</v>
      </c>
      <c r="P636" s="2"/>
      <c r="Q636" s="2"/>
      <c r="R636" s="13">
        <f t="shared" ca="1" si="116"/>
        <v>26499991026</v>
      </c>
      <c r="S636" s="134">
        <f>Tie_Break!$D$18</f>
        <v>0</v>
      </c>
      <c r="T636" s="9">
        <f ca="1">RANK(R636,R625:R644)+(9-S636)/10000+(F636="")*1000</f>
        <v>11.0009</v>
      </c>
      <c r="U636" s="2"/>
      <c r="V636" s="134">
        <f ca="1">IF($K$24=0,"",IF(VLOOKUP(B636,C625:E644,3,0)=MAX(V$4:V635),VLOOKUP(B636,C625:E644,3,0),B636))</f>
        <v>12</v>
      </c>
      <c r="W636" s="4" t="str">
        <f ca="1">IF($K$24=0,Calc2!$C$15,VLOOKUP(B636,C625:N644,4,0))</f>
        <v>Borussia Mönchengladbach</v>
      </c>
      <c r="X636" s="1">
        <f ca="1">INDEX(V598:V617,MATCH(W636,W598:W617,0))</f>
        <v>14</v>
      </c>
      <c r="Y636" s="1">
        <f t="shared" ca="1" si="119"/>
        <v>1</v>
      </c>
    </row>
    <row r="637" spans="2:25" x14ac:dyDescent="0.2">
      <c r="B637" s="1">
        <v>13</v>
      </c>
      <c r="C637" s="9">
        <f ca="1">RANK(D637,D625:D644,1)</f>
        <v>5</v>
      </c>
      <c r="D637" s="134">
        <f t="shared" ca="1" si="117"/>
        <v>5.6370000000000005</v>
      </c>
      <c r="E637" s="134">
        <f ca="1">RANK(T637,T625:T644,1)</f>
        <v>5</v>
      </c>
      <c r="F637" s="187" t="str">
        <f>Calc2!$C$16</f>
        <v>RB Leipzig</v>
      </c>
      <c r="G637" s="1">
        <f ca="1">SUMIFS(OFFSET(Calc2!$H$4,,,$F$26*B623,1),OFFSET(Calc2!$F$4,,,$F$26*B623,1),F637)+SUMIFS(OFFSET(Calc2!$I$4,,,$F$26*B623,1),OFFSET(Calc2!$G$4,,,$F$26*B623,1),F637)</f>
        <v>46</v>
      </c>
      <c r="H637" s="1">
        <f ca="1">SUMIFS(OFFSET(Calc2!$I$4,,,$F$26*B623,1),OFFSET(Calc2!$F$4,,,$F$26*B623,1),F637)+SUMIFS(OFFSET(Calc2!$H$4,,,$F$26*B623,1),OFFSET(Calc2!$G$4,,,$F$26*B623,1),F637)</f>
        <v>33</v>
      </c>
      <c r="I637" s="134">
        <f t="shared" ca="1" si="115"/>
        <v>13</v>
      </c>
      <c r="J637" s="12">
        <f ca="1">L637*Settings!$C$3+M637+O637</f>
        <v>44</v>
      </c>
      <c r="K637" s="1">
        <f t="shared" ca="1" si="118"/>
        <v>24</v>
      </c>
      <c r="L637" s="1">
        <f t="array" aca="1" ref="L637" ca="1">SUMPRODUCT((OFFSET(Calc2!$F$4,,,$F$26*B623,1)=F637)*(OFFSET(Calc2!$H$4,,,$F$26*B623,1)&gt;OFFSET(Calc2!$I$4,,,$F$26*B623,1)))+SUMPRODUCT((OFFSET(Calc2!$G$4,,,$F$26*B623,1)=F637)*(OFFSET(Calc2!$H$4,,,$F$26*B623,1)&lt;OFFSET(Calc2!$I$4,,,$F$26*B623,1)))</f>
        <v>13</v>
      </c>
      <c r="M637" s="1">
        <f t="array" aca="1" ref="M637" ca="1">SUMPRODUCT((OFFSET(Calc2!$F$4,,,$F$26*B623,2)=F637)*(OFFSET(Calc2!$H$4,,,$F$26*B623,1)=OFFSET(Calc2!$I$4,,,$F$26*B623,1))*(OFFSET(Calc2!$H$4,,,$F$26*B623,1)&lt;&gt;"")*(OFFSET(Calc2!$I$4,,,$F$26*B623,1)&lt;&gt;""))</f>
        <v>5</v>
      </c>
      <c r="N637" s="1">
        <f t="array" aca="1" ref="N637" ca="1">SUMPRODUCT((OFFSET(Calc2!$F$4,,,$F$26*B623,1)=F637)*(OFFSET(Calc2!$H$4,,,$F$26*B623,1)&lt;OFFSET(Calc2!$I$4,,,$F$26*B623,1)))+SUMPRODUCT((OFFSET(Calc2!$G$4,,,$F$26*B623,1)=F637)*(OFFSET(Calc2!$H$4,,,$F$26*B623,1)&gt;OFFSET(Calc2!$I$4,,,$F$26*B623,1)))</f>
        <v>6</v>
      </c>
      <c r="O637" s="132">
        <f ca="1">SUMPRODUCT((F637=OFFSET(Calc2!$F$4,,,$F$26*B623,1))*OFFSET(Calc2!$O$4,,,$F$26*B623,1))+SUMPRODUCT((F637=OFFSET(Calc2!$G$4,,,$F$26*B623,1))*OFFSET(Calc2!$P$4,,,$F$26*B623,1))</f>
        <v>0</v>
      </c>
      <c r="P637" s="2"/>
      <c r="Q637" s="2"/>
      <c r="R637" s="13">
        <f t="shared" ca="1" si="116"/>
        <v>44500013046</v>
      </c>
      <c r="S637" s="134">
        <f>Tie_Break!$D$19</f>
        <v>0</v>
      </c>
      <c r="T637" s="9">
        <f ca="1">RANK(R637,R625:R644)+(9-S637)/10000+(F637="")*1000</f>
        <v>5.0008999999999997</v>
      </c>
      <c r="U637" s="1"/>
      <c r="V637" s="134">
        <f ca="1">IF($K$24=0,"",IF(VLOOKUP(B637,C625:E644,3,0)=MAX(V$4:V636),VLOOKUP(B637,C625:E644,3,0),B637))</f>
        <v>13</v>
      </c>
      <c r="W637" s="4" t="str">
        <f ca="1">IF($K$24=0,Calc2!$C$16,VLOOKUP(B637,C625:N644,4,0))</f>
        <v>1. FC Köln</v>
      </c>
      <c r="X637" s="1">
        <f ca="1">INDEX(V598:V617,MATCH(W637,W598:W617,0))</f>
        <v>12</v>
      </c>
      <c r="Y637" s="1">
        <f t="shared" ca="1" si="119"/>
        <v>-1</v>
      </c>
    </row>
    <row r="638" spans="2:25" x14ac:dyDescent="0.2">
      <c r="B638" s="1">
        <v>14</v>
      </c>
      <c r="C638" s="9">
        <f ca="1">RANK(D638,D625:D644,1)</f>
        <v>8</v>
      </c>
      <c r="D638" s="134">
        <f t="shared" ca="1" si="117"/>
        <v>8.6379999999999999</v>
      </c>
      <c r="E638" s="134">
        <f ca="1">RANK(T638,T625:T644,1)</f>
        <v>8</v>
      </c>
      <c r="F638" s="187" t="str">
        <f>Calc2!$C$17</f>
        <v>SC Freiburg</v>
      </c>
      <c r="G638" s="1">
        <f ca="1">SUMIFS(OFFSET(Calc2!$H$4,,,$F$26*B623,1),OFFSET(Calc2!$F$4,,,$F$26*B623,1),F638)+SUMIFS(OFFSET(Calc2!$I$4,,,$F$26*B623,1),OFFSET(Calc2!$G$4,,,$F$26*B623,1),F638)</f>
        <v>34</v>
      </c>
      <c r="H638" s="1">
        <f ca="1">SUMIFS(OFFSET(Calc2!$I$4,,,$F$26*B623,1),OFFSET(Calc2!$F$4,,,$F$26*B623,1),F638)+SUMIFS(OFFSET(Calc2!$H$4,,,$F$26*B623,1),OFFSET(Calc2!$G$4,,,$F$26*B623,1),F638)</f>
        <v>39</v>
      </c>
      <c r="I638" s="134">
        <f t="shared" ca="1" si="115"/>
        <v>-5</v>
      </c>
      <c r="J638" s="12">
        <f ca="1">L638*Settings!$C$3+M638+O638</f>
        <v>33</v>
      </c>
      <c r="K638" s="1">
        <f t="shared" ca="1" si="118"/>
        <v>24</v>
      </c>
      <c r="L638" s="1">
        <f t="array" aca="1" ref="L638" ca="1">SUMPRODUCT((OFFSET(Calc2!$F$4,,,$F$26*B623,1)=F638)*(OFFSET(Calc2!$H$4,,,$F$26*B623,1)&gt;OFFSET(Calc2!$I$4,,,$F$26*B623,1)))+SUMPRODUCT((OFFSET(Calc2!$G$4,,,$F$26*B623,1)=F638)*(OFFSET(Calc2!$H$4,,,$F$26*B623,1)&lt;OFFSET(Calc2!$I$4,,,$F$26*B623,1)))</f>
        <v>9</v>
      </c>
      <c r="M638" s="1">
        <f t="array" aca="1" ref="M638" ca="1">SUMPRODUCT((OFFSET(Calc2!$F$4,,,$F$26*B623,2)=F638)*(OFFSET(Calc2!$H$4,,,$F$26*B623,1)=OFFSET(Calc2!$I$4,,,$F$26*B623,1))*(OFFSET(Calc2!$H$4,,,$F$26*B623,1)&lt;&gt;"")*(OFFSET(Calc2!$I$4,,,$F$26*B623,1)&lt;&gt;""))</f>
        <v>6</v>
      </c>
      <c r="N638" s="1">
        <f t="array" aca="1" ref="N638" ca="1">SUMPRODUCT((OFFSET(Calc2!$F$4,,,$F$26*B623,1)=F638)*(OFFSET(Calc2!$H$4,,,$F$26*B623,1)&lt;OFFSET(Calc2!$I$4,,,$F$26*B623,1)))+SUMPRODUCT((OFFSET(Calc2!$G$4,,,$F$26*B623,1)=F638)*(OFFSET(Calc2!$H$4,,,$F$26*B623,1)&gt;OFFSET(Calc2!$I$4,,,$F$26*B623,1)))</f>
        <v>9</v>
      </c>
      <c r="O638" s="132">
        <f ca="1">SUMPRODUCT((F638=OFFSET(Calc2!$F$4,,,$F$26*B623,1))*OFFSET(Calc2!$O$4,,,$F$26*B623,1))+SUMPRODUCT((F638=OFFSET(Calc2!$G$4,,,$F$26*B623,1))*OFFSET(Calc2!$P$4,,,$F$26*B623,1))</f>
        <v>0</v>
      </c>
      <c r="P638" s="2"/>
      <c r="Q638" s="2"/>
      <c r="R638" s="13">
        <f t="shared" ca="1" si="116"/>
        <v>33499995034</v>
      </c>
      <c r="S638" s="134">
        <f>Tie_Break!$D$20</f>
        <v>0</v>
      </c>
      <c r="T638" s="9">
        <f ca="1">RANK(R638,R625:R644)+(9-S638)/10000+(F638="")*1000</f>
        <v>8.0008999999999997</v>
      </c>
      <c r="U638" s="2"/>
      <c r="V638" s="134">
        <f ca="1">IF($K$24=0,"",IF(VLOOKUP(B638,C625:E644,3,0)=MAX(V$4:V637),VLOOKUP(B638,C625:E644,3,0),B638))</f>
        <v>14</v>
      </c>
      <c r="W638" s="4" t="str">
        <f ca="1">IF($K$24=0,Calc2!$C$17,VLOOKUP(B638,C625:N644,4,0))</f>
        <v>1. FSV Mainz 05</v>
      </c>
      <c r="X638" s="1">
        <f ca="1">INDEX(V598:V617,MATCH(W638,W598:W617,0))</f>
        <v>13</v>
      </c>
      <c r="Y638" s="1">
        <f t="shared" ca="1" si="119"/>
        <v>-1</v>
      </c>
    </row>
    <row r="639" spans="2:25" x14ac:dyDescent="0.2">
      <c r="B639" s="1">
        <v>15</v>
      </c>
      <c r="C639" s="9">
        <f ca="1">RANK(D639,D625:D644,1)</f>
        <v>16</v>
      </c>
      <c r="D639" s="134">
        <f t="shared" ca="1" si="117"/>
        <v>16.638999999999999</v>
      </c>
      <c r="E639" s="134">
        <f ca="1">RANK(T639,T625:T644,1)</f>
        <v>16</v>
      </c>
      <c r="F639" s="187" t="str">
        <f>Calc2!$C$18</f>
        <v>SV Werder Bremen</v>
      </c>
      <c r="G639" s="1">
        <f ca="1">SUMIFS(OFFSET(Calc2!$H$4,,,$F$26*B623,1),OFFSET(Calc2!$F$4,,,$F$26*B623,1),F639)+SUMIFS(OFFSET(Calc2!$I$4,,,$F$26*B623,1),OFFSET(Calc2!$G$4,,,$F$26*B623,1),F639)</f>
        <v>25</v>
      </c>
      <c r="H639" s="1">
        <f ca="1">SUMIFS(OFFSET(Calc2!$I$4,,,$F$26*B623,1),OFFSET(Calc2!$F$4,,,$F$26*B623,1),F639)+SUMIFS(OFFSET(Calc2!$H$4,,,$F$26*B623,1),OFFSET(Calc2!$G$4,,,$F$26*B623,1),F639)</f>
        <v>44</v>
      </c>
      <c r="I639" s="134">
        <f t="shared" ca="1" si="115"/>
        <v>-19</v>
      </c>
      <c r="J639" s="12">
        <f ca="1">L639*Settings!$C$3+M639+O639</f>
        <v>22</v>
      </c>
      <c r="K639" s="1">
        <f t="shared" ca="1" si="118"/>
        <v>24</v>
      </c>
      <c r="L639" s="1">
        <f t="array" aca="1" ref="L639" ca="1">SUMPRODUCT((OFFSET(Calc2!$F$4,,,$F$26*B623,1)=F639)*(OFFSET(Calc2!$H$4,,,$F$26*B623,1)&gt;OFFSET(Calc2!$I$4,,,$F$26*B623,1)))+SUMPRODUCT((OFFSET(Calc2!$G$4,,,$F$26*B623,1)=F639)*(OFFSET(Calc2!$H$4,,,$F$26*B623,1)&lt;OFFSET(Calc2!$I$4,,,$F$26*B623,1)))</f>
        <v>5</v>
      </c>
      <c r="M639" s="1">
        <f t="array" aca="1" ref="M639" ca="1">SUMPRODUCT((OFFSET(Calc2!$F$4,,,$F$26*B623,2)=F639)*(OFFSET(Calc2!$H$4,,,$F$26*B623,1)=OFFSET(Calc2!$I$4,,,$F$26*B623,1))*(OFFSET(Calc2!$H$4,,,$F$26*B623,1)&lt;&gt;"")*(OFFSET(Calc2!$I$4,,,$F$26*B623,1)&lt;&gt;""))</f>
        <v>7</v>
      </c>
      <c r="N639" s="1">
        <f t="array" aca="1" ref="N639" ca="1">SUMPRODUCT((OFFSET(Calc2!$F$4,,,$F$26*B623,1)=F639)*(OFFSET(Calc2!$H$4,,,$F$26*B623,1)&lt;OFFSET(Calc2!$I$4,,,$F$26*B623,1)))+SUMPRODUCT((OFFSET(Calc2!$G$4,,,$F$26*B623,1)=F639)*(OFFSET(Calc2!$H$4,,,$F$26*B623,1)&gt;OFFSET(Calc2!$I$4,,,$F$26*B623,1)))</f>
        <v>12</v>
      </c>
      <c r="O639" s="132">
        <f ca="1">SUMPRODUCT((F639=OFFSET(Calc2!$F$4,,,$F$26*B623,1))*OFFSET(Calc2!$O$4,,,$F$26*B623,1))+SUMPRODUCT((F639=OFFSET(Calc2!$G$4,,,$F$26*B623,1))*OFFSET(Calc2!$P$4,,,$F$26*B623,1))</f>
        <v>0</v>
      </c>
      <c r="P639" s="2"/>
      <c r="Q639" s="2"/>
      <c r="R639" s="13">
        <f t="shared" ca="1" si="116"/>
        <v>22499981025</v>
      </c>
      <c r="S639" s="134">
        <f>Tie_Break!$D$21</f>
        <v>0</v>
      </c>
      <c r="T639" s="9">
        <f ca="1">RANK(R639,R625:R644)+(9-S639)/10000+(F639="")*1000</f>
        <v>16.000900000000001</v>
      </c>
      <c r="U639" s="2"/>
      <c r="V639" s="134">
        <f ca="1">IF($K$24=0,"",IF(VLOOKUP(B639,C625:E644,3,0)=MAX(V$4:V638),VLOOKUP(B639,C625:E644,3,0),B639))</f>
        <v>15</v>
      </c>
      <c r="W639" s="4" t="str">
        <f ca="1">IF($K$24=0,Calc2!$C$18,VLOOKUP(B639,C625:N644,4,0))</f>
        <v>FC St. Pauli</v>
      </c>
      <c r="X639" s="1">
        <f ca="1">INDEX(V598:V617,MATCH(W639,W598:W617,0))</f>
        <v>16</v>
      </c>
      <c r="Y639" s="1">
        <f t="shared" ca="1" si="119"/>
        <v>1</v>
      </c>
    </row>
    <row r="640" spans="2:25" x14ac:dyDescent="0.2">
      <c r="B640" s="1">
        <v>16</v>
      </c>
      <c r="C640" s="9">
        <f ca="1">RANK(D640,D625:D644,1)</f>
        <v>3</v>
      </c>
      <c r="D640" s="134">
        <f t="shared" ca="1" si="117"/>
        <v>3.64</v>
      </c>
      <c r="E640" s="134">
        <f ca="1">RANK(T640,T625:T644,1)</f>
        <v>3</v>
      </c>
      <c r="F640" s="187" t="str">
        <f>Calc2!$C$19</f>
        <v>TSG Hoffenheim</v>
      </c>
      <c r="G640" s="1">
        <f ca="1">SUMIFS(OFFSET(Calc2!$H$4,,,$F$26*B623,1),OFFSET(Calc2!$F$4,,,$F$26*B623,1),F640)+SUMIFS(OFFSET(Calc2!$I$4,,,$F$26*B623,1),OFFSET(Calc2!$G$4,,,$F$26*B623,1),F640)</f>
        <v>49</v>
      </c>
      <c r="H640" s="1">
        <f ca="1">SUMIFS(OFFSET(Calc2!$I$4,,,$F$26*B623,1),OFFSET(Calc2!$F$4,,,$F$26*B623,1),F640)+SUMIFS(OFFSET(Calc2!$H$4,,,$F$26*B623,1),OFFSET(Calc2!$G$4,,,$F$26*B623,1),F640)</f>
        <v>31</v>
      </c>
      <c r="I640" s="134">
        <f t="shared" ca="1" si="115"/>
        <v>18</v>
      </c>
      <c r="J640" s="12">
        <f ca="1">L640*Settings!$C$3+M640+O640</f>
        <v>46</v>
      </c>
      <c r="K640" s="1">
        <f t="shared" ca="1" si="118"/>
        <v>24</v>
      </c>
      <c r="L640" s="1">
        <f t="array" aca="1" ref="L640" ca="1">SUMPRODUCT((OFFSET(Calc2!$F$4,,,$F$26*B623,1)=F640)*(OFFSET(Calc2!$H$4,,,$F$26*B623,1)&gt;OFFSET(Calc2!$I$4,,,$F$26*B623,1)))+SUMPRODUCT((OFFSET(Calc2!$G$4,,,$F$26*B623,1)=F640)*(OFFSET(Calc2!$H$4,,,$F$26*B623,1)&lt;OFFSET(Calc2!$I$4,,,$F$26*B623,1)))</f>
        <v>14</v>
      </c>
      <c r="M640" s="1">
        <f t="array" aca="1" ref="M640" ca="1">SUMPRODUCT((OFFSET(Calc2!$F$4,,,$F$26*B623,2)=F640)*(OFFSET(Calc2!$H$4,,,$F$26*B623,1)=OFFSET(Calc2!$I$4,,,$F$26*B623,1))*(OFFSET(Calc2!$H$4,,,$F$26*B623,1)&lt;&gt;"")*(OFFSET(Calc2!$I$4,,,$F$26*B623,1)&lt;&gt;""))</f>
        <v>4</v>
      </c>
      <c r="N640" s="1">
        <f t="array" aca="1" ref="N640" ca="1">SUMPRODUCT((OFFSET(Calc2!$F$4,,,$F$26*B623,1)=F640)*(OFFSET(Calc2!$H$4,,,$F$26*B623,1)&lt;OFFSET(Calc2!$I$4,,,$F$26*B623,1)))+SUMPRODUCT((OFFSET(Calc2!$G$4,,,$F$26*B623,1)=F640)*(OFFSET(Calc2!$H$4,,,$F$26*B623,1)&gt;OFFSET(Calc2!$I$4,,,$F$26*B623,1)))</f>
        <v>6</v>
      </c>
      <c r="O640" s="132">
        <f ca="1">SUMPRODUCT((F640=OFFSET(Calc2!$F$4,,,$F$26*B623,1))*OFFSET(Calc2!$O$4,,,$F$26*B623,1))+SUMPRODUCT((F640=OFFSET(Calc2!$G$4,,,$F$26*B623,1))*OFFSET(Calc2!$P$4,,,$F$26*B623,1))</f>
        <v>0</v>
      </c>
      <c r="P640" s="2"/>
      <c r="Q640" s="2"/>
      <c r="R640" s="13">
        <f t="shared" ca="1" si="116"/>
        <v>46500018049</v>
      </c>
      <c r="S640" s="134">
        <f>Tie_Break!$D$22</f>
        <v>0</v>
      </c>
      <c r="T640" s="9">
        <f ca="1">RANK(R640,R625:R644)+(9-S640)/10000+(F640="")*1000</f>
        <v>3.0009000000000001</v>
      </c>
      <c r="U640" s="2"/>
      <c r="V640" s="134">
        <f ca="1">IF($K$24=0,"",IF(VLOOKUP(B640,C625:E644,3,0)=MAX(V$4:V639),VLOOKUP(B640,C625:E644,3,0),B640))</f>
        <v>16</v>
      </c>
      <c r="W640" s="4" t="str">
        <f ca="1">IF($K$24=0,Calc2!$C$19,VLOOKUP(B640,C625:N644,4,0))</f>
        <v>SV Werder Bremen</v>
      </c>
      <c r="X640" s="1">
        <f ca="1">INDEX(V598:V617,MATCH(W640,W598:W617,0))</f>
        <v>17</v>
      </c>
      <c r="Y640" s="1">
        <f t="shared" ca="1" si="119"/>
        <v>1</v>
      </c>
    </row>
    <row r="641" spans="2:25" x14ac:dyDescent="0.2">
      <c r="B641" s="1">
        <v>17</v>
      </c>
      <c r="C641" s="9">
        <f ca="1">RANK(D641,D625:D644,1)</f>
        <v>4</v>
      </c>
      <c r="D641" s="134">
        <f t="shared" ca="1" si="117"/>
        <v>4.641</v>
      </c>
      <c r="E641" s="134">
        <f ca="1">RANK(T641,T625:T644,1)</f>
        <v>4</v>
      </c>
      <c r="F641" s="187" t="str">
        <f>Calc2!$C$20</f>
        <v>VfB Stuttgart</v>
      </c>
      <c r="G641" s="1">
        <f ca="1">SUMIFS(OFFSET(Calc2!$H$4,,,$F$26*B623,1),OFFSET(Calc2!$F$4,,,$F$26*B623,1),F641)+SUMIFS(OFFSET(Calc2!$I$4,,,$F$26*B623,1),OFFSET(Calc2!$G$4,,,$F$26*B623,1),F641)</f>
        <v>48</v>
      </c>
      <c r="H641" s="1">
        <f ca="1">SUMIFS(OFFSET(Calc2!$I$4,,,$F$26*B623,1),OFFSET(Calc2!$F$4,,,$F$26*B623,1),F641)+SUMIFS(OFFSET(Calc2!$H$4,,,$F$26*B623,1),OFFSET(Calc2!$G$4,,,$F$26*B623,1),F641)</f>
        <v>32</v>
      </c>
      <c r="I641" s="134">
        <f t="shared" ca="1" si="115"/>
        <v>16</v>
      </c>
      <c r="J641" s="12">
        <f ca="1">L641*Settings!$C$3+M641+O641</f>
        <v>46</v>
      </c>
      <c r="K641" s="1">
        <f t="shared" ca="1" si="118"/>
        <v>24</v>
      </c>
      <c r="L641" s="1">
        <f t="array" aca="1" ref="L641" ca="1">SUMPRODUCT((OFFSET(Calc2!$F$4,,,$F$26*B623,1)=F641)*(OFFSET(Calc2!$H$4,,,$F$26*B623,1)&gt;OFFSET(Calc2!$I$4,,,$F$26*B623,1)))+SUMPRODUCT((OFFSET(Calc2!$G$4,,,$F$26*B623,1)=F641)*(OFFSET(Calc2!$H$4,,,$F$26*B623,1)&lt;OFFSET(Calc2!$I$4,,,$F$26*B623,1)))</f>
        <v>14</v>
      </c>
      <c r="M641" s="1">
        <f t="array" aca="1" ref="M641" ca="1">SUMPRODUCT((OFFSET(Calc2!$F$4,,,$F$26*B623,2)=F641)*(OFFSET(Calc2!$H$4,,,$F$26*B623,1)=OFFSET(Calc2!$I$4,,,$F$26*B623,1))*(OFFSET(Calc2!$H$4,,,$F$26*B623,1)&lt;&gt;"")*(OFFSET(Calc2!$I$4,,,$F$26*B623,1)&lt;&gt;""))</f>
        <v>4</v>
      </c>
      <c r="N641" s="1">
        <f t="array" aca="1" ref="N641" ca="1">SUMPRODUCT((OFFSET(Calc2!$F$4,,,$F$26*B623,1)=F641)*(OFFSET(Calc2!$H$4,,,$F$26*B623,1)&lt;OFFSET(Calc2!$I$4,,,$F$26*B623,1)))+SUMPRODUCT((OFFSET(Calc2!$G$4,,,$F$26*B623,1)=F641)*(OFFSET(Calc2!$H$4,,,$F$26*B623,1)&gt;OFFSET(Calc2!$I$4,,,$F$26*B623,1)))</f>
        <v>6</v>
      </c>
      <c r="O641" s="132">
        <f ca="1">SUMPRODUCT((F641=OFFSET(Calc2!$F$4,,,$F$26*B623,1))*OFFSET(Calc2!$O$4,,,$F$26*B623,1))+SUMPRODUCT((F641=OFFSET(Calc2!$G$4,,,$F$26*B623,1))*OFFSET(Calc2!$P$4,,,$F$26*B623,1))</f>
        <v>0</v>
      </c>
      <c r="P641" s="2"/>
      <c r="Q641" s="2"/>
      <c r="R641" s="13">
        <f t="shared" ca="1" si="116"/>
        <v>46500016048</v>
      </c>
      <c r="S641" s="134">
        <f>Tie_Break!$D$23</f>
        <v>0</v>
      </c>
      <c r="T641" s="9">
        <f ca="1">RANK(R641,R625:R644)+(9-S641)/10000+(F641="")*1000</f>
        <v>4.0008999999999997</v>
      </c>
      <c r="U641" s="2"/>
      <c r="V641" s="134">
        <f ca="1">IF($K$24=0,"",IF(VLOOKUP(B641,C625:E644,3,0)=MAX(V$4:V640),VLOOKUP(B641,C625:E644,3,0),B641))</f>
        <v>17</v>
      </c>
      <c r="W641" s="4" t="str">
        <f ca="1">IF($K$24=0,Calc2!$C$20,VLOOKUP(B641,C625:N644,4,0))</f>
        <v>VfL Wolfsburg</v>
      </c>
      <c r="X641" s="1">
        <f ca="1">INDEX(V598:V617,MATCH(W641,W598:W617,0))</f>
        <v>15</v>
      </c>
      <c r="Y641" s="1">
        <f t="shared" ca="1" si="119"/>
        <v>-1</v>
      </c>
    </row>
    <row r="642" spans="2:25" x14ac:dyDescent="0.2">
      <c r="B642" s="1">
        <v>18</v>
      </c>
      <c r="C642" s="9">
        <f ca="1">RANK(D642,D625:D644,1)</f>
        <v>17</v>
      </c>
      <c r="D642" s="134">
        <f t="shared" ca="1" si="117"/>
        <v>17.641999999999999</v>
      </c>
      <c r="E642" s="134">
        <f ca="1">RANK(T642,T625:T644,1)</f>
        <v>17</v>
      </c>
      <c r="F642" s="187" t="str">
        <f>Calc2!$C$21</f>
        <v>VfL Wolfsburg</v>
      </c>
      <c r="G642" s="1">
        <f ca="1">SUMIFS(OFFSET(Calc2!$H$4,,,$F$26*B623,1),OFFSET(Calc2!$F$4,,,$F$26*B623,1),F642)+SUMIFS(OFFSET(Calc2!$I$4,,,$F$26*B623,1),OFFSET(Calc2!$G$4,,,$F$26*B623,1),F642)</f>
        <v>33</v>
      </c>
      <c r="H642" s="1">
        <f ca="1">SUMIFS(OFFSET(Calc2!$I$4,,,$F$26*B623,1),OFFSET(Calc2!$F$4,,,$F$26*B623,1),F642)+SUMIFS(OFFSET(Calc2!$H$4,,,$F$26*B623,1),OFFSET(Calc2!$G$4,,,$F$26*B623,1),F642)</f>
        <v>53</v>
      </c>
      <c r="I642" s="134">
        <f t="shared" ca="1" si="115"/>
        <v>-20</v>
      </c>
      <c r="J642" s="12">
        <f ca="1">L642*Settings!$C$3+M642+O642</f>
        <v>20</v>
      </c>
      <c r="K642" s="1">
        <f t="shared" ca="1" si="118"/>
        <v>24</v>
      </c>
      <c r="L642" s="1">
        <f t="array" aca="1" ref="L642" ca="1">SUMPRODUCT((OFFSET(Calc2!$F$4,,,$F$26*B623,1)=F642)*(OFFSET(Calc2!$H$4,,,$F$26*B623,1)&gt;OFFSET(Calc2!$I$4,,,$F$26*B623,1)))+SUMPRODUCT((OFFSET(Calc2!$G$4,,,$F$26*B623,1)=F642)*(OFFSET(Calc2!$H$4,,,$F$26*B623,1)&lt;OFFSET(Calc2!$I$4,,,$F$26*B623,1)))</f>
        <v>5</v>
      </c>
      <c r="M642" s="1">
        <f t="array" aca="1" ref="M642" ca="1">SUMPRODUCT((OFFSET(Calc2!$F$4,,,$F$26*B623,2)=F642)*(OFFSET(Calc2!$H$4,,,$F$26*B623,1)=OFFSET(Calc2!$I$4,,,$F$26*B623,1))*(OFFSET(Calc2!$H$4,,,$F$26*B623,1)&lt;&gt;"")*(OFFSET(Calc2!$I$4,,,$F$26*B623,1)&lt;&gt;""))</f>
        <v>5</v>
      </c>
      <c r="N642" s="1">
        <f t="array" aca="1" ref="N642" ca="1">SUMPRODUCT((OFFSET(Calc2!$F$4,,,$F$26*B623,1)=F642)*(OFFSET(Calc2!$H$4,,,$F$26*B623,1)&lt;OFFSET(Calc2!$I$4,,,$F$26*B623,1)))+SUMPRODUCT((OFFSET(Calc2!$G$4,,,$F$26*B623,1)=F642)*(OFFSET(Calc2!$H$4,,,$F$26*B623,1)&gt;OFFSET(Calc2!$I$4,,,$F$26*B623,1)))</f>
        <v>14</v>
      </c>
      <c r="O642" s="132">
        <f ca="1">SUMPRODUCT((F642=OFFSET(Calc2!$F$4,,,$F$26*B623,1))*OFFSET(Calc2!$O$4,,,$F$26*B623,1))+SUMPRODUCT((F642=OFFSET(Calc2!$G$4,,,$F$26*B623,1))*OFFSET(Calc2!$P$4,,,$F$26*B623,1))</f>
        <v>0</v>
      </c>
      <c r="P642" s="2"/>
      <c r="Q642" s="2"/>
      <c r="R642" s="13">
        <f t="shared" ca="1" si="116"/>
        <v>20499980033</v>
      </c>
      <c r="S642" s="134">
        <f>Tie_Break!$D$24</f>
        <v>0</v>
      </c>
      <c r="T642" s="9">
        <f ca="1">RANK(R642,R625:R644)+(9-S642)/10000+(F642="")*1000</f>
        <v>17.000900000000001</v>
      </c>
      <c r="U642" s="2"/>
      <c r="V642" s="134">
        <f ca="1">IF($K$24=0,"",IF(VLOOKUP(B642,C625:E644,3,0)=MAX(V$4:V641),VLOOKUP(B642,C625:E644,3,0),B642))</f>
        <v>18</v>
      </c>
      <c r="W642" s="4" t="str">
        <f ca="1">IF($K$24=0,Calc2!$C$21,VLOOKUP(B642,C625:N644,4,0))</f>
        <v>1. FC Heidenheim 1846</v>
      </c>
      <c r="X642" s="1">
        <f ca="1">INDEX(V598:V617,MATCH(W642,W598:W617,0))</f>
        <v>18</v>
      </c>
      <c r="Y642" s="1">
        <f t="shared" ca="1" si="119"/>
        <v>0</v>
      </c>
    </row>
    <row r="643" spans="2:25" x14ac:dyDescent="0.2">
      <c r="B643" s="1">
        <v>19</v>
      </c>
      <c r="C643" s="9">
        <f ca="1">RANK(D643,D625:D644,1)</f>
        <v>19</v>
      </c>
      <c r="D643" s="134">
        <f t="shared" ca="1" si="117"/>
        <v>19.643000000000001</v>
      </c>
      <c r="E643" s="134">
        <f ca="1">RANK(T643,T625:T644,1)</f>
        <v>19</v>
      </c>
      <c r="F643" s="187" t="str">
        <f>Calc2!$C$22</f>
        <v/>
      </c>
      <c r="G643" s="1">
        <f ca="1">SUMIFS(OFFSET(Calc2!$H$4,,,$F$26*B623,1),OFFSET(Calc2!$F$4,,,$F$26*B623,1),F643)+SUMIFS(OFFSET(Calc2!$I$4,,,$F$26*B623,1),OFFSET(Calc2!$G$4,,,$F$26*B623,1),F643)</f>
        <v>0</v>
      </c>
      <c r="H643" s="1">
        <f ca="1">SUMIFS(OFFSET(Calc2!$I$4,,,$F$26*B623,1),OFFSET(Calc2!$F$4,,,$F$26*B623,1),F643)+SUMIFS(OFFSET(Calc2!$H$4,,,$F$26*B623,1),OFFSET(Calc2!$G$4,,,$F$26*B623,1),F643)</f>
        <v>0</v>
      </c>
      <c r="I643" s="134">
        <f t="shared" ca="1" si="115"/>
        <v>0</v>
      </c>
      <c r="J643" s="12">
        <f ca="1">L643*Settings!$C$3+M643+O643</f>
        <v>0</v>
      </c>
      <c r="K643" s="1">
        <f t="shared" ca="1" si="118"/>
        <v>0</v>
      </c>
      <c r="L643" s="1">
        <f t="array" aca="1" ref="L643" ca="1">SUMPRODUCT((OFFSET(Calc2!$F$4,,,$F$26*B623,1)=F643)*(OFFSET(Calc2!$H$4,,,$F$26*B623,1)&gt;OFFSET(Calc2!$I$4,,,$F$26*B623,1)))+SUMPRODUCT((OFFSET(Calc2!$G$4,,,$F$26*B623,1)=F643)*(OFFSET(Calc2!$H$4,,,$F$26*B623,1)&lt;OFFSET(Calc2!$I$4,,,$F$26*B623,1)))</f>
        <v>0</v>
      </c>
      <c r="M643" s="1">
        <f t="array" aca="1" ref="M643" ca="1">SUMPRODUCT((OFFSET(Calc2!$F$4,,,$F$26*B623,2)=F643)*(OFFSET(Calc2!$H$4,,,$F$26*B623,1)=OFFSET(Calc2!$I$4,,,$F$26*B623,1))*(OFFSET(Calc2!$H$4,,,$F$26*B623,1)&lt;&gt;"")*(OFFSET(Calc2!$I$4,,,$F$26*B623,1)&lt;&gt;""))</f>
        <v>0</v>
      </c>
      <c r="N643" s="1">
        <f t="array" aca="1" ref="N643" ca="1">SUMPRODUCT((OFFSET(Calc2!$F$4,,,$F$26*B623,1)=F643)*(OFFSET(Calc2!$H$4,,,$F$26*B623,1)&lt;OFFSET(Calc2!$I$4,,,$F$26*B623,1)))+SUMPRODUCT((OFFSET(Calc2!$G$4,,,$F$26*B623,1)=F643)*(OFFSET(Calc2!$H$4,,,$F$26*B623,1)&gt;OFFSET(Calc2!$I$4,,,$F$26*B623,1)))</f>
        <v>0</v>
      </c>
      <c r="O643" s="132">
        <f ca="1">SUMPRODUCT((F643=OFFSET(Calc2!$F$4,,,$F$26*B623,1))*OFFSET(Calc2!$O$4,,,$F$26*B623,1))+SUMPRODUCT((F643=OFFSET(Calc2!$G$4,,,$F$26*B623,1))*OFFSET(Calc2!$P$4,,,$F$26*B623,1))</f>
        <v>0</v>
      </c>
      <c r="P643" s="2"/>
      <c r="Q643" s="2"/>
      <c r="R643" s="13">
        <f t="shared" ca="1" si="116"/>
        <v>500000000</v>
      </c>
      <c r="S643" s="134">
        <f>Tie_Break!$D$25</f>
        <v>0</v>
      </c>
      <c r="T643" s="9">
        <f ca="1">RANK(R643,R625:R644)+(9-S643)/10000+(F643="")*1000</f>
        <v>1019.0009</v>
      </c>
      <c r="U643" s="2"/>
      <c r="V643" s="134">
        <f ca="1">IF($K$24=0,"",IF(VLOOKUP(B643,C625:E644,3,0)=MAX(V$4:V642),VLOOKUP(B643,C625:E644,3,0),B643))</f>
        <v>19</v>
      </c>
      <c r="W643" s="4" t="str">
        <f ca="1">IF($K$24=0,Calc2!$C$22,VLOOKUP(B643,C625:N644,4,0))</f>
        <v/>
      </c>
      <c r="X643" s="1">
        <f ca="1">INDEX(V598:V617,MATCH(W643,W598:W617,0))</f>
        <v>19</v>
      </c>
      <c r="Y643" s="1">
        <f t="shared" ca="1" si="119"/>
        <v>0</v>
      </c>
    </row>
    <row r="644" spans="2:25" ht="12.75" thickBot="1" x14ac:dyDescent="0.25">
      <c r="B644" s="1">
        <v>20</v>
      </c>
      <c r="C644" s="10">
        <f ca="1">RANK(D644,D625:D644,1)</f>
        <v>20</v>
      </c>
      <c r="D644" s="134">
        <f t="shared" ca="1" si="117"/>
        <v>19.643999999999998</v>
      </c>
      <c r="E644" s="134">
        <f ca="1">RANK(T644,T625:T644,1)</f>
        <v>19</v>
      </c>
      <c r="F644" s="187" t="str">
        <f>Calc2!$C$23</f>
        <v/>
      </c>
      <c r="G644" s="1">
        <f ca="1">SUMIFS(OFFSET(Calc2!$H$4,,,$F$26*B623,1),OFFSET(Calc2!$F$4,,,$F$26*B623,1),F644)+SUMIFS(OFFSET(Calc2!$I$4,,,$F$26*B623,1),OFFSET(Calc2!$G$4,,,$F$26*B623,1),F644)</f>
        <v>0</v>
      </c>
      <c r="H644" s="1">
        <f ca="1">SUMIFS(OFFSET(Calc2!$I$4,,,$F$26*B623,1),OFFSET(Calc2!$F$4,,,$F$26*B623,1),F644)+SUMIFS(OFFSET(Calc2!$H$4,,,$F$26*B623,1),OFFSET(Calc2!$G$4,,,$F$26*B623,1),F644)</f>
        <v>0</v>
      </c>
      <c r="I644" s="134">
        <f t="shared" ca="1" si="115"/>
        <v>0</v>
      </c>
      <c r="J644" s="12">
        <f ca="1">L644*Settings!$C$3+M644+O644</f>
        <v>0</v>
      </c>
      <c r="K644" s="1">
        <f t="shared" ca="1" si="118"/>
        <v>0</v>
      </c>
      <c r="L644" s="1">
        <f t="array" aca="1" ref="L644" ca="1">SUMPRODUCT((OFFSET(Calc2!$F$4,,,$F$26*B623,1)=F644)*(OFFSET(Calc2!$H$4,,,$F$26*B623,1)&gt;OFFSET(Calc2!$I$4,,,$F$26*B623,1)))+SUMPRODUCT((OFFSET(Calc2!$G$4,,,$F$26*B623,1)=F644)*(OFFSET(Calc2!$H$4,,,$F$26*B623,1)&lt;OFFSET(Calc2!$I$4,,,$F$26*B623,1)))</f>
        <v>0</v>
      </c>
      <c r="M644" s="1">
        <f t="array" aca="1" ref="M644" ca="1">SUMPRODUCT((OFFSET(Calc2!$F$4,,,$F$26*B623,2)=F644)*(OFFSET(Calc2!$H$4,,,$F$26*B623,1)=OFFSET(Calc2!$I$4,,,$F$26*B623,1))*(OFFSET(Calc2!$H$4,,,$F$26*B623,1)&lt;&gt;"")*(OFFSET(Calc2!$I$4,,,$F$26*B623,1)&lt;&gt;""))</f>
        <v>0</v>
      </c>
      <c r="N644" s="1">
        <f t="array" aca="1" ref="N644" ca="1">SUMPRODUCT((OFFSET(Calc2!$F$4,,,$F$26*B623,1)=F644)*(OFFSET(Calc2!$H$4,,,$F$26*B623,1)&lt;OFFSET(Calc2!$I$4,,,$F$26*B623,1)))+SUMPRODUCT((OFFSET(Calc2!$G$4,,,$F$26*B623,1)=F644)*(OFFSET(Calc2!$H$4,,,$F$26*B623,1)&gt;OFFSET(Calc2!$I$4,,,$F$26*B623,1)))</f>
        <v>0</v>
      </c>
      <c r="O644" s="132">
        <f ca="1">SUMPRODUCT((F644=OFFSET(Calc2!$F$4,,,$F$26*B623,1))*OFFSET(Calc2!$O$4,,,$F$26*B623,1))+SUMPRODUCT((F644=OFFSET(Calc2!$G$4,,,$F$26*B623,1))*OFFSET(Calc2!$P$4,,,$F$26*B623,1))</f>
        <v>0</v>
      </c>
      <c r="P644" s="2"/>
      <c r="Q644" s="2"/>
      <c r="R644" s="13">
        <f t="shared" ca="1" si="116"/>
        <v>500000000</v>
      </c>
      <c r="S644" s="134">
        <f>Tie_Break!$D$26</f>
        <v>0</v>
      </c>
      <c r="T644" s="10">
        <f ca="1">RANK(R644,R625:R644)+(9-S644)/10000+(F644="")*1000</f>
        <v>1019.0009</v>
      </c>
      <c r="U644" s="2"/>
      <c r="V644" s="134">
        <f ca="1">IF($K$24=0,"",IF(VLOOKUP(B644,C625:E644,3,0)=MAX(V$4:V643),VLOOKUP(B644,C625:E644,3,0),B644))</f>
        <v>19</v>
      </c>
      <c r="W644" s="4" t="str">
        <f ca="1">IF($K$24=0,Calc2!$C$23,VLOOKUP(B644,C625:N644,4,0))</f>
        <v/>
      </c>
      <c r="X644" s="1">
        <f ca="1">INDEX(V598:V617,MATCH(W644,W598:W617,0))</f>
        <v>19</v>
      </c>
      <c r="Y644" s="1">
        <f t="shared" ca="1" si="119"/>
        <v>0</v>
      </c>
    </row>
    <row r="645" spans="2:25" ht="12.75" thickTop="1" x14ac:dyDescent="0.2"/>
    <row r="649" spans="2:25" ht="12.75" thickBot="1" x14ac:dyDescent="0.25"/>
    <row r="650" spans="2:25" ht="12.75" thickBot="1" x14ac:dyDescent="0.25">
      <c r="B650" s="410">
        <v>25</v>
      </c>
      <c r="C650" s="134"/>
      <c r="D650" s="134"/>
      <c r="E650" s="134"/>
      <c r="F650" s="187"/>
      <c r="G650" s="1"/>
      <c r="H650" s="1"/>
      <c r="I650" s="1"/>
      <c r="J650" s="1"/>
      <c r="K650" s="1"/>
      <c r="L650" s="1"/>
      <c r="M650" s="1"/>
      <c r="N650" s="134"/>
      <c r="O650" s="1"/>
      <c r="P650" s="1"/>
      <c r="Q650" s="1"/>
      <c r="R650" s="2"/>
      <c r="S650" s="2"/>
      <c r="T650" s="2"/>
      <c r="U650" s="2"/>
      <c r="V650" s="2"/>
      <c r="W650" s="2"/>
    </row>
    <row r="651" spans="2:25" ht="15.75" thickBot="1" x14ac:dyDescent="0.25">
      <c r="B651" s="1"/>
      <c r="C651" s="134"/>
      <c r="D651" s="134"/>
      <c r="E651" s="134"/>
      <c r="F651" s="11" t="s">
        <v>90</v>
      </c>
      <c r="G651" s="42" t="s">
        <v>95</v>
      </c>
      <c r="H651" s="42" t="s">
        <v>96</v>
      </c>
      <c r="I651" s="11" t="s">
        <v>97</v>
      </c>
      <c r="J651" s="11" t="s">
        <v>98</v>
      </c>
      <c r="K651" s="11" t="s">
        <v>91</v>
      </c>
      <c r="L651" s="12" t="s">
        <v>92</v>
      </c>
      <c r="M651" s="12" t="s">
        <v>93</v>
      </c>
      <c r="N651" s="12" t="s">
        <v>94</v>
      </c>
      <c r="O651" s="12" t="s">
        <v>534</v>
      </c>
      <c r="P651" s="2"/>
      <c r="Q651" s="11"/>
      <c r="R651" s="133" t="s">
        <v>99</v>
      </c>
      <c r="S651" s="6" t="s">
        <v>483</v>
      </c>
      <c r="T651" s="120" t="s">
        <v>146</v>
      </c>
      <c r="U651" s="134"/>
      <c r="V651" s="134"/>
      <c r="W651" s="132"/>
      <c r="X651" s="120" t="s">
        <v>575</v>
      </c>
      <c r="Y651" s="1"/>
    </row>
    <row r="652" spans="2:25" ht="12.75" thickTop="1" x14ac:dyDescent="0.2">
      <c r="B652" s="1">
        <v>1</v>
      </c>
      <c r="C652" s="8">
        <f ca="1">RANK(D652,D652:D671,1)</f>
        <v>18</v>
      </c>
      <c r="D652" s="134">
        <f ca="1">E652+ROW()/1000</f>
        <v>18.652000000000001</v>
      </c>
      <c r="E652" s="134">
        <f ca="1">RANK(T652,T652:T671,1)</f>
        <v>18</v>
      </c>
      <c r="F652" s="187" t="str">
        <f>Calc2!$C$4</f>
        <v>1. FC Heidenheim 1846</v>
      </c>
      <c r="G652" s="1">
        <f ca="1">SUMIFS(OFFSET(Calc2!$H$4,,,$F$26*B650,1),OFFSET(Calc2!$F$4,,,$F$26*B650,1),F652)+SUMIFS(OFFSET(Calc2!$I$4,,,$F$26*B650,1),OFFSET(Calc2!$G$4,,,$F$26*B650,1),F652)</f>
        <v>24</v>
      </c>
      <c r="H652" s="1">
        <f ca="1">SUMIFS(OFFSET(Calc2!$I$4,,,$F$26*B650,1),OFFSET(Calc2!$F$4,,,$F$26*B650,1),F652)+SUMIFS(OFFSET(Calc2!$H$4,,,$F$26*B650,1),OFFSET(Calc2!$G$4,,,$F$26*B650,1),F652)</f>
        <v>57</v>
      </c>
      <c r="I652" s="134">
        <f t="shared" ref="I652:I671" ca="1" si="120">G652-H652</f>
        <v>-33</v>
      </c>
      <c r="J652" s="12">
        <f ca="1">L652*Settings!$C$3+M652+O652</f>
        <v>14</v>
      </c>
      <c r="K652" s="1">
        <f ca="1">L652+M652+N652</f>
        <v>25</v>
      </c>
      <c r="L652" s="1">
        <f t="array" aca="1" ref="L652" ca="1">SUMPRODUCT((OFFSET(Calc2!$F$4,,,$F$26*B650,1)=F652)*(OFFSET(Calc2!$H$4,,,$F$26*B650,1)&gt;OFFSET(Calc2!$I$4,,,$F$26*B650,1)))+SUMPRODUCT((OFFSET(Calc2!$G$4,,,$F$26*B650,1)=F652)*(OFFSET(Calc2!$H$4,,,$F$26*B650,1)&lt;OFFSET(Calc2!$I$4,,,$F$26*B650,1)))</f>
        <v>3</v>
      </c>
      <c r="M652" s="1">
        <f t="array" aca="1" ref="M652" ca="1">SUMPRODUCT((OFFSET(Calc2!$F$4,,,$F$26*B650,2)=F652)*(OFFSET(Calc2!$H$4,,,$F$26*B650,1)=OFFSET(Calc2!$I$4,,,$F$26*B650,1))*(OFFSET(Calc2!$H$4,,,$F$26*B650,1)&lt;&gt;"")*(OFFSET(Calc2!$I$4,,,$F$26*B650,1)&lt;&gt;""))</f>
        <v>5</v>
      </c>
      <c r="N652" s="1">
        <f t="array" aca="1" ref="N652" ca="1">SUMPRODUCT((OFFSET(Calc2!$F$4,,,$F$26*B650,1)=F652)*(OFFSET(Calc2!$H$4,,,$F$26*B650,1)&lt;OFFSET(Calc2!$I$4,,,$F$26*B650,1)))+SUMPRODUCT((OFFSET(Calc2!$G$4,,,$F$26*B650,1)=F652)*(OFFSET(Calc2!$H$4,,,$F$26*B650,1)&gt;OFFSET(Calc2!$I$4,,,$F$26*B650,1)))</f>
        <v>17</v>
      </c>
      <c r="O652" s="132">
        <f ca="1">SUMPRODUCT((F652=OFFSET(Calc2!$F$4,,,$F$26*B650,1))*OFFSET(Calc2!$O$4,,,$F$26*B650,1))+SUMPRODUCT((F652=OFFSET(Calc2!$G$4,,,$F$26*B650,1))*OFFSET(Calc2!$P$4,,,$F$26*B650,1))</f>
        <v>0</v>
      </c>
      <c r="P652" s="2"/>
      <c r="Q652" s="2"/>
      <c r="R652" s="13">
        <f t="shared" ref="R652:R671" ca="1" si="121">J652*FactorPts+(I652+GDzero)*FactorGD+G652*FactorGF</f>
        <v>14499967024</v>
      </c>
      <c r="S652" s="134">
        <f>Tie_Break!$D$7</f>
        <v>0</v>
      </c>
      <c r="T652" s="8">
        <f ca="1">RANK(R652,R652:R671)+(9-S652)/10000+(F652="")*1000</f>
        <v>18.000900000000001</v>
      </c>
      <c r="U652" s="134"/>
      <c r="V652" s="134">
        <f ca="1">IF($K$24=0,"",1)</f>
        <v>1</v>
      </c>
      <c r="W652" s="4" t="str">
        <f ca="1">IF($K$24=0,Calc2!$C$4,VLOOKUP(B652,C652:N671,4,0))</f>
        <v>FC Bayern München</v>
      </c>
      <c r="X652" s="1">
        <f ca="1">INDEX(V625:V644,MATCH(W652,W625:W644,0))</f>
        <v>1</v>
      </c>
      <c r="Y652" s="1">
        <f ca="1">IF(X652&gt;V652,1,IF(X652&lt;V652,-1,0))</f>
        <v>0</v>
      </c>
    </row>
    <row r="653" spans="2:25" x14ac:dyDescent="0.2">
      <c r="B653" s="1">
        <v>2</v>
      </c>
      <c r="C653" s="9">
        <f ca="1">RANK(D653,D652:D671,1)</f>
        <v>14</v>
      </c>
      <c r="D653" s="134">
        <f t="shared" ref="D653:D671" ca="1" si="122">E653+ROW()/1000</f>
        <v>14.653</v>
      </c>
      <c r="E653" s="134">
        <f ca="1">RANK(T653,T652:T671,1)</f>
        <v>14</v>
      </c>
      <c r="F653" s="187" t="str">
        <f>Calc2!$C$5</f>
        <v>1. FC Köln</v>
      </c>
      <c r="G653" s="1">
        <f ca="1">SUMIFS(OFFSET(Calc2!$H$4,,,$F$26*B650,1),OFFSET(Calc2!$F$4,,,$F$26*B650,1),F653)+SUMIFS(OFFSET(Calc2!$I$4,,,$F$26*B650,1),OFFSET(Calc2!$G$4,,,$F$26*B650,1),F653)</f>
        <v>34</v>
      </c>
      <c r="H653" s="1">
        <f ca="1">SUMIFS(OFFSET(Calc2!$I$4,,,$F$26*B650,1),OFFSET(Calc2!$F$4,,,$F$26*B650,1),F653)+SUMIFS(OFFSET(Calc2!$H$4,,,$F$26*B650,1),OFFSET(Calc2!$G$4,,,$F$26*B650,1),F653)</f>
        <v>43</v>
      </c>
      <c r="I653" s="134">
        <f t="shared" ca="1" si="120"/>
        <v>-9</v>
      </c>
      <c r="J653" s="12">
        <f ca="1">L653*Settings!$C$3+M653+O653</f>
        <v>24</v>
      </c>
      <c r="K653" s="1">
        <f t="shared" ref="K653:K671" ca="1" si="123">L653+M653+N653</f>
        <v>25</v>
      </c>
      <c r="L653" s="1">
        <f t="array" aca="1" ref="L653" ca="1">SUMPRODUCT((OFFSET(Calc2!$F$4,,,$F$26*B650,1)=F653)*(OFFSET(Calc2!$H$4,,,$F$26*B650,1)&gt;OFFSET(Calc2!$I$4,,,$F$26*B650,1)))+SUMPRODUCT((OFFSET(Calc2!$G$4,,,$F$26*B650,1)=F653)*(OFFSET(Calc2!$H$4,,,$F$26*B650,1)&lt;OFFSET(Calc2!$I$4,,,$F$26*B650,1)))</f>
        <v>6</v>
      </c>
      <c r="M653" s="1">
        <f t="array" aca="1" ref="M653" ca="1">SUMPRODUCT((OFFSET(Calc2!$F$4,,,$F$26*B650,2)=F653)*(OFFSET(Calc2!$H$4,,,$F$26*B650,1)=OFFSET(Calc2!$I$4,,,$F$26*B650,1))*(OFFSET(Calc2!$H$4,,,$F$26*B650,1)&lt;&gt;"")*(OFFSET(Calc2!$I$4,,,$F$26*B650,1)&lt;&gt;""))</f>
        <v>6</v>
      </c>
      <c r="N653" s="1">
        <f t="array" aca="1" ref="N653" ca="1">SUMPRODUCT((OFFSET(Calc2!$F$4,,,$F$26*B650,1)=F653)*(OFFSET(Calc2!$H$4,,,$F$26*B650,1)&lt;OFFSET(Calc2!$I$4,,,$F$26*B650,1)))+SUMPRODUCT((OFFSET(Calc2!$G$4,,,$F$26*B650,1)=F653)*(OFFSET(Calc2!$H$4,,,$F$26*B650,1)&gt;OFFSET(Calc2!$I$4,,,$F$26*B650,1)))</f>
        <v>13</v>
      </c>
      <c r="O653" s="132">
        <f ca="1">SUMPRODUCT((F653=OFFSET(Calc2!$F$4,,,$F$26*B650,1))*OFFSET(Calc2!$O$4,,,$F$26*B650,1))+SUMPRODUCT((F653=OFFSET(Calc2!$G$4,,,$F$26*B650,1))*OFFSET(Calc2!$P$4,,,$F$26*B650,1))</f>
        <v>0</v>
      </c>
      <c r="P653" s="2"/>
      <c r="Q653" s="2"/>
      <c r="R653" s="13">
        <f t="shared" ca="1" si="121"/>
        <v>24499991034</v>
      </c>
      <c r="S653" s="134">
        <f>Tie_Break!$D$8</f>
        <v>0</v>
      </c>
      <c r="T653" s="9">
        <f ca="1">RANK(R653,R652:R671)+(9-S653)/10000+(F653="")*1000</f>
        <v>14.0009</v>
      </c>
      <c r="U653" s="134"/>
      <c r="V653" s="134">
        <f ca="1">IF($K$24=0,"",IF(VLOOKUP(B653,C652:E671,3,0)=MAX(V$4:V652),VLOOKUP(B653,C652:E671,3,0),B653))</f>
        <v>2</v>
      </c>
      <c r="W653" s="4" t="str">
        <f ca="1">IF($K$24=0,Calc2!$C$5,VLOOKUP(B653,C652:N671,4,0))</f>
        <v>Borussia Dortmund</v>
      </c>
      <c r="X653" s="1">
        <f ca="1">INDEX(V625:V644,MATCH(W653,W625:W644,0))</f>
        <v>2</v>
      </c>
      <c r="Y653" s="1">
        <f t="shared" ref="Y653:Y671" ca="1" si="124">IF(X653&gt;V653,1,IF(X653&lt;V653,-1,0))</f>
        <v>0</v>
      </c>
    </row>
    <row r="654" spans="2:25" x14ac:dyDescent="0.2">
      <c r="B654" s="1">
        <v>3</v>
      </c>
      <c r="C654" s="9">
        <f ca="1">RANK(D654,D652:D671,1)</f>
        <v>11</v>
      </c>
      <c r="D654" s="134">
        <f t="shared" ca="1" si="122"/>
        <v>11.654</v>
      </c>
      <c r="E654" s="134">
        <f ca="1">RANK(T654,T652:T671,1)</f>
        <v>11</v>
      </c>
      <c r="F654" s="187" t="str">
        <f>Calc2!$C$6</f>
        <v>1. FC Union Berlin</v>
      </c>
      <c r="G654" s="1">
        <f ca="1">SUMIFS(OFFSET(Calc2!$H$4,,,$F$26*B650,1),OFFSET(Calc2!$F$4,,,$F$26*B650,1),F654)+SUMIFS(OFFSET(Calc2!$I$4,,,$F$26*B650,1),OFFSET(Calc2!$G$4,,,$F$26*B650,1),F654)</f>
        <v>30</v>
      </c>
      <c r="H654" s="1">
        <f ca="1">SUMIFS(OFFSET(Calc2!$I$4,,,$F$26*B650,1),OFFSET(Calc2!$F$4,,,$F$26*B650,1),F654)+SUMIFS(OFFSET(Calc2!$H$4,,,$F$26*B650,1),OFFSET(Calc2!$G$4,,,$F$26*B650,1),F654)</f>
        <v>42</v>
      </c>
      <c r="I654" s="134">
        <f t="shared" ca="1" si="120"/>
        <v>-12</v>
      </c>
      <c r="J654" s="12">
        <f ca="1">L654*Settings!$C$3+M654+O654</f>
        <v>28</v>
      </c>
      <c r="K654" s="1">
        <f t="shared" ca="1" si="123"/>
        <v>25</v>
      </c>
      <c r="L654" s="1">
        <f t="array" aca="1" ref="L654" ca="1">SUMPRODUCT((OFFSET(Calc2!$F$4,,,$F$26*B650,1)=F654)*(OFFSET(Calc2!$H$4,,,$F$26*B650,1)&gt;OFFSET(Calc2!$I$4,,,$F$26*B650,1)))+SUMPRODUCT((OFFSET(Calc2!$G$4,,,$F$26*B650,1)=F654)*(OFFSET(Calc2!$H$4,,,$F$26*B650,1)&lt;OFFSET(Calc2!$I$4,,,$F$26*B650,1)))</f>
        <v>7</v>
      </c>
      <c r="M654" s="1">
        <f t="array" aca="1" ref="M654" ca="1">SUMPRODUCT((OFFSET(Calc2!$F$4,,,$F$26*B650,2)=F654)*(OFFSET(Calc2!$H$4,,,$F$26*B650,1)=OFFSET(Calc2!$I$4,,,$F$26*B650,1))*(OFFSET(Calc2!$H$4,,,$F$26*B650,1)&lt;&gt;"")*(OFFSET(Calc2!$I$4,,,$F$26*B650,1)&lt;&gt;""))</f>
        <v>7</v>
      </c>
      <c r="N654" s="1">
        <f t="array" aca="1" ref="N654" ca="1">SUMPRODUCT((OFFSET(Calc2!$F$4,,,$F$26*B650,1)=F654)*(OFFSET(Calc2!$H$4,,,$F$26*B650,1)&lt;OFFSET(Calc2!$I$4,,,$F$26*B650,1)))+SUMPRODUCT((OFFSET(Calc2!$G$4,,,$F$26*B650,1)=F654)*(OFFSET(Calc2!$H$4,,,$F$26*B650,1)&gt;OFFSET(Calc2!$I$4,,,$F$26*B650,1)))</f>
        <v>11</v>
      </c>
      <c r="O654" s="132">
        <f ca="1">SUMPRODUCT((F654=OFFSET(Calc2!$F$4,,,$F$26*B650,1))*OFFSET(Calc2!$O$4,,,$F$26*B650,1))+SUMPRODUCT((F654=OFFSET(Calc2!$G$4,,,$F$26*B650,1))*OFFSET(Calc2!$P$4,,,$F$26*B650,1))</f>
        <v>0</v>
      </c>
      <c r="P654" s="2"/>
      <c r="Q654" s="2"/>
      <c r="R654" s="13">
        <f t="shared" ca="1" si="121"/>
        <v>28499988030</v>
      </c>
      <c r="S654" s="134">
        <f>Tie_Break!$D$9</f>
        <v>0</v>
      </c>
      <c r="T654" s="9">
        <f ca="1">RANK(R654,R652:R671)+(9-S654)/10000+(F654="")*1000</f>
        <v>11.0009</v>
      </c>
      <c r="U654" s="134"/>
      <c r="V654" s="134">
        <f ca="1">IF($K$24=0,"",IF(VLOOKUP(B654,C652:E671,3,0)=MAX(V$4:V653),VLOOKUP(B654,C652:E671,3,0),B654))</f>
        <v>3</v>
      </c>
      <c r="W654" s="4" t="str">
        <f ca="1">IF($K$24=0,Calc2!$C$6,VLOOKUP(B654,C652:N671,4,0))</f>
        <v>TSG Hoffenheim</v>
      </c>
      <c r="X654" s="1">
        <f ca="1">INDEX(V625:V644,MATCH(W654,W625:W644,0))</f>
        <v>3</v>
      </c>
      <c r="Y654" s="1">
        <f t="shared" ca="1" si="124"/>
        <v>0</v>
      </c>
    </row>
    <row r="655" spans="2:25" x14ac:dyDescent="0.2">
      <c r="B655" s="1">
        <v>4</v>
      </c>
      <c r="C655" s="9">
        <f ca="1">RANK(D655,D652:D671,1)</f>
        <v>15</v>
      </c>
      <c r="D655" s="134">
        <f t="shared" ca="1" si="122"/>
        <v>15.654999999999999</v>
      </c>
      <c r="E655" s="134">
        <f ca="1">RANK(T655,T652:T671,1)</f>
        <v>15</v>
      </c>
      <c r="F655" s="187" t="str">
        <f>Calc2!$C$7</f>
        <v>1. FSV Mainz 05</v>
      </c>
      <c r="G655" s="1">
        <f ca="1">SUMIFS(OFFSET(Calc2!$H$4,,,$F$26*B650,1),OFFSET(Calc2!$F$4,,,$F$26*B650,1),F655)+SUMIFS(OFFSET(Calc2!$I$4,,,$F$26*B650,1),OFFSET(Calc2!$G$4,,,$F$26*B650,1),F655)</f>
        <v>29</v>
      </c>
      <c r="H655" s="1">
        <f ca="1">SUMIFS(OFFSET(Calc2!$I$4,,,$F$26*B650,1),OFFSET(Calc2!$F$4,,,$F$26*B650,1),F655)+SUMIFS(OFFSET(Calc2!$H$4,,,$F$26*B650,1),OFFSET(Calc2!$G$4,,,$F$26*B650,1),F655)</f>
        <v>41</v>
      </c>
      <c r="I655" s="134">
        <f t="shared" ca="1" si="120"/>
        <v>-12</v>
      </c>
      <c r="J655" s="12">
        <f ca="1">L655*Settings!$C$3+M655+O655</f>
        <v>24</v>
      </c>
      <c r="K655" s="1">
        <f t="shared" ca="1" si="123"/>
        <v>25</v>
      </c>
      <c r="L655" s="1">
        <f t="array" aca="1" ref="L655" ca="1">SUMPRODUCT((OFFSET(Calc2!$F$4,,,$F$26*B650,1)=F655)*(OFFSET(Calc2!$H$4,,,$F$26*B650,1)&gt;OFFSET(Calc2!$I$4,,,$F$26*B650,1)))+SUMPRODUCT((OFFSET(Calc2!$G$4,,,$F$26*B650,1)=F655)*(OFFSET(Calc2!$H$4,,,$F$26*B650,1)&lt;OFFSET(Calc2!$I$4,,,$F$26*B650,1)))</f>
        <v>5</v>
      </c>
      <c r="M655" s="1">
        <f t="array" aca="1" ref="M655" ca="1">SUMPRODUCT((OFFSET(Calc2!$F$4,,,$F$26*B650,2)=F655)*(OFFSET(Calc2!$H$4,,,$F$26*B650,1)=OFFSET(Calc2!$I$4,,,$F$26*B650,1))*(OFFSET(Calc2!$H$4,,,$F$26*B650,1)&lt;&gt;"")*(OFFSET(Calc2!$I$4,,,$F$26*B650,1)&lt;&gt;""))</f>
        <v>9</v>
      </c>
      <c r="N655" s="1">
        <f t="array" aca="1" ref="N655" ca="1">SUMPRODUCT((OFFSET(Calc2!$F$4,,,$F$26*B650,1)=F655)*(OFFSET(Calc2!$H$4,,,$F$26*B650,1)&lt;OFFSET(Calc2!$I$4,,,$F$26*B650,1)))+SUMPRODUCT((OFFSET(Calc2!$G$4,,,$F$26*B650,1)=F655)*(OFFSET(Calc2!$H$4,,,$F$26*B650,1)&gt;OFFSET(Calc2!$I$4,,,$F$26*B650,1)))</f>
        <v>11</v>
      </c>
      <c r="O655" s="132">
        <f ca="1">SUMPRODUCT((F655=OFFSET(Calc2!$F$4,,,$F$26*B650,1))*OFFSET(Calc2!$O$4,,,$F$26*B650,1))+SUMPRODUCT((F655=OFFSET(Calc2!$G$4,,,$F$26*B650,1))*OFFSET(Calc2!$P$4,,,$F$26*B650,1))</f>
        <v>0</v>
      </c>
      <c r="P655" s="2"/>
      <c r="Q655" s="2"/>
      <c r="R655" s="13">
        <f t="shared" ca="1" si="121"/>
        <v>24499988029</v>
      </c>
      <c r="S655" s="134">
        <f>Tie_Break!$D$10</f>
        <v>0</v>
      </c>
      <c r="T655" s="9">
        <f ca="1">RANK(R655,R652:R671)+(9-S655)/10000+(F655="")*1000</f>
        <v>15.0009</v>
      </c>
      <c r="U655" s="134"/>
      <c r="V655" s="134">
        <f ca="1">IF($K$24=0,"",IF(VLOOKUP(B655,C652:E671,3,0)=MAX(V$4:V654),VLOOKUP(B655,C652:E671,3,0),B655))</f>
        <v>4</v>
      </c>
      <c r="W655" s="4" t="str">
        <f ca="1">IF($K$24=0,Calc2!$C$7,VLOOKUP(B655,C652:N671,4,0))</f>
        <v>VfB Stuttgart</v>
      </c>
      <c r="X655" s="1">
        <f ca="1">INDEX(V625:V644,MATCH(W655,W625:W644,0))</f>
        <v>4</v>
      </c>
      <c r="Y655" s="1">
        <f t="shared" ca="1" si="124"/>
        <v>0</v>
      </c>
    </row>
    <row r="656" spans="2:25" x14ac:dyDescent="0.2">
      <c r="B656" s="1">
        <v>5</v>
      </c>
      <c r="C656" s="9">
        <f ca="1">RANK(D656,D652:D671,1)</f>
        <v>6</v>
      </c>
      <c r="D656" s="134">
        <f t="shared" ca="1" si="122"/>
        <v>6.6559999999999997</v>
      </c>
      <c r="E656" s="134">
        <f ca="1">RANK(T656,T652:T671,1)</f>
        <v>6</v>
      </c>
      <c r="F656" s="187" t="str">
        <f>Calc2!$C$8</f>
        <v>Bayer 04 Leverkusen</v>
      </c>
      <c r="G656" s="1">
        <f ca="1">SUMIFS(OFFSET(Calc2!$H$4,,,$F$26*B650,1),OFFSET(Calc2!$F$4,,,$F$26*B650,1),F656)+SUMIFS(OFFSET(Calc2!$I$4,,,$F$26*B650,1),OFFSET(Calc2!$G$4,,,$F$26*B650,1),F656)</f>
        <v>48</v>
      </c>
      <c r="H656" s="1">
        <f ca="1">SUMIFS(OFFSET(Calc2!$I$4,,,$F$26*B650,1),OFFSET(Calc2!$F$4,,,$F$26*B650,1),F656)+SUMIFS(OFFSET(Calc2!$H$4,,,$F$26*B650,1),OFFSET(Calc2!$G$4,,,$F$26*B650,1),F656)</f>
        <v>32</v>
      </c>
      <c r="I656" s="134">
        <f t="shared" ca="1" si="120"/>
        <v>16</v>
      </c>
      <c r="J656" s="12">
        <f ca="1">L656*Settings!$C$3+M656+O656</f>
        <v>44</v>
      </c>
      <c r="K656" s="1">
        <f t="shared" ca="1" si="123"/>
        <v>25</v>
      </c>
      <c r="L656" s="1">
        <f t="array" aca="1" ref="L656" ca="1">SUMPRODUCT((OFFSET(Calc2!$F$4,,,$F$26*B650,1)=F656)*(OFFSET(Calc2!$H$4,,,$F$26*B650,1)&gt;OFFSET(Calc2!$I$4,,,$F$26*B650,1)))+SUMPRODUCT((OFFSET(Calc2!$G$4,,,$F$26*B650,1)=F656)*(OFFSET(Calc2!$H$4,,,$F$26*B650,1)&lt;OFFSET(Calc2!$I$4,,,$F$26*B650,1)))</f>
        <v>13</v>
      </c>
      <c r="M656" s="1">
        <f t="array" aca="1" ref="M656" ca="1">SUMPRODUCT((OFFSET(Calc2!$F$4,,,$F$26*B650,2)=F656)*(OFFSET(Calc2!$H$4,,,$F$26*B650,1)=OFFSET(Calc2!$I$4,,,$F$26*B650,1))*(OFFSET(Calc2!$H$4,,,$F$26*B650,1)&lt;&gt;"")*(OFFSET(Calc2!$I$4,,,$F$26*B650,1)&lt;&gt;""))</f>
        <v>5</v>
      </c>
      <c r="N656" s="1">
        <f t="array" aca="1" ref="N656" ca="1">SUMPRODUCT((OFFSET(Calc2!$F$4,,,$F$26*B650,1)=F656)*(OFFSET(Calc2!$H$4,,,$F$26*B650,1)&lt;OFFSET(Calc2!$I$4,,,$F$26*B650,1)))+SUMPRODUCT((OFFSET(Calc2!$G$4,,,$F$26*B650,1)=F656)*(OFFSET(Calc2!$H$4,,,$F$26*B650,1)&gt;OFFSET(Calc2!$I$4,,,$F$26*B650,1)))</f>
        <v>7</v>
      </c>
      <c r="O656" s="132">
        <f ca="1">SUMPRODUCT((F656=OFFSET(Calc2!$F$4,,,$F$26*B650,1))*OFFSET(Calc2!$O$4,,,$F$26*B650,1))+SUMPRODUCT((F656=OFFSET(Calc2!$G$4,,,$F$26*B650,1))*OFFSET(Calc2!$P$4,,,$F$26*B650,1))</f>
        <v>0</v>
      </c>
      <c r="P656" s="2"/>
      <c r="Q656" s="2"/>
      <c r="R656" s="13">
        <f t="shared" ca="1" si="121"/>
        <v>44500016048</v>
      </c>
      <c r="S656" s="134">
        <f>Tie_Break!$D$11</f>
        <v>0</v>
      </c>
      <c r="T656" s="9">
        <f ca="1">RANK(R656,R652:R671)+(9-S656)/10000+(F656="")*1000</f>
        <v>6.0008999999999997</v>
      </c>
      <c r="U656" s="134"/>
      <c r="V656" s="134">
        <f ca="1">IF($K$24=0,"",IF(VLOOKUP(B656,C652:E671,3,0)=MAX(V$4:V655),VLOOKUP(B656,C652:E671,3,0),B656))</f>
        <v>5</v>
      </c>
      <c r="W656" s="4" t="str">
        <f ca="1">IF($K$24=0,Calc2!$C$8,VLOOKUP(B656,C652:N671,4,0))</f>
        <v>RB Leipzig</v>
      </c>
      <c r="X656" s="1">
        <f ca="1">INDEX(V625:V644,MATCH(W656,W625:W644,0))</f>
        <v>5</v>
      </c>
      <c r="Y656" s="1">
        <f t="shared" ca="1" si="124"/>
        <v>0</v>
      </c>
    </row>
    <row r="657" spans="2:25" x14ac:dyDescent="0.2">
      <c r="B657" s="1">
        <v>6</v>
      </c>
      <c r="C657" s="9">
        <f ca="1">RANK(D657,D652:D671,1)</f>
        <v>2</v>
      </c>
      <c r="D657" s="134">
        <f t="shared" ca="1" si="122"/>
        <v>2.657</v>
      </c>
      <c r="E657" s="134">
        <f ca="1">RANK(T657,T652:T671,1)</f>
        <v>2</v>
      </c>
      <c r="F657" s="187" t="str">
        <f>Calc2!$C$9</f>
        <v>Borussia Dortmund</v>
      </c>
      <c r="G657" s="1">
        <f ca="1">SUMIFS(OFFSET(Calc2!$H$4,,,$F$26*B650,1),OFFSET(Calc2!$F$4,,,$F$26*B650,1),F657)+SUMIFS(OFFSET(Calc2!$I$4,,,$F$26*B650,1),OFFSET(Calc2!$G$4,,,$F$26*B650,1),F657)</f>
        <v>53</v>
      </c>
      <c r="H657" s="1">
        <f ca="1">SUMIFS(OFFSET(Calc2!$I$4,,,$F$26*B650,1),OFFSET(Calc2!$F$4,,,$F$26*B650,1),F657)+SUMIFS(OFFSET(Calc2!$H$4,,,$F$26*B650,1),OFFSET(Calc2!$G$4,,,$F$26*B650,1),F657)</f>
        <v>26</v>
      </c>
      <c r="I657" s="134">
        <f t="shared" ca="1" si="120"/>
        <v>27</v>
      </c>
      <c r="J657" s="12">
        <f ca="1">L657*Settings!$C$3+M657+O657</f>
        <v>55</v>
      </c>
      <c r="K657" s="1">
        <f t="shared" ca="1" si="123"/>
        <v>25</v>
      </c>
      <c r="L657" s="1">
        <f t="array" aca="1" ref="L657" ca="1">SUMPRODUCT((OFFSET(Calc2!$F$4,,,$F$26*B650,1)=F657)*(OFFSET(Calc2!$H$4,,,$F$26*B650,1)&gt;OFFSET(Calc2!$I$4,,,$F$26*B650,1)))+SUMPRODUCT((OFFSET(Calc2!$G$4,,,$F$26*B650,1)=F657)*(OFFSET(Calc2!$H$4,,,$F$26*B650,1)&lt;OFFSET(Calc2!$I$4,,,$F$26*B650,1)))</f>
        <v>16</v>
      </c>
      <c r="M657" s="1">
        <f t="array" aca="1" ref="M657" ca="1">SUMPRODUCT((OFFSET(Calc2!$F$4,,,$F$26*B650,2)=F657)*(OFFSET(Calc2!$H$4,,,$F$26*B650,1)=OFFSET(Calc2!$I$4,,,$F$26*B650,1))*(OFFSET(Calc2!$H$4,,,$F$26*B650,1)&lt;&gt;"")*(OFFSET(Calc2!$I$4,,,$F$26*B650,1)&lt;&gt;""))</f>
        <v>7</v>
      </c>
      <c r="N657" s="1">
        <f t="array" aca="1" ref="N657" ca="1">SUMPRODUCT((OFFSET(Calc2!$F$4,,,$F$26*B650,1)=F657)*(OFFSET(Calc2!$H$4,,,$F$26*B650,1)&lt;OFFSET(Calc2!$I$4,,,$F$26*B650,1)))+SUMPRODUCT((OFFSET(Calc2!$G$4,,,$F$26*B650,1)=F657)*(OFFSET(Calc2!$H$4,,,$F$26*B650,1)&gt;OFFSET(Calc2!$I$4,,,$F$26*B650,1)))</f>
        <v>2</v>
      </c>
      <c r="O657" s="132">
        <f ca="1">SUMPRODUCT((F657=OFFSET(Calc2!$F$4,,,$F$26*B650,1))*OFFSET(Calc2!$O$4,,,$F$26*B650,1))+SUMPRODUCT((F657=OFFSET(Calc2!$G$4,,,$F$26*B650,1))*OFFSET(Calc2!$P$4,,,$F$26*B650,1))</f>
        <v>0</v>
      </c>
      <c r="P657" s="2"/>
      <c r="Q657" s="2"/>
      <c r="R657" s="13">
        <f t="shared" ca="1" si="121"/>
        <v>55500027053</v>
      </c>
      <c r="S657" s="134">
        <f>Tie_Break!$D$12</f>
        <v>0</v>
      </c>
      <c r="T657" s="9">
        <f ca="1">RANK(R657,R652:R671)+(9-S657)/10000+(F657="")*1000</f>
        <v>2.0009000000000001</v>
      </c>
      <c r="U657" s="134"/>
      <c r="V657" s="134">
        <f ca="1">IF($K$24=0,"",IF(VLOOKUP(B657,C652:E671,3,0)=MAX(V$4:V656),VLOOKUP(B657,C652:E671,3,0),B657))</f>
        <v>6</v>
      </c>
      <c r="W657" s="4" t="str">
        <f ca="1">IF($K$24=0,Calc2!$C$9,VLOOKUP(B657,C652:N671,4,0))</f>
        <v>Bayer 04 Leverkusen</v>
      </c>
      <c r="X657" s="1">
        <f ca="1">INDEX(V625:V644,MATCH(W657,W625:W644,0))</f>
        <v>6</v>
      </c>
      <c r="Y657" s="1">
        <f t="shared" ca="1" si="124"/>
        <v>0</v>
      </c>
    </row>
    <row r="658" spans="2:25" x14ac:dyDescent="0.2">
      <c r="B658" s="1">
        <v>7</v>
      </c>
      <c r="C658" s="9">
        <f ca="1">RANK(D658,D652:D671,1)</f>
        <v>12</v>
      </c>
      <c r="D658" s="134">
        <f t="shared" ca="1" si="122"/>
        <v>12.657999999999999</v>
      </c>
      <c r="E658" s="134">
        <f ca="1">RANK(T658,T652:T671,1)</f>
        <v>12</v>
      </c>
      <c r="F658" s="187" t="str">
        <f>Calc2!$C$10</f>
        <v>Borussia Mönchengladbach</v>
      </c>
      <c r="G658" s="1">
        <f ca="1">SUMIFS(OFFSET(Calc2!$H$4,,,$F$26*B650,1),OFFSET(Calc2!$F$4,,,$F$26*B650,1),F658)+SUMIFS(OFFSET(Calc2!$I$4,,,$F$26*B650,1),OFFSET(Calc2!$G$4,,,$F$26*B650,1),F658)</f>
        <v>28</v>
      </c>
      <c r="H658" s="1">
        <f ca="1">SUMIFS(OFFSET(Calc2!$I$4,,,$F$26*B650,1),OFFSET(Calc2!$F$4,,,$F$26*B650,1),F658)+SUMIFS(OFFSET(Calc2!$H$4,,,$F$26*B650,1),OFFSET(Calc2!$G$4,,,$F$26*B650,1),F658)</f>
        <v>43</v>
      </c>
      <c r="I658" s="134">
        <f t="shared" ca="1" si="120"/>
        <v>-15</v>
      </c>
      <c r="J658" s="12">
        <f ca="1">L658*Settings!$C$3+M658+O658</f>
        <v>25</v>
      </c>
      <c r="K658" s="1">
        <f t="shared" ca="1" si="123"/>
        <v>25</v>
      </c>
      <c r="L658" s="1">
        <f t="array" aca="1" ref="L658" ca="1">SUMPRODUCT((OFFSET(Calc2!$F$4,,,$F$26*B650,1)=F658)*(OFFSET(Calc2!$H$4,,,$F$26*B650,1)&gt;OFFSET(Calc2!$I$4,,,$F$26*B650,1)))+SUMPRODUCT((OFFSET(Calc2!$G$4,,,$F$26*B650,1)=F658)*(OFFSET(Calc2!$H$4,,,$F$26*B650,1)&lt;OFFSET(Calc2!$I$4,,,$F$26*B650,1)))</f>
        <v>6</v>
      </c>
      <c r="M658" s="1">
        <f t="array" aca="1" ref="M658" ca="1">SUMPRODUCT((OFFSET(Calc2!$F$4,,,$F$26*B650,2)=F658)*(OFFSET(Calc2!$H$4,,,$F$26*B650,1)=OFFSET(Calc2!$I$4,,,$F$26*B650,1))*(OFFSET(Calc2!$H$4,,,$F$26*B650,1)&lt;&gt;"")*(OFFSET(Calc2!$I$4,,,$F$26*B650,1)&lt;&gt;""))</f>
        <v>7</v>
      </c>
      <c r="N658" s="1">
        <f t="array" aca="1" ref="N658" ca="1">SUMPRODUCT((OFFSET(Calc2!$F$4,,,$F$26*B650,1)=F658)*(OFFSET(Calc2!$H$4,,,$F$26*B650,1)&lt;OFFSET(Calc2!$I$4,,,$F$26*B650,1)))+SUMPRODUCT((OFFSET(Calc2!$G$4,,,$F$26*B650,1)=F658)*(OFFSET(Calc2!$H$4,,,$F$26*B650,1)&gt;OFFSET(Calc2!$I$4,,,$F$26*B650,1)))</f>
        <v>12</v>
      </c>
      <c r="O658" s="132">
        <f ca="1">SUMPRODUCT((F658=OFFSET(Calc2!$F$4,,,$F$26*B650,1))*OFFSET(Calc2!$O$4,,,$F$26*B650,1))+SUMPRODUCT((F658=OFFSET(Calc2!$G$4,,,$F$26*B650,1))*OFFSET(Calc2!$P$4,,,$F$26*B650,1))</f>
        <v>0</v>
      </c>
      <c r="P658" s="2"/>
      <c r="Q658" s="2"/>
      <c r="R658" s="13">
        <f t="shared" ca="1" si="121"/>
        <v>25499985028</v>
      </c>
      <c r="S658" s="134">
        <f>Tie_Break!$D$13</f>
        <v>0</v>
      </c>
      <c r="T658" s="9">
        <f ca="1">RANK(R658,R652:R671)+(9-S658)/10000+(F658="")*1000</f>
        <v>12.0009</v>
      </c>
      <c r="U658" s="134"/>
      <c r="V658" s="134">
        <f ca="1">IF($K$24=0,"",IF(VLOOKUP(B658,C652:E671,3,0)=MAX(V$4:V657),VLOOKUP(B658,C652:E671,3,0),B658))</f>
        <v>7</v>
      </c>
      <c r="W658" s="4" t="str">
        <f ca="1">IF($K$24=0,Calc2!$C$10,VLOOKUP(B658,C652:N671,4,0))</f>
        <v>Eintracht Frankfurt</v>
      </c>
      <c r="X658" s="1">
        <f ca="1">INDEX(V625:V644,MATCH(W658,W625:W644,0))</f>
        <v>7</v>
      </c>
      <c r="Y658" s="1">
        <f t="shared" ca="1" si="124"/>
        <v>0</v>
      </c>
    </row>
    <row r="659" spans="2:25" x14ac:dyDescent="0.2">
      <c r="B659" s="1">
        <v>8</v>
      </c>
      <c r="C659" s="9">
        <f ca="1">RANK(D659,D652:D671,1)</f>
        <v>7</v>
      </c>
      <c r="D659" s="134">
        <f t="shared" ca="1" si="122"/>
        <v>7.6589999999999998</v>
      </c>
      <c r="E659" s="134">
        <f ca="1">RANK(T659,T652:T671,1)</f>
        <v>7</v>
      </c>
      <c r="F659" s="187" t="str">
        <f>Calc2!$C$11</f>
        <v>Eintracht Frankfurt</v>
      </c>
      <c r="G659" s="1">
        <f ca="1">SUMIFS(OFFSET(Calc2!$H$4,,,$F$26*B650,1),OFFSET(Calc2!$F$4,,,$F$26*B650,1),F659)+SUMIFS(OFFSET(Calc2!$I$4,,,$F$26*B650,1),OFFSET(Calc2!$G$4,,,$F$26*B650,1),F659)</f>
        <v>48</v>
      </c>
      <c r="H659" s="1">
        <f ca="1">SUMIFS(OFFSET(Calc2!$I$4,,,$F$26*B650,1),OFFSET(Calc2!$F$4,,,$F$26*B650,1),F659)+SUMIFS(OFFSET(Calc2!$H$4,,,$F$26*B650,1),OFFSET(Calc2!$G$4,,,$F$26*B650,1),F659)</f>
        <v>49</v>
      </c>
      <c r="I659" s="134">
        <f t="shared" ca="1" si="120"/>
        <v>-1</v>
      </c>
      <c r="J659" s="12">
        <f ca="1">L659*Settings!$C$3+M659+O659</f>
        <v>35</v>
      </c>
      <c r="K659" s="1">
        <f t="shared" ca="1" si="123"/>
        <v>25</v>
      </c>
      <c r="L659" s="1">
        <f t="array" aca="1" ref="L659" ca="1">SUMPRODUCT((OFFSET(Calc2!$F$4,,,$F$26*B650,1)=F659)*(OFFSET(Calc2!$H$4,,,$F$26*B650,1)&gt;OFFSET(Calc2!$I$4,,,$F$26*B650,1)))+SUMPRODUCT((OFFSET(Calc2!$G$4,,,$F$26*B650,1)=F659)*(OFFSET(Calc2!$H$4,,,$F$26*B650,1)&lt;OFFSET(Calc2!$I$4,,,$F$26*B650,1)))</f>
        <v>9</v>
      </c>
      <c r="M659" s="1">
        <f t="array" aca="1" ref="M659" ca="1">SUMPRODUCT((OFFSET(Calc2!$F$4,,,$F$26*B650,2)=F659)*(OFFSET(Calc2!$H$4,,,$F$26*B650,1)=OFFSET(Calc2!$I$4,,,$F$26*B650,1))*(OFFSET(Calc2!$H$4,,,$F$26*B650,1)&lt;&gt;"")*(OFFSET(Calc2!$I$4,,,$F$26*B650,1)&lt;&gt;""))</f>
        <v>8</v>
      </c>
      <c r="N659" s="1">
        <f t="array" aca="1" ref="N659" ca="1">SUMPRODUCT((OFFSET(Calc2!$F$4,,,$F$26*B650,1)=F659)*(OFFSET(Calc2!$H$4,,,$F$26*B650,1)&lt;OFFSET(Calc2!$I$4,,,$F$26*B650,1)))+SUMPRODUCT((OFFSET(Calc2!$G$4,,,$F$26*B650,1)=F659)*(OFFSET(Calc2!$H$4,,,$F$26*B650,1)&gt;OFFSET(Calc2!$I$4,,,$F$26*B650,1)))</f>
        <v>8</v>
      </c>
      <c r="O659" s="132">
        <f ca="1">SUMPRODUCT((F659=OFFSET(Calc2!$F$4,,,$F$26*B650,1))*OFFSET(Calc2!$O$4,,,$F$26*B650,1))+SUMPRODUCT((F659=OFFSET(Calc2!$G$4,,,$F$26*B650,1))*OFFSET(Calc2!$P$4,,,$F$26*B650,1))</f>
        <v>0</v>
      </c>
      <c r="P659" s="2"/>
      <c r="Q659" s="2"/>
      <c r="R659" s="13">
        <f t="shared" ca="1" si="121"/>
        <v>35499999048</v>
      </c>
      <c r="S659" s="134">
        <f>Tie_Break!$D$14</f>
        <v>0</v>
      </c>
      <c r="T659" s="9">
        <f ca="1">RANK(R659,R652:R671)+(9-S659)/10000+(F659="")*1000</f>
        <v>7.0008999999999997</v>
      </c>
      <c r="U659" s="134"/>
      <c r="V659" s="134">
        <f ca="1">IF($K$24=0,"",IF(VLOOKUP(B659,C652:E671,3,0)=MAX(V$4:V658),VLOOKUP(B659,C652:E671,3,0),B659))</f>
        <v>8</v>
      </c>
      <c r="W659" s="4" t="str">
        <f ca="1">IF($K$24=0,Calc2!$C$11,VLOOKUP(B659,C652:N671,4,0))</f>
        <v>SC Freiburg</v>
      </c>
      <c r="X659" s="1">
        <f ca="1">INDEX(V625:V644,MATCH(W659,W625:W644,0))</f>
        <v>8</v>
      </c>
      <c r="Y659" s="1">
        <f t="shared" ca="1" si="124"/>
        <v>0</v>
      </c>
    </row>
    <row r="660" spans="2:25" x14ac:dyDescent="0.2">
      <c r="B660" s="1">
        <v>9</v>
      </c>
      <c r="C660" s="9">
        <f ca="1">RANK(D660,D652:D671,1)</f>
        <v>9</v>
      </c>
      <c r="D660" s="134">
        <f t="shared" ca="1" si="122"/>
        <v>9.66</v>
      </c>
      <c r="E660" s="134">
        <f ca="1">RANK(T660,T652:T671,1)</f>
        <v>9</v>
      </c>
      <c r="F660" s="187" t="str">
        <f>Calc2!$C$12</f>
        <v>FC Augsburg</v>
      </c>
      <c r="G660" s="1">
        <f ca="1">SUMIFS(OFFSET(Calc2!$H$4,,,$F$26*B650,1),OFFSET(Calc2!$F$4,,,$F$26*B650,1),F660)+SUMIFS(OFFSET(Calc2!$I$4,,,$F$26*B650,1),OFFSET(Calc2!$G$4,,,$F$26*B650,1),F660)</f>
        <v>31</v>
      </c>
      <c r="H660" s="1">
        <f ca="1">SUMIFS(OFFSET(Calc2!$I$4,,,$F$26*B650,1),OFFSET(Calc2!$F$4,,,$F$26*B650,1),F660)+SUMIFS(OFFSET(Calc2!$H$4,,,$F$26*B650,1),OFFSET(Calc2!$G$4,,,$F$26*B650,1),F660)</f>
        <v>43</v>
      </c>
      <c r="I660" s="134">
        <f t="shared" ca="1" si="120"/>
        <v>-12</v>
      </c>
      <c r="J660" s="12">
        <f ca="1">L660*Settings!$C$3+M660+O660</f>
        <v>31</v>
      </c>
      <c r="K660" s="1">
        <f t="shared" ca="1" si="123"/>
        <v>25</v>
      </c>
      <c r="L660" s="1">
        <f t="array" aca="1" ref="L660" ca="1">SUMPRODUCT((OFFSET(Calc2!$F$4,,,$F$26*B650,1)=F660)*(OFFSET(Calc2!$H$4,,,$F$26*B650,1)&gt;OFFSET(Calc2!$I$4,,,$F$26*B650,1)))+SUMPRODUCT((OFFSET(Calc2!$G$4,,,$F$26*B650,1)=F660)*(OFFSET(Calc2!$H$4,,,$F$26*B650,1)&lt;OFFSET(Calc2!$I$4,,,$F$26*B650,1)))</f>
        <v>9</v>
      </c>
      <c r="M660" s="1">
        <f t="array" aca="1" ref="M660" ca="1">SUMPRODUCT((OFFSET(Calc2!$F$4,,,$F$26*B650,2)=F660)*(OFFSET(Calc2!$H$4,,,$F$26*B650,1)=OFFSET(Calc2!$I$4,,,$F$26*B650,1))*(OFFSET(Calc2!$H$4,,,$F$26*B650,1)&lt;&gt;"")*(OFFSET(Calc2!$I$4,,,$F$26*B650,1)&lt;&gt;""))</f>
        <v>4</v>
      </c>
      <c r="N660" s="1">
        <f t="array" aca="1" ref="N660" ca="1">SUMPRODUCT((OFFSET(Calc2!$F$4,,,$F$26*B650,1)=F660)*(OFFSET(Calc2!$H$4,,,$F$26*B650,1)&lt;OFFSET(Calc2!$I$4,,,$F$26*B650,1)))+SUMPRODUCT((OFFSET(Calc2!$G$4,,,$F$26*B650,1)=F660)*(OFFSET(Calc2!$H$4,,,$F$26*B650,1)&gt;OFFSET(Calc2!$I$4,,,$F$26*B650,1)))</f>
        <v>12</v>
      </c>
      <c r="O660" s="132">
        <f ca="1">SUMPRODUCT((F660=OFFSET(Calc2!$F$4,,,$F$26*B650,1))*OFFSET(Calc2!$O$4,,,$F$26*B650,1))+SUMPRODUCT((F660=OFFSET(Calc2!$G$4,,,$F$26*B650,1))*OFFSET(Calc2!$P$4,,,$F$26*B650,1))</f>
        <v>0</v>
      </c>
      <c r="P660" s="2"/>
      <c r="Q660" s="2"/>
      <c r="R660" s="13">
        <f t="shared" ca="1" si="121"/>
        <v>31499988031</v>
      </c>
      <c r="S660" s="134">
        <f>Tie_Break!$D$15</f>
        <v>0</v>
      </c>
      <c r="T660" s="9">
        <f ca="1">RANK(R660,R652:R671)+(9-S660)/10000+(F660="")*1000</f>
        <v>9.0008999999999997</v>
      </c>
      <c r="U660" s="134"/>
      <c r="V660" s="134">
        <f ca="1">IF($K$24=0,"",IF(VLOOKUP(B660,C652:E671,3,0)=MAX(V$4:V659),VLOOKUP(B660,C652:E671,3,0),B660))</f>
        <v>9</v>
      </c>
      <c r="W660" s="4" t="str">
        <f ca="1">IF($K$24=0,Calc2!$C$12,VLOOKUP(B660,C652:N671,4,0))</f>
        <v>FC Augsburg</v>
      </c>
      <c r="X660" s="1">
        <f ca="1">INDEX(V625:V644,MATCH(W660,W625:W644,0))</f>
        <v>9</v>
      </c>
      <c r="Y660" s="1">
        <f t="shared" ca="1" si="124"/>
        <v>0</v>
      </c>
    </row>
    <row r="661" spans="2:25" x14ac:dyDescent="0.2">
      <c r="B661" s="1">
        <v>10</v>
      </c>
      <c r="C661" s="9">
        <f ca="1">RANK(D661,D652:D671,1)</f>
        <v>1</v>
      </c>
      <c r="D661" s="134">
        <f t="shared" ca="1" si="122"/>
        <v>1.661</v>
      </c>
      <c r="E661" s="134">
        <f ca="1">RANK(T661,T652:T671,1)</f>
        <v>1</v>
      </c>
      <c r="F661" s="187" t="str">
        <f>Calc2!$C$13</f>
        <v>FC Bayern München</v>
      </c>
      <c r="G661" s="1">
        <f ca="1">SUMIFS(OFFSET(Calc2!$H$4,,,$F$26*B650,1),OFFSET(Calc2!$F$4,,,$F$26*B650,1),F661)+SUMIFS(OFFSET(Calc2!$I$4,,,$F$26*B650,1),OFFSET(Calc2!$G$4,,,$F$26*B650,1),F661)</f>
        <v>92</v>
      </c>
      <c r="H661" s="1">
        <f ca="1">SUMIFS(OFFSET(Calc2!$I$4,,,$F$26*B650,1),OFFSET(Calc2!$F$4,,,$F$26*B650,1),F661)+SUMIFS(OFFSET(Calc2!$H$4,,,$F$26*B650,1),OFFSET(Calc2!$G$4,,,$F$26*B650,1),F661)</f>
        <v>24</v>
      </c>
      <c r="I661" s="134">
        <f t="shared" ca="1" si="120"/>
        <v>68</v>
      </c>
      <c r="J661" s="12">
        <f ca="1">L661*Settings!$C$3+M661+O661</f>
        <v>66</v>
      </c>
      <c r="K661" s="1">
        <f t="shared" ca="1" si="123"/>
        <v>25</v>
      </c>
      <c r="L661" s="1">
        <f t="array" aca="1" ref="L661" ca="1">SUMPRODUCT((OFFSET(Calc2!$F$4,,,$F$26*B650,1)=F661)*(OFFSET(Calc2!$H$4,,,$F$26*B650,1)&gt;OFFSET(Calc2!$I$4,,,$F$26*B650,1)))+SUMPRODUCT((OFFSET(Calc2!$G$4,,,$F$26*B650,1)=F661)*(OFFSET(Calc2!$H$4,,,$F$26*B650,1)&lt;OFFSET(Calc2!$I$4,,,$F$26*B650,1)))</f>
        <v>21</v>
      </c>
      <c r="M661" s="1">
        <f t="array" aca="1" ref="M661" ca="1">SUMPRODUCT((OFFSET(Calc2!$F$4,,,$F$26*B650,2)=F661)*(OFFSET(Calc2!$H$4,,,$F$26*B650,1)=OFFSET(Calc2!$I$4,,,$F$26*B650,1))*(OFFSET(Calc2!$H$4,,,$F$26*B650,1)&lt;&gt;"")*(OFFSET(Calc2!$I$4,,,$F$26*B650,1)&lt;&gt;""))</f>
        <v>3</v>
      </c>
      <c r="N661" s="1">
        <f t="array" aca="1" ref="N661" ca="1">SUMPRODUCT((OFFSET(Calc2!$F$4,,,$F$26*B650,1)=F661)*(OFFSET(Calc2!$H$4,,,$F$26*B650,1)&lt;OFFSET(Calc2!$I$4,,,$F$26*B650,1)))+SUMPRODUCT((OFFSET(Calc2!$G$4,,,$F$26*B650,1)=F661)*(OFFSET(Calc2!$H$4,,,$F$26*B650,1)&gt;OFFSET(Calc2!$I$4,,,$F$26*B650,1)))</f>
        <v>1</v>
      </c>
      <c r="O661" s="132">
        <f ca="1">SUMPRODUCT((F661=OFFSET(Calc2!$F$4,,,$F$26*B650,1))*OFFSET(Calc2!$O$4,,,$F$26*B650,1))+SUMPRODUCT((F661=OFFSET(Calc2!$G$4,,,$F$26*B650,1))*OFFSET(Calc2!$P$4,,,$F$26*B650,1))</f>
        <v>0</v>
      </c>
      <c r="P661" s="2"/>
      <c r="Q661" s="2"/>
      <c r="R661" s="13">
        <f t="shared" ca="1" si="121"/>
        <v>66500068092</v>
      </c>
      <c r="S661" s="134">
        <f>Tie_Break!$D$16</f>
        <v>0</v>
      </c>
      <c r="T661" s="9">
        <f ca="1">RANK(R661,R652:R671)+(9-S661)/10000+(F661="")*1000</f>
        <v>1.0008999999999999</v>
      </c>
      <c r="U661" s="2"/>
      <c r="V661" s="134">
        <f ca="1">IF($K$24=0,"",IF(VLOOKUP(B661,C652:E671,3,0)=MAX(V$4:V660),VLOOKUP(B661,C652:E671,3,0),B661))</f>
        <v>10</v>
      </c>
      <c r="W661" s="4" t="str">
        <f ca="1">IF($K$24=0,Calc2!$C$13,VLOOKUP(B661,C652:N671,4,0))</f>
        <v>Hamburger SV</v>
      </c>
      <c r="X661" s="1">
        <f ca="1">INDEX(V625:V644,MATCH(W661,W625:W644,0))</f>
        <v>11</v>
      </c>
      <c r="Y661" s="1">
        <f t="shared" ca="1" si="124"/>
        <v>1</v>
      </c>
    </row>
    <row r="662" spans="2:25" x14ac:dyDescent="0.2">
      <c r="B662" s="1">
        <v>11</v>
      </c>
      <c r="C662" s="9">
        <f ca="1">RANK(D662,D652:D671,1)</f>
        <v>16</v>
      </c>
      <c r="D662" s="134">
        <f t="shared" ca="1" si="122"/>
        <v>16.661999999999999</v>
      </c>
      <c r="E662" s="134">
        <f ca="1">RANK(T662,T652:T671,1)</f>
        <v>16</v>
      </c>
      <c r="F662" s="187" t="str">
        <f>Calc2!$C$14</f>
        <v>FC St. Pauli</v>
      </c>
      <c r="G662" s="1">
        <f ca="1">SUMIFS(OFFSET(Calc2!$H$4,,,$F$26*B650,1),OFFSET(Calc2!$F$4,,,$F$26*B650,1),F662)+SUMIFS(OFFSET(Calc2!$I$4,,,$F$26*B650,1),OFFSET(Calc2!$G$4,,,$F$26*B650,1),F662)</f>
        <v>23</v>
      </c>
      <c r="H662" s="1">
        <f ca="1">SUMIFS(OFFSET(Calc2!$I$4,,,$F$26*B650,1),OFFSET(Calc2!$F$4,,,$F$26*B650,1),F662)+SUMIFS(OFFSET(Calc2!$H$4,,,$F$26*B650,1),OFFSET(Calc2!$G$4,,,$F$26*B650,1),F662)</f>
        <v>40</v>
      </c>
      <c r="I662" s="134">
        <f t="shared" ca="1" si="120"/>
        <v>-17</v>
      </c>
      <c r="J662" s="12">
        <f ca="1">L662*Settings!$C$3+M662+O662</f>
        <v>24</v>
      </c>
      <c r="K662" s="1">
        <f t="shared" ca="1" si="123"/>
        <v>25</v>
      </c>
      <c r="L662" s="1">
        <f t="array" aca="1" ref="L662" ca="1">SUMPRODUCT((OFFSET(Calc2!$F$4,,,$F$26*B650,1)=F662)*(OFFSET(Calc2!$H$4,,,$F$26*B650,1)&gt;OFFSET(Calc2!$I$4,,,$F$26*B650,1)))+SUMPRODUCT((OFFSET(Calc2!$G$4,,,$F$26*B650,1)=F662)*(OFFSET(Calc2!$H$4,,,$F$26*B650,1)&lt;OFFSET(Calc2!$I$4,,,$F$26*B650,1)))</f>
        <v>6</v>
      </c>
      <c r="M662" s="1">
        <f t="array" aca="1" ref="M662" ca="1">SUMPRODUCT((OFFSET(Calc2!$F$4,,,$F$26*B650,2)=F662)*(OFFSET(Calc2!$H$4,,,$F$26*B650,1)=OFFSET(Calc2!$I$4,,,$F$26*B650,1))*(OFFSET(Calc2!$H$4,,,$F$26*B650,1)&lt;&gt;"")*(OFFSET(Calc2!$I$4,,,$F$26*B650,1)&lt;&gt;""))</f>
        <v>6</v>
      </c>
      <c r="N662" s="1">
        <f t="array" aca="1" ref="N662" ca="1">SUMPRODUCT((OFFSET(Calc2!$F$4,,,$F$26*B650,1)=F662)*(OFFSET(Calc2!$H$4,,,$F$26*B650,1)&lt;OFFSET(Calc2!$I$4,,,$F$26*B650,1)))+SUMPRODUCT((OFFSET(Calc2!$G$4,,,$F$26*B650,1)=F662)*(OFFSET(Calc2!$H$4,,,$F$26*B650,1)&gt;OFFSET(Calc2!$I$4,,,$F$26*B650,1)))</f>
        <v>13</v>
      </c>
      <c r="O662" s="132">
        <f ca="1">SUMPRODUCT((F662=OFFSET(Calc2!$F$4,,,$F$26*B650,1))*OFFSET(Calc2!$O$4,,,$F$26*B650,1))+SUMPRODUCT((F662=OFFSET(Calc2!$G$4,,,$F$26*B650,1))*OFFSET(Calc2!$P$4,,,$F$26*B650,1))</f>
        <v>0</v>
      </c>
      <c r="P662" s="2"/>
      <c r="Q662" s="2"/>
      <c r="R662" s="13">
        <f t="shared" ca="1" si="121"/>
        <v>24499983023</v>
      </c>
      <c r="S662" s="134">
        <f>Tie_Break!$D$17</f>
        <v>0</v>
      </c>
      <c r="T662" s="9">
        <f ca="1">RANK(R662,R652:R671)+(9-S662)/10000+(F662="")*1000</f>
        <v>16.000900000000001</v>
      </c>
      <c r="U662" s="2"/>
      <c r="V662" s="134">
        <f ca="1">IF($K$24=0,"",IF(VLOOKUP(B662,C652:E671,3,0)=MAX(V$4:V661),VLOOKUP(B662,C652:E671,3,0),B662))</f>
        <v>11</v>
      </c>
      <c r="W662" s="4" t="str">
        <f ca="1">IF($K$24=0,Calc2!$C$14,VLOOKUP(B662,C652:N671,4,0))</f>
        <v>1. FC Union Berlin</v>
      </c>
      <c r="X662" s="1">
        <f ca="1">INDEX(V625:V644,MATCH(W662,W625:W644,0))</f>
        <v>10</v>
      </c>
      <c r="Y662" s="1">
        <f t="shared" ca="1" si="124"/>
        <v>-1</v>
      </c>
    </row>
    <row r="663" spans="2:25" x14ac:dyDescent="0.2">
      <c r="B663" s="1">
        <v>12</v>
      </c>
      <c r="C663" s="9">
        <f ca="1">RANK(D663,D652:D671,1)</f>
        <v>10</v>
      </c>
      <c r="D663" s="134">
        <f t="shared" ca="1" si="122"/>
        <v>10.663</v>
      </c>
      <c r="E663" s="134">
        <f ca="1">RANK(T663,T652:T671,1)</f>
        <v>10</v>
      </c>
      <c r="F663" s="187" t="str">
        <f>Calc2!$C$15</f>
        <v>Hamburger SV</v>
      </c>
      <c r="G663" s="1">
        <f ca="1">SUMIFS(OFFSET(Calc2!$H$4,,,$F$26*B650,1),OFFSET(Calc2!$F$4,,,$F$26*B650,1),F663)+SUMIFS(OFFSET(Calc2!$I$4,,,$F$26*B650,1),OFFSET(Calc2!$G$4,,,$F$26*B650,1),F663)</f>
        <v>28</v>
      </c>
      <c r="H663" s="1">
        <f ca="1">SUMIFS(OFFSET(Calc2!$I$4,,,$F$26*B650,1),OFFSET(Calc2!$F$4,,,$F$26*B650,1),F663)+SUMIFS(OFFSET(Calc2!$H$4,,,$F$26*B650,1),OFFSET(Calc2!$G$4,,,$F$26*B650,1),F663)</f>
        <v>36</v>
      </c>
      <c r="I663" s="134">
        <f t="shared" ca="1" si="120"/>
        <v>-8</v>
      </c>
      <c r="J663" s="12">
        <f ca="1">L663*Settings!$C$3+M663+O663</f>
        <v>29</v>
      </c>
      <c r="K663" s="1">
        <f t="shared" ca="1" si="123"/>
        <v>25</v>
      </c>
      <c r="L663" s="1">
        <f t="array" aca="1" ref="L663" ca="1">SUMPRODUCT((OFFSET(Calc2!$F$4,,,$F$26*B650,1)=F663)*(OFFSET(Calc2!$H$4,,,$F$26*B650,1)&gt;OFFSET(Calc2!$I$4,,,$F$26*B650,1)))+SUMPRODUCT((OFFSET(Calc2!$G$4,,,$F$26*B650,1)=F663)*(OFFSET(Calc2!$H$4,,,$F$26*B650,1)&lt;OFFSET(Calc2!$I$4,,,$F$26*B650,1)))</f>
        <v>7</v>
      </c>
      <c r="M663" s="1">
        <f t="array" aca="1" ref="M663" ca="1">SUMPRODUCT((OFFSET(Calc2!$F$4,,,$F$26*B650,2)=F663)*(OFFSET(Calc2!$H$4,,,$F$26*B650,1)=OFFSET(Calc2!$I$4,,,$F$26*B650,1))*(OFFSET(Calc2!$H$4,,,$F$26*B650,1)&lt;&gt;"")*(OFFSET(Calc2!$I$4,,,$F$26*B650,1)&lt;&gt;""))</f>
        <v>8</v>
      </c>
      <c r="N663" s="1">
        <f t="array" aca="1" ref="N663" ca="1">SUMPRODUCT((OFFSET(Calc2!$F$4,,,$F$26*B650,1)=F663)*(OFFSET(Calc2!$H$4,,,$F$26*B650,1)&lt;OFFSET(Calc2!$I$4,,,$F$26*B650,1)))+SUMPRODUCT((OFFSET(Calc2!$G$4,,,$F$26*B650,1)=F663)*(OFFSET(Calc2!$H$4,,,$F$26*B650,1)&gt;OFFSET(Calc2!$I$4,,,$F$26*B650,1)))</f>
        <v>10</v>
      </c>
      <c r="O663" s="132">
        <f ca="1">SUMPRODUCT((F663=OFFSET(Calc2!$F$4,,,$F$26*B650,1))*OFFSET(Calc2!$O$4,,,$F$26*B650,1))+SUMPRODUCT((F663=OFFSET(Calc2!$G$4,,,$F$26*B650,1))*OFFSET(Calc2!$P$4,,,$F$26*B650,1))</f>
        <v>0</v>
      </c>
      <c r="P663" s="2"/>
      <c r="Q663" s="2"/>
      <c r="R663" s="13">
        <f t="shared" ca="1" si="121"/>
        <v>29499992028</v>
      </c>
      <c r="S663" s="134">
        <f>Tie_Break!$D$18</f>
        <v>0</v>
      </c>
      <c r="T663" s="9">
        <f ca="1">RANK(R663,R652:R671)+(9-S663)/10000+(F663="")*1000</f>
        <v>10.0009</v>
      </c>
      <c r="U663" s="2"/>
      <c r="V663" s="134">
        <f ca="1">IF($K$24=0,"",IF(VLOOKUP(B663,C652:E671,3,0)=MAX(V$4:V662),VLOOKUP(B663,C652:E671,3,0),B663))</f>
        <v>12</v>
      </c>
      <c r="W663" s="4" t="str">
        <f ca="1">IF($K$24=0,Calc2!$C$15,VLOOKUP(B663,C652:N671,4,0))</f>
        <v>Borussia Mönchengladbach</v>
      </c>
      <c r="X663" s="1">
        <f ca="1">INDEX(V625:V644,MATCH(W663,W625:W644,0))</f>
        <v>12</v>
      </c>
      <c r="Y663" s="1">
        <f t="shared" ca="1" si="124"/>
        <v>0</v>
      </c>
    </row>
    <row r="664" spans="2:25" x14ac:dyDescent="0.2">
      <c r="B664" s="1">
        <v>13</v>
      </c>
      <c r="C664" s="9">
        <f ca="1">RANK(D664,D652:D671,1)</f>
        <v>5</v>
      </c>
      <c r="D664" s="134">
        <f t="shared" ca="1" si="122"/>
        <v>5.6639999999999997</v>
      </c>
      <c r="E664" s="134">
        <f ca="1">RANK(T664,T652:T671,1)</f>
        <v>5</v>
      </c>
      <c r="F664" s="187" t="str">
        <f>Calc2!$C$16</f>
        <v>RB Leipzig</v>
      </c>
      <c r="G664" s="1">
        <f ca="1">SUMIFS(OFFSET(Calc2!$H$4,,,$F$26*B650,1),OFFSET(Calc2!$F$4,,,$F$26*B650,1),F664)+SUMIFS(OFFSET(Calc2!$I$4,,,$F$26*B650,1),OFFSET(Calc2!$G$4,,,$F$26*B650,1),F664)</f>
        <v>48</v>
      </c>
      <c r="H664" s="1">
        <f ca="1">SUMIFS(OFFSET(Calc2!$I$4,,,$F$26*B650,1),OFFSET(Calc2!$F$4,,,$F$26*B650,1),F664)+SUMIFS(OFFSET(Calc2!$H$4,,,$F$26*B650,1),OFFSET(Calc2!$G$4,,,$F$26*B650,1),F664)</f>
        <v>34</v>
      </c>
      <c r="I664" s="134">
        <f t="shared" ca="1" si="120"/>
        <v>14</v>
      </c>
      <c r="J664" s="12">
        <f ca="1">L664*Settings!$C$3+M664+O664</f>
        <v>47</v>
      </c>
      <c r="K664" s="1">
        <f t="shared" ca="1" si="123"/>
        <v>25</v>
      </c>
      <c r="L664" s="1">
        <f t="array" aca="1" ref="L664" ca="1">SUMPRODUCT((OFFSET(Calc2!$F$4,,,$F$26*B650,1)=F664)*(OFFSET(Calc2!$H$4,,,$F$26*B650,1)&gt;OFFSET(Calc2!$I$4,,,$F$26*B650,1)))+SUMPRODUCT((OFFSET(Calc2!$G$4,,,$F$26*B650,1)=F664)*(OFFSET(Calc2!$H$4,,,$F$26*B650,1)&lt;OFFSET(Calc2!$I$4,,,$F$26*B650,1)))</f>
        <v>14</v>
      </c>
      <c r="M664" s="1">
        <f t="array" aca="1" ref="M664" ca="1">SUMPRODUCT((OFFSET(Calc2!$F$4,,,$F$26*B650,2)=F664)*(OFFSET(Calc2!$H$4,,,$F$26*B650,1)=OFFSET(Calc2!$I$4,,,$F$26*B650,1))*(OFFSET(Calc2!$H$4,,,$F$26*B650,1)&lt;&gt;"")*(OFFSET(Calc2!$I$4,,,$F$26*B650,1)&lt;&gt;""))</f>
        <v>5</v>
      </c>
      <c r="N664" s="1">
        <f t="array" aca="1" ref="N664" ca="1">SUMPRODUCT((OFFSET(Calc2!$F$4,,,$F$26*B650,1)=F664)*(OFFSET(Calc2!$H$4,,,$F$26*B650,1)&lt;OFFSET(Calc2!$I$4,,,$F$26*B650,1)))+SUMPRODUCT((OFFSET(Calc2!$G$4,,,$F$26*B650,1)=F664)*(OFFSET(Calc2!$H$4,,,$F$26*B650,1)&gt;OFFSET(Calc2!$I$4,,,$F$26*B650,1)))</f>
        <v>6</v>
      </c>
      <c r="O664" s="132">
        <f ca="1">SUMPRODUCT((F664=OFFSET(Calc2!$F$4,,,$F$26*B650,1))*OFFSET(Calc2!$O$4,,,$F$26*B650,1))+SUMPRODUCT((F664=OFFSET(Calc2!$G$4,,,$F$26*B650,1))*OFFSET(Calc2!$P$4,,,$F$26*B650,1))</f>
        <v>0</v>
      </c>
      <c r="P664" s="2"/>
      <c r="Q664" s="2"/>
      <c r="R664" s="13">
        <f t="shared" ca="1" si="121"/>
        <v>47500014048</v>
      </c>
      <c r="S664" s="134">
        <f>Tie_Break!$D$19</f>
        <v>0</v>
      </c>
      <c r="T664" s="9">
        <f ca="1">RANK(R664,R652:R671)+(9-S664)/10000+(F664="")*1000</f>
        <v>5.0008999999999997</v>
      </c>
      <c r="U664" s="1"/>
      <c r="V664" s="134">
        <f ca="1">IF($K$24=0,"",IF(VLOOKUP(B664,C652:E671,3,0)=MAX(V$4:V663),VLOOKUP(B664,C652:E671,3,0),B664))</f>
        <v>13</v>
      </c>
      <c r="W664" s="4" t="str">
        <f ca="1">IF($K$24=0,Calc2!$C$16,VLOOKUP(B664,C652:N671,4,0))</f>
        <v>SV Werder Bremen</v>
      </c>
      <c r="X664" s="1">
        <f ca="1">INDEX(V625:V644,MATCH(W664,W625:W644,0))</f>
        <v>16</v>
      </c>
      <c r="Y664" s="1">
        <f t="shared" ca="1" si="124"/>
        <v>1</v>
      </c>
    </row>
    <row r="665" spans="2:25" x14ac:dyDescent="0.2">
      <c r="B665" s="1">
        <v>14</v>
      </c>
      <c r="C665" s="9">
        <f ca="1">RANK(D665,D652:D671,1)</f>
        <v>8</v>
      </c>
      <c r="D665" s="134">
        <f t="shared" ca="1" si="122"/>
        <v>8.6649999999999991</v>
      </c>
      <c r="E665" s="134">
        <f ca="1">RANK(T665,T652:T671,1)</f>
        <v>8</v>
      </c>
      <c r="F665" s="187" t="str">
        <f>Calc2!$C$17</f>
        <v>SC Freiburg</v>
      </c>
      <c r="G665" s="1">
        <f ca="1">SUMIFS(OFFSET(Calc2!$H$4,,,$F$26*B650,1),OFFSET(Calc2!$F$4,,,$F$26*B650,1),F665)+SUMIFS(OFFSET(Calc2!$I$4,,,$F$26*B650,1),OFFSET(Calc2!$G$4,,,$F$26*B650,1),F665)</f>
        <v>37</v>
      </c>
      <c r="H665" s="1">
        <f ca="1">SUMIFS(OFFSET(Calc2!$I$4,,,$F$26*B650,1),OFFSET(Calc2!$F$4,,,$F$26*B650,1),F665)+SUMIFS(OFFSET(Calc2!$H$4,,,$F$26*B650,1),OFFSET(Calc2!$G$4,,,$F$26*B650,1),F665)</f>
        <v>42</v>
      </c>
      <c r="I665" s="134">
        <f t="shared" ca="1" si="120"/>
        <v>-5</v>
      </c>
      <c r="J665" s="12">
        <f ca="1">L665*Settings!$C$3+M665+O665</f>
        <v>34</v>
      </c>
      <c r="K665" s="1">
        <f t="shared" ca="1" si="123"/>
        <v>25</v>
      </c>
      <c r="L665" s="1">
        <f t="array" aca="1" ref="L665" ca="1">SUMPRODUCT((OFFSET(Calc2!$F$4,,,$F$26*B650,1)=F665)*(OFFSET(Calc2!$H$4,,,$F$26*B650,1)&gt;OFFSET(Calc2!$I$4,,,$F$26*B650,1)))+SUMPRODUCT((OFFSET(Calc2!$G$4,,,$F$26*B650,1)=F665)*(OFFSET(Calc2!$H$4,,,$F$26*B650,1)&lt;OFFSET(Calc2!$I$4,,,$F$26*B650,1)))</f>
        <v>9</v>
      </c>
      <c r="M665" s="1">
        <f t="array" aca="1" ref="M665" ca="1">SUMPRODUCT((OFFSET(Calc2!$F$4,,,$F$26*B650,2)=F665)*(OFFSET(Calc2!$H$4,,,$F$26*B650,1)=OFFSET(Calc2!$I$4,,,$F$26*B650,1))*(OFFSET(Calc2!$H$4,,,$F$26*B650,1)&lt;&gt;"")*(OFFSET(Calc2!$I$4,,,$F$26*B650,1)&lt;&gt;""))</f>
        <v>7</v>
      </c>
      <c r="N665" s="1">
        <f t="array" aca="1" ref="N665" ca="1">SUMPRODUCT((OFFSET(Calc2!$F$4,,,$F$26*B650,1)=F665)*(OFFSET(Calc2!$H$4,,,$F$26*B650,1)&lt;OFFSET(Calc2!$I$4,,,$F$26*B650,1)))+SUMPRODUCT((OFFSET(Calc2!$G$4,,,$F$26*B650,1)=F665)*(OFFSET(Calc2!$H$4,,,$F$26*B650,1)&gt;OFFSET(Calc2!$I$4,,,$F$26*B650,1)))</f>
        <v>9</v>
      </c>
      <c r="O665" s="132">
        <f ca="1">SUMPRODUCT((F665=OFFSET(Calc2!$F$4,,,$F$26*B650,1))*OFFSET(Calc2!$O$4,,,$F$26*B650,1))+SUMPRODUCT((F665=OFFSET(Calc2!$G$4,,,$F$26*B650,1))*OFFSET(Calc2!$P$4,,,$F$26*B650,1))</f>
        <v>0</v>
      </c>
      <c r="P665" s="2"/>
      <c r="Q665" s="2"/>
      <c r="R665" s="13">
        <f t="shared" ca="1" si="121"/>
        <v>34499995037</v>
      </c>
      <c r="S665" s="134">
        <f>Tie_Break!$D$20</f>
        <v>0</v>
      </c>
      <c r="T665" s="9">
        <f ca="1">RANK(R665,R652:R671)+(9-S665)/10000+(F665="")*1000</f>
        <v>8.0008999999999997</v>
      </c>
      <c r="U665" s="2"/>
      <c r="V665" s="134">
        <f ca="1">IF($K$24=0,"",IF(VLOOKUP(B665,C652:E671,3,0)=MAX(V$4:V664),VLOOKUP(B665,C652:E671,3,0),B665))</f>
        <v>14</v>
      </c>
      <c r="W665" s="4" t="str">
        <f ca="1">IF($K$24=0,Calc2!$C$17,VLOOKUP(B665,C652:N671,4,0))</f>
        <v>1. FC Köln</v>
      </c>
      <c r="X665" s="1">
        <f ca="1">INDEX(V625:V644,MATCH(W665,W625:W644,0))</f>
        <v>13</v>
      </c>
      <c r="Y665" s="1">
        <f t="shared" ca="1" si="124"/>
        <v>-1</v>
      </c>
    </row>
    <row r="666" spans="2:25" x14ac:dyDescent="0.2">
      <c r="B666" s="1">
        <v>15</v>
      </c>
      <c r="C666" s="9">
        <f ca="1">RANK(D666,D652:D671,1)</f>
        <v>13</v>
      </c>
      <c r="D666" s="134">
        <f t="shared" ca="1" si="122"/>
        <v>13.666</v>
      </c>
      <c r="E666" s="134">
        <f ca="1">RANK(T666,T652:T671,1)</f>
        <v>13</v>
      </c>
      <c r="F666" s="187" t="str">
        <f>Calc2!$C$18</f>
        <v>SV Werder Bremen</v>
      </c>
      <c r="G666" s="1">
        <f ca="1">SUMIFS(OFFSET(Calc2!$H$4,,,$F$26*B650,1),OFFSET(Calc2!$F$4,,,$F$26*B650,1),F666)+SUMIFS(OFFSET(Calc2!$I$4,,,$F$26*B650,1),OFFSET(Calc2!$G$4,,,$F$26*B650,1),F666)</f>
        <v>29</v>
      </c>
      <c r="H666" s="1">
        <f ca="1">SUMIFS(OFFSET(Calc2!$I$4,,,$F$26*B650,1),OFFSET(Calc2!$F$4,,,$F$26*B650,1),F666)+SUMIFS(OFFSET(Calc2!$H$4,,,$F$26*B650,1),OFFSET(Calc2!$G$4,,,$F$26*B650,1),F666)</f>
        <v>45</v>
      </c>
      <c r="I666" s="134">
        <f t="shared" ca="1" si="120"/>
        <v>-16</v>
      </c>
      <c r="J666" s="12">
        <f ca="1">L666*Settings!$C$3+M666+O666</f>
        <v>25</v>
      </c>
      <c r="K666" s="1">
        <f t="shared" ca="1" si="123"/>
        <v>25</v>
      </c>
      <c r="L666" s="1">
        <f t="array" aca="1" ref="L666" ca="1">SUMPRODUCT((OFFSET(Calc2!$F$4,,,$F$26*B650,1)=F666)*(OFFSET(Calc2!$H$4,,,$F$26*B650,1)&gt;OFFSET(Calc2!$I$4,,,$F$26*B650,1)))+SUMPRODUCT((OFFSET(Calc2!$G$4,,,$F$26*B650,1)=F666)*(OFFSET(Calc2!$H$4,,,$F$26*B650,1)&lt;OFFSET(Calc2!$I$4,,,$F$26*B650,1)))</f>
        <v>6</v>
      </c>
      <c r="M666" s="1">
        <f t="array" aca="1" ref="M666" ca="1">SUMPRODUCT((OFFSET(Calc2!$F$4,,,$F$26*B650,2)=F666)*(OFFSET(Calc2!$H$4,,,$F$26*B650,1)=OFFSET(Calc2!$I$4,,,$F$26*B650,1))*(OFFSET(Calc2!$H$4,,,$F$26*B650,1)&lt;&gt;"")*(OFFSET(Calc2!$I$4,,,$F$26*B650,1)&lt;&gt;""))</f>
        <v>7</v>
      </c>
      <c r="N666" s="1">
        <f t="array" aca="1" ref="N666" ca="1">SUMPRODUCT((OFFSET(Calc2!$F$4,,,$F$26*B650,1)=F666)*(OFFSET(Calc2!$H$4,,,$F$26*B650,1)&lt;OFFSET(Calc2!$I$4,,,$F$26*B650,1)))+SUMPRODUCT((OFFSET(Calc2!$G$4,,,$F$26*B650,1)=F666)*(OFFSET(Calc2!$H$4,,,$F$26*B650,1)&gt;OFFSET(Calc2!$I$4,,,$F$26*B650,1)))</f>
        <v>12</v>
      </c>
      <c r="O666" s="132">
        <f ca="1">SUMPRODUCT((F666=OFFSET(Calc2!$F$4,,,$F$26*B650,1))*OFFSET(Calc2!$O$4,,,$F$26*B650,1))+SUMPRODUCT((F666=OFFSET(Calc2!$G$4,,,$F$26*B650,1))*OFFSET(Calc2!$P$4,,,$F$26*B650,1))</f>
        <v>0</v>
      </c>
      <c r="P666" s="2"/>
      <c r="Q666" s="2"/>
      <c r="R666" s="13">
        <f t="shared" ca="1" si="121"/>
        <v>25499984029</v>
      </c>
      <c r="S666" s="134">
        <f>Tie_Break!$D$21</f>
        <v>0</v>
      </c>
      <c r="T666" s="9">
        <f ca="1">RANK(R666,R652:R671)+(9-S666)/10000+(F666="")*1000</f>
        <v>13.0009</v>
      </c>
      <c r="U666" s="2"/>
      <c r="V666" s="134">
        <f ca="1">IF($K$24=0,"",IF(VLOOKUP(B666,C652:E671,3,0)=MAX(V$4:V665),VLOOKUP(B666,C652:E671,3,0),B666))</f>
        <v>15</v>
      </c>
      <c r="W666" s="4" t="str">
        <f ca="1">IF($K$24=0,Calc2!$C$18,VLOOKUP(B666,C652:N671,4,0))</f>
        <v>1. FSV Mainz 05</v>
      </c>
      <c r="X666" s="1">
        <f ca="1">INDEX(V625:V644,MATCH(W666,W625:W644,0))</f>
        <v>14</v>
      </c>
      <c r="Y666" s="1">
        <f t="shared" ca="1" si="124"/>
        <v>-1</v>
      </c>
    </row>
    <row r="667" spans="2:25" x14ac:dyDescent="0.2">
      <c r="B667" s="1">
        <v>16</v>
      </c>
      <c r="C667" s="9">
        <f ca="1">RANK(D667,D652:D671,1)</f>
        <v>3</v>
      </c>
      <c r="D667" s="134">
        <f t="shared" ca="1" si="122"/>
        <v>3.6669999999999998</v>
      </c>
      <c r="E667" s="134">
        <f ca="1">RANK(T667,T652:T671,1)</f>
        <v>3</v>
      </c>
      <c r="F667" s="187" t="str">
        <f>Calc2!$C$19</f>
        <v>TSG Hoffenheim</v>
      </c>
      <c r="G667" s="1">
        <f ca="1">SUMIFS(OFFSET(Calc2!$H$4,,,$F$26*B650,1),OFFSET(Calc2!$F$4,,,$F$26*B650,1),F667)+SUMIFS(OFFSET(Calc2!$I$4,,,$F$26*B650,1),OFFSET(Calc2!$G$4,,,$F$26*B650,1),F667)</f>
        <v>53</v>
      </c>
      <c r="H667" s="1">
        <f ca="1">SUMIFS(OFFSET(Calc2!$I$4,,,$F$26*B650,1),OFFSET(Calc2!$F$4,,,$F$26*B650,1),F667)+SUMIFS(OFFSET(Calc2!$H$4,,,$F$26*B650,1),OFFSET(Calc2!$G$4,,,$F$26*B650,1),F667)</f>
        <v>33</v>
      </c>
      <c r="I667" s="134">
        <f t="shared" ca="1" si="120"/>
        <v>20</v>
      </c>
      <c r="J667" s="12">
        <f ca="1">L667*Settings!$C$3+M667+O667</f>
        <v>49</v>
      </c>
      <c r="K667" s="1">
        <f t="shared" ca="1" si="123"/>
        <v>25</v>
      </c>
      <c r="L667" s="1">
        <f t="array" aca="1" ref="L667" ca="1">SUMPRODUCT((OFFSET(Calc2!$F$4,,,$F$26*B650,1)=F667)*(OFFSET(Calc2!$H$4,,,$F$26*B650,1)&gt;OFFSET(Calc2!$I$4,,,$F$26*B650,1)))+SUMPRODUCT((OFFSET(Calc2!$G$4,,,$F$26*B650,1)=F667)*(OFFSET(Calc2!$H$4,,,$F$26*B650,1)&lt;OFFSET(Calc2!$I$4,,,$F$26*B650,1)))</f>
        <v>15</v>
      </c>
      <c r="M667" s="1">
        <f t="array" aca="1" ref="M667" ca="1">SUMPRODUCT((OFFSET(Calc2!$F$4,,,$F$26*B650,2)=F667)*(OFFSET(Calc2!$H$4,,,$F$26*B650,1)=OFFSET(Calc2!$I$4,,,$F$26*B650,1))*(OFFSET(Calc2!$H$4,,,$F$26*B650,1)&lt;&gt;"")*(OFFSET(Calc2!$I$4,,,$F$26*B650,1)&lt;&gt;""))</f>
        <v>4</v>
      </c>
      <c r="N667" s="1">
        <f t="array" aca="1" ref="N667" ca="1">SUMPRODUCT((OFFSET(Calc2!$F$4,,,$F$26*B650,1)=F667)*(OFFSET(Calc2!$H$4,,,$F$26*B650,1)&lt;OFFSET(Calc2!$I$4,,,$F$26*B650,1)))+SUMPRODUCT((OFFSET(Calc2!$G$4,,,$F$26*B650,1)=F667)*(OFFSET(Calc2!$H$4,,,$F$26*B650,1)&gt;OFFSET(Calc2!$I$4,,,$F$26*B650,1)))</f>
        <v>6</v>
      </c>
      <c r="O667" s="132">
        <f ca="1">SUMPRODUCT((F667=OFFSET(Calc2!$F$4,,,$F$26*B650,1))*OFFSET(Calc2!$O$4,,,$F$26*B650,1))+SUMPRODUCT((F667=OFFSET(Calc2!$G$4,,,$F$26*B650,1))*OFFSET(Calc2!$P$4,,,$F$26*B650,1))</f>
        <v>0</v>
      </c>
      <c r="P667" s="2"/>
      <c r="Q667" s="2"/>
      <c r="R667" s="13">
        <f t="shared" ca="1" si="121"/>
        <v>49500020053</v>
      </c>
      <c r="S667" s="134">
        <f>Tie_Break!$D$22</f>
        <v>0</v>
      </c>
      <c r="T667" s="9">
        <f ca="1">RANK(R667,R652:R671)+(9-S667)/10000+(F667="")*1000</f>
        <v>3.0009000000000001</v>
      </c>
      <c r="U667" s="2"/>
      <c r="V667" s="134">
        <f ca="1">IF($K$24=0,"",IF(VLOOKUP(B667,C652:E671,3,0)=MAX(V$4:V666),VLOOKUP(B667,C652:E671,3,0),B667))</f>
        <v>16</v>
      </c>
      <c r="W667" s="4" t="str">
        <f ca="1">IF($K$24=0,Calc2!$C$19,VLOOKUP(B667,C652:N671,4,0))</f>
        <v>FC St. Pauli</v>
      </c>
      <c r="X667" s="1">
        <f ca="1">INDEX(V625:V644,MATCH(W667,W625:W644,0))</f>
        <v>15</v>
      </c>
      <c r="Y667" s="1">
        <f t="shared" ca="1" si="124"/>
        <v>-1</v>
      </c>
    </row>
    <row r="668" spans="2:25" x14ac:dyDescent="0.2">
      <c r="B668" s="1">
        <v>17</v>
      </c>
      <c r="C668" s="9">
        <f ca="1">RANK(D668,D652:D671,1)</f>
        <v>4</v>
      </c>
      <c r="D668" s="134">
        <f t="shared" ca="1" si="122"/>
        <v>4.6680000000000001</v>
      </c>
      <c r="E668" s="134">
        <f ca="1">RANK(T668,T652:T671,1)</f>
        <v>4</v>
      </c>
      <c r="F668" s="187" t="str">
        <f>Calc2!$C$20</f>
        <v>VfB Stuttgart</v>
      </c>
      <c r="G668" s="1">
        <f ca="1">SUMIFS(OFFSET(Calc2!$H$4,,,$F$26*B650,1),OFFSET(Calc2!$F$4,,,$F$26*B650,1),F668)+SUMIFS(OFFSET(Calc2!$I$4,,,$F$26*B650,1),OFFSET(Calc2!$G$4,,,$F$26*B650,1),F668)</f>
        <v>50</v>
      </c>
      <c r="H668" s="1">
        <f ca="1">SUMIFS(OFFSET(Calc2!$I$4,,,$F$26*B650,1),OFFSET(Calc2!$F$4,,,$F$26*B650,1),F668)+SUMIFS(OFFSET(Calc2!$H$4,,,$F$26*B650,1),OFFSET(Calc2!$G$4,,,$F$26*B650,1),F668)</f>
        <v>34</v>
      </c>
      <c r="I668" s="134">
        <f t="shared" ca="1" si="120"/>
        <v>16</v>
      </c>
      <c r="J668" s="12">
        <f ca="1">L668*Settings!$C$3+M668+O668</f>
        <v>47</v>
      </c>
      <c r="K668" s="1">
        <f t="shared" ca="1" si="123"/>
        <v>25</v>
      </c>
      <c r="L668" s="1">
        <f t="array" aca="1" ref="L668" ca="1">SUMPRODUCT((OFFSET(Calc2!$F$4,,,$F$26*B650,1)=F668)*(OFFSET(Calc2!$H$4,,,$F$26*B650,1)&gt;OFFSET(Calc2!$I$4,,,$F$26*B650,1)))+SUMPRODUCT((OFFSET(Calc2!$G$4,,,$F$26*B650,1)=F668)*(OFFSET(Calc2!$H$4,,,$F$26*B650,1)&lt;OFFSET(Calc2!$I$4,,,$F$26*B650,1)))</f>
        <v>14</v>
      </c>
      <c r="M668" s="1">
        <f t="array" aca="1" ref="M668" ca="1">SUMPRODUCT((OFFSET(Calc2!$F$4,,,$F$26*B650,2)=F668)*(OFFSET(Calc2!$H$4,,,$F$26*B650,1)=OFFSET(Calc2!$I$4,,,$F$26*B650,1))*(OFFSET(Calc2!$H$4,,,$F$26*B650,1)&lt;&gt;"")*(OFFSET(Calc2!$I$4,,,$F$26*B650,1)&lt;&gt;""))</f>
        <v>5</v>
      </c>
      <c r="N668" s="1">
        <f t="array" aca="1" ref="N668" ca="1">SUMPRODUCT((OFFSET(Calc2!$F$4,,,$F$26*B650,1)=F668)*(OFFSET(Calc2!$H$4,,,$F$26*B650,1)&lt;OFFSET(Calc2!$I$4,,,$F$26*B650,1)))+SUMPRODUCT((OFFSET(Calc2!$G$4,,,$F$26*B650,1)=F668)*(OFFSET(Calc2!$H$4,,,$F$26*B650,1)&gt;OFFSET(Calc2!$I$4,,,$F$26*B650,1)))</f>
        <v>6</v>
      </c>
      <c r="O668" s="132">
        <f ca="1">SUMPRODUCT((F668=OFFSET(Calc2!$F$4,,,$F$26*B650,1))*OFFSET(Calc2!$O$4,,,$F$26*B650,1))+SUMPRODUCT((F668=OFFSET(Calc2!$G$4,,,$F$26*B650,1))*OFFSET(Calc2!$P$4,,,$F$26*B650,1))</f>
        <v>0</v>
      </c>
      <c r="P668" s="2"/>
      <c r="Q668" s="2"/>
      <c r="R668" s="13">
        <f t="shared" ca="1" si="121"/>
        <v>47500016050</v>
      </c>
      <c r="S668" s="134">
        <f>Tie_Break!$D$23</f>
        <v>0</v>
      </c>
      <c r="T668" s="9">
        <f ca="1">RANK(R668,R652:R671)+(9-S668)/10000+(F668="")*1000</f>
        <v>4.0008999999999997</v>
      </c>
      <c r="U668" s="2"/>
      <c r="V668" s="134">
        <f ca="1">IF($K$24=0,"",IF(VLOOKUP(B668,C652:E671,3,0)=MAX(V$4:V667),VLOOKUP(B668,C652:E671,3,0),B668))</f>
        <v>17</v>
      </c>
      <c r="W668" s="4" t="str">
        <f ca="1">IF($K$24=0,Calc2!$C$20,VLOOKUP(B668,C652:N671,4,0))</f>
        <v>VfL Wolfsburg</v>
      </c>
      <c r="X668" s="1">
        <f ca="1">INDEX(V625:V644,MATCH(W668,W625:W644,0))</f>
        <v>17</v>
      </c>
      <c r="Y668" s="1">
        <f t="shared" ca="1" si="124"/>
        <v>0</v>
      </c>
    </row>
    <row r="669" spans="2:25" x14ac:dyDescent="0.2">
      <c r="B669" s="1">
        <v>18</v>
      </c>
      <c r="C669" s="9">
        <f ca="1">RANK(D669,D652:D671,1)</f>
        <v>17</v>
      </c>
      <c r="D669" s="134">
        <f t="shared" ca="1" si="122"/>
        <v>17.669</v>
      </c>
      <c r="E669" s="134">
        <f ca="1">RANK(T669,T652:T671,1)</f>
        <v>17</v>
      </c>
      <c r="F669" s="187" t="str">
        <f>Calc2!$C$21</f>
        <v>VfL Wolfsburg</v>
      </c>
      <c r="G669" s="1">
        <f ca="1">SUMIFS(OFFSET(Calc2!$H$4,,,$F$26*B650,1),OFFSET(Calc2!$F$4,,,$F$26*B650,1),F669)+SUMIFS(OFFSET(Calc2!$I$4,,,$F$26*B650,1),OFFSET(Calc2!$G$4,,,$F$26*B650,1),F669)</f>
        <v>34</v>
      </c>
      <c r="H669" s="1">
        <f ca="1">SUMIFS(OFFSET(Calc2!$I$4,,,$F$26*B650,1),OFFSET(Calc2!$F$4,,,$F$26*B650,1),F669)+SUMIFS(OFFSET(Calc2!$H$4,,,$F$26*B650,1),OFFSET(Calc2!$G$4,,,$F$26*B650,1),F669)</f>
        <v>55</v>
      </c>
      <c r="I669" s="134">
        <f t="shared" ca="1" si="120"/>
        <v>-21</v>
      </c>
      <c r="J669" s="12">
        <f ca="1">L669*Settings!$C$3+M669+O669</f>
        <v>20</v>
      </c>
      <c r="K669" s="1">
        <f t="shared" ca="1" si="123"/>
        <v>25</v>
      </c>
      <c r="L669" s="1">
        <f t="array" aca="1" ref="L669" ca="1">SUMPRODUCT((OFFSET(Calc2!$F$4,,,$F$26*B650,1)=F669)*(OFFSET(Calc2!$H$4,,,$F$26*B650,1)&gt;OFFSET(Calc2!$I$4,,,$F$26*B650,1)))+SUMPRODUCT((OFFSET(Calc2!$G$4,,,$F$26*B650,1)=F669)*(OFFSET(Calc2!$H$4,,,$F$26*B650,1)&lt;OFFSET(Calc2!$I$4,,,$F$26*B650,1)))</f>
        <v>5</v>
      </c>
      <c r="M669" s="1">
        <f t="array" aca="1" ref="M669" ca="1">SUMPRODUCT((OFFSET(Calc2!$F$4,,,$F$26*B650,2)=F669)*(OFFSET(Calc2!$H$4,,,$F$26*B650,1)=OFFSET(Calc2!$I$4,,,$F$26*B650,1))*(OFFSET(Calc2!$H$4,,,$F$26*B650,1)&lt;&gt;"")*(OFFSET(Calc2!$I$4,,,$F$26*B650,1)&lt;&gt;""))</f>
        <v>5</v>
      </c>
      <c r="N669" s="1">
        <f t="array" aca="1" ref="N669" ca="1">SUMPRODUCT((OFFSET(Calc2!$F$4,,,$F$26*B650,1)=F669)*(OFFSET(Calc2!$H$4,,,$F$26*B650,1)&lt;OFFSET(Calc2!$I$4,,,$F$26*B650,1)))+SUMPRODUCT((OFFSET(Calc2!$G$4,,,$F$26*B650,1)=F669)*(OFFSET(Calc2!$H$4,,,$F$26*B650,1)&gt;OFFSET(Calc2!$I$4,,,$F$26*B650,1)))</f>
        <v>15</v>
      </c>
      <c r="O669" s="132">
        <f ca="1">SUMPRODUCT((F669=OFFSET(Calc2!$F$4,,,$F$26*B650,1))*OFFSET(Calc2!$O$4,,,$F$26*B650,1))+SUMPRODUCT((F669=OFFSET(Calc2!$G$4,,,$F$26*B650,1))*OFFSET(Calc2!$P$4,,,$F$26*B650,1))</f>
        <v>0</v>
      </c>
      <c r="P669" s="2"/>
      <c r="Q669" s="2"/>
      <c r="R669" s="13">
        <f t="shared" ca="1" si="121"/>
        <v>20499979034</v>
      </c>
      <c r="S669" s="134">
        <f>Tie_Break!$D$24</f>
        <v>0</v>
      </c>
      <c r="T669" s="9">
        <f ca="1">RANK(R669,R652:R671)+(9-S669)/10000+(F669="")*1000</f>
        <v>17.000900000000001</v>
      </c>
      <c r="U669" s="2"/>
      <c r="V669" s="134">
        <f ca="1">IF($K$24=0,"",IF(VLOOKUP(B669,C652:E671,3,0)=MAX(V$4:V668),VLOOKUP(B669,C652:E671,3,0),B669))</f>
        <v>18</v>
      </c>
      <c r="W669" s="4" t="str">
        <f ca="1">IF($K$24=0,Calc2!$C$21,VLOOKUP(B669,C652:N671,4,0))</f>
        <v>1. FC Heidenheim 1846</v>
      </c>
      <c r="X669" s="1">
        <f ca="1">INDEX(V625:V644,MATCH(W669,W625:W644,0))</f>
        <v>18</v>
      </c>
      <c r="Y669" s="1">
        <f t="shared" ca="1" si="124"/>
        <v>0</v>
      </c>
    </row>
    <row r="670" spans="2:25" x14ac:dyDescent="0.2">
      <c r="B670" s="1">
        <v>19</v>
      </c>
      <c r="C670" s="9">
        <f ca="1">RANK(D670,D652:D671,1)</f>
        <v>19</v>
      </c>
      <c r="D670" s="134">
        <f t="shared" ca="1" si="122"/>
        <v>19.670000000000002</v>
      </c>
      <c r="E670" s="134">
        <f ca="1">RANK(T670,T652:T671,1)</f>
        <v>19</v>
      </c>
      <c r="F670" s="187" t="str">
        <f>Calc2!$C$22</f>
        <v/>
      </c>
      <c r="G670" s="1">
        <f ca="1">SUMIFS(OFFSET(Calc2!$H$4,,,$F$26*B650,1),OFFSET(Calc2!$F$4,,,$F$26*B650,1),F670)+SUMIFS(OFFSET(Calc2!$I$4,,,$F$26*B650,1),OFFSET(Calc2!$G$4,,,$F$26*B650,1),F670)</f>
        <v>0</v>
      </c>
      <c r="H670" s="1">
        <f ca="1">SUMIFS(OFFSET(Calc2!$I$4,,,$F$26*B650,1),OFFSET(Calc2!$F$4,,,$F$26*B650,1),F670)+SUMIFS(OFFSET(Calc2!$H$4,,,$F$26*B650,1),OFFSET(Calc2!$G$4,,,$F$26*B650,1),F670)</f>
        <v>0</v>
      </c>
      <c r="I670" s="134">
        <f t="shared" ca="1" si="120"/>
        <v>0</v>
      </c>
      <c r="J670" s="12">
        <f ca="1">L670*Settings!$C$3+M670+O670</f>
        <v>0</v>
      </c>
      <c r="K670" s="1">
        <f t="shared" ca="1" si="123"/>
        <v>0</v>
      </c>
      <c r="L670" s="1">
        <f t="array" aca="1" ref="L670" ca="1">SUMPRODUCT((OFFSET(Calc2!$F$4,,,$F$26*B650,1)=F670)*(OFFSET(Calc2!$H$4,,,$F$26*B650,1)&gt;OFFSET(Calc2!$I$4,,,$F$26*B650,1)))+SUMPRODUCT((OFFSET(Calc2!$G$4,,,$F$26*B650,1)=F670)*(OFFSET(Calc2!$H$4,,,$F$26*B650,1)&lt;OFFSET(Calc2!$I$4,,,$F$26*B650,1)))</f>
        <v>0</v>
      </c>
      <c r="M670" s="1">
        <f t="array" aca="1" ref="M670" ca="1">SUMPRODUCT((OFFSET(Calc2!$F$4,,,$F$26*B650,2)=F670)*(OFFSET(Calc2!$H$4,,,$F$26*B650,1)=OFFSET(Calc2!$I$4,,,$F$26*B650,1))*(OFFSET(Calc2!$H$4,,,$F$26*B650,1)&lt;&gt;"")*(OFFSET(Calc2!$I$4,,,$F$26*B650,1)&lt;&gt;""))</f>
        <v>0</v>
      </c>
      <c r="N670" s="1">
        <f t="array" aca="1" ref="N670" ca="1">SUMPRODUCT((OFFSET(Calc2!$F$4,,,$F$26*B650,1)=F670)*(OFFSET(Calc2!$H$4,,,$F$26*B650,1)&lt;OFFSET(Calc2!$I$4,,,$F$26*B650,1)))+SUMPRODUCT((OFFSET(Calc2!$G$4,,,$F$26*B650,1)=F670)*(OFFSET(Calc2!$H$4,,,$F$26*B650,1)&gt;OFFSET(Calc2!$I$4,,,$F$26*B650,1)))</f>
        <v>0</v>
      </c>
      <c r="O670" s="132">
        <f ca="1">SUMPRODUCT((F670=OFFSET(Calc2!$F$4,,,$F$26*B650,1))*OFFSET(Calc2!$O$4,,,$F$26*B650,1))+SUMPRODUCT((F670=OFFSET(Calc2!$G$4,,,$F$26*B650,1))*OFFSET(Calc2!$P$4,,,$F$26*B650,1))</f>
        <v>0</v>
      </c>
      <c r="P670" s="2"/>
      <c r="Q670" s="2"/>
      <c r="R670" s="13">
        <f t="shared" ca="1" si="121"/>
        <v>500000000</v>
      </c>
      <c r="S670" s="134">
        <f>Tie_Break!$D$25</f>
        <v>0</v>
      </c>
      <c r="T670" s="9">
        <f ca="1">RANK(R670,R652:R671)+(9-S670)/10000+(F670="")*1000</f>
        <v>1019.0009</v>
      </c>
      <c r="U670" s="2"/>
      <c r="V670" s="134">
        <f ca="1">IF($K$24=0,"",IF(VLOOKUP(B670,C652:E671,3,0)=MAX(V$4:V669),VLOOKUP(B670,C652:E671,3,0),B670))</f>
        <v>19</v>
      </c>
      <c r="W670" s="4" t="str">
        <f ca="1">IF($K$24=0,Calc2!$C$22,VLOOKUP(B670,C652:N671,4,0))</f>
        <v/>
      </c>
      <c r="X670" s="1">
        <f ca="1">INDEX(V625:V644,MATCH(W670,W625:W644,0))</f>
        <v>19</v>
      </c>
      <c r="Y670" s="1">
        <f t="shared" ca="1" si="124"/>
        <v>0</v>
      </c>
    </row>
    <row r="671" spans="2:25" ht="12.75" thickBot="1" x14ac:dyDescent="0.25">
      <c r="B671" s="1">
        <v>20</v>
      </c>
      <c r="C671" s="10">
        <f ca="1">RANK(D671,D652:D671,1)</f>
        <v>20</v>
      </c>
      <c r="D671" s="134">
        <f t="shared" ca="1" si="122"/>
        <v>19.670999999999999</v>
      </c>
      <c r="E671" s="134">
        <f ca="1">RANK(T671,T652:T671,1)</f>
        <v>19</v>
      </c>
      <c r="F671" s="187" t="str">
        <f>Calc2!$C$23</f>
        <v/>
      </c>
      <c r="G671" s="1">
        <f ca="1">SUMIFS(OFFSET(Calc2!$H$4,,,$F$26*B650,1),OFFSET(Calc2!$F$4,,,$F$26*B650,1),F671)+SUMIFS(OFFSET(Calc2!$I$4,,,$F$26*B650,1),OFFSET(Calc2!$G$4,,,$F$26*B650,1),F671)</f>
        <v>0</v>
      </c>
      <c r="H671" s="1">
        <f ca="1">SUMIFS(OFFSET(Calc2!$I$4,,,$F$26*B650,1),OFFSET(Calc2!$F$4,,,$F$26*B650,1),F671)+SUMIFS(OFFSET(Calc2!$H$4,,,$F$26*B650,1),OFFSET(Calc2!$G$4,,,$F$26*B650,1),F671)</f>
        <v>0</v>
      </c>
      <c r="I671" s="134">
        <f t="shared" ca="1" si="120"/>
        <v>0</v>
      </c>
      <c r="J671" s="12">
        <f ca="1">L671*Settings!$C$3+M671+O671</f>
        <v>0</v>
      </c>
      <c r="K671" s="1">
        <f t="shared" ca="1" si="123"/>
        <v>0</v>
      </c>
      <c r="L671" s="1">
        <f t="array" aca="1" ref="L671" ca="1">SUMPRODUCT((OFFSET(Calc2!$F$4,,,$F$26*B650,1)=F671)*(OFFSET(Calc2!$H$4,,,$F$26*B650,1)&gt;OFFSET(Calc2!$I$4,,,$F$26*B650,1)))+SUMPRODUCT((OFFSET(Calc2!$G$4,,,$F$26*B650,1)=F671)*(OFFSET(Calc2!$H$4,,,$F$26*B650,1)&lt;OFFSET(Calc2!$I$4,,,$F$26*B650,1)))</f>
        <v>0</v>
      </c>
      <c r="M671" s="1">
        <f t="array" aca="1" ref="M671" ca="1">SUMPRODUCT((OFFSET(Calc2!$F$4,,,$F$26*B650,2)=F671)*(OFFSET(Calc2!$H$4,,,$F$26*B650,1)=OFFSET(Calc2!$I$4,,,$F$26*B650,1))*(OFFSET(Calc2!$H$4,,,$F$26*B650,1)&lt;&gt;"")*(OFFSET(Calc2!$I$4,,,$F$26*B650,1)&lt;&gt;""))</f>
        <v>0</v>
      </c>
      <c r="N671" s="1">
        <f t="array" aca="1" ref="N671" ca="1">SUMPRODUCT((OFFSET(Calc2!$F$4,,,$F$26*B650,1)=F671)*(OFFSET(Calc2!$H$4,,,$F$26*B650,1)&lt;OFFSET(Calc2!$I$4,,,$F$26*B650,1)))+SUMPRODUCT((OFFSET(Calc2!$G$4,,,$F$26*B650,1)=F671)*(OFFSET(Calc2!$H$4,,,$F$26*B650,1)&gt;OFFSET(Calc2!$I$4,,,$F$26*B650,1)))</f>
        <v>0</v>
      </c>
      <c r="O671" s="132">
        <f ca="1">SUMPRODUCT((F671=OFFSET(Calc2!$F$4,,,$F$26*B650,1))*OFFSET(Calc2!$O$4,,,$F$26*B650,1))+SUMPRODUCT((F671=OFFSET(Calc2!$G$4,,,$F$26*B650,1))*OFFSET(Calc2!$P$4,,,$F$26*B650,1))</f>
        <v>0</v>
      </c>
      <c r="P671" s="2"/>
      <c r="Q671" s="2"/>
      <c r="R671" s="13">
        <f t="shared" ca="1" si="121"/>
        <v>500000000</v>
      </c>
      <c r="S671" s="134">
        <f>Tie_Break!$D$26</f>
        <v>0</v>
      </c>
      <c r="T671" s="10">
        <f ca="1">RANK(R671,R652:R671)+(9-S671)/10000+(F671="")*1000</f>
        <v>1019.0009</v>
      </c>
      <c r="U671" s="2"/>
      <c r="V671" s="134">
        <f ca="1">IF($K$24=0,"",IF(VLOOKUP(B671,C652:E671,3,0)=MAX(V$4:V670),VLOOKUP(B671,C652:E671,3,0),B671))</f>
        <v>19</v>
      </c>
      <c r="W671" s="4" t="str">
        <f ca="1">IF($K$24=0,Calc2!$C$23,VLOOKUP(B671,C652:N671,4,0))</f>
        <v/>
      </c>
      <c r="X671" s="1">
        <f ca="1">INDEX(V625:V644,MATCH(W671,W625:W644,0))</f>
        <v>19</v>
      </c>
      <c r="Y671" s="1">
        <f t="shared" ca="1" si="124"/>
        <v>0</v>
      </c>
    </row>
    <row r="672" spans="2:25" ht="12.75" thickTop="1" x14ac:dyDescent="0.2"/>
    <row r="676" spans="2:25" ht="12.75" thickBot="1" x14ac:dyDescent="0.25"/>
    <row r="677" spans="2:25" ht="12.75" thickBot="1" x14ac:dyDescent="0.25">
      <c r="B677" s="410">
        <v>26</v>
      </c>
      <c r="C677" s="134"/>
      <c r="D677" s="134"/>
      <c r="E677" s="134"/>
      <c r="F677" s="187"/>
      <c r="G677" s="1"/>
      <c r="H677" s="1"/>
      <c r="I677" s="1"/>
      <c r="J677" s="1"/>
      <c r="K677" s="1"/>
      <c r="L677" s="1"/>
      <c r="M677" s="1"/>
      <c r="N677" s="134"/>
      <c r="O677" s="1"/>
      <c r="P677" s="1"/>
      <c r="Q677" s="1"/>
      <c r="R677" s="2"/>
      <c r="S677" s="2"/>
      <c r="T677" s="2"/>
      <c r="U677" s="2"/>
      <c r="V677" s="2"/>
      <c r="W677" s="2"/>
    </row>
    <row r="678" spans="2:25" ht="15.75" thickBot="1" x14ac:dyDescent="0.25">
      <c r="B678" s="1"/>
      <c r="C678" s="134"/>
      <c r="D678" s="134"/>
      <c r="E678" s="134"/>
      <c r="F678" s="11" t="s">
        <v>90</v>
      </c>
      <c r="G678" s="42" t="s">
        <v>95</v>
      </c>
      <c r="H678" s="42" t="s">
        <v>96</v>
      </c>
      <c r="I678" s="11" t="s">
        <v>97</v>
      </c>
      <c r="J678" s="11" t="s">
        <v>98</v>
      </c>
      <c r="K678" s="11" t="s">
        <v>91</v>
      </c>
      <c r="L678" s="12" t="s">
        <v>92</v>
      </c>
      <c r="M678" s="12" t="s">
        <v>93</v>
      </c>
      <c r="N678" s="12" t="s">
        <v>94</v>
      </c>
      <c r="O678" s="12" t="s">
        <v>534</v>
      </c>
      <c r="P678" s="2"/>
      <c r="Q678" s="11"/>
      <c r="R678" s="133" t="s">
        <v>99</v>
      </c>
      <c r="S678" s="6" t="s">
        <v>483</v>
      </c>
      <c r="T678" s="120" t="s">
        <v>146</v>
      </c>
      <c r="U678" s="134"/>
      <c r="V678" s="134"/>
      <c r="W678" s="132"/>
      <c r="X678" s="120" t="s">
        <v>575</v>
      </c>
      <c r="Y678" s="1"/>
    </row>
    <row r="679" spans="2:25" ht="12.75" thickTop="1" x14ac:dyDescent="0.2">
      <c r="B679" s="1">
        <v>1</v>
      </c>
      <c r="C679" s="8">
        <f ca="1">RANK(D679,D679:D698,1)</f>
        <v>18</v>
      </c>
      <c r="D679" s="134">
        <f ca="1">E679+ROW()/1000</f>
        <v>18.678999999999998</v>
      </c>
      <c r="E679" s="134">
        <f ca="1">RANK(T679,T679:T698,1)</f>
        <v>18</v>
      </c>
      <c r="F679" s="187" t="str">
        <f>Calc2!$C$4</f>
        <v>1. FC Heidenheim 1846</v>
      </c>
      <c r="G679" s="1">
        <f ca="1">SUMIFS(OFFSET(Calc2!$H$4,,,$F$26*B677,1),OFFSET(Calc2!$F$4,,,$F$26*B677,1),F679)+SUMIFS(OFFSET(Calc2!$I$4,,,$F$26*B677,1),OFFSET(Calc2!$G$4,,,$F$26*B677,1),F679)</f>
        <v>24</v>
      </c>
      <c r="H679" s="1">
        <f ca="1">SUMIFS(OFFSET(Calc2!$I$4,,,$F$26*B677,1),OFFSET(Calc2!$F$4,,,$F$26*B677,1),F679)+SUMIFS(OFFSET(Calc2!$H$4,,,$F$26*B677,1),OFFSET(Calc2!$G$4,,,$F$26*B677,1),F679)</f>
        <v>58</v>
      </c>
      <c r="I679" s="134">
        <f t="shared" ref="I679:I698" ca="1" si="125">G679-H679</f>
        <v>-34</v>
      </c>
      <c r="J679" s="12">
        <f ca="1">L679*Settings!$C$3+M679+O679</f>
        <v>14</v>
      </c>
      <c r="K679" s="1">
        <f ca="1">L679+M679+N679</f>
        <v>26</v>
      </c>
      <c r="L679" s="1">
        <f t="array" aca="1" ref="L679" ca="1">SUMPRODUCT((OFFSET(Calc2!$F$4,,,$F$26*B677,1)=F679)*(OFFSET(Calc2!$H$4,,,$F$26*B677,1)&gt;OFFSET(Calc2!$I$4,,,$F$26*B677,1)))+SUMPRODUCT((OFFSET(Calc2!$G$4,,,$F$26*B677,1)=F679)*(OFFSET(Calc2!$H$4,,,$F$26*B677,1)&lt;OFFSET(Calc2!$I$4,,,$F$26*B677,1)))</f>
        <v>3</v>
      </c>
      <c r="M679" s="1">
        <f t="array" aca="1" ref="M679" ca="1">SUMPRODUCT((OFFSET(Calc2!$F$4,,,$F$26*B677,2)=F679)*(OFFSET(Calc2!$H$4,,,$F$26*B677,1)=OFFSET(Calc2!$I$4,,,$F$26*B677,1))*(OFFSET(Calc2!$H$4,,,$F$26*B677,1)&lt;&gt;"")*(OFFSET(Calc2!$I$4,,,$F$26*B677,1)&lt;&gt;""))</f>
        <v>5</v>
      </c>
      <c r="N679" s="1">
        <f t="array" aca="1" ref="N679" ca="1">SUMPRODUCT((OFFSET(Calc2!$F$4,,,$F$26*B677,1)=F679)*(OFFSET(Calc2!$H$4,,,$F$26*B677,1)&lt;OFFSET(Calc2!$I$4,,,$F$26*B677,1)))+SUMPRODUCT((OFFSET(Calc2!$G$4,,,$F$26*B677,1)=F679)*(OFFSET(Calc2!$H$4,,,$F$26*B677,1)&gt;OFFSET(Calc2!$I$4,,,$F$26*B677,1)))</f>
        <v>18</v>
      </c>
      <c r="O679" s="132">
        <f ca="1">SUMPRODUCT((F679=OFFSET(Calc2!$F$4,,,$F$26*B677,1))*OFFSET(Calc2!$O$4,,,$F$26*B677,1))+SUMPRODUCT((F679=OFFSET(Calc2!$G$4,,,$F$26*B677,1))*OFFSET(Calc2!$P$4,,,$F$26*B677,1))</f>
        <v>0</v>
      </c>
      <c r="P679" s="2"/>
      <c r="Q679" s="2"/>
      <c r="R679" s="13">
        <f t="shared" ref="R679:R698" ca="1" si="126">J679*FactorPts+(I679+GDzero)*FactorGD+G679*FactorGF</f>
        <v>14499966024</v>
      </c>
      <c r="S679" s="134">
        <f>Tie_Break!$D$7</f>
        <v>0</v>
      </c>
      <c r="T679" s="8">
        <f ca="1">RANK(R679,R679:R698)+(9-S679)/10000+(F679="")*1000</f>
        <v>18.000900000000001</v>
      </c>
      <c r="U679" s="134"/>
      <c r="V679" s="134">
        <f ca="1">IF($K$24=0,"",1)</f>
        <v>1</v>
      </c>
      <c r="W679" s="4" t="str">
        <f ca="1">IF($K$24=0,Calc2!$C$4,VLOOKUP(B679,C679:N698,4,0))</f>
        <v>FC Bayern München</v>
      </c>
      <c r="X679" s="1">
        <f ca="1">INDEX(V652:V671,MATCH(W679,W652:W671,0))</f>
        <v>1</v>
      </c>
      <c r="Y679" s="1">
        <f ca="1">IF(X679&gt;V679,1,IF(X679&lt;V679,-1,0))</f>
        <v>0</v>
      </c>
    </row>
    <row r="680" spans="2:25" x14ac:dyDescent="0.2">
      <c r="B680" s="1">
        <v>2</v>
      </c>
      <c r="C680" s="9">
        <f ca="1">RANK(D680,D679:D698,1)</f>
        <v>14</v>
      </c>
      <c r="D680" s="134">
        <f t="shared" ref="D680:D698" ca="1" si="127">E680+ROW()/1000</f>
        <v>14.68</v>
      </c>
      <c r="E680" s="134">
        <f ca="1">RANK(T680,T679:T698,1)</f>
        <v>14</v>
      </c>
      <c r="F680" s="187" t="str">
        <f>Calc2!$C$5</f>
        <v>1. FC Köln</v>
      </c>
      <c r="G680" s="1">
        <f ca="1">SUMIFS(OFFSET(Calc2!$H$4,,,$F$26*B677,1),OFFSET(Calc2!$F$4,,,$F$26*B677,1),F680)+SUMIFS(OFFSET(Calc2!$I$4,,,$F$26*B677,1),OFFSET(Calc2!$G$4,,,$F$26*B677,1),F680)</f>
        <v>35</v>
      </c>
      <c r="H680" s="1">
        <f ca="1">SUMIFS(OFFSET(Calc2!$I$4,,,$F$26*B677,1),OFFSET(Calc2!$F$4,,,$F$26*B677,1),F680)+SUMIFS(OFFSET(Calc2!$H$4,,,$F$26*B677,1),OFFSET(Calc2!$G$4,,,$F$26*B677,1),F680)</f>
        <v>44</v>
      </c>
      <c r="I680" s="134">
        <f t="shared" ca="1" si="125"/>
        <v>-9</v>
      </c>
      <c r="J680" s="12">
        <f ca="1">L680*Settings!$C$3+M680+O680</f>
        <v>25</v>
      </c>
      <c r="K680" s="1">
        <f t="shared" ref="K680:K698" ca="1" si="128">L680+M680+N680</f>
        <v>26</v>
      </c>
      <c r="L680" s="1">
        <f t="array" aca="1" ref="L680" ca="1">SUMPRODUCT((OFFSET(Calc2!$F$4,,,$F$26*B677,1)=F680)*(OFFSET(Calc2!$H$4,,,$F$26*B677,1)&gt;OFFSET(Calc2!$I$4,,,$F$26*B677,1)))+SUMPRODUCT((OFFSET(Calc2!$G$4,,,$F$26*B677,1)=F680)*(OFFSET(Calc2!$H$4,,,$F$26*B677,1)&lt;OFFSET(Calc2!$I$4,,,$F$26*B677,1)))</f>
        <v>6</v>
      </c>
      <c r="M680" s="1">
        <f t="array" aca="1" ref="M680" ca="1">SUMPRODUCT((OFFSET(Calc2!$F$4,,,$F$26*B677,2)=F680)*(OFFSET(Calc2!$H$4,,,$F$26*B677,1)=OFFSET(Calc2!$I$4,,,$F$26*B677,1))*(OFFSET(Calc2!$H$4,,,$F$26*B677,1)&lt;&gt;"")*(OFFSET(Calc2!$I$4,,,$F$26*B677,1)&lt;&gt;""))</f>
        <v>7</v>
      </c>
      <c r="N680" s="1">
        <f t="array" aca="1" ref="N680" ca="1">SUMPRODUCT((OFFSET(Calc2!$F$4,,,$F$26*B677,1)=F680)*(OFFSET(Calc2!$H$4,,,$F$26*B677,1)&lt;OFFSET(Calc2!$I$4,,,$F$26*B677,1)))+SUMPRODUCT((OFFSET(Calc2!$G$4,,,$F$26*B677,1)=F680)*(OFFSET(Calc2!$H$4,,,$F$26*B677,1)&gt;OFFSET(Calc2!$I$4,,,$F$26*B677,1)))</f>
        <v>13</v>
      </c>
      <c r="O680" s="132">
        <f ca="1">SUMPRODUCT((F680=OFFSET(Calc2!$F$4,,,$F$26*B677,1))*OFFSET(Calc2!$O$4,,,$F$26*B677,1))+SUMPRODUCT((F680=OFFSET(Calc2!$G$4,,,$F$26*B677,1))*OFFSET(Calc2!$P$4,,,$F$26*B677,1))</f>
        <v>0</v>
      </c>
      <c r="P680" s="2"/>
      <c r="Q680" s="2"/>
      <c r="R680" s="13">
        <f t="shared" ca="1" si="126"/>
        <v>25499991035</v>
      </c>
      <c r="S680" s="134">
        <f>Tie_Break!$D$8</f>
        <v>0</v>
      </c>
      <c r="T680" s="9">
        <f ca="1">RANK(R680,R679:R698)+(9-S680)/10000+(F680="")*1000</f>
        <v>14.0009</v>
      </c>
      <c r="U680" s="134"/>
      <c r="V680" s="134">
        <f ca="1">IF($K$24=0,"",IF(VLOOKUP(B680,C679:E698,3,0)=MAX(V$4:V679),VLOOKUP(B680,C679:E698,3,0),B680))</f>
        <v>2</v>
      </c>
      <c r="W680" s="4" t="str">
        <f ca="1">IF($K$24=0,Calc2!$C$5,VLOOKUP(B680,C679:N698,4,0))</f>
        <v>Borussia Dortmund</v>
      </c>
      <c r="X680" s="1">
        <f ca="1">INDEX(V652:V671,MATCH(W680,W652:W671,0))</f>
        <v>2</v>
      </c>
      <c r="Y680" s="1">
        <f t="shared" ref="Y680:Y698" ca="1" si="129">IF(X680&gt;V680,1,IF(X680&lt;V680,-1,0))</f>
        <v>0</v>
      </c>
    </row>
    <row r="681" spans="2:25" x14ac:dyDescent="0.2">
      <c r="B681" s="1">
        <v>3</v>
      </c>
      <c r="C681" s="9">
        <f ca="1">RANK(D681,D679:D698,1)</f>
        <v>9</v>
      </c>
      <c r="D681" s="134">
        <f t="shared" ca="1" si="127"/>
        <v>9.6810000000000009</v>
      </c>
      <c r="E681" s="134">
        <f ca="1">RANK(T681,T679:T698,1)</f>
        <v>9</v>
      </c>
      <c r="F681" s="187" t="str">
        <f>Calc2!$C$6</f>
        <v>1. FC Union Berlin</v>
      </c>
      <c r="G681" s="1">
        <f ca="1">SUMIFS(OFFSET(Calc2!$H$4,,,$F$26*B677,1),OFFSET(Calc2!$F$4,,,$F$26*B677,1),F681)+SUMIFS(OFFSET(Calc2!$I$4,,,$F$26*B677,1),OFFSET(Calc2!$G$4,,,$F$26*B677,1),F681)</f>
        <v>31</v>
      </c>
      <c r="H681" s="1">
        <f ca="1">SUMIFS(OFFSET(Calc2!$I$4,,,$F$26*B677,1),OFFSET(Calc2!$F$4,,,$F$26*B677,1),F681)+SUMIFS(OFFSET(Calc2!$H$4,,,$F$26*B677,1),OFFSET(Calc2!$G$4,,,$F$26*B677,1),F681)</f>
        <v>42</v>
      </c>
      <c r="I681" s="134">
        <f t="shared" ca="1" si="125"/>
        <v>-11</v>
      </c>
      <c r="J681" s="12">
        <f ca="1">L681*Settings!$C$3+M681+O681</f>
        <v>31</v>
      </c>
      <c r="K681" s="1">
        <f t="shared" ca="1" si="128"/>
        <v>26</v>
      </c>
      <c r="L681" s="1">
        <f t="array" aca="1" ref="L681" ca="1">SUMPRODUCT((OFFSET(Calc2!$F$4,,,$F$26*B677,1)=F681)*(OFFSET(Calc2!$H$4,,,$F$26*B677,1)&gt;OFFSET(Calc2!$I$4,,,$F$26*B677,1)))+SUMPRODUCT((OFFSET(Calc2!$G$4,,,$F$26*B677,1)=F681)*(OFFSET(Calc2!$H$4,,,$F$26*B677,1)&lt;OFFSET(Calc2!$I$4,,,$F$26*B677,1)))</f>
        <v>8</v>
      </c>
      <c r="M681" s="1">
        <f t="array" aca="1" ref="M681" ca="1">SUMPRODUCT((OFFSET(Calc2!$F$4,,,$F$26*B677,2)=F681)*(OFFSET(Calc2!$H$4,,,$F$26*B677,1)=OFFSET(Calc2!$I$4,,,$F$26*B677,1))*(OFFSET(Calc2!$H$4,,,$F$26*B677,1)&lt;&gt;"")*(OFFSET(Calc2!$I$4,,,$F$26*B677,1)&lt;&gt;""))</f>
        <v>7</v>
      </c>
      <c r="N681" s="1">
        <f t="array" aca="1" ref="N681" ca="1">SUMPRODUCT((OFFSET(Calc2!$F$4,,,$F$26*B677,1)=F681)*(OFFSET(Calc2!$H$4,,,$F$26*B677,1)&lt;OFFSET(Calc2!$I$4,,,$F$26*B677,1)))+SUMPRODUCT((OFFSET(Calc2!$G$4,,,$F$26*B677,1)=F681)*(OFFSET(Calc2!$H$4,,,$F$26*B677,1)&gt;OFFSET(Calc2!$I$4,,,$F$26*B677,1)))</f>
        <v>11</v>
      </c>
      <c r="O681" s="132">
        <f ca="1">SUMPRODUCT((F681=OFFSET(Calc2!$F$4,,,$F$26*B677,1))*OFFSET(Calc2!$O$4,,,$F$26*B677,1))+SUMPRODUCT((F681=OFFSET(Calc2!$G$4,,,$F$26*B677,1))*OFFSET(Calc2!$P$4,,,$F$26*B677,1))</f>
        <v>0</v>
      </c>
      <c r="P681" s="2"/>
      <c r="Q681" s="2"/>
      <c r="R681" s="13">
        <f t="shared" ca="1" si="126"/>
        <v>31499989031</v>
      </c>
      <c r="S681" s="134">
        <f>Tie_Break!$D$9</f>
        <v>0</v>
      </c>
      <c r="T681" s="9">
        <f ca="1">RANK(R681,R679:R698)+(9-S681)/10000+(F681="")*1000</f>
        <v>9.0008999999999997</v>
      </c>
      <c r="U681" s="134"/>
      <c r="V681" s="134">
        <f ca="1">IF($K$24=0,"",IF(VLOOKUP(B681,C679:E698,3,0)=MAX(V$4:V680),VLOOKUP(B681,C679:E698,3,0),B681))</f>
        <v>3</v>
      </c>
      <c r="W681" s="4" t="str">
        <f ca="1">IF($K$24=0,Calc2!$C$6,VLOOKUP(B681,C679:N698,4,0))</f>
        <v>TSG Hoffenheim</v>
      </c>
      <c r="X681" s="1">
        <f ca="1">INDEX(V652:V671,MATCH(W681,W652:W671,0))</f>
        <v>3</v>
      </c>
      <c r="Y681" s="1">
        <f t="shared" ca="1" si="129"/>
        <v>0</v>
      </c>
    </row>
    <row r="682" spans="2:25" x14ac:dyDescent="0.2">
      <c r="B682" s="1">
        <v>4</v>
      </c>
      <c r="C682" s="9">
        <f ca="1">RANK(D682,D679:D698,1)</f>
        <v>13</v>
      </c>
      <c r="D682" s="134">
        <f t="shared" ca="1" si="127"/>
        <v>13.682</v>
      </c>
      <c r="E682" s="134">
        <f ca="1">RANK(T682,T679:T698,1)</f>
        <v>13</v>
      </c>
      <c r="F682" s="187" t="str">
        <f>Calc2!$C$7</f>
        <v>1. FSV Mainz 05</v>
      </c>
      <c r="G682" s="1">
        <f ca="1">SUMIFS(OFFSET(Calc2!$H$4,,,$F$26*B677,1),OFFSET(Calc2!$F$4,,,$F$26*B677,1),F682)+SUMIFS(OFFSET(Calc2!$I$4,,,$F$26*B677,1),OFFSET(Calc2!$G$4,,,$F$26*B677,1),F682)</f>
        <v>31</v>
      </c>
      <c r="H682" s="1">
        <f ca="1">SUMIFS(OFFSET(Calc2!$I$4,,,$F$26*B677,1),OFFSET(Calc2!$F$4,,,$F$26*B677,1),F682)+SUMIFS(OFFSET(Calc2!$H$4,,,$F$26*B677,1),OFFSET(Calc2!$G$4,,,$F$26*B677,1),F682)</f>
        <v>41</v>
      </c>
      <c r="I682" s="134">
        <f t="shared" ca="1" si="125"/>
        <v>-10</v>
      </c>
      <c r="J682" s="12">
        <f ca="1">L682*Settings!$C$3+M682+O682</f>
        <v>27</v>
      </c>
      <c r="K682" s="1">
        <f t="shared" ca="1" si="128"/>
        <v>26</v>
      </c>
      <c r="L682" s="1">
        <f t="array" aca="1" ref="L682" ca="1">SUMPRODUCT((OFFSET(Calc2!$F$4,,,$F$26*B677,1)=F682)*(OFFSET(Calc2!$H$4,,,$F$26*B677,1)&gt;OFFSET(Calc2!$I$4,,,$F$26*B677,1)))+SUMPRODUCT((OFFSET(Calc2!$G$4,,,$F$26*B677,1)=F682)*(OFFSET(Calc2!$H$4,,,$F$26*B677,1)&lt;OFFSET(Calc2!$I$4,,,$F$26*B677,1)))</f>
        <v>6</v>
      </c>
      <c r="M682" s="1">
        <f t="array" aca="1" ref="M682" ca="1">SUMPRODUCT((OFFSET(Calc2!$F$4,,,$F$26*B677,2)=F682)*(OFFSET(Calc2!$H$4,,,$F$26*B677,1)=OFFSET(Calc2!$I$4,,,$F$26*B677,1))*(OFFSET(Calc2!$H$4,,,$F$26*B677,1)&lt;&gt;"")*(OFFSET(Calc2!$I$4,,,$F$26*B677,1)&lt;&gt;""))</f>
        <v>9</v>
      </c>
      <c r="N682" s="1">
        <f t="array" aca="1" ref="N682" ca="1">SUMPRODUCT((OFFSET(Calc2!$F$4,,,$F$26*B677,1)=F682)*(OFFSET(Calc2!$H$4,,,$F$26*B677,1)&lt;OFFSET(Calc2!$I$4,,,$F$26*B677,1)))+SUMPRODUCT((OFFSET(Calc2!$G$4,,,$F$26*B677,1)=F682)*(OFFSET(Calc2!$H$4,,,$F$26*B677,1)&gt;OFFSET(Calc2!$I$4,,,$F$26*B677,1)))</f>
        <v>11</v>
      </c>
      <c r="O682" s="132">
        <f ca="1">SUMPRODUCT((F682=OFFSET(Calc2!$F$4,,,$F$26*B677,1))*OFFSET(Calc2!$O$4,,,$F$26*B677,1))+SUMPRODUCT((F682=OFFSET(Calc2!$G$4,,,$F$26*B677,1))*OFFSET(Calc2!$P$4,,,$F$26*B677,1))</f>
        <v>0</v>
      </c>
      <c r="P682" s="2"/>
      <c r="Q682" s="2"/>
      <c r="R682" s="13">
        <f t="shared" ca="1" si="126"/>
        <v>27499990031</v>
      </c>
      <c r="S682" s="134">
        <f>Tie_Break!$D$10</f>
        <v>0</v>
      </c>
      <c r="T682" s="9">
        <f ca="1">RANK(R682,R679:R698)+(9-S682)/10000+(F682="")*1000</f>
        <v>13.0009</v>
      </c>
      <c r="U682" s="134"/>
      <c r="V682" s="134">
        <f ca="1">IF($K$24=0,"",IF(VLOOKUP(B682,C679:E698,3,0)=MAX(V$4:V681),VLOOKUP(B682,C679:E698,3,0),B682))</f>
        <v>4</v>
      </c>
      <c r="W682" s="4" t="str">
        <f ca="1">IF($K$24=0,Calc2!$C$7,VLOOKUP(B682,C679:N698,4,0))</f>
        <v>VfB Stuttgart</v>
      </c>
      <c r="X682" s="1">
        <f ca="1">INDEX(V652:V671,MATCH(W682,W652:W671,0))</f>
        <v>4</v>
      </c>
      <c r="Y682" s="1">
        <f t="shared" ca="1" si="129"/>
        <v>0</v>
      </c>
    </row>
    <row r="683" spans="2:25" x14ac:dyDescent="0.2">
      <c r="B683" s="1">
        <v>5</v>
      </c>
      <c r="C683" s="9">
        <f ca="1">RANK(D683,D679:D698,1)</f>
        <v>6</v>
      </c>
      <c r="D683" s="134">
        <f t="shared" ca="1" si="127"/>
        <v>6.6829999999999998</v>
      </c>
      <c r="E683" s="134">
        <f ca="1">RANK(T683,T679:T698,1)</f>
        <v>6</v>
      </c>
      <c r="F683" s="187" t="str">
        <f>Calc2!$C$8</f>
        <v>Bayer 04 Leverkusen</v>
      </c>
      <c r="G683" s="1">
        <f ca="1">SUMIFS(OFFSET(Calc2!$H$4,,,$F$26*B677,1),OFFSET(Calc2!$F$4,,,$F$26*B677,1),F683)+SUMIFS(OFFSET(Calc2!$I$4,,,$F$26*B677,1),OFFSET(Calc2!$G$4,,,$F$26*B677,1),F683)</f>
        <v>49</v>
      </c>
      <c r="H683" s="1">
        <f ca="1">SUMIFS(OFFSET(Calc2!$I$4,,,$F$26*B677,1),OFFSET(Calc2!$F$4,,,$F$26*B677,1),F683)+SUMIFS(OFFSET(Calc2!$H$4,,,$F$26*B677,1),OFFSET(Calc2!$G$4,,,$F$26*B677,1),F683)</f>
        <v>33</v>
      </c>
      <c r="I683" s="134">
        <f t="shared" ca="1" si="125"/>
        <v>16</v>
      </c>
      <c r="J683" s="12">
        <f ca="1">L683*Settings!$C$3+M683+O683</f>
        <v>45</v>
      </c>
      <c r="K683" s="1">
        <f t="shared" ca="1" si="128"/>
        <v>26</v>
      </c>
      <c r="L683" s="1">
        <f t="array" aca="1" ref="L683" ca="1">SUMPRODUCT((OFFSET(Calc2!$F$4,,,$F$26*B677,1)=F683)*(OFFSET(Calc2!$H$4,,,$F$26*B677,1)&gt;OFFSET(Calc2!$I$4,,,$F$26*B677,1)))+SUMPRODUCT((OFFSET(Calc2!$G$4,,,$F$26*B677,1)=F683)*(OFFSET(Calc2!$H$4,,,$F$26*B677,1)&lt;OFFSET(Calc2!$I$4,,,$F$26*B677,1)))</f>
        <v>13</v>
      </c>
      <c r="M683" s="1">
        <f t="array" aca="1" ref="M683" ca="1">SUMPRODUCT((OFFSET(Calc2!$F$4,,,$F$26*B677,2)=F683)*(OFFSET(Calc2!$H$4,,,$F$26*B677,1)=OFFSET(Calc2!$I$4,,,$F$26*B677,1))*(OFFSET(Calc2!$H$4,,,$F$26*B677,1)&lt;&gt;"")*(OFFSET(Calc2!$I$4,,,$F$26*B677,1)&lt;&gt;""))</f>
        <v>6</v>
      </c>
      <c r="N683" s="1">
        <f t="array" aca="1" ref="N683" ca="1">SUMPRODUCT((OFFSET(Calc2!$F$4,,,$F$26*B677,1)=F683)*(OFFSET(Calc2!$H$4,,,$F$26*B677,1)&lt;OFFSET(Calc2!$I$4,,,$F$26*B677,1)))+SUMPRODUCT((OFFSET(Calc2!$G$4,,,$F$26*B677,1)=F683)*(OFFSET(Calc2!$H$4,,,$F$26*B677,1)&gt;OFFSET(Calc2!$I$4,,,$F$26*B677,1)))</f>
        <v>7</v>
      </c>
      <c r="O683" s="132">
        <f ca="1">SUMPRODUCT((F683=OFFSET(Calc2!$F$4,,,$F$26*B677,1))*OFFSET(Calc2!$O$4,,,$F$26*B677,1))+SUMPRODUCT((F683=OFFSET(Calc2!$G$4,,,$F$26*B677,1))*OFFSET(Calc2!$P$4,,,$F$26*B677,1))</f>
        <v>0</v>
      </c>
      <c r="P683" s="2"/>
      <c r="Q683" s="2"/>
      <c r="R683" s="13">
        <f t="shared" ca="1" si="126"/>
        <v>45500016049</v>
      </c>
      <c r="S683" s="134">
        <f>Tie_Break!$D$11</f>
        <v>0</v>
      </c>
      <c r="T683" s="9">
        <f ca="1">RANK(R683,R679:R698)+(9-S683)/10000+(F683="")*1000</f>
        <v>6.0008999999999997</v>
      </c>
      <c r="U683" s="134"/>
      <c r="V683" s="134">
        <f ca="1">IF($K$24=0,"",IF(VLOOKUP(B683,C679:E698,3,0)=MAX(V$4:V682),VLOOKUP(B683,C679:E698,3,0),B683))</f>
        <v>5</v>
      </c>
      <c r="W683" s="4" t="str">
        <f ca="1">IF($K$24=0,Calc2!$C$8,VLOOKUP(B683,C679:N698,4,0))</f>
        <v>RB Leipzig</v>
      </c>
      <c r="X683" s="1">
        <f ca="1">INDEX(V652:V671,MATCH(W683,W652:W671,0))</f>
        <v>5</v>
      </c>
      <c r="Y683" s="1">
        <f t="shared" ca="1" si="129"/>
        <v>0</v>
      </c>
    </row>
    <row r="684" spans="2:25" x14ac:dyDescent="0.2">
      <c r="B684" s="1">
        <v>6</v>
      </c>
      <c r="C684" s="9">
        <f ca="1">RANK(D684,D679:D698,1)</f>
        <v>2</v>
      </c>
      <c r="D684" s="134">
        <f t="shared" ca="1" si="127"/>
        <v>2.6840000000000002</v>
      </c>
      <c r="E684" s="134">
        <f ca="1">RANK(T684,T679:T698,1)</f>
        <v>2</v>
      </c>
      <c r="F684" s="187" t="str">
        <f>Calc2!$C$9</f>
        <v>Borussia Dortmund</v>
      </c>
      <c r="G684" s="1">
        <f ca="1">SUMIFS(OFFSET(Calc2!$H$4,,,$F$26*B677,1),OFFSET(Calc2!$F$4,,,$F$26*B677,1),F684)+SUMIFS(OFFSET(Calc2!$I$4,,,$F$26*B677,1),OFFSET(Calc2!$G$4,,,$F$26*B677,1),F684)</f>
        <v>55</v>
      </c>
      <c r="H684" s="1">
        <f ca="1">SUMIFS(OFFSET(Calc2!$I$4,,,$F$26*B677,1),OFFSET(Calc2!$F$4,,,$F$26*B677,1),F684)+SUMIFS(OFFSET(Calc2!$H$4,,,$F$26*B677,1),OFFSET(Calc2!$G$4,,,$F$26*B677,1),F684)</f>
        <v>26</v>
      </c>
      <c r="I684" s="134">
        <f t="shared" ca="1" si="125"/>
        <v>29</v>
      </c>
      <c r="J684" s="12">
        <f ca="1">L684*Settings!$C$3+M684+O684</f>
        <v>58</v>
      </c>
      <c r="K684" s="1">
        <f t="shared" ca="1" si="128"/>
        <v>26</v>
      </c>
      <c r="L684" s="1">
        <f t="array" aca="1" ref="L684" ca="1">SUMPRODUCT((OFFSET(Calc2!$F$4,,,$F$26*B677,1)=F684)*(OFFSET(Calc2!$H$4,,,$F$26*B677,1)&gt;OFFSET(Calc2!$I$4,,,$F$26*B677,1)))+SUMPRODUCT((OFFSET(Calc2!$G$4,,,$F$26*B677,1)=F684)*(OFFSET(Calc2!$H$4,,,$F$26*B677,1)&lt;OFFSET(Calc2!$I$4,,,$F$26*B677,1)))</f>
        <v>17</v>
      </c>
      <c r="M684" s="1">
        <f t="array" aca="1" ref="M684" ca="1">SUMPRODUCT((OFFSET(Calc2!$F$4,,,$F$26*B677,2)=F684)*(OFFSET(Calc2!$H$4,,,$F$26*B677,1)=OFFSET(Calc2!$I$4,,,$F$26*B677,1))*(OFFSET(Calc2!$H$4,,,$F$26*B677,1)&lt;&gt;"")*(OFFSET(Calc2!$I$4,,,$F$26*B677,1)&lt;&gt;""))</f>
        <v>7</v>
      </c>
      <c r="N684" s="1">
        <f t="array" aca="1" ref="N684" ca="1">SUMPRODUCT((OFFSET(Calc2!$F$4,,,$F$26*B677,1)=F684)*(OFFSET(Calc2!$H$4,,,$F$26*B677,1)&lt;OFFSET(Calc2!$I$4,,,$F$26*B677,1)))+SUMPRODUCT((OFFSET(Calc2!$G$4,,,$F$26*B677,1)=F684)*(OFFSET(Calc2!$H$4,,,$F$26*B677,1)&gt;OFFSET(Calc2!$I$4,,,$F$26*B677,1)))</f>
        <v>2</v>
      </c>
      <c r="O684" s="132">
        <f ca="1">SUMPRODUCT((F684=OFFSET(Calc2!$F$4,,,$F$26*B677,1))*OFFSET(Calc2!$O$4,,,$F$26*B677,1))+SUMPRODUCT((F684=OFFSET(Calc2!$G$4,,,$F$26*B677,1))*OFFSET(Calc2!$P$4,,,$F$26*B677,1))</f>
        <v>0</v>
      </c>
      <c r="P684" s="2"/>
      <c r="Q684" s="2"/>
      <c r="R684" s="13">
        <f t="shared" ca="1" si="126"/>
        <v>58500029055</v>
      </c>
      <c r="S684" s="134">
        <f>Tie_Break!$D$12</f>
        <v>0</v>
      </c>
      <c r="T684" s="9">
        <f ca="1">RANK(R684,R679:R698)+(9-S684)/10000+(F684="")*1000</f>
        <v>2.0009000000000001</v>
      </c>
      <c r="U684" s="134"/>
      <c r="V684" s="134">
        <f ca="1">IF($K$24=0,"",IF(VLOOKUP(B684,C679:E698,3,0)=MAX(V$4:V683),VLOOKUP(B684,C679:E698,3,0),B684))</f>
        <v>6</v>
      </c>
      <c r="W684" s="4" t="str">
        <f ca="1">IF($K$24=0,Calc2!$C$9,VLOOKUP(B684,C679:N698,4,0))</f>
        <v>Bayer 04 Leverkusen</v>
      </c>
      <c r="X684" s="1">
        <f ca="1">INDEX(V652:V671,MATCH(W684,W652:W671,0))</f>
        <v>6</v>
      </c>
      <c r="Y684" s="1">
        <f t="shared" ca="1" si="129"/>
        <v>0</v>
      </c>
    </row>
    <row r="685" spans="2:25" x14ac:dyDescent="0.2">
      <c r="B685" s="1">
        <v>7</v>
      </c>
      <c r="C685" s="9">
        <f ca="1">RANK(D685,D679:D698,1)</f>
        <v>12</v>
      </c>
      <c r="D685" s="134">
        <f t="shared" ca="1" si="127"/>
        <v>12.685</v>
      </c>
      <c r="E685" s="134">
        <f ca="1">RANK(T685,T679:T698,1)</f>
        <v>12</v>
      </c>
      <c r="F685" s="187" t="str">
        <f>Calc2!$C$10</f>
        <v>Borussia Mönchengladbach</v>
      </c>
      <c r="G685" s="1">
        <f ca="1">SUMIFS(OFFSET(Calc2!$H$4,,,$F$26*B677,1),OFFSET(Calc2!$F$4,,,$F$26*B677,1),F685)+SUMIFS(OFFSET(Calc2!$I$4,,,$F$26*B677,1),OFFSET(Calc2!$G$4,,,$F$26*B677,1),F685)</f>
        <v>30</v>
      </c>
      <c r="H685" s="1">
        <f ca="1">SUMIFS(OFFSET(Calc2!$I$4,,,$F$26*B677,1),OFFSET(Calc2!$F$4,,,$F$26*B677,1),F685)+SUMIFS(OFFSET(Calc2!$H$4,,,$F$26*B677,1),OFFSET(Calc2!$G$4,,,$F$26*B677,1),F685)</f>
        <v>43</v>
      </c>
      <c r="I685" s="134">
        <f t="shared" ca="1" si="125"/>
        <v>-13</v>
      </c>
      <c r="J685" s="12">
        <f ca="1">L685*Settings!$C$3+M685+O685</f>
        <v>28</v>
      </c>
      <c r="K685" s="1">
        <f t="shared" ca="1" si="128"/>
        <v>26</v>
      </c>
      <c r="L685" s="1">
        <f t="array" aca="1" ref="L685" ca="1">SUMPRODUCT((OFFSET(Calc2!$F$4,,,$F$26*B677,1)=F685)*(OFFSET(Calc2!$H$4,,,$F$26*B677,1)&gt;OFFSET(Calc2!$I$4,,,$F$26*B677,1)))+SUMPRODUCT((OFFSET(Calc2!$G$4,,,$F$26*B677,1)=F685)*(OFFSET(Calc2!$H$4,,,$F$26*B677,1)&lt;OFFSET(Calc2!$I$4,,,$F$26*B677,1)))</f>
        <v>7</v>
      </c>
      <c r="M685" s="1">
        <f t="array" aca="1" ref="M685" ca="1">SUMPRODUCT((OFFSET(Calc2!$F$4,,,$F$26*B677,2)=F685)*(OFFSET(Calc2!$H$4,,,$F$26*B677,1)=OFFSET(Calc2!$I$4,,,$F$26*B677,1))*(OFFSET(Calc2!$H$4,,,$F$26*B677,1)&lt;&gt;"")*(OFFSET(Calc2!$I$4,,,$F$26*B677,1)&lt;&gt;""))</f>
        <v>7</v>
      </c>
      <c r="N685" s="1">
        <f t="array" aca="1" ref="N685" ca="1">SUMPRODUCT((OFFSET(Calc2!$F$4,,,$F$26*B677,1)=F685)*(OFFSET(Calc2!$H$4,,,$F$26*B677,1)&lt;OFFSET(Calc2!$I$4,,,$F$26*B677,1)))+SUMPRODUCT((OFFSET(Calc2!$G$4,,,$F$26*B677,1)=F685)*(OFFSET(Calc2!$H$4,,,$F$26*B677,1)&gt;OFFSET(Calc2!$I$4,,,$F$26*B677,1)))</f>
        <v>12</v>
      </c>
      <c r="O685" s="132">
        <f ca="1">SUMPRODUCT((F685=OFFSET(Calc2!$F$4,,,$F$26*B677,1))*OFFSET(Calc2!$O$4,,,$F$26*B677,1))+SUMPRODUCT((F685=OFFSET(Calc2!$G$4,,,$F$26*B677,1))*OFFSET(Calc2!$P$4,,,$F$26*B677,1))</f>
        <v>0</v>
      </c>
      <c r="P685" s="2"/>
      <c r="Q685" s="2"/>
      <c r="R685" s="13">
        <f t="shared" ca="1" si="126"/>
        <v>28499987030</v>
      </c>
      <c r="S685" s="134">
        <f>Tie_Break!$D$13</f>
        <v>0</v>
      </c>
      <c r="T685" s="9">
        <f ca="1">RANK(R685,R679:R698)+(9-S685)/10000+(F685="")*1000</f>
        <v>12.0009</v>
      </c>
      <c r="U685" s="134"/>
      <c r="V685" s="134">
        <f ca="1">IF($K$24=0,"",IF(VLOOKUP(B685,C679:E698,3,0)=MAX(V$4:V684),VLOOKUP(B685,C679:E698,3,0),B685))</f>
        <v>7</v>
      </c>
      <c r="W685" s="4" t="str">
        <f ca="1">IF($K$24=0,Calc2!$C$10,VLOOKUP(B685,C679:N698,4,0))</f>
        <v>Eintracht Frankfurt</v>
      </c>
      <c r="X685" s="1">
        <f ca="1">INDEX(V652:V671,MATCH(W685,W652:W671,0))</f>
        <v>7</v>
      </c>
      <c r="Y685" s="1">
        <f t="shared" ca="1" si="129"/>
        <v>0</v>
      </c>
    </row>
    <row r="686" spans="2:25" x14ac:dyDescent="0.2">
      <c r="B686" s="1">
        <v>8</v>
      </c>
      <c r="C686" s="9">
        <f ca="1">RANK(D686,D679:D698,1)</f>
        <v>7</v>
      </c>
      <c r="D686" s="134">
        <f t="shared" ca="1" si="127"/>
        <v>7.6859999999999999</v>
      </c>
      <c r="E686" s="134">
        <f ca="1">RANK(T686,T679:T698,1)</f>
        <v>7</v>
      </c>
      <c r="F686" s="187" t="str">
        <f>Calc2!$C$11</f>
        <v>Eintracht Frankfurt</v>
      </c>
      <c r="G686" s="1">
        <f ca="1">SUMIFS(OFFSET(Calc2!$H$4,,,$F$26*B677,1),OFFSET(Calc2!$F$4,,,$F$26*B677,1),F686)+SUMIFS(OFFSET(Calc2!$I$4,,,$F$26*B677,1),OFFSET(Calc2!$G$4,,,$F$26*B677,1),F686)</f>
        <v>49</v>
      </c>
      <c r="H686" s="1">
        <f ca="1">SUMIFS(OFFSET(Calc2!$I$4,,,$F$26*B677,1),OFFSET(Calc2!$F$4,,,$F$26*B677,1),F686)+SUMIFS(OFFSET(Calc2!$H$4,,,$F$26*B677,1),OFFSET(Calc2!$G$4,,,$F$26*B677,1),F686)</f>
        <v>49</v>
      </c>
      <c r="I686" s="134">
        <f t="shared" ca="1" si="125"/>
        <v>0</v>
      </c>
      <c r="J686" s="12">
        <f ca="1">L686*Settings!$C$3+M686+O686</f>
        <v>38</v>
      </c>
      <c r="K686" s="1">
        <f t="shared" ca="1" si="128"/>
        <v>26</v>
      </c>
      <c r="L686" s="1">
        <f t="array" aca="1" ref="L686" ca="1">SUMPRODUCT((OFFSET(Calc2!$F$4,,,$F$26*B677,1)=F686)*(OFFSET(Calc2!$H$4,,,$F$26*B677,1)&gt;OFFSET(Calc2!$I$4,,,$F$26*B677,1)))+SUMPRODUCT((OFFSET(Calc2!$G$4,,,$F$26*B677,1)=F686)*(OFFSET(Calc2!$H$4,,,$F$26*B677,1)&lt;OFFSET(Calc2!$I$4,,,$F$26*B677,1)))</f>
        <v>10</v>
      </c>
      <c r="M686" s="1">
        <f t="array" aca="1" ref="M686" ca="1">SUMPRODUCT((OFFSET(Calc2!$F$4,,,$F$26*B677,2)=F686)*(OFFSET(Calc2!$H$4,,,$F$26*B677,1)=OFFSET(Calc2!$I$4,,,$F$26*B677,1))*(OFFSET(Calc2!$H$4,,,$F$26*B677,1)&lt;&gt;"")*(OFFSET(Calc2!$I$4,,,$F$26*B677,1)&lt;&gt;""))</f>
        <v>8</v>
      </c>
      <c r="N686" s="1">
        <f t="array" aca="1" ref="N686" ca="1">SUMPRODUCT((OFFSET(Calc2!$F$4,,,$F$26*B677,1)=F686)*(OFFSET(Calc2!$H$4,,,$F$26*B677,1)&lt;OFFSET(Calc2!$I$4,,,$F$26*B677,1)))+SUMPRODUCT((OFFSET(Calc2!$G$4,,,$F$26*B677,1)=F686)*(OFFSET(Calc2!$H$4,,,$F$26*B677,1)&gt;OFFSET(Calc2!$I$4,,,$F$26*B677,1)))</f>
        <v>8</v>
      </c>
      <c r="O686" s="132">
        <f ca="1">SUMPRODUCT((F686=OFFSET(Calc2!$F$4,,,$F$26*B677,1))*OFFSET(Calc2!$O$4,,,$F$26*B677,1))+SUMPRODUCT((F686=OFFSET(Calc2!$G$4,,,$F$26*B677,1))*OFFSET(Calc2!$P$4,,,$F$26*B677,1))</f>
        <v>0</v>
      </c>
      <c r="P686" s="2"/>
      <c r="Q686" s="2"/>
      <c r="R686" s="13">
        <f t="shared" ca="1" si="126"/>
        <v>38500000049</v>
      </c>
      <c r="S686" s="134">
        <f>Tie_Break!$D$14</f>
        <v>0</v>
      </c>
      <c r="T686" s="9">
        <f ca="1">RANK(R686,R679:R698)+(9-S686)/10000+(F686="")*1000</f>
        <v>7.0008999999999997</v>
      </c>
      <c r="U686" s="134"/>
      <c r="V686" s="134">
        <f ca="1">IF($K$24=0,"",IF(VLOOKUP(B686,C679:E698,3,0)=MAX(V$4:V685),VLOOKUP(B686,C679:E698,3,0),B686))</f>
        <v>8</v>
      </c>
      <c r="W686" s="4" t="str">
        <f ca="1">IF($K$24=0,Calc2!$C$11,VLOOKUP(B686,C679:N698,4,0))</f>
        <v>SC Freiburg</v>
      </c>
      <c r="X686" s="1">
        <f ca="1">INDEX(V652:V671,MATCH(W686,W652:W671,0))</f>
        <v>8</v>
      </c>
      <c r="Y686" s="1">
        <f t="shared" ca="1" si="129"/>
        <v>0</v>
      </c>
    </row>
    <row r="687" spans="2:25" x14ac:dyDescent="0.2">
      <c r="B687" s="1">
        <v>9</v>
      </c>
      <c r="C687" s="9">
        <f ca="1">RANK(D687,D679:D698,1)</f>
        <v>10</v>
      </c>
      <c r="D687" s="134">
        <f t="shared" ca="1" si="127"/>
        <v>10.686999999999999</v>
      </c>
      <c r="E687" s="134">
        <f ca="1">RANK(T687,T679:T698,1)</f>
        <v>10</v>
      </c>
      <c r="F687" s="187" t="str">
        <f>Calc2!$C$12</f>
        <v>FC Augsburg</v>
      </c>
      <c r="G687" s="1">
        <f ca="1">SUMIFS(OFFSET(Calc2!$H$4,,,$F$26*B677,1),OFFSET(Calc2!$F$4,,,$F$26*B677,1),F687)+SUMIFS(OFFSET(Calc2!$I$4,,,$F$26*B677,1),OFFSET(Calc2!$G$4,,,$F$26*B677,1),F687)</f>
        <v>31</v>
      </c>
      <c r="H687" s="1">
        <f ca="1">SUMIFS(OFFSET(Calc2!$I$4,,,$F$26*B677,1),OFFSET(Calc2!$F$4,,,$F$26*B677,1),F687)+SUMIFS(OFFSET(Calc2!$H$4,,,$F$26*B677,1),OFFSET(Calc2!$G$4,,,$F$26*B677,1),F687)</f>
        <v>45</v>
      </c>
      <c r="I687" s="134">
        <f t="shared" ca="1" si="125"/>
        <v>-14</v>
      </c>
      <c r="J687" s="12">
        <f ca="1">L687*Settings!$C$3+M687+O687</f>
        <v>31</v>
      </c>
      <c r="K687" s="1">
        <f t="shared" ca="1" si="128"/>
        <v>26</v>
      </c>
      <c r="L687" s="1">
        <f t="array" aca="1" ref="L687" ca="1">SUMPRODUCT((OFFSET(Calc2!$F$4,,,$F$26*B677,1)=F687)*(OFFSET(Calc2!$H$4,,,$F$26*B677,1)&gt;OFFSET(Calc2!$I$4,,,$F$26*B677,1)))+SUMPRODUCT((OFFSET(Calc2!$G$4,,,$F$26*B677,1)=F687)*(OFFSET(Calc2!$H$4,,,$F$26*B677,1)&lt;OFFSET(Calc2!$I$4,,,$F$26*B677,1)))</f>
        <v>9</v>
      </c>
      <c r="M687" s="1">
        <f t="array" aca="1" ref="M687" ca="1">SUMPRODUCT((OFFSET(Calc2!$F$4,,,$F$26*B677,2)=F687)*(OFFSET(Calc2!$H$4,,,$F$26*B677,1)=OFFSET(Calc2!$I$4,,,$F$26*B677,1))*(OFFSET(Calc2!$H$4,,,$F$26*B677,1)&lt;&gt;"")*(OFFSET(Calc2!$I$4,,,$F$26*B677,1)&lt;&gt;""))</f>
        <v>4</v>
      </c>
      <c r="N687" s="1">
        <f t="array" aca="1" ref="N687" ca="1">SUMPRODUCT((OFFSET(Calc2!$F$4,,,$F$26*B677,1)=F687)*(OFFSET(Calc2!$H$4,,,$F$26*B677,1)&lt;OFFSET(Calc2!$I$4,,,$F$26*B677,1)))+SUMPRODUCT((OFFSET(Calc2!$G$4,,,$F$26*B677,1)=F687)*(OFFSET(Calc2!$H$4,,,$F$26*B677,1)&gt;OFFSET(Calc2!$I$4,,,$F$26*B677,1)))</f>
        <v>13</v>
      </c>
      <c r="O687" s="132">
        <f ca="1">SUMPRODUCT((F687=OFFSET(Calc2!$F$4,,,$F$26*B677,1))*OFFSET(Calc2!$O$4,,,$F$26*B677,1))+SUMPRODUCT((F687=OFFSET(Calc2!$G$4,,,$F$26*B677,1))*OFFSET(Calc2!$P$4,,,$F$26*B677,1))</f>
        <v>0</v>
      </c>
      <c r="P687" s="2"/>
      <c r="Q687" s="2"/>
      <c r="R687" s="13">
        <f t="shared" ca="1" si="126"/>
        <v>31499986031</v>
      </c>
      <c r="S687" s="134">
        <f>Tie_Break!$D$15</f>
        <v>0</v>
      </c>
      <c r="T687" s="9">
        <f ca="1">RANK(R687,R679:R698)+(9-S687)/10000+(F687="")*1000</f>
        <v>10.0009</v>
      </c>
      <c r="U687" s="134"/>
      <c r="V687" s="134">
        <f ca="1">IF($K$24=0,"",IF(VLOOKUP(B687,C679:E698,3,0)=MAX(V$4:V686),VLOOKUP(B687,C679:E698,3,0),B687))</f>
        <v>9</v>
      </c>
      <c r="W687" s="4" t="str">
        <f ca="1">IF($K$24=0,Calc2!$C$12,VLOOKUP(B687,C679:N698,4,0))</f>
        <v>1. FC Union Berlin</v>
      </c>
      <c r="X687" s="1">
        <f ca="1">INDEX(V652:V671,MATCH(W687,W652:W671,0))</f>
        <v>11</v>
      </c>
      <c r="Y687" s="1">
        <f t="shared" ca="1" si="129"/>
        <v>1</v>
      </c>
    </row>
    <row r="688" spans="2:25" x14ac:dyDescent="0.2">
      <c r="B688" s="1">
        <v>10</v>
      </c>
      <c r="C688" s="9">
        <f ca="1">RANK(D688,D679:D698,1)</f>
        <v>1</v>
      </c>
      <c r="D688" s="134">
        <f t="shared" ca="1" si="127"/>
        <v>1.6879999999999999</v>
      </c>
      <c r="E688" s="134">
        <f ca="1">RANK(T688,T679:T698,1)</f>
        <v>1</v>
      </c>
      <c r="F688" s="187" t="str">
        <f>Calc2!$C$13</f>
        <v>FC Bayern München</v>
      </c>
      <c r="G688" s="1">
        <f ca="1">SUMIFS(OFFSET(Calc2!$H$4,,,$F$26*B677,1),OFFSET(Calc2!$F$4,,,$F$26*B677,1),F688)+SUMIFS(OFFSET(Calc2!$I$4,,,$F$26*B677,1),OFFSET(Calc2!$G$4,,,$F$26*B677,1),F688)</f>
        <v>93</v>
      </c>
      <c r="H688" s="1">
        <f ca="1">SUMIFS(OFFSET(Calc2!$I$4,,,$F$26*B677,1),OFFSET(Calc2!$F$4,,,$F$26*B677,1),F688)+SUMIFS(OFFSET(Calc2!$H$4,,,$F$26*B677,1),OFFSET(Calc2!$G$4,,,$F$26*B677,1),F688)</f>
        <v>25</v>
      </c>
      <c r="I688" s="134">
        <f t="shared" ca="1" si="125"/>
        <v>68</v>
      </c>
      <c r="J688" s="12">
        <f ca="1">L688*Settings!$C$3+M688+O688</f>
        <v>67</v>
      </c>
      <c r="K688" s="1">
        <f t="shared" ca="1" si="128"/>
        <v>26</v>
      </c>
      <c r="L688" s="1">
        <f t="array" aca="1" ref="L688" ca="1">SUMPRODUCT((OFFSET(Calc2!$F$4,,,$F$26*B677,1)=F688)*(OFFSET(Calc2!$H$4,,,$F$26*B677,1)&gt;OFFSET(Calc2!$I$4,,,$F$26*B677,1)))+SUMPRODUCT((OFFSET(Calc2!$G$4,,,$F$26*B677,1)=F688)*(OFFSET(Calc2!$H$4,,,$F$26*B677,1)&lt;OFFSET(Calc2!$I$4,,,$F$26*B677,1)))</f>
        <v>21</v>
      </c>
      <c r="M688" s="1">
        <f t="array" aca="1" ref="M688" ca="1">SUMPRODUCT((OFFSET(Calc2!$F$4,,,$F$26*B677,2)=F688)*(OFFSET(Calc2!$H$4,,,$F$26*B677,1)=OFFSET(Calc2!$I$4,,,$F$26*B677,1))*(OFFSET(Calc2!$H$4,,,$F$26*B677,1)&lt;&gt;"")*(OFFSET(Calc2!$I$4,,,$F$26*B677,1)&lt;&gt;""))</f>
        <v>4</v>
      </c>
      <c r="N688" s="1">
        <f t="array" aca="1" ref="N688" ca="1">SUMPRODUCT((OFFSET(Calc2!$F$4,,,$F$26*B677,1)=F688)*(OFFSET(Calc2!$H$4,,,$F$26*B677,1)&lt;OFFSET(Calc2!$I$4,,,$F$26*B677,1)))+SUMPRODUCT((OFFSET(Calc2!$G$4,,,$F$26*B677,1)=F688)*(OFFSET(Calc2!$H$4,,,$F$26*B677,1)&gt;OFFSET(Calc2!$I$4,,,$F$26*B677,1)))</f>
        <v>1</v>
      </c>
      <c r="O688" s="132">
        <f ca="1">SUMPRODUCT((F688=OFFSET(Calc2!$F$4,,,$F$26*B677,1))*OFFSET(Calc2!$O$4,,,$F$26*B677,1))+SUMPRODUCT((F688=OFFSET(Calc2!$G$4,,,$F$26*B677,1))*OFFSET(Calc2!$P$4,,,$F$26*B677,1))</f>
        <v>0</v>
      </c>
      <c r="P688" s="2"/>
      <c r="Q688" s="2"/>
      <c r="R688" s="13">
        <f t="shared" ca="1" si="126"/>
        <v>67500068093</v>
      </c>
      <c r="S688" s="134">
        <f>Tie_Break!$D$16</f>
        <v>0</v>
      </c>
      <c r="T688" s="9">
        <f ca="1">RANK(R688,R679:R698)+(9-S688)/10000+(F688="")*1000</f>
        <v>1.0008999999999999</v>
      </c>
      <c r="U688" s="2"/>
      <c r="V688" s="134">
        <f ca="1">IF($K$24=0,"",IF(VLOOKUP(B688,C679:E698,3,0)=MAX(V$4:V687),VLOOKUP(B688,C679:E698,3,0),B688))</f>
        <v>10</v>
      </c>
      <c r="W688" s="4" t="str">
        <f ca="1">IF($K$24=0,Calc2!$C$13,VLOOKUP(B688,C679:N698,4,0))</f>
        <v>FC Augsburg</v>
      </c>
      <c r="X688" s="1">
        <f ca="1">INDEX(V652:V671,MATCH(W688,W652:W671,0))</f>
        <v>9</v>
      </c>
      <c r="Y688" s="1">
        <f t="shared" ca="1" si="129"/>
        <v>-1</v>
      </c>
    </row>
    <row r="689" spans="2:25" x14ac:dyDescent="0.2">
      <c r="B689" s="1">
        <v>11</v>
      </c>
      <c r="C689" s="9">
        <f ca="1">RANK(D689,D679:D698,1)</f>
        <v>16</v>
      </c>
      <c r="D689" s="134">
        <f t="shared" ca="1" si="127"/>
        <v>16.689</v>
      </c>
      <c r="E689" s="134">
        <f ca="1">RANK(T689,T679:T698,1)</f>
        <v>16</v>
      </c>
      <c r="F689" s="187" t="str">
        <f>Calc2!$C$14</f>
        <v>FC St. Pauli</v>
      </c>
      <c r="G689" s="1">
        <f ca="1">SUMIFS(OFFSET(Calc2!$H$4,,,$F$26*B677,1),OFFSET(Calc2!$F$4,,,$F$26*B677,1),F689)+SUMIFS(OFFSET(Calc2!$I$4,,,$F$26*B677,1),OFFSET(Calc2!$G$4,,,$F$26*B677,1),F689)</f>
        <v>23</v>
      </c>
      <c r="H689" s="1">
        <f ca="1">SUMIFS(OFFSET(Calc2!$I$4,,,$F$26*B677,1),OFFSET(Calc2!$F$4,,,$F$26*B677,1),F689)+SUMIFS(OFFSET(Calc2!$H$4,,,$F$26*B677,1),OFFSET(Calc2!$G$4,,,$F$26*B677,1),F689)</f>
        <v>42</v>
      </c>
      <c r="I689" s="134">
        <f t="shared" ca="1" si="125"/>
        <v>-19</v>
      </c>
      <c r="J689" s="12">
        <f ca="1">L689*Settings!$C$3+M689+O689</f>
        <v>24</v>
      </c>
      <c r="K689" s="1">
        <f t="shared" ca="1" si="128"/>
        <v>26</v>
      </c>
      <c r="L689" s="1">
        <f t="array" aca="1" ref="L689" ca="1">SUMPRODUCT((OFFSET(Calc2!$F$4,,,$F$26*B677,1)=F689)*(OFFSET(Calc2!$H$4,,,$F$26*B677,1)&gt;OFFSET(Calc2!$I$4,,,$F$26*B677,1)))+SUMPRODUCT((OFFSET(Calc2!$G$4,,,$F$26*B677,1)=F689)*(OFFSET(Calc2!$H$4,,,$F$26*B677,1)&lt;OFFSET(Calc2!$I$4,,,$F$26*B677,1)))</f>
        <v>6</v>
      </c>
      <c r="M689" s="1">
        <f t="array" aca="1" ref="M689" ca="1">SUMPRODUCT((OFFSET(Calc2!$F$4,,,$F$26*B677,2)=F689)*(OFFSET(Calc2!$H$4,,,$F$26*B677,1)=OFFSET(Calc2!$I$4,,,$F$26*B677,1))*(OFFSET(Calc2!$H$4,,,$F$26*B677,1)&lt;&gt;"")*(OFFSET(Calc2!$I$4,,,$F$26*B677,1)&lt;&gt;""))</f>
        <v>6</v>
      </c>
      <c r="N689" s="1">
        <f t="array" aca="1" ref="N689" ca="1">SUMPRODUCT((OFFSET(Calc2!$F$4,,,$F$26*B677,1)=F689)*(OFFSET(Calc2!$H$4,,,$F$26*B677,1)&lt;OFFSET(Calc2!$I$4,,,$F$26*B677,1)))+SUMPRODUCT((OFFSET(Calc2!$G$4,,,$F$26*B677,1)=F689)*(OFFSET(Calc2!$H$4,,,$F$26*B677,1)&gt;OFFSET(Calc2!$I$4,,,$F$26*B677,1)))</f>
        <v>14</v>
      </c>
      <c r="O689" s="132">
        <f ca="1">SUMPRODUCT((F689=OFFSET(Calc2!$F$4,,,$F$26*B677,1))*OFFSET(Calc2!$O$4,,,$F$26*B677,1))+SUMPRODUCT((F689=OFFSET(Calc2!$G$4,,,$F$26*B677,1))*OFFSET(Calc2!$P$4,,,$F$26*B677,1))</f>
        <v>0</v>
      </c>
      <c r="P689" s="2"/>
      <c r="Q689" s="2"/>
      <c r="R689" s="13">
        <f t="shared" ca="1" si="126"/>
        <v>24499981023</v>
      </c>
      <c r="S689" s="134">
        <f>Tie_Break!$D$17</f>
        <v>0</v>
      </c>
      <c r="T689" s="9">
        <f ca="1">RANK(R689,R679:R698)+(9-S689)/10000+(F689="")*1000</f>
        <v>16.000900000000001</v>
      </c>
      <c r="U689" s="2"/>
      <c r="V689" s="134">
        <f ca="1">IF($K$24=0,"",IF(VLOOKUP(B689,C679:E698,3,0)=MAX(V$4:V688),VLOOKUP(B689,C679:E698,3,0),B689))</f>
        <v>11</v>
      </c>
      <c r="W689" s="4" t="str">
        <f ca="1">IF($K$24=0,Calc2!$C$14,VLOOKUP(B689,C679:N698,4,0))</f>
        <v>Hamburger SV</v>
      </c>
      <c r="X689" s="1">
        <f ca="1">INDEX(V652:V671,MATCH(W689,W652:W671,0))</f>
        <v>10</v>
      </c>
      <c r="Y689" s="1">
        <f t="shared" ca="1" si="129"/>
        <v>-1</v>
      </c>
    </row>
    <row r="690" spans="2:25" x14ac:dyDescent="0.2">
      <c r="B690" s="1">
        <v>12</v>
      </c>
      <c r="C690" s="9">
        <f ca="1">RANK(D690,D679:D698,1)</f>
        <v>11</v>
      </c>
      <c r="D690" s="134">
        <f t="shared" ca="1" si="127"/>
        <v>11.69</v>
      </c>
      <c r="E690" s="134">
        <f ca="1">RANK(T690,T679:T698,1)</f>
        <v>11</v>
      </c>
      <c r="F690" s="187" t="str">
        <f>Calc2!$C$15</f>
        <v>Hamburger SV</v>
      </c>
      <c r="G690" s="1">
        <f ca="1">SUMIFS(OFFSET(Calc2!$H$4,,,$F$26*B677,1),OFFSET(Calc2!$F$4,,,$F$26*B677,1),F690)+SUMIFS(OFFSET(Calc2!$I$4,,,$F$26*B677,1),OFFSET(Calc2!$G$4,,,$F$26*B677,1),F690)</f>
        <v>29</v>
      </c>
      <c r="H690" s="1">
        <f ca="1">SUMIFS(OFFSET(Calc2!$I$4,,,$F$26*B677,1),OFFSET(Calc2!$F$4,,,$F$26*B677,1),F690)+SUMIFS(OFFSET(Calc2!$H$4,,,$F$26*B677,1),OFFSET(Calc2!$G$4,,,$F$26*B677,1),F690)</f>
        <v>37</v>
      </c>
      <c r="I690" s="134">
        <f t="shared" ca="1" si="125"/>
        <v>-8</v>
      </c>
      <c r="J690" s="12">
        <f ca="1">L690*Settings!$C$3+M690+O690</f>
        <v>30</v>
      </c>
      <c r="K690" s="1">
        <f t="shared" ca="1" si="128"/>
        <v>26</v>
      </c>
      <c r="L690" s="1">
        <f t="array" aca="1" ref="L690" ca="1">SUMPRODUCT((OFFSET(Calc2!$F$4,,,$F$26*B677,1)=F690)*(OFFSET(Calc2!$H$4,,,$F$26*B677,1)&gt;OFFSET(Calc2!$I$4,,,$F$26*B677,1)))+SUMPRODUCT((OFFSET(Calc2!$G$4,,,$F$26*B677,1)=F690)*(OFFSET(Calc2!$H$4,,,$F$26*B677,1)&lt;OFFSET(Calc2!$I$4,,,$F$26*B677,1)))</f>
        <v>7</v>
      </c>
      <c r="M690" s="1">
        <f t="array" aca="1" ref="M690" ca="1">SUMPRODUCT((OFFSET(Calc2!$F$4,,,$F$26*B677,2)=F690)*(OFFSET(Calc2!$H$4,,,$F$26*B677,1)=OFFSET(Calc2!$I$4,,,$F$26*B677,1))*(OFFSET(Calc2!$H$4,,,$F$26*B677,1)&lt;&gt;"")*(OFFSET(Calc2!$I$4,,,$F$26*B677,1)&lt;&gt;""))</f>
        <v>9</v>
      </c>
      <c r="N690" s="1">
        <f t="array" aca="1" ref="N690" ca="1">SUMPRODUCT((OFFSET(Calc2!$F$4,,,$F$26*B677,1)=F690)*(OFFSET(Calc2!$H$4,,,$F$26*B677,1)&lt;OFFSET(Calc2!$I$4,,,$F$26*B677,1)))+SUMPRODUCT((OFFSET(Calc2!$G$4,,,$F$26*B677,1)=F690)*(OFFSET(Calc2!$H$4,,,$F$26*B677,1)&gt;OFFSET(Calc2!$I$4,,,$F$26*B677,1)))</f>
        <v>10</v>
      </c>
      <c r="O690" s="132">
        <f ca="1">SUMPRODUCT((F690=OFFSET(Calc2!$F$4,,,$F$26*B677,1))*OFFSET(Calc2!$O$4,,,$F$26*B677,1))+SUMPRODUCT((F690=OFFSET(Calc2!$G$4,,,$F$26*B677,1))*OFFSET(Calc2!$P$4,,,$F$26*B677,1))</f>
        <v>0</v>
      </c>
      <c r="P690" s="2"/>
      <c r="Q690" s="2"/>
      <c r="R690" s="13">
        <f t="shared" ca="1" si="126"/>
        <v>30499992029</v>
      </c>
      <c r="S690" s="134">
        <f>Tie_Break!$D$18</f>
        <v>0</v>
      </c>
      <c r="T690" s="9">
        <f ca="1">RANK(R690,R679:R698)+(9-S690)/10000+(F690="")*1000</f>
        <v>11.0009</v>
      </c>
      <c r="U690" s="2"/>
      <c r="V690" s="134">
        <f ca="1">IF($K$24=0,"",IF(VLOOKUP(B690,C679:E698,3,0)=MAX(V$4:V689),VLOOKUP(B690,C679:E698,3,0),B690))</f>
        <v>12</v>
      </c>
      <c r="W690" s="4" t="str">
        <f ca="1">IF($K$24=0,Calc2!$C$15,VLOOKUP(B690,C679:N698,4,0))</f>
        <v>Borussia Mönchengladbach</v>
      </c>
      <c r="X690" s="1">
        <f ca="1">INDEX(V652:V671,MATCH(W690,W652:W671,0))</f>
        <v>12</v>
      </c>
      <c r="Y690" s="1">
        <f t="shared" ca="1" si="129"/>
        <v>0</v>
      </c>
    </row>
    <row r="691" spans="2:25" x14ac:dyDescent="0.2">
      <c r="B691" s="1">
        <v>13</v>
      </c>
      <c r="C691" s="9">
        <f ca="1">RANK(D691,D679:D698,1)</f>
        <v>5</v>
      </c>
      <c r="D691" s="134">
        <f t="shared" ca="1" si="127"/>
        <v>5.6909999999999998</v>
      </c>
      <c r="E691" s="134">
        <f ca="1">RANK(T691,T679:T698,1)</f>
        <v>5</v>
      </c>
      <c r="F691" s="187" t="str">
        <f>Calc2!$C$16</f>
        <v>RB Leipzig</v>
      </c>
      <c r="G691" s="1">
        <f ca="1">SUMIFS(OFFSET(Calc2!$H$4,,,$F$26*B677,1),OFFSET(Calc2!$F$4,,,$F$26*B677,1),F691)+SUMIFS(OFFSET(Calc2!$I$4,,,$F$26*B677,1),OFFSET(Calc2!$G$4,,,$F$26*B677,1),F691)</f>
        <v>48</v>
      </c>
      <c r="H691" s="1">
        <f ca="1">SUMIFS(OFFSET(Calc2!$I$4,,,$F$26*B677,1),OFFSET(Calc2!$F$4,,,$F$26*B677,1),F691)+SUMIFS(OFFSET(Calc2!$H$4,,,$F$26*B677,1),OFFSET(Calc2!$G$4,,,$F$26*B677,1),F691)</f>
        <v>35</v>
      </c>
      <c r="I691" s="134">
        <f t="shared" ca="1" si="125"/>
        <v>13</v>
      </c>
      <c r="J691" s="12">
        <f ca="1">L691*Settings!$C$3+M691+O691</f>
        <v>47</v>
      </c>
      <c r="K691" s="1">
        <f t="shared" ca="1" si="128"/>
        <v>26</v>
      </c>
      <c r="L691" s="1">
        <f t="array" aca="1" ref="L691" ca="1">SUMPRODUCT((OFFSET(Calc2!$F$4,,,$F$26*B677,1)=F691)*(OFFSET(Calc2!$H$4,,,$F$26*B677,1)&gt;OFFSET(Calc2!$I$4,,,$F$26*B677,1)))+SUMPRODUCT((OFFSET(Calc2!$G$4,,,$F$26*B677,1)=F691)*(OFFSET(Calc2!$H$4,,,$F$26*B677,1)&lt;OFFSET(Calc2!$I$4,,,$F$26*B677,1)))</f>
        <v>14</v>
      </c>
      <c r="M691" s="1">
        <f t="array" aca="1" ref="M691" ca="1">SUMPRODUCT((OFFSET(Calc2!$F$4,,,$F$26*B677,2)=F691)*(OFFSET(Calc2!$H$4,,,$F$26*B677,1)=OFFSET(Calc2!$I$4,,,$F$26*B677,1))*(OFFSET(Calc2!$H$4,,,$F$26*B677,1)&lt;&gt;"")*(OFFSET(Calc2!$I$4,,,$F$26*B677,1)&lt;&gt;""))</f>
        <v>5</v>
      </c>
      <c r="N691" s="1">
        <f t="array" aca="1" ref="N691" ca="1">SUMPRODUCT((OFFSET(Calc2!$F$4,,,$F$26*B677,1)=F691)*(OFFSET(Calc2!$H$4,,,$F$26*B677,1)&lt;OFFSET(Calc2!$I$4,,,$F$26*B677,1)))+SUMPRODUCT((OFFSET(Calc2!$G$4,,,$F$26*B677,1)=F691)*(OFFSET(Calc2!$H$4,,,$F$26*B677,1)&gt;OFFSET(Calc2!$I$4,,,$F$26*B677,1)))</f>
        <v>7</v>
      </c>
      <c r="O691" s="132">
        <f ca="1">SUMPRODUCT((F691=OFFSET(Calc2!$F$4,,,$F$26*B677,1))*OFFSET(Calc2!$O$4,,,$F$26*B677,1))+SUMPRODUCT((F691=OFFSET(Calc2!$G$4,,,$F$26*B677,1))*OFFSET(Calc2!$P$4,,,$F$26*B677,1))</f>
        <v>0</v>
      </c>
      <c r="P691" s="2"/>
      <c r="Q691" s="2"/>
      <c r="R691" s="13">
        <f t="shared" ca="1" si="126"/>
        <v>47500013048</v>
      </c>
      <c r="S691" s="134">
        <f>Tie_Break!$D$19</f>
        <v>0</v>
      </c>
      <c r="T691" s="9">
        <f ca="1">RANK(R691,R679:R698)+(9-S691)/10000+(F691="")*1000</f>
        <v>5.0008999999999997</v>
      </c>
      <c r="U691" s="1"/>
      <c r="V691" s="134">
        <f ca="1">IF($K$24=0,"",IF(VLOOKUP(B691,C679:E698,3,0)=MAX(V$4:V690),VLOOKUP(B691,C679:E698,3,0),B691))</f>
        <v>13</v>
      </c>
      <c r="W691" s="4" t="str">
        <f ca="1">IF($K$24=0,Calc2!$C$16,VLOOKUP(B691,C679:N698,4,0))</f>
        <v>1. FSV Mainz 05</v>
      </c>
      <c r="X691" s="1">
        <f ca="1">INDEX(V652:V671,MATCH(W691,W652:W671,0))</f>
        <v>15</v>
      </c>
      <c r="Y691" s="1">
        <f t="shared" ca="1" si="129"/>
        <v>1</v>
      </c>
    </row>
    <row r="692" spans="2:25" x14ac:dyDescent="0.2">
      <c r="B692" s="1">
        <v>14</v>
      </c>
      <c r="C692" s="9">
        <f ca="1">RANK(D692,D679:D698,1)</f>
        <v>8</v>
      </c>
      <c r="D692" s="134">
        <f t="shared" ca="1" si="127"/>
        <v>8.6920000000000002</v>
      </c>
      <c r="E692" s="134">
        <f ca="1">RANK(T692,T679:T698,1)</f>
        <v>8</v>
      </c>
      <c r="F692" s="187" t="str">
        <f>Calc2!$C$17</f>
        <v>SC Freiburg</v>
      </c>
      <c r="G692" s="1">
        <f ca="1">SUMIFS(OFFSET(Calc2!$H$4,,,$F$26*B677,1),OFFSET(Calc2!$F$4,,,$F$26*B677,1),F692)+SUMIFS(OFFSET(Calc2!$I$4,,,$F$26*B677,1),OFFSET(Calc2!$G$4,,,$F$26*B677,1),F692)</f>
        <v>37</v>
      </c>
      <c r="H692" s="1">
        <f ca="1">SUMIFS(OFFSET(Calc2!$I$4,,,$F$26*B677,1),OFFSET(Calc2!$F$4,,,$F$26*B677,1),F692)+SUMIFS(OFFSET(Calc2!$H$4,,,$F$26*B677,1),OFFSET(Calc2!$G$4,,,$F$26*B677,1),F692)</f>
        <v>43</v>
      </c>
      <c r="I692" s="134">
        <f t="shared" ca="1" si="125"/>
        <v>-6</v>
      </c>
      <c r="J692" s="12">
        <f ca="1">L692*Settings!$C$3+M692+O692</f>
        <v>34</v>
      </c>
      <c r="K692" s="1">
        <f t="shared" ca="1" si="128"/>
        <v>26</v>
      </c>
      <c r="L692" s="1">
        <f t="array" aca="1" ref="L692" ca="1">SUMPRODUCT((OFFSET(Calc2!$F$4,,,$F$26*B677,1)=F692)*(OFFSET(Calc2!$H$4,,,$F$26*B677,1)&gt;OFFSET(Calc2!$I$4,,,$F$26*B677,1)))+SUMPRODUCT((OFFSET(Calc2!$G$4,,,$F$26*B677,1)=F692)*(OFFSET(Calc2!$H$4,,,$F$26*B677,1)&lt;OFFSET(Calc2!$I$4,,,$F$26*B677,1)))</f>
        <v>9</v>
      </c>
      <c r="M692" s="1">
        <f t="array" aca="1" ref="M692" ca="1">SUMPRODUCT((OFFSET(Calc2!$F$4,,,$F$26*B677,2)=F692)*(OFFSET(Calc2!$H$4,,,$F$26*B677,1)=OFFSET(Calc2!$I$4,,,$F$26*B677,1))*(OFFSET(Calc2!$H$4,,,$F$26*B677,1)&lt;&gt;"")*(OFFSET(Calc2!$I$4,,,$F$26*B677,1)&lt;&gt;""))</f>
        <v>7</v>
      </c>
      <c r="N692" s="1">
        <f t="array" aca="1" ref="N692" ca="1">SUMPRODUCT((OFFSET(Calc2!$F$4,,,$F$26*B677,1)=F692)*(OFFSET(Calc2!$H$4,,,$F$26*B677,1)&lt;OFFSET(Calc2!$I$4,,,$F$26*B677,1)))+SUMPRODUCT((OFFSET(Calc2!$G$4,,,$F$26*B677,1)=F692)*(OFFSET(Calc2!$H$4,,,$F$26*B677,1)&gt;OFFSET(Calc2!$I$4,,,$F$26*B677,1)))</f>
        <v>10</v>
      </c>
      <c r="O692" s="132">
        <f ca="1">SUMPRODUCT((F692=OFFSET(Calc2!$F$4,,,$F$26*B677,1))*OFFSET(Calc2!$O$4,,,$F$26*B677,1))+SUMPRODUCT((F692=OFFSET(Calc2!$G$4,,,$F$26*B677,1))*OFFSET(Calc2!$P$4,,,$F$26*B677,1))</f>
        <v>0</v>
      </c>
      <c r="P692" s="2"/>
      <c r="Q692" s="2"/>
      <c r="R692" s="13">
        <f t="shared" ca="1" si="126"/>
        <v>34499994037</v>
      </c>
      <c r="S692" s="134">
        <f>Tie_Break!$D$20</f>
        <v>0</v>
      </c>
      <c r="T692" s="9">
        <f ca="1">RANK(R692,R679:R698)+(9-S692)/10000+(F692="")*1000</f>
        <v>8.0008999999999997</v>
      </c>
      <c r="U692" s="2"/>
      <c r="V692" s="134">
        <f ca="1">IF($K$24=0,"",IF(VLOOKUP(B692,C679:E698,3,0)=MAX(V$4:V691),VLOOKUP(B692,C679:E698,3,0),B692))</f>
        <v>14</v>
      </c>
      <c r="W692" s="4" t="str">
        <f ca="1">IF($K$24=0,Calc2!$C$17,VLOOKUP(B692,C679:N698,4,0))</f>
        <v>1. FC Köln</v>
      </c>
      <c r="X692" s="1">
        <f ca="1">INDEX(V652:V671,MATCH(W692,W652:W671,0))</f>
        <v>14</v>
      </c>
      <c r="Y692" s="1">
        <f t="shared" ca="1" si="129"/>
        <v>0</v>
      </c>
    </row>
    <row r="693" spans="2:25" x14ac:dyDescent="0.2">
      <c r="B693" s="1">
        <v>15</v>
      </c>
      <c r="C693" s="9">
        <f ca="1">RANK(D693,D679:D698,1)</f>
        <v>15</v>
      </c>
      <c r="D693" s="134">
        <f t="shared" ca="1" si="127"/>
        <v>15.693</v>
      </c>
      <c r="E693" s="134">
        <f ca="1">RANK(T693,T679:T698,1)</f>
        <v>15</v>
      </c>
      <c r="F693" s="187" t="str">
        <f>Calc2!$C$18</f>
        <v>SV Werder Bremen</v>
      </c>
      <c r="G693" s="1">
        <f ca="1">SUMIFS(OFFSET(Calc2!$H$4,,,$F$26*B677,1),OFFSET(Calc2!$F$4,,,$F$26*B677,1),F693)+SUMIFS(OFFSET(Calc2!$I$4,,,$F$26*B677,1),OFFSET(Calc2!$G$4,,,$F$26*B677,1),F693)</f>
        <v>29</v>
      </c>
      <c r="H693" s="1">
        <f ca="1">SUMIFS(OFFSET(Calc2!$I$4,,,$F$26*B677,1),OFFSET(Calc2!$F$4,,,$F$26*B677,1),F693)+SUMIFS(OFFSET(Calc2!$H$4,,,$F$26*B677,1),OFFSET(Calc2!$G$4,,,$F$26*B677,1),F693)</f>
        <v>47</v>
      </c>
      <c r="I693" s="134">
        <f t="shared" ca="1" si="125"/>
        <v>-18</v>
      </c>
      <c r="J693" s="12">
        <f ca="1">L693*Settings!$C$3+M693+O693</f>
        <v>25</v>
      </c>
      <c r="K693" s="1">
        <f t="shared" ca="1" si="128"/>
        <v>26</v>
      </c>
      <c r="L693" s="1">
        <f t="array" aca="1" ref="L693" ca="1">SUMPRODUCT((OFFSET(Calc2!$F$4,,,$F$26*B677,1)=F693)*(OFFSET(Calc2!$H$4,,,$F$26*B677,1)&gt;OFFSET(Calc2!$I$4,,,$F$26*B677,1)))+SUMPRODUCT((OFFSET(Calc2!$G$4,,,$F$26*B677,1)=F693)*(OFFSET(Calc2!$H$4,,,$F$26*B677,1)&lt;OFFSET(Calc2!$I$4,,,$F$26*B677,1)))</f>
        <v>6</v>
      </c>
      <c r="M693" s="1">
        <f t="array" aca="1" ref="M693" ca="1">SUMPRODUCT((OFFSET(Calc2!$F$4,,,$F$26*B677,2)=F693)*(OFFSET(Calc2!$H$4,,,$F$26*B677,1)=OFFSET(Calc2!$I$4,,,$F$26*B677,1))*(OFFSET(Calc2!$H$4,,,$F$26*B677,1)&lt;&gt;"")*(OFFSET(Calc2!$I$4,,,$F$26*B677,1)&lt;&gt;""))</f>
        <v>7</v>
      </c>
      <c r="N693" s="1">
        <f t="array" aca="1" ref="N693" ca="1">SUMPRODUCT((OFFSET(Calc2!$F$4,,,$F$26*B677,1)=F693)*(OFFSET(Calc2!$H$4,,,$F$26*B677,1)&lt;OFFSET(Calc2!$I$4,,,$F$26*B677,1)))+SUMPRODUCT((OFFSET(Calc2!$G$4,,,$F$26*B677,1)=F693)*(OFFSET(Calc2!$H$4,,,$F$26*B677,1)&gt;OFFSET(Calc2!$I$4,,,$F$26*B677,1)))</f>
        <v>13</v>
      </c>
      <c r="O693" s="132">
        <f ca="1">SUMPRODUCT((F693=OFFSET(Calc2!$F$4,,,$F$26*B677,1))*OFFSET(Calc2!$O$4,,,$F$26*B677,1))+SUMPRODUCT((F693=OFFSET(Calc2!$G$4,,,$F$26*B677,1))*OFFSET(Calc2!$P$4,,,$F$26*B677,1))</f>
        <v>0</v>
      </c>
      <c r="P693" s="2"/>
      <c r="Q693" s="2"/>
      <c r="R693" s="13">
        <f t="shared" ca="1" si="126"/>
        <v>25499982029</v>
      </c>
      <c r="S693" s="134">
        <f>Tie_Break!$D$21</f>
        <v>0</v>
      </c>
      <c r="T693" s="9">
        <f ca="1">RANK(R693,R679:R698)+(9-S693)/10000+(F693="")*1000</f>
        <v>15.0009</v>
      </c>
      <c r="U693" s="2"/>
      <c r="V693" s="134">
        <f ca="1">IF($K$24=0,"",IF(VLOOKUP(B693,C679:E698,3,0)=MAX(V$4:V692),VLOOKUP(B693,C679:E698,3,0),B693))</f>
        <v>15</v>
      </c>
      <c r="W693" s="4" t="str">
        <f ca="1">IF($K$24=0,Calc2!$C$18,VLOOKUP(B693,C679:N698,4,0))</f>
        <v>SV Werder Bremen</v>
      </c>
      <c r="X693" s="1">
        <f ca="1">INDEX(V652:V671,MATCH(W693,W652:W671,0))</f>
        <v>13</v>
      </c>
      <c r="Y693" s="1">
        <f t="shared" ca="1" si="129"/>
        <v>-1</v>
      </c>
    </row>
    <row r="694" spans="2:25" x14ac:dyDescent="0.2">
      <c r="B694" s="1">
        <v>16</v>
      </c>
      <c r="C694" s="9">
        <f ca="1">RANK(D694,D679:D698,1)</f>
        <v>3</v>
      </c>
      <c r="D694" s="134">
        <f t="shared" ca="1" si="127"/>
        <v>3.694</v>
      </c>
      <c r="E694" s="134">
        <f ca="1">RANK(T694,T679:T698,1)</f>
        <v>3</v>
      </c>
      <c r="F694" s="187" t="str">
        <f>Calc2!$C$19</f>
        <v>TSG Hoffenheim</v>
      </c>
      <c r="G694" s="1">
        <f ca="1">SUMIFS(OFFSET(Calc2!$H$4,,,$F$26*B677,1),OFFSET(Calc2!$F$4,,,$F$26*B677,1),F694)+SUMIFS(OFFSET(Calc2!$I$4,,,$F$26*B677,1),OFFSET(Calc2!$G$4,,,$F$26*B677,1),F694)</f>
        <v>54</v>
      </c>
      <c r="H694" s="1">
        <f ca="1">SUMIFS(OFFSET(Calc2!$I$4,,,$F$26*B677,1),OFFSET(Calc2!$F$4,,,$F$26*B677,1),F694)+SUMIFS(OFFSET(Calc2!$H$4,,,$F$26*B677,1),OFFSET(Calc2!$G$4,,,$F$26*B677,1),F694)</f>
        <v>34</v>
      </c>
      <c r="I694" s="134">
        <f t="shared" ca="1" si="125"/>
        <v>20</v>
      </c>
      <c r="J694" s="12">
        <f ca="1">L694*Settings!$C$3+M694+O694</f>
        <v>50</v>
      </c>
      <c r="K694" s="1">
        <f t="shared" ca="1" si="128"/>
        <v>26</v>
      </c>
      <c r="L694" s="1">
        <f t="array" aca="1" ref="L694" ca="1">SUMPRODUCT((OFFSET(Calc2!$F$4,,,$F$26*B677,1)=F694)*(OFFSET(Calc2!$H$4,,,$F$26*B677,1)&gt;OFFSET(Calc2!$I$4,,,$F$26*B677,1)))+SUMPRODUCT((OFFSET(Calc2!$G$4,,,$F$26*B677,1)=F694)*(OFFSET(Calc2!$H$4,,,$F$26*B677,1)&lt;OFFSET(Calc2!$I$4,,,$F$26*B677,1)))</f>
        <v>15</v>
      </c>
      <c r="M694" s="1">
        <f t="array" aca="1" ref="M694" ca="1">SUMPRODUCT((OFFSET(Calc2!$F$4,,,$F$26*B677,2)=F694)*(OFFSET(Calc2!$H$4,,,$F$26*B677,1)=OFFSET(Calc2!$I$4,,,$F$26*B677,1))*(OFFSET(Calc2!$H$4,,,$F$26*B677,1)&lt;&gt;"")*(OFFSET(Calc2!$I$4,,,$F$26*B677,1)&lt;&gt;""))</f>
        <v>5</v>
      </c>
      <c r="N694" s="1">
        <f t="array" aca="1" ref="N694" ca="1">SUMPRODUCT((OFFSET(Calc2!$F$4,,,$F$26*B677,1)=F694)*(OFFSET(Calc2!$H$4,,,$F$26*B677,1)&lt;OFFSET(Calc2!$I$4,,,$F$26*B677,1)))+SUMPRODUCT((OFFSET(Calc2!$G$4,,,$F$26*B677,1)=F694)*(OFFSET(Calc2!$H$4,,,$F$26*B677,1)&gt;OFFSET(Calc2!$I$4,,,$F$26*B677,1)))</f>
        <v>6</v>
      </c>
      <c r="O694" s="132">
        <f ca="1">SUMPRODUCT((F694=OFFSET(Calc2!$F$4,,,$F$26*B677,1))*OFFSET(Calc2!$O$4,,,$F$26*B677,1))+SUMPRODUCT((F694=OFFSET(Calc2!$G$4,,,$F$26*B677,1))*OFFSET(Calc2!$P$4,,,$F$26*B677,1))</f>
        <v>0</v>
      </c>
      <c r="P694" s="2"/>
      <c r="Q694" s="2"/>
      <c r="R694" s="13">
        <f t="shared" ca="1" si="126"/>
        <v>50500020054</v>
      </c>
      <c r="S694" s="134">
        <f>Tie_Break!$D$22</f>
        <v>0</v>
      </c>
      <c r="T694" s="9">
        <f ca="1">RANK(R694,R679:R698)+(9-S694)/10000+(F694="")*1000</f>
        <v>3.0009000000000001</v>
      </c>
      <c r="U694" s="2"/>
      <c r="V694" s="134">
        <f ca="1">IF($K$24=0,"",IF(VLOOKUP(B694,C679:E698,3,0)=MAX(V$4:V693),VLOOKUP(B694,C679:E698,3,0),B694))</f>
        <v>16</v>
      </c>
      <c r="W694" s="4" t="str">
        <f ca="1">IF($K$24=0,Calc2!$C$19,VLOOKUP(B694,C679:N698,4,0))</f>
        <v>FC St. Pauli</v>
      </c>
      <c r="X694" s="1">
        <f ca="1">INDEX(V652:V671,MATCH(W694,W652:W671,0))</f>
        <v>16</v>
      </c>
      <c r="Y694" s="1">
        <f t="shared" ca="1" si="129"/>
        <v>0</v>
      </c>
    </row>
    <row r="695" spans="2:25" x14ac:dyDescent="0.2">
      <c r="B695" s="1">
        <v>17</v>
      </c>
      <c r="C695" s="9">
        <f ca="1">RANK(D695,D679:D698,1)</f>
        <v>4</v>
      </c>
      <c r="D695" s="134">
        <f t="shared" ca="1" si="127"/>
        <v>4.6950000000000003</v>
      </c>
      <c r="E695" s="134">
        <f ca="1">RANK(T695,T679:T698,1)</f>
        <v>4</v>
      </c>
      <c r="F695" s="187" t="str">
        <f>Calc2!$C$20</f>
        <v>VfB Stuttgart</v>
      </c>
      <c r="G695" s="1">
        <f ca="1">SUMIFS(OFFSET(Calc2!$H$4,,,$F$26*B677,1),OFFSET(Calc2!$F$4,,,$F$26*B677,1),F695)+SUMIFS(OFFSET(Calc2!$I$4,,,$F$26*B677,1),OFFSET(Calc2!$G$4,,,$F$26*B677,1),F695)</f>
        <v>51</v>
      </c>
      <c r="H695" s="1">
        <f ca="1">SUMIFS(OFFSET(Calc2!$I$4,,,$F$26*B677,1),OFFSET(Calc2!$F$4,,,$F$26*B677,1),F695)+SUMIFS(OFFSET(Calc2!$H$4,,,$F$26*B677,1),OFFSET(Calc2!$G$4,,,$F$26*B677,1),F695)</f>
        <v>34</v>
      </c>
      <c r="I695" s="134">
        <f t="shared" ca="1" si="125"/>
        <v>17</v>
      </c>
      <c r="J695" s="12">
        <f ca="1">L695*Settings!$C$3+M695+O695</f>
        <v>50</v>
      </c>
      <c r="K695" s="1">
        <f t="shared" ca="1" si="128"/>
        <v>26</v>
      </c>
      <c r="L695" s="1">
        <f t="array" aca="1" ref="L695" ca="1">SUMPRODUCT((OFFSET(Calc2!$F$4,,,$F$26*B677,1)=F695)*(OFFSET(Calc2!$H$4,,,$F$26*B677,1)&gt;OFFSET(Calc2!$I$4,,,$F$26*B677,1)))+SUMPRODUCT((OFFSET(Calc2!$G$4,,,$F$26*B677,1)=F695)*(OFFSET(Calc2!$H$4,,,$F$26*B677,1)&lt;OFFSET(Calc2!$I$4,,,$F$26*B677,1)))</f>
        <v>15</v>
      </c>
      <c r="M695" s="1">
        <f t="array" aca="1" ref="M695" ca="1">SUMPRODUCT((OFFSET(Calc2!$F$4,,,$F$26*B677,2)=F695)*(OFFSET(Calc2!$H$4,,,$F$26*B677,1)=OFFSET(Calc2!$I$4,,,$F$26*B677,1))*(OFFSET(Calc2!$H$4,,,$F$26*B677,1)&lt;&gt;"")*(OFFSET(Calc2!$I$4,,,$F$26*B677,1)&lt;&gt;""))</f>
        <v>5</v>
      </c>
      <c r="N695" s="1">
        <f t="array" aca="1" ref="N695" ca="1">SUMPRODUCT((OFFSET(Calc2!$F$4,,,$F$26*B677,1)=F695)*(OFFSET(Calc2!$H$4,,,$F$26*B677,1)&lt;OFFSET(Calc2!$I$4,,,$F$26*B677,1)))+SUMPRODUCT((OFFSET(Calc2!$G$4,,,$F$26*B677,1)=F695)*(OFFSET(Calc2!$H$4,,,$F$26*B677,1)&gt;OFFSET(Calc2!$I$4,,,$F$26*B677,1)))</f>
        <v>6</v>
      </c>
      <c r="O695" s="132">
        <f ca="1">SUMPRODUCT((F695=OFFSET(Calc2!$F$4,,,$F$26*B677,1))*OFFSET(Calc2!$O$4,,,$F$26*B677,1))+SUMPRODUCT((F695=OFFSET(Calc2!$G$4,,,$F$26*B677,1))*OFFSET(Calc2!$P$4,,,$F$26*B677,1))</f>
        <v>0</v>
      </c>
      <c r="P695" s="2"/>
      <c r="Q695" s="2"/>
      <c r="R695" s="13">
        <f t="shared" ca="1" si="126"/>
        <v>50500017051</v>
      </c>
      <c r="S695" s="134">
        <f>Tie_Break!$D$23</f>
        <v>0</v>
      </c>
      <c r="T695" s="9">
        <f ca="1">RANK(R695,R679:R698)+(9-S695)/10000+(F695="")*1000</f>
        <v>4.0008999999999997</v>
      </c>
      <c r="U695" s="2"/>
      <c r="V695" s="134">
        <f ca="1">IF($K$24=0,"",IF(VLOOKUP(B695,C679:E698,3,0)=MAX(V$4:V694),VLOOKUP(B695,C679:E698,3,0),B695))</f>
        <v>17</v>
      </c>
      <c r="W695" s="4" t="str">
        <f ca="1">IF($K$24=0,Calc2!$C$20,VLOOKUP(B695,C679:N698,4,0))</f>
        <v>VfL Wolfsburg</v>
      </c>
      <c r="X695" s="1">
        <f ca="1">INDEX(V652:V671,MATCH(W695,W652:W671,0))</f>
        <v>17</v>
      </c>
      <c r="Y695" s="1">
        <f t="shared" ca="1" si="129"/>
        <v>0</v>
      </c>
    </row>
    <row r="696" spans="2:25" x14ac:dyDescent="0.2">
      <c r="B696" s="1">
        <v>18</v>
      </c>
      <c r="C696" s="9">
        <f ca="1">RANK(D696,D679:D698,1)</f>
        <v>17</v>
      </c>
      <c r="D696" s="134">
        <f t="shared" ca="1" si="127"/>
        <v>17.696000000000002</v>
      </c>
      <c r="E696" s="134">
        <f ca="1">RANK(T696,T679:T698,1)</f>
        <v>17</v>
      </c>
      <c r="F696" s="187" t="str">
        <f>Calc2!$C$21</f>
        <v>VfL Wolfsburg</v>
      </c>
      <c r="G696" s="1">
        <f ca="1">SUMIFS(OFFSET(Calc2!$H$4,,,$F$26*B677,1),OFFSET(Calc2!$F$4,,,$F$26*B677,1),F696)+SUMIFS(OFFSET(Calc2!$I$4,,,$F$26*B677,1),OFFSET(Calc2!$G$4,,,$F$26*B677,1),F696)</f>
        <v>35</v>
      </c>
      <c r="H696" s="1">
        <f ca="1">SUMIFS(OFFSET(Calc2!$I$4,,,$F$26*B677,1),OFFSET(Calc2!$F$4,,,$F$26*B677,1),F696)+SUMIFS(OFFSET(Calc2!$H$4,,,$F$26*B677,1),OFFSET(Calc2!$G$4,,,$F$26*B677,1),F696)</f>
        <v>56</v>
      </c>
      <c r="I696" s="134">
        <f t="shared" ca="1" si="125"/>
        <v>-21</v>
      </c>
      <c r="J696" s="12">
        <f ca="1">L696*Settings!$C$3+M696+O696</f>
        <v>21</v>
      </c>
      <c r="K696" s="1">
        <f t="shared" ca="1" si="128"/>
        <v>26</v>
      </c>
      <c r="L696" s="1">
        <f t="array" aca="1" ref="L696" ca="1">SUMPRODUCT((OFFSET(Calc2!$F$4,,,$F$26*B677,1)=F696)*(OFFSET(Calc2!$H$4,,,$F$26*B677,1)&gt;OFFSET(Calc2!$I$4,,,$F$26*B677,1)))+SUMPRODUCT((OFFSET(Calc2!$G$4,,,$F$26*B677,1)=F696)*(OFFSET(Calc2!$H$4,,,$F$26*B677,1)&lt;OFFSET(Calc2!$I$4,,,$F$26*B677,1)))</f>
        <v>5</v>
      </c>
      <c r="M696" s="1">
        <f t="array" aca="1" ref="M696" ca="1">SUMPRODUCT((OFFSET(Calc2!$F$4,,,$F$26*B677,2)=F696)*(OFFSET(Calc2!$H$4,,,$F$26*B677,1)=OFFSET(Calc2!$I$4,,,$F$26*B677,1))*(OFFSET(Calc2!$H$4,,,$F$26*B677,1)&lt;&gt;"")*(OFFSET(Calc2!$I$4,,,$F$26*B677,1)&lt;&gt;""))</f>
        <v>6</v>
      </c>
      <c r="N696" s="1">
        <f t="array" aca="1" ref="N696" ca="1">SUMPRODUCT((OFFSET(Calc2!$F$4,,,$F$26*B677,1)=F696)*(OFFSET(Calc2!$H$4,,,$F$26*B677,1)&lt;OFFSET(Calc2!$I$4,,,$F$26*B677,1)))+SUMPRODUCT((OFFSET(Calc2!$G$4,,,$F$26*B677,1)=F696)*(OFFSET(Calc2!$H$4,,,$F$26*B677,1)&gt;OFFSET(Calc2!$I$4,,,$F$26*B677,1)))</f>
        <v>15</v>
      </c>
      <c r="O696" s="132">
        <f ca="1">SUMPRODUCT((F696=OFFSET(Calc2!$F$4,,,$F$26*B677,1))*OFFSET(Calc2!$O$4,,,$F$26*B677,1))+SUMPRODUCT((F696=OFFSET(Calc2!$G$4,,,$F$26*B677,1))*OFFSET(Calc2!$P$4,,,$F$26*B677,1))</f>
        <v>0</v>
      </c>
      <c r="P696" s="2"/>
      <c r="Q696" s="2"/>
      <c r="R696" s="13">
        <f t="shared" ca="1" si="126"/>
        <v>21499979035</v>
      </c>
      <c r="S696" s="134">
        <f>Tie_Break!$D$24</f>
        <v>0</v>
      </c>
      <c r="T696" s="9">
        <f ca="1">RANK(R696,R679:R698)+(9-S696)/10000+(F696="")*1000</f>
        <v>17.000900000000001</v>
      </c>
      <c r="U696" s="2"/>
      <c r="V696" s="134">
        <f ca="1">IF($K$24=0,"",IF(VLOOKUP(B696,C679:E698,3,0)=MAX(V$4:V695),VLOOKUP(B696,C679:E698,3,0),B696))</f>
        <v>18</v>
      </c>
      <c r="W696" s="4" t="str">
        <f ca="1">IF($K$24=0,Calc2!$C$21,VLOOKUP(B696,C679:N698,4,0))</f>
        <v>1. FC Heidenheim 1846</v>
      </c>
      <c r="X696" s="1">
        <f ca="1">INDEX(V652:V671,MATCH(W696,W652:W671,0))</f>
        <v>18</v>
      </c>
      <c r="Y696" s="1">
        <f t="shared" ca="1" si="129"/>
        <v>0</v>
      </c>
    </row>
    <row r="697" spans="2:25" x14ac:dyDescent="0.2">
      <c r="B697" s="1">
        <v>19</v>
      </c>
      <c r="C697" s="9">
        <f ca="1">RANK(D697,D679:D698,1)</f>
        <v>19</v>
      </c>
      <c r="D697" s="134">
        <f t="shared" ca="1" si="127"/>
        <v>19.696999999999999</v>
      </c>
      <c r="E697" s="134">
        <f ca="1">RANK(T697,T679:T698,1)</f>
        <v>19</v>
      </c>
      <c r="F697" s="187" t="str">
        <f>Calc2!$C$22</f>
        <v/>
      </c>
      <c r="G697" s="1">
        <f ca="1">SUMIFS(OFFSET(Calc2!$H$4,,,$F$26*B677,1),OFFSET(Calc2!$F$4,,,$F$26*B677,1),F697)+SUMIFS(OFFSET(Calc2!$I$4,,,$F$26*B677,1),OFFSET(Calc2!$G$4,,,$F$26*B677,1),F697)</f>
        <v>0</v>
      </c>
      <c r="H697" s="1">
        <f ca="1">SUMIFS(OFFSET(Calc2!$I$4,,,$F$26*B677,1),OFFSET(Calc2!$F$4,,,$F$26*B677,1),F697)+SUMIFS(OFFSET(Calc2!$H$4,,,$F$26*B677,1),OFFSET(Calc2!$G$4,,,$F$26*B677,1),F697)</f>
        <v>0</v>
      </c>
      <c r="I697" s="134">
        <f t="shared" ca="1" si="125"/>
        <v>0</v>
      </c>
      <c r="J697" s="12">
        <f ca="1">L697*Settings!$C$3+M697+O697</f>
        <v>0</v>
      </c>
      <c r="K697" s="1">
        <f t="shared" ca="1" si="128"/>
        <v>0</v>
      </c>
      <c r="L697" s="1">
        <f t="array" aca="1" ref="L697" ca="1">SUMPRODUCT((OFFSET(Calc2!$F$4,,,$F$26*B677,1)=F697)*(OFFSET(Calc2!$H$4,,,$F$26*B677,1)&gt;OFFSET(Calc2!$I$4,,,$F$26*B677,1)))+SUMPRODUCT((OFFSET(Calc2!$G$4,,,$F$26*B677,1)=F697)*(OFFSET(Calc2!$H$4,,,$F$26*B677,1)&lt;OFFSET(Calc2!$I$4,,,$F$26*B677,1)))</f>
        <v>0</v>
      </c>
      <c r="M697" s="1">
        <f t="array" aca="1" ref="M697" ca="1">SUMPRODUCT((OFFSET(Calc2!$F$4,,,$F$26*B677,2)=F697)*(OFFSET(Calc2!$H$4,,,$F$26*B677,1)=OFFSET(Calc2!$I$4,,,$F$26*B677,1))*(OFFSET(Calc2!$H$4,,,$F$26*B677,1)&lt;&gt;"")*(OFFSET(Calc2!$I$4,,,$F$26*B677,1)&lt;&gt;""))</f>
        <v>0</v>
      </c>
      <c r="N697" s="1">
        <f t="array" aca="1" ref="N697" ca="1">SUMPRODUCT((OFFSET(Calc2!$F$4,,,$F$26*B677,1)=F697)*(OFFSET(Calc2!$H$4,,,$F$26*B677,1)&lt;OFFSET(Calc2!$I$4,,,$F$26*B677,1)))+SUMPRODUCT((OFFSET(Calc2!$G$4,,,$F$26*B677,1)=F697)*(OFFSET(Calc2!$H$4,,,$F$26*B677,1)&gt;OFFSET(Calc2!$I$4,,,$F$26*B677,1)))</f>
        <v>0</v>
      </c>
      <c r="O697" s="132">
        <f ca="1">SUMPRODUCT((F697=OFFSET(Calc2!$F$4,,,$F$26*B677,1))*OFFSET(Calc2!$O$4,,,$F$26*B677,1))+SUMPRODUCT((F697=OFFSET(Calc2!$G$4,,,$F$26*B677,1))*OFFSET(Calc2!$P$4,,,$F$26*B677,1))</f>
        <v>0</v>
      </c>
      <c r="P697" s="2"/>
      <c r="Q697" s="2"/>
      <c r="R697" s="13">
        <f t="shared" ca="1" si="126"/>
        <v>500000000</v>
      </c>
      <c r="S697" s="134">
        <f>Tie_Break!$D$25</f>
        <v>0</v>
      </c>
      <c r="T697" s="9">
        <f ca="1">RANK(R697,R679:R698)+(9-S697)/10000+(F697="")*1000</f>
        <v>1019.0009</v>
      </c>
      <c r="U697" s="2"/>
      <c r="V697" s="134">
        <f ca="1">IF($K$24=0,"",IF(VLOOKUP(B697,C679:E698,3,0)=MAX(V$4:V696),VLOOKUP(B697,C679:E698,3,0),B697))</f>
        <v>19</v>
      </c>
      <c r="W697" s="4" t="str">
        <f ca="1">IF($K$24=0,Calc2!$C$22,VLOOKUP(B697,C679:N698,4,0))</f>
        <v/>
      </c>
      <c r="X697" s="1">
        <f ca="1">INDEX(V652:V671,MATCH(W697,W652:W671,0))</f>
        <v>19</v>
      </c>
      <c r="Y697" s="1">
        <f t="shared" ca="1" si="129"/>
        <v>0</v>
      </c>
    </row>
    <row r="698" spans="2:25" ht="12.75" thickBot="1" x14ac:dyDescent="0.25">
      <c r="B698" s="1">
        <v>20</v>
      </c>
      <c r="C698" s="10">
        <f ca="1">RANK(D698,D679:D698,1)</f>
        <v>20</v>
      </c>
      <c r="D698" s="134">
        <f t="shared" ca="1" si="127"/>
        <v>19.698</v>
      </c>
      <c r="E698" s="134">
        <f ca="1">RANK(T698,T679:T698,1)</f>
        <v>19</v>
      </c>
      <c r="F698" s="187" t="str">
        <f>Calc2!$C$23</f>
        <v/>
      </c>
      <c r="G698" s="1">
        <f ca="1">SUMIFS(OFFSET(Calc2!$H$4,,,$F$26*B677,1),OFFSET(Calc2!$F$4,,,$F$26*B677,1),F698)+SUMIFS(OFFSET(Calc2!$I$4,,,$F$26*B677,1),OFFSET(Calc2!$G$4,,,$F$26*B677,1),F698)</f>
        <v>0</v>
      </c>
      <c r="H698" s="1">
        <f ca="1">SUMIFS(OFFSET(Calc2!$I$4,,,$F$26*B677,1),OFFSET(Calc2!$F$4,,,$F$26*B677,1),F698)+SUMIFS(OFFSET(Calc2!$H$4,,,$F$26*B677,1),OFFSET(Calc2!$G$4,,,$F$26*B677,1),F698)</f>
        <v>0</v>
      </c>
      <c r="I698" s="134">
        <f t="shared" ca="1" si="125"/>
        <v>0</v>
      </c>
      <c r="J698" s="12">
        <f ca="1">L698*Settings!$C$3+M698+O698</f>
        <v>0</v>
      </c>
      <c r="K698" s="1">
        <f t="shared" ca="1" si="128"/>
        <v>0</v>
      </c>
      <c r="L698" s="1">
        <f t="array" aca="1" ref="L698" ca="1">SUMPRODUCT((OFFSET(Calc2!$F$4,,,$F$26*B677,1)=F698)*(OFFSET(Calc2!$H$4,,,$F$26*B677,1)&gt;OFFSET(Calc2!$I$4,,,$F$26*B677,1)))+SUMPRODUCT((OFFSET(Calc2!$G$4,,,$F$26*B677,1)=F698)*(OFFSET(Calc2!$H$4,,,$F$26*B677,1)&lt;OFFSET(Calc2!$I$4,,,$F$26*B677,1)))</f>
        <v>0</v>
      </c>
      <c r="M698" s="1">
        <f t="array" aca="1" ref="M698" ca="1">SUMPRODUCT((OFFSET(Calc2!$F$4,,,$F$26*B677,2)=F698)*(OFFSET(Calc2!$H$4,,,$F$26*B677,1)=OFFSET(Calc2!$I$4,,,$F$26*B677,1))*(OFFSET(Calc2!$H$4,,,$F$26*B677,1)&lt;&gt;"")*(OFFSET(Calc2!$I$4,,,$F$26*B677,1)&lt;&gt;""))</f>
        <v>0</v>
      </c>
      <c r="N698" s="1">
        <f t="array" aca="1" ref="N698" ca="1">SUMPRODUCT((OFFSET(Calc2!$F$4,,,$F$26*B677,1)=F698)*(OFFSET(Calc2!$H$4,,,$F$26*B677,1)&lt;OFFSET(Calc2!$I$4,,,$F$26*B677,1)))+SUMPRODUCT((OFFSET(Calc2!$G$4,,,$F$26*B677,1)=F698)*(OFFSET(Calc2!$H$4,,,$F$26*B677,1)&gt;OFFSET(Calc2!$I$4,,,$F$26*B677,1)))</f>
        <v>0</v>
      </c>
      <c r="O698" s="132">
        <f ca="1">SUMPRODUCT((F698=OFFSET(Calc2!$F$4,,,$F$26*B677,1))*OFFSET(Calc2!$O$4,,,$F$26*B677,1))+SUMPRODUCT((F698=OFFSET(Calc2!$G$4,,,$F$26*B677,1))*OFFSET(Calc2!$P$4,,,$F$26*B677,1))</f>
        <v>0</v>
      </c>
      <c r="P698" s="2"/>
      <c r="Q698" s="2"/>
      <c r="R698" s="13">
        <f t="shared" ca="1" si="126"/>
        <v>500000000</v>
      </c>
      <c r="S698" s="134">
        <f>Tie_Break!$D$26</f>
        <v>0</v>
      </c>
      <c r="T698" s="10">
        <f ca="1">RANK(R698,R679:R698)+(9-S698)/10000+(F698="")*1000</f>
        <v>1019.0009</v>
      </c>
      <c r="U698" s="2"/>
      <c r="V698" s="134">
        <f ca="1">IF($K$24=0,"",IF(VLOOKUP(B698,C679:E698,3,0)=MAX(V$4:V697),VLOOKUP(B698,C679:E698,3,0),B698))</f>
        <v>19</v>
      </c>
      <c r="W698" s="4" t="str">
        <f ca="1">IF($K$24=0,Calc2!$C$23,VLOOKUP(B698,C679:N698,4,0))</f>
        <v/>
      </c>
      <c r="X698" s="1">
        <f ca="1">INDEX(V652:V671,MATCH(W698,W652:W671,0))</f>
        <v>19</v>
      </c>
      <c r="Y698" s="1">
        <f t="shared" ca="1" si="129"/>
        <v>0</v>
      </c>
    </row>
    <row r="699" spans="2:25" ht="12.75" thickTop="1" x14ac:dyDescent="0.2"/>
    <row r="703" spans="2:25" ht="12.75" thickBot="1" x14ac:dyDescent="0.25"/>
    <row r="704" spans="2:25" ht="12.75" thickBot="1" x14ac:dyDescent="0.25">
      <c r="B704" s="410">
        <v>27</v>
      </c>
      <c r="C704" s="134"/>
      <c r="D704" s="134"/>
      <c r="E704" s="134"/>
      <c r="F704" s="187"/>
      <c r="G704" s="1"/>
      <c r="H704" s="1"/>
      <c r="I704" s="1"/>
      <c r="J704" s="1"/>
      <c r="K704" s="1"/>
      <c r="L704" s="1"/>
      <c r="M704" s="1"/>
      <c r="N704" s="134"/>
      <c r="O704" s="1"/>
      <c r="P704" s="1"/>
      <c r="Q704" s="1"/>
      <c r="R704" s="2"/>
      <c r="S704" s="2"/>
      <c r="T704" s="2"/>
      <c r="U704" s="2"/>
      <c r="V704" s="2"/>
      <c r="W704" s="2"/>
    </row>
    <row r="705" spans="2:25" ht="15.75" thickBot="1" x14ac:dyDescent="0.25">
      <c r="B705" s="1"/>
      <c r="C705" s="134"/>
      <c r="D705" s="134"/>
      <c r="E705" s="134"/>
      <c r="F705" s="11" t="s">
        <v>90</v>
      </c>
      <c r="G705" s="42" t="s">
        <v>95</v>
      </c>
      <c r="H705" s="42" t="s">
        <v>96</v>
      </c>
      <c r="I705" s="11" t="s">
        <v>97</v>
      </c>
      <c r="J705" s="11" t="s">
        <v>98</v>
      </c>
      <c r="K705" s="11" t="s">
        <v>91</v>
      </c>
      <c r="L705" s="12" t="s">
        <v>92</v>
      </c>
      <c r="M705" s="12" t="s">
        <v>93</v>
      </c>
      <c r="N705" s="12" t="s">
        <v>94</v>
      </c>
      <c r="O705" s="12" t="s">
        <v>534</v>
      </c>
      <c r="P705" s="2"/>
      <c r="Q705" s="11"/>
      <c r="R705" s="133" t="s">
        <v>99</v>
      </c>
      <c r="S705" s="6" t="s">
        <v>483</v>
      </c>
      <c r="T705" s="120" t="s">
        <v>146</v>
      </c>
      <c r="U705" s="134"/>
      <c r="V705" s="134"/>
      <c r="W705" s="132"/>
      <c r="X705" s="120" t="s">
        <v>575</v>
      </c>
      <c r="Y705" s="1"/>
    </row>
    <row r="706" spans="2:25" ht="12.75" thickTop="1" x14ac:dyDescent="0.2">
      <c r="B706" s="1">
        <v>1</v>
      </c>
      <c r="C706" s="8">
        <f ca="1">RANK(D706,D706:D725,1)</f>
        <v>18</v>
      </c>
      <c r="D706" s="134">
        <f ca="1">E706+ROW()/1000</f>
        <v>18.706</v>
      </c>
      <c r="E706" s="134">
        <f ca="1">RANK(T706,T706:T725,1)</f>
        <v>18</v>
      </c>
      <c r="F706" s="187" t="str">
        <f>Calc2!$C$4</f>
        <v>1. FC Heidenheim 1846</v>
      </c>
      <c r="G706" s="1">
        <f ca="1">SUMIFS(OFFSET(Calc2!$H$4,,,$F$26*B704,1),OFFSET(Calc2!$F$4,,,$F$26*B704,1),F706)+SUMIFS(OFFSET(Calc2!$I$4,,,$F$26*B704,1),OFFSET(Calc2!$G$4,,,$F$26*B704,1),F706)</f>
        <v>27</v>
      </c>
      <c r="H706" s="1">
        <f ca="1">SUMIFS(OFFSET(Calc2!$I$4,,,$F$26*B704,1),OFFSET(Calc2!$F$4,,,$F$26*B704,1),F706)+SUMIFS(OFFSET(Calc2!$H$4,,,$F$26*B704,1),OFFSET(Calc2!$G$4,,,$F$26*B704,1),F706)</f>
        <v>61</v>
      </c>
      <c r="I706" s="134">
        <f t="shared" ref="I706:I725" ca="1" si="130">G706-H706</f>
        <v>-34</v>
      </c>
      <c r="J706" s="12">
        <f ca="1">L706*Settings!$C$3+M706+O706</f>
        <v>15</v>
      </c>
      <c r="K706" s="1">
        <f ca="1">L706+M706+N706</f>
        <v>27</v>
      </c>
      <c r="L706" s="1">
        <f t="array" aca="1" ref="L706" ca="1">SUMPRODUCT((OFFSET(Calc2!$F$4,,,$F$26*B704,1)=F706)*(OFFSET(Calc2!$H$4,,,$F$26*B704,1)&gt;OFFSET(Calc2!$I$4,,,$F$26*B704,1)))+SUMPRODUCT((OFFSET(Calc2!$G$4,,,$F$26*B704,1)=F706)*(OFFSET(Calc2!$H$4,,,$F$26*B704,1)&lt;OFFSET(Calc2!$I$4,,,$F$26*B704,1)))</f>
        <v>3</v>
      </c>
      <c r="M706" s="1">
        <f t="array" aca="1" ref="M706" ca="1">SUMPRODUCT((OFFSET(Calc2!$F$4,,,$F$26*B704,2)=F706)*(OFFSET(Calc2!$H$4,,,$F$26*B704,1)=OFFSET(Calc2!$I$4,,,$F$26*B704,1))*(OFFSET(Calc2!$H$4,,,$F$26*B704,1)&lt;&gt;"")*(OFFSET(Calc2!$I$4,,,$F$26*B704,1)&lt;&gt;""))</f>
        <v>6</v>
      </c>
      <c r="N706" s="1">
        <f t="array" aca="1" ref="N706" ca="1">SUMPRODUCT((OFFSET(Calc2!$F$4,,,$F$26*B704,1)=F706)*(OFFSET(Calc2!$H$4,,,$F$26*B704,1)&lt;OFFSET(Calc2!$I$4,,,$F$26*B704,1)))+SUMPRODUCT((OFFSET(Calc2!$G$4,,,$F$26*B704,1)=F706)*(OFFSET(Calc2!$H$4,,,$F$26*B704,1)&gt;OFFSET(Calc2!$I$4,,,$F$26*B704,1)))</f>
        <v>18</v>
      </c>
      <c r="O706" s="132">
        <f ca="1">SUMPRODUCT((F706=OFFSET(Calc2!$F$4,,,$F$26*B704,1))*OFFSET(Calc2!$O$4,,,$F$26*B704,1))+SUMPRODUCT((F706=OFFSET(Calc2!$G$4,,,$F$26*B704,1))*OFFSET(Calc2!$P$4,,,$F$26*B704,1))</f>
        <v>0</v>
      </c>
      <c r="P706" s="2"/>
      <c r="Q706" s="2"/>
      <c r="R706" s="13">
        <f t="shared" ref="R706:R725" ca="1" si="131">J706*FactorPts+(I706+GDzero)*FactorGD+G706*FactorGF</f>
        <v>15499966027</v>
      </c>
      <c r="S706" s="134">
        <f>Tie_Break!$D$7</f>
        <v>0</v>
      </c>
      <c r="T706" s="8">
        <f ca="1">RANK(R706,R706:R725)+(9-S706)/10000+(F706="")*1000</f>
        <v>18.000900000000001</v>
      </c>
      <c r="U706" s="134"/>
      <c r="V706" s="134">
        <f ca="1">IF($K$24=0,"",1)</f>
        <v>1</v>
      </c>
      <c r="W706" s="4" t="str">
        <f ca="1">IF($K$24=0,Calc2!$C$4,VLOOKUP(B706,C706:N725,4,0))</f>
        <v>FC Bayern München</v>
      </c>
      <c r="X706" s="1">
        <f ca="1">INDEX(V679:V698,MATCH(W706,W679:W698,0))</f>
        <v>1</v>
      </c>
      <c r="Y706" s="1">
        <f ca="1">IF(X706&gt;V706,1,IF(X706&lt;V706,-1,0))</f>
        <v>0</v>
      </c>
    </row>
    <row r="707" spans="2:25" x14ac:dyDescent="0.2">
      <c r="B707" s="1">
        <v>2</v>
      </c>
      <c r="C707" s="9">
        <f ca="1">RANK(D707,D706:D725,1)</f>
        <v>15</v>
      </c>
      <c r="D707" s="134">
        <f t="shared" ref="D707:D725" ca="1" si="132">E707+ROW()/1000</f>
        <v>15.707000000000001</v>
      </c>
      <c r="E707" s="134">
        <f ca="1">RANK(T707,T706:T725,1)</f>
        <v>15</v>
      </c>
      <c r="F707" s="187" t="str">
        <f>Calc2!$C$5</f>
        <v>1. FC Köln</v>
      </c>
      <c r="G707" s="1">
        <f ca="1">SUMIFS(OFFSET(Calc2!$H$4,,,$F$26*B704,1),OFFSET(Calc2!$F$4,,,$F$26*B704,1),F707)+SUMIFS(OFFSET(Calc2!$I$4,,,$F$26*B704,1),OFFSET(Calc2!$G$4,,,$F$26*B704,1),F707)</f>
        <v>38</v>
      </c>
      <c r="H707" s="1">
        <f ca="1">SUMIFS(OFFSET(Calc2!$I$4,,,$F$26*B704,1),OFFSET(Calc2!$F$4,,,$F$26*B704,1),F707)+SUMIFS(OFFSET(Calc2!$H$4,,,$F$26*B704,1),OFFSET(Calc2!$G$4,,,$F$26*B704,1),F707)</f>
        <v>47</v>
      </c>
      <c r="I707" s="134">
        <f t="shared" ca="1" si="130"/>
        <v>-9</v>
      </c>
      <c r="J707" s="12">
        <f ca="1">L707*Settings!$C$3+M707+O707</f>
        <v>26</v>
      </c>
      <c r="K707" s="1">
        <f t="shared" ref="K707:K725" ca="1" si="133">L707+M707+N707</f>
        <v>27</v>
      </c>
      <c r="L707" s="1">
        <f t="array" aca="1" ref="L707" ca="1">SUMPRODUCT((OFFSET(Calc2!$F$4,,,$F$26*B704,1)=F707)*(OFFSET(Calc2!$H$4,,,$F$26*B704,1)&gt;OFFSET(Calc2!$I$4,,,$F$26*B704,1)))+SUMPRODUCT((OFFSET(Calc2!$G$4,,,$F$26*B704,1)=F707)*(OFFSET(Calc2!$H$4,,,$F$26*B704,1)&lt;OFFSET(Calc2!$I$4,,,$F$26*B704,1)))</f>
        <v>6</v>
      </c>
      <c r="M707" s="1">
        <f t="array" aca="1" ref="M707" ca="1">SUMPRODUCT((OFFSET(Calc2!$F$4,,,$F$26*B704,2)=F707)*(OFFSET(Calc2!$H$4,,,$F$26*B704,1)=OFFSET(Calc2!$I$4,,,$F$26*B704,1))*(OFFSET(Calc2!$H$4,,,$F$26*B704,1)&lt;&gt;"")*(OFFSET(Calc2!$I$4,,,$F$26*B704,1)&lt;&gt;""))</f>
        <v>8</v>
      </c>
      <c r="N707" s="1">
        <f t="array" aca="1" ref="N707" ca="1">SUMPRODUCT((OFFSET(Calc2!$F$4,,,$F$26*B704,1)=F707)*(OFFSET(Calc2!$H$4,,,$F$26*B704,1)&lt;OFFSET(Calc2!$I$4,,,$F$26*B704,1)))+SUMPRODUCT((OFFSET(Calc2!$G$4,,,$F$26*B704,1)=F707)*(OFFSET(Calc2!$H$4,,,$F$26*B704,1)&gt;OFFSET(Calc2!$I$4,,,$F$26*B704,1)))</f>
        <v>13</v>
      </c>
      <c r="O707" s="132">
        <f ca="1">SUMPRODUCT((F707=OFFSET(Calc2!$F$4,,,$F$26*B704,1))*OFFSET(Calc2!$O$4,,,$F$26*B704,1))+SUMPRODUCT((F707=OFFSET(Calc2!$G$4,,,$F$26*B704,1))*OFFSET(Calc2!$P$4,,,$F$26*B704,1))</f>
        <v>0</v>
      </c>
      <c r="P707" s="2"/>
      <c r="Q707" s="2"/>
      <c r="R707" s="13">
        <f t="shared" ca="1" si="131"/>
        <v>26499991038</v>
      </c>
      <c r="S707" s="134">
        <f>Tie_Break!$D$8</f>
        <v>0</v>
      </c>
      <c r="T707" s="9">
        <f ca="1">RANK(R707,R706:R725)+(9-S707)/10000+(F707="")*1000</f>
        <v>15.0009</v>
      </c>
      <c r="U707" s="134"/>
      <c r="V707" s="134">
        <f ca="1">IF($K$24=0,"",IF(VLOOKUP(B707,C706:E725,3,0)=MAX(V$4:V706),VLOOKUP(B707,C706:E725,3,0),B707))</f>
        <v>2</v>
      </c>
      <c r="W707" s="4" t="str">
        <f ca="1">IF($K$24=0,Calc2!$C$5,VLOOKUP(B707,C706:N725,4,0))</f>
        <v>Borussia Dortmund</v>
      </c>
      <c r="X707" s="1">
        <f ca="1">INDEX(V679:V698,MATCH(W707,W679:W698,0))</f>
        <v>2</v>
      </c>
      <c r="Y707" s="1">
        <f t="shared" ref="Y707:Y725" ca="1" si="134">IF(X707&gt;V707,1,IF(X707&lt;V707,-1,0))</f>
        <v>0</v>
      </c>
    </row>
    <row r="708" spans="2:25" x14ac:dyDescent="0.2">
      <c r="B708" s="1">
        <v>3</v>
      </c>
      <c r="C708" s="9">
        <f ca="1">RANK(D708,D706:D725,1)</f>
        <v>9</v>
      </c>
      <c r="D708" s="134">
        <f t="shared" ca="1" si="132"/>
        <v>9.7080000000000002</v>
      </c>
      <c r="E708" s="134">
        <f ca="1">RANK(T708,T706:T725,1)</f>
        <v>9</v>
      </c>
      <c r="F708" s="187" t="str">
        <f>Calc2!$C$6</f>
        <v>1. FC Union Berlin</v>
      </c>
      <c r="G708" s="1">
        <f ca="1">SUMIFS(OFFSET(Calc2!$H$4,,,$F$26*B704,1),OFFSET(Calc2!$F$4,,,$F$26*B704,1),F708)+SUMIFS(OFFSET(Calc2!$I$4,,,$F$26*B704,1),OFFSET(Calc2!$G$4,,,$F$26*B704,1),F708)</f>
        <v>31</v>
      </c>
      <c r="H708" s="1">
        <f ca="1">SUMIFS(OFFSET(Calc2!$I$4,,,$F$26*B704,1),OFFSET(Calc2!$F$4,,,$F$26*B704,1),F708)+SUMIFS(OFFSET(Calc2!$H$4,,,$F$26*B704,1),OFFSET(Calc2!$G$4,,,$F$26*B704,1),F708)</f>
        <v>46</v>
      </c>
      <c r="I708" s="134">
        <f t="shared" ca="1" si="130"/>
        <v>-15</v>
      </c>
      <c r="J708" s="12">
        <f ca="1">L708*Settings!$C$3+M708+O708</f>
        <v>31</v>
      </c>
      <c r="K708" s="1">
        <f t="shared" ca="1" si="133"/>
        <v>27</v>
      </c>
      <c r="L708" s="1">
        <f t="array" aca="1" ref="L708" ca="1">SUMPRODUCT((OFFSET(Calc2!$F$4,,,$F$26*B704,1)=F708)*(OFFSET(Calc2!$H$4,,,$F$26*B704,1)&gt;OFFSET(Calc2!$I$4,,,$F$26*B704,1)))+SUMPRODUCT((OFFSET(Calc2!$G$4,,,$F$26*B704,1)=F708)*(OFFSET(Calc2!$H$4,,,$F$26*B704,1)&lt;OFFSET(Calc2!$I$4,,,$F$26*B704,1)))</f>
        <v>8</v>
      </c>
      <c r="M708" s="1">
        <f t="array" aca="1" ref="M708" ca="1">SUMPRODUCT((OFFSET(Calc2!$F$4,,,$F$26*B704,2)=F708)*(OFFSET(Calc2!$H$4,,,$F$26*B704,1)=OFFSET(Calc2!$I$4,,,$F$26*B704,1))*(OFFSET(Calc2!$H$4,,,$F$26*B704,1)&lt;&gt;"")*(OFFSET(Calc2!$I$4,,,$F$26*B704,1)&lt;&gt;""))</f>
        <v>7</v>
      </c>
      <c r="N708" s="1">
        <f t="array" aca="1" ref="N708" ca="1">SUMPRODUCT((OFFSET(Calc2!$F$4,,,$F$26*B704,1)=F708)*(OFFSET(Calc2!$H$4,,,$F$26*B704,1)&lt;OFFSET(Calc2!$I$4,,,$F$26*B704,1)))+SUMPRODUCT((OFFSET(Calc2!$G$4,,,$F$26*B704,1)=F708)*(OFFSET(Calc2!$H$4,,,$F$26*B704,1)&gt;OFFSET(Calc2!$I$4,,,$F$26*B704,1)))</f>
        <v>12</v>
      </c>
      <c r="O708" s="132">
        <f ca="1">SUMPRODUCT((F708=OFFSET(Calc2!$F$4,,,$F$26*B704,1))*OFFSET(Calc2!$O$4,,,$F$26*B704,1))+SUMPRODUCT((F708=OFFSET(Calc2!$G$4,,,$F$26*B704,1))*OFFSET(Calc2!$P$4,,,$F$26*B704,1))</f>
        <v>0</v>
      </c>
      <c r="P708" s="2"/>
      <c r="Q708" s="2"/>
      <c r="R708" s="13">
        <f t="shared" ca="1" si="131"/>
        <v>31499985031</v>
      </c>
      <c r="S708" s="134">
        <f>Tie_Break!$D$9</f>
        <v>0</v>
      </c>
      <c r="T708" s="9">
        <f ca="1">RANK(R708,R706:R725)+(9-S708)/10000+(F708="")*1000</f>
        <v>9.0008999999999997</v>
      </c>
      <c r="U708" s="134"/>
      <c r="V708" s="134">
        <f ca="1">IF($K$24=0,"",IF(VLOOKUP(B708,C706:E725,3,0)=MAX(V$4:V707),VLOOKUP(B708,C706:E725,3,0),B708))</f>
        <v>3</v>
      </c>
      <c r="W708" s="4" t="str">
        <f ca="1">IF($K$24=0,Calc2!$C$6,VLOOKUP(B708,C706:N725,4,0))</f>
        <v>VfB Stuttgart</v>
      </c>
      <c r="X708" s="1">
        <f ca="1">INDEX(V679:V698,MATCH(W708,W679:W698,0))</f>
        <v>4</v>
      </c>
      <c r="Y708" s="1">
        <f t="shared" ca="1" si="134"/>
        <v>1</v>
      </c>
    </row>
    <row r="709" spans="2:25" x14ac:dyDescent="0.2">
      <c r="B709" s="1">
        <v>4</v>
      </c>
      <c r="C709" s="9">
        <f ca="1">RANK(D709,D706:D725,1)</f>
        <v>11</v>
      </c>
      <c r="D709" s="134">
        <f t="shared" ca="1" si="132"/>
        <v>11.709</v>
      </c>
      <c r="E709" s="134">
        <f ca="1">RANK(T709,T706:T725,1)</f>
        <v>11</v>
      </c>
      <c r="F709" s="187" t="str">
        <f>Calc2!$C$7</f>
        <v>1. FSV Mainz 05</v>
      </c>
      <c r="G709" s="1">
        <f ca="1">SUMIFS(OFFSET(Calc2!$H$4,,,$F$26*B704,1),OFFSET(Calc2!$F$4,,,$F$26*B704,1),F709)+SUMIFS(OFFSET(Calc2!$I$4,,,$F$26*B704,1),OFFSET(Calc2!$G$4,,,$F$26*B704,1),F709)</f>
        <v>33</v>
      </c>
      <c r="H709" s="1">
        <f ca="1">SUMIFS(OFFSET(Calc2!$I$4,,,$F$26*B704,1),OFFSET(Calc2!$F$4,,,$F$26*B704,1),F709)+SUMIFS(OFFSET(Calc2!$H$4,,,$F$26*B704,1),OFFSET(Calc2!$G$4,,,$F$26*B704,1),F709)</f>
        <v>42</v>
      </c>
      <c r="I709" s="134">
        <f t="shared" ca="1" si="130"/>
        <v>-9</v>
      </c>
      <c r="J709" s="12">
        <f ca="1">L709*Settings!$C$3+M709+O709</f>
        <v>30</v>
      </c>
      <c r="K709" s="1">
        <f t="shared" ca="1" si="133"/>
        <v>27</v>
      </c>
      <c r="L709" s="1">
        <f t="array" aca="1" ref="L709" ca="1">SUMPRODUCT((OFFSET(Calc2!$F$4,,,$F$26*B704,1)=F709)*(OFFSET(Calc2!$H$4,,,$F$26*B704,1)&gt;OFFSET(Calc2!$I$4,,,$F$26*B704,1)))+SUMPRODUCT((OFFSET(Calc2!$G$4,,,$F$26*B704,1)=F709)*(OFFSET(Calc2!$H$4,,,$F$26*B704,1)&lt;OFFSET(Calc2!$I$4,,,$F$26*B704,1)))</f>
        <v>7</v>
      </c>
      <c r="M709" s="1">
        <f t="array" aca="1" ref="M709" ca="1">SUMPRODUCT((OFFSET(Calc2!$F$4,,,$F$26*B704,2)=F709)*(OFFSET(Calc2!$H$4,,,$F$26*B704,1)=OFFSET(Calc2!$I$4,,,$F$26*B704,1))*(OFFSET(Calc2!$H$4,,,$F$26*B704,1)&lt;&gt;"")*(OFFSET(Calc2!$I$4,,,$F$26*B704,1)&lt;&gt;""))</f>
        <v>9</v>
      </c>
      <c r="N709" s="1">
        <f t="array" aca="1" ref="N709" ca="1">SUMPRODUCT((OFFSET(Calc2!$F$4,,,$F$26*B704,1)=F709)*(OFFSET(Calc2!$H$4,,,$F$26*B704,1)&lt;OFFSET(Calc2!$I$4,,,$F$26*B704,1)))+SUMPRODUCT((OFFSET(Calc2!$G$4,,,$F$26*B704,1)=F709)*(OFFSET(Calc2!$H$4,,,$F$26*B704,1)&gt;OFFSET(Calc2!$I$4,,,$F$26*B704,1)))</f>
        <v>11</v>
      </c>
      <c r="O709" s="132">
        <f ca="1">SUMPRODUCT((F709=OFFSET(Calc2!$F$4,,,$F$26*B704,1))*OFFSET(Calc2!$O$4,,,$F$26*B704,1))+SUMPRODUCT((F709=OFFSET(Calc2!$G$4,,,$F$26*B704,1))*OFFSET(Calc2!$P$4,,,$F$26*B704,1))</f>
        <v>0</v>
      </c>
      <c r="P709" s="2"/>
      <c r="Q709" s="2"/>
      <c r="R709" s="13">
        <f t="shared" ca="1" si="131"/>
        <v>30499991033</v>
      </c>
      <c r="S709" s="134">
        <f>Tie_Break!$D$10</f>
        <v>0</v>
      </c>
      <c r="T709" s="9">
        <f ca="1">RANK(R709,R706:R725)+(9-S709)/10000+(F709="")*1000</f>
        <v>11.0009</v>
      </c>
      <c r="U709" s="134"/>
      <c r="V709" s="134">
        <f ca="1">IF($K$24=0,"",IF(VLOOKUP(B709,C706:E725,3,0)=MAX(V$4:V708),VLOOKUP(B709,C706:E725,3,0),B709))</f>
        <v>4</v>
      </c>
      <c r="W709" s="4" t="str">
        <f ca="1">IF($K$24=0,Calc2!$C$7,VLOOKUP(B709,C706:N725,4,0))</f>
        <v>RB Leipzig</v>
      </c>
      <c r="X709" s="1">
        <f ca="1">INDEX(V679:V698,MATCH(W709,W679:W698,0))</f>
        <v>5</v>
      </c>
      <c r="Y709" s="1">
        <f t="shared" ca="1" si="134"/>
        <v>1</v>
      </c>
    </row>
    <row r="710" spans="2:25" x14ac:dyDescent="0.2">
      <c r="B710" s="1">
        <v>5</v>
      </c>
      <c r="C710" s="9">
        <f ca="1">RANK(D710,D706:D725,1)</f>
        <v>6</v>
      </c>
      <c r="D710" s="134">
        <f t="shared" ca="1" si="132"/>
        <v>6.71</v>
      </c>
      <c r="E710" s="134">
        <f ca="1">RANK(T710,T706:T725,1)</f>
        <v>6</v>
      </c>
      <c r="F710" s="187" t="str">
        <f>Calc2!$C$8</f>
        <v>Bayer 04 Leverkusen</v>
      </c>
      <c r="G710" s="1">
        <f ca="1">SUMIFS(OFFSET(Calc2!$H$4,,,$F$26*B704,1),OFFSET(Calc2!$F$4,,,$F$26*B704,1),F710)+SUMIFS(OFFSET(Calc2!$I$4,,,$F$26*B704,1),OFFSET(Calc2!$G$4,,,$F$26*B704,1),F710)</f>
        <v>52</v>
      </c>
      <c r="H710" s="1">
        <f ca="1">SUMIFS(OFFSET(Calc2!$I$4,,,$F$26*B704,1),OFFSET(Calc2!$F$4,,,$F$26*B704,1),F710)+SUMIFS(OFFSET(Calc2!$H$4,,,$F$26*B704,1),OFFSET(Calc2!$G$4,,,$F$26*B704,1),F710)</f>
        <v>36</v>
      </c>
      <c r="I710" s="134">
        <f t="shared" ca="1" si="130"/>
        <v>16</v>
      </c>
      <c r="J710" s="12">
        <f ca="1">L710*Settings!$C$3+M710+O710</f>
        <v>46</v>
      </c>
      <c r="K710" s="1">
        <f t="shared" ca="1" si="133"/>
        <v>27</v>
      </c>
      <c r="L710" s="1">
        <f t="array" aca="1" ref="L710" ca="1">SUMPRODUCT((OFFSET(Calc2!$F$4,,,$F$26*B704,1)=F710)*(OFFSET(Calc2!$H$4,,,$F$26*B704,1)&gt;OFFSET(Calc2!$I$4,,,$F$26*B704,1)))+SUMPRODUCT((OFFSET(Calc2!$G$4,,,$F$26*B704,1)=F710)*(OFFSET(Calc2!$H$4,,,$F$26*B704,1)&lt;OFFSET(Calc2!$I$4,,,$F$26*B704,1)))</f>
        <v>13</v>
      </c>
      <c r="M710" s="1">
        <f t="array" aca="1" ref="M710" ca="1">SUMPRODUCT((OFFSET(Calc2!$F$4,,,$F$26*B704,2)=F710)*(OFFSET(Calc2!$H$4,,,$F$26*B704,1)=OFFSET(Calc2!$I$4,,,$F$26*B704,1))*(OFFSET(Calc2!$H$4,,,$F$26*B704,1)&lt;&gt;"")*(OFFSET(Calc2!$I$4,,,$F$26*B704,1)&lt;&gt;""))</f>
        <v>7</v>
      </c>
      <c r="N710" s="1">
        <f t="array" aca="1" ref="N710" ca="1">SUMPRODUCT((OFFSET(Calc2!$F$4,,,$F$26*B704,1)=F710)*(OFFSET(Calc2!$H$4,,,$F$26*B704,1)&lt;OFFSET(Calc2!$I$4,,,$F$26*B704,1)))+SUMPRODUCT((OFFSET(Calc2!$G$4,,,$F$26*B704,1)=F710)*(OFFSET(Calc2!$H$4,,,$F$26*B704,1)&gt;OFFSET(Calc2!$I$4,,,$F$26*B704,1)))</f>
        <v>7</v>
      </c>
      <c r="O710" s="132">
        <f ca="1">SUMPRODUCT((F710=OFFSET(Calc2!$F$4,,,$F$26*B704,1))*OFFSET(Calc2!$O$4,,,$F$26*B704,1))+SUMPRODUCT((F710=OFFSET(Calc2!$G$4,,,$F$26*B704,1))*OFFSET(Calc2!$P$4,,,$F$26*B704,1))</f>
        <v>0</v>
      </c>
      <c r="P710" s="2"/>
      <c r="Q710" s="2"/>
      <c r="R710" s="13">
        <f t="shared" ca="1" si="131"/>
        <v>46500016052</v>
      </c>
      <c r="S710" s="134">
        <f>Tie_Break!$D$11</f>
        <v>0</v>
      </c>
      <c r="T710" s="9">
        <f ca="1">RANK(R710,R706:R725)+(9-S710)/10000+(F710="")*1000</f>
        <v>6.0008999999999997</v>
      </c>
      <c r="U710" s="134"/>
      <c r="V710" s="134">
        <f ca="1">IF($K$24=0,"",IF(VLOOKUP(B710,C706:E725,3,0)=MAX(V$4:V709),VLOOKUP(B710,C706:E725,3,0),B710))</f>
        <v>5</v>
      </c>
      <c r="W710" s="4" t="str">
        <f ca="1">IF($K$24=0,Calc2!$C$8,VLOOKUP(B710,C706:N725,4,0))</f>
        <v>TSG Hoffenheim</v>
      </c>
      <c r="X710" s="1">
        <f ca="1">INDEX(V679:V698,MATCH(W710,W679:W698,0))</f>
        <v>3</v>
      </c>
      <c r="Y710" s="1">
        <f t="shared" ca="1" si="134"/>
        <v>-1</v>
      </c>
    </row>
    <row r="711" spans="2:25" x14ac:dyDescent="0.2">
      <c r="B711" s="1">
        <v>6</v>
      </c>
      <c r="C711" s="9">
        <f ca="1">RANK(D711,D706:D725,1)</f>
        <v>2</v>
      </c>
      <c r="D711" s="134">
        <f t="shared" ca="1" si="132"/>
        <v>2.7109999999999999</v>
      </c>
      <c r="E711" s="134">
        <f ca="1">RANK(T711,T706:T725,1)</f>
        <v>2</v>
      </c>
      <c r="F711" s="187" t="str">
        <f>Calc2!$C$9</f>
        <v>Borussia Dortmund</v>
      </c>
      <c r="G711" s="1">
        <f ca="1">SUMIFS(OFFSET(Calc2!$H$4,,,$F$26*B704,1),OFFSET(Calc2!$F$4,,,$F$26*B704,1),F711)+SUMIFS(OFFSET(Calc2!$I$4,,,$F$26*B704,1),OFFSET(Calc2!$G$4,,,$F$26*B704,1),F711)</f>
        <v>58</v>
      </c>
      <c r="H711" s="1">
        <f ca="1">SUMIFS(OFFSET(Calc2!$I$4,,,$F$26*B704,1),OFFSET(Calc2!$F$4,,,$F$26*B704,1),F711)+SUMIFS(OFFSET(Calc2!$H$4,,,$F$26*B704,1),OFFSET(Calc2!$G$4,,,$F$26*B704,1),F711)</f>
        <v>28</v>
      </c>
      <c r="I711" s="134">
        <f t="shared" ca="1" si="130"/>
        <v>30</v>
      </c>
      <c r="J711" s="12">
        <f ca="1">L711*Settings!$C$3+M711+O711</f>
        <v>61</v>
      </c>
      <c r="K711" s="1">
        <f t="shared" ca="1" si="133"/>
        <v>27</v>
      </c>
      <c r="L711" s="1">
        <f t="array" aca="1" ref="L711" ca="1">SUMPRODUCT((OFFSET(Calc2!$F$4,,,$F$26*B704,1)=F711)*(OFFSET(Calc2!$H$4,,,$F$26*B704,1)&gt;OFFSET(Calc2!$I$4,,,$F$26*B704,1)))+SUMPRODUCT((OFFSET(Calc2!$G$4,,,$F$26*B704,1)=F711)*(OFFSET(Calc2!$H$4,,,$F$26*B704,1)&lt;OFFSET(Calc2!$I$4,,,$F$26*B704,1)))</f>
        <v>18</v>
      </c>
      <c r="M711" s="1">
        <f t="array" aca="1" ref="M711" ca="1">SUMPRODUCT((OFFSET(Calc2!$F$4,,,$F$26*B704,2)=F711)*(OFFSET(Calc2!$H$4,,,$F$26*B704,1)=OFFSET(Calc2!$I$4,,,$F$26*B704,1))*(OFFSET(Calc2!$H$4,,,$F$26*B704,1)&lt;&gt;"")*(OFFSET(Calc2!$I$4,,,$F$26*B704,1)&lt;&gt;""))</f>
        <v>7</v>
      </c>
      <c r="N711" s="1">
        <f t="array" aca="1" ref="N711" ca="1">SUMPRODUCT((OFFSET(Calc2!$F$4,,,$F$26*B704,1)=F711)*(OFFSET(Calc2!$H$4,,,$F$26*B704,1)&lt;OFFSET(Calc2!$I$4,,,$F$26*B704,1)))+SUMPRODUCT((OFFSET(Calc2!$G$4,,,$F$26*B704,1)=F711)*(OFFSET(Calc2!$H$4,,,$F$26*B704,1)&gt;OFFSET(Calc2!$I$4,,,$F$26*B704,1)))</f>
        <v>2</v>
      </c>
      <c r="O711" s="132">
        <f ca="1">SUMPRODUCT((F711=OFFSET(Calc2!$F$4,,,$F$26*B704,1))*OFFSET(Calc2!$O$4,,,$F$26*B704,1))+SUMPRODUCT((F711=OFFSET(Calc2!$G$4,,,$F$26*B704,1))*OFFSET(Calc2!$P$4,,,$F$26*B704,1))</f>
        <v>0</v>
      </c>
      <c r="P711" s="2"/>
      <c r="Q711" s="2"/>
      <c r="R711" s="13">
        <f t="shared" ca="1" si="131"/>
        <v>61500030058</v>
      </c>
      <c r="S711" s="134">
        <f>Tie_Break!$D$12</f>
        <v>0</v>
      </c>
      <c r="T711" s="9">
        <f ca="1">RANK(R711,R706:R725)+(9-S711)/10000+(F711="")*1000</f>
        <v>2.0009000000000001</v>
      </c>
      <c r="U711" s="134"/>
      <c r="V711" s="134">
        <f ca="1">IF($K$24=0,"",IF(VLOOKUP(B711,C706:E725,3,0)=MAX(V$4:V710),VLOOKUP(B711,C706:E725,3,0),B711))</f>
        <v>6</v>
      </c>
      <c r="W711" s="4" t="str">
        <f ca="1">IF($K$24=0,Calc2!$C$9,VLOOKUP(B711,C706:N725,4,0))</f>
        <v>Bayer 04 Leverkusen</v>
      </c>
      <c r="X711" s="1">
        <f ca="1">INDEX(V679:V698,MATCH(W711,W679:W698,0))</f>
        <v>6</v>
      </c>
      <c r="Y711" s="1">
        <f t="shared" ca="1" si="134"/>
        <v>0</v>
      </c>
    </row>
    <row r="712" spans="2:25" x14ac:dyDescent="0.2">
      <c r="B712" s="1">
        <v>7</v>
      </c>
      <c r="C712" s="9">
        <f ca="1">RANK(D712,D706:D725,1)</f>
        <v>13</v>
      </c>
      <c r="D712" s="134">
        <f t="shared" ca="1" si="132"/>
        <v>13.712</v>
      </c>
      <c r="E712" s="134">
        <f ca="1">RANK(T712,T706:T725,1)</f>
        <v>13</v>
      </c>
      <c r="F712" s="187" t="str">
        <f>Calc2!$C$10</f>
        <v>Borussia Mönchengladbach</v>
      </c>
      <c r="G712" s="1">
        <f ca="1">SUMIFS(OFFSET(Calc2!$H$4,,,$F$26*B704,1),OFFSET(Calc2!$F$4,,,$F$26*B704,1),F712)+SUMIFS(OFFSET(Calc2!$I$4,,,$F$26*B704,1),OFFSET(Calc2!$G$4,,,$F$26*B704,1),F712)</f>
        <v>33</v>
      </c>
      <c r="H712" s="1">
        <f ca="1">SUMIFS(OFFSET(Calc2!$I$4,,,$F$26*B704,1),OFFSET(Calc2!$F$4,,,$F$26*B704,1),F712)+SUMIFS(OFFSET(Calc2!$H$4,,,$F$26*B704,1),OFFSET(Calc2!$G$4,,,$F$26*B704,1),F712)</f>
        <v>46</v>
      </c>
      <c r="I712" s="134">
        <f t="shared" ca="1" si="130"/>
        <v>-13</v>
      </c>
      <c r="J712" s="12">
        <f ca="1">L712*Settings!$C$3+M712+O712</f>
        <v>29</v>
      </c>
      <c r="K712" s="1">
        <f t="shared" ca="1" si="133"/>
        <v>27</v>
      </c>
      <c r="L712" s="1">
        <f t="array" aca="1" ref="L712" ca="1">SUMPRODUCT((OFFSET(Calc2!$F$4,,,$F$26*B704,1)=F712)*(OFFSET(Calc2!$H$4,,,$F$26*B704,1)&gt;OFFSET(Calc2!$I$4,,,$F$26*B704,1)))+SUMPRODUCT((OFFSET(Calc2!$G$4,,,$F$26*B704,1)=F712)*(OFFSET(Calc2!$H$4,,,$F$26*B704,1)&lt;OFFSET(Calc2!$I$4,,,$F$26*B704,1)))</f>
        <v>7</v>
      </c>
      <c r="M712" s="1">
        <f t="array" aca="1" ref="M712" ca="1">SUMPRODUCT((OFFSET(Calc2!$F$4,,,$F$26*B704,2)=F712)*(OFFSET(Calc2!$H$4,,,$F$26*B704,1)=OFFSET(Calc2!$I$4,,,$F$26*B704,1))*(OFFSET(Calc2!$H$4,,,$F$26*B704,1)&lt;&gt;"")*(OFFSET(Calc2!$I$4,,,$F$26*B704,1)&lt;&gt;""))</f>
        <v>8</v>
      </c>
      <c r="N712" s="1">
        <f t="array" aca="1" ref="N712" ca="1">SUMPRODUCT((OFFSET(Calc2!$F$4,,,$F$26*B704,1)=F712)*(OFFSET(Calc2!$H$4,,,$F$26*B704,1)&lt;OFFSET(Calc2!$I$4,,,$F$26*B704,1)))+SUMPRODUCT((OFFSET(Calc2!$G$4,,,$F$26*B704,1)=F712)*(OFFSET(Calc2!$H$4,,,$F$26*B704,1)&gt;OFFSET(Calc2!$I$4,,,$F$26*B704,1)))</f>
        <v>12</v>
      </c>
      <c r="O712" s="132">
        <f ca="1">SUMPRODUCT((F712=OFFSET(Calc2!$F$4,,,$F$26*B704,1))*OFFSET(Calc2!$O$4,,,$F$26*B704,1))+SUMPRODUCT((F712=OFFSET(Calc2!$G$4,,,$F$26*B704,1))*OFFSET(Calc2!$P$4,,,$F$26*B704,1))</f>
        <v>0</v>
      </c>
      <c r="P712" s="2"/>
      <c r="Q712" s="2"/>
      <c r="R712" s="13">
        <f t="shared" ca="1" si="131"/>
        <v>29499987033</v>
      </c>
      <c r="S712" s="134">
        <f>Tie_Break!$D$13</f>
        <v>0</v>
      </c>
      <c r="T712" s="9">
        <f ca="1">RANK(R712,R706:R725)+(9-S712)/10000+(F712="")*1000</f>
        <v>13.0009</v>
      </c>
      <c r="U712" s="134"/>
      <c r="V712" s="134">
        <f ca="1">IF($K$24=0,"",IF(VLOOKUP(B712,C706:E725,3,0)=MAX(V$4:V711),VLOOKUP(B712,C706:E725,3,0),B712))</f>
        <v>7</v>
      </c>
      <c r="W712" s="4" t="str">
        <f ca="1">IF($K$24=0,Calc2!$C$10,VLOOKUP(B712,C706:N725,4,0))</f>
        <v>Eintracht Frankfurt</v>
      </c>
      <c r="X712" s="1">
        <f ca="1">INDEX(V679:V698,MATCH(W712,W679:W698,0))</f>
        <v>7</v>
      </c>
      <c r="Y712" s="1">
        <f t="shared" ca="1" si="134"/>
        <v>0</v>
      </c>
    </row>
    <row r="713" spans="2:25" x14ac:dyDescent="0.2">
      <c r="B713" s="1">
        <v>8</v>
      </c>
      <c r="C713" s="9">
        <f ca="1">RANK(D713,D706:D725,1)</f>
        <v>7</v>
      </c>
      <c r="D713" s="134">
        <f t="shared" ca="1" si="132"/>
        <v>7.7130000000000001</v>
      </c>
      <c r="E713" s="134">
        <f ca="1">RANK(T713,T706:T725,1)</f>
        <v>7</v>
      </c>
      <c r="F713" s="187" t="str">
        <f>Calc2!$C$11</f>
        <v>Eintracht Frankfurt</v>
      </c>
      <c r="G713" s="1">
        <f ca="1">SUMIFS(OFFSET(Calc2!$H$4,,,$F$26*B704,1),OFFSET(Calc2!$F$4,,,$F$26*B704,1),F713)+SUMIFS(OFFSET(Calc2!$I$4,,,$F$26*B704,1),OFFSET(Calc2!$G$4,,,$F$26*B704,1),F713)</f>
        <v>50</v>
      </c>
      <c r="H713" s="1">
        <f ca="1">SUMIFS(OFFSET(Calc2!$I$4,,,$F$26*B704,1),OFFSET(Calc2!$F$4,,,$F$26*B704,1),F713)+SUMIFS(OFFSET(Calc2!$H$4,,,$F$26*B704,1),OFFSET(Calc2!$G$4,,,$F$26*B704,1),F713)</f>
        <v>51</v>
      </c>
      <c r="I713" s="134">
        <f t="shared" ca="1" si="130"/>
        <v>-1</v>
      </c>
      <c r="J713" s="12">
        <f ca="1">L713*Settings!$C$3+M713+O713</f>
        <v>38</v>
      </c>
      <c r="K713" s="1">
        <f t="shared" ca="1" si="133"/>
        <v>27</v>
      </c>
      <c r="L713" s="1">
        <f t="array" aca="1" ref="L713" ca="1">SUMPRODUCT((OFFSET(Calc2!$F$4,,,$F$26*B704,1)=F713)*(OFFSET(Calc2!$H$4,,,$F$26*B704,1)&gt;OFFSET(Calc2!$I$4,,,$F$26*B704,1)))+SUMPRODUCT((OFFSET(Calc2!$G$4,,,$F$26*B704,1)=F713)*(OFFSET(Calc2!$H$4,,,$F$26*B704,1)&lt;OFFSET(Calc2!$I$4,,,$F$26*B704,1)))</f>
        <v>10</v>
      </c>
      <c r="M713" s="1">
        <f t="array" aca="1" ref="M713" ca="1">SUMPRODUCT((OFFSET(Calc2!$F$4,,,$F$26*B704,2)=F713)*(OFFSET(Calc2!$H$4,,,$F$26*B704,1)=OFFSET(Calc2!$I$4,,,$F$26*B704,1))*(OFFSET(Calc2!$H$4,,,$F$26*B704,1)&lt;&gt;"")*(OFFSET(Calc2!$I$4,,,$F$26*B704,1)&lt;&gt;""))</f>
        <v>8</v>
      </c>
      <c r="N713" s="1">
        <f t="array" aca="1" ref="N713" ca="1">SUMPRODUCT((OFFSET(Calc2!$F$4,,,$F$26*B704,1)=F713)*(OFFSET(Calc2!$H$4,,,$F$26*B704,1)&lt;OFFSET(Calc2!$I$4,,,$F$26*B704,1)))+SUMPRODUCT((OFFSET(Calc2!$G$4,,,$F$26*B704,1)=F713)*(OFFSET(Calc2!$H$4,,,$F$26*B704,1)&gt;OFFSET(Calc2!$I$4,,,$F$26*B704,1)))</f>
        <v>9</v>
      </c>
      <c r="O713" s="132">
        <f ca="1">SUMPRODUCT((F713=OFFSET(Calc2!$F$4,,,$F$26*B704,1))*OFFSET(Calc2!$O$4,,,$F$26*B704,1))+SUMPRODUCT((F713=OFFSET(Calc2!$G$4,,,$F$26*B704,1))*OFFSET(Calc2!$P$4,,,$F$26*B704,1))</f>
        <v>0</v>
      </c>
      <c r="P713" s="2"/>
      <c r="Q713" s="2"/>
      <c r="R713" s="13">
        <f t="shared" ca="1" si="131"/>
        <v>38499999050</v>
      </c>
      <c r="S713" s="134">
        <f>Tie_Break!$D$14</f>
        <v>0</v>
      </c>
      <c r="T713" s="9">
        <f ca="1">RANK(R713,R706:R725)+(9-S713)/10000+(F713="")*1000</f>
        <v>7.0008999999999997</v>
      </c>
      <c r="U713" s="134"/>
      <c r="V713" s="134">
        <f ca="1">IF($K$24=0,"",IF(VLOOKUP(B713,C706:E725,3,0)=MAX(V$4:V712),VLOOKUP(B713,C706:E725,3,0),B713))</f>
        <v>8</v>
      </c>
      <c r="W713" s="4" t="str">
        <f ca="1">IF($K$24=0,Calc2!$C$11,VLOOKUP(B713,C706:N725,4,0))</f>
        <v>SC Freiburg</v>
      </c>
      <c r="X713" s="1">
        <f ca="1">INDEX(V679:V698,MATCH(W713,W679:W698,0))</f>
        <v>8</v>
      </c>
      <c r="Y713" s="1">
        <f t="shared" ca="1" si="134"/>
        <v>0</v>
      </c>
    </row>
    <row r="714" spans="2:25" x14ac:dyDescent="0.2">
      <c r="B714" s="1">
        <v>9</v>
      </c>
      <c r="C714" s="9">
        <f ca="1">RANK(D714,D706:D725,1)</f>
        <v>10</v>
      </c>
      <c r="D714" s="134">
        <f t="shared" ca="1" si="132"/>
        <v>10.714</v>
      </c>
      <c r="E714" s="134">
        <f ca="1">RANK(T714,T706:T725,1)</f>
        <v>10</v>
      </c>
      <c r="F714" s="187" t="str">
        <f>Calc2!$C$12</f>
        <v>FC Augsburg</v>
      </c>
      <c r="G714" s="1">
        <f ca="1">SUMIFS(OFFSET(Calc2!$H$4,,,$F$26*B704,1),OFFSET(Calc2!$F$4,,,$F$26*B704,1),F714)+SUMIFS(OFFSET(Calc2!$I$4,,,$F$26*B704,1),OFFSET(Calc2!$G$4,,,$F$26*B704,1),F714)</f>
        <v>33</v>
      </c>
      <c r="H714" s="1">
        <f ca="1">SUMIFS(OFFSET(Calc2!$I$4,,,$F$26*B704,1),OFFSET(Calc2!$F$4,,,$F$26*B704,1),F714)+SUMIFS(OFFSET(Calc2!$H$4,,,$F$26*B704,1),OFFSET(Calc2!$G$4,,,$F$26*B704,1),F714)</f>
        <v>50</v>
      </c>
      <c r="I714" s="134">
        <f t="shared" ca="1" si="130"/>
        <v>-17</v>
      </c>
      <c r="J714" s="12">
        <f ca="1">L714*Settings!$C$3+M714+O714</f>
        <v>31</v>
      </c>
      <c r="K714" s="1">
        <f t="shared" ca="1" si="133"/>
        <v>27</v>
      </c>
      <c r="L714" s="1">
        <f t="array" aca="1" ref="L714" ca="1">SUMPRODUCT((OFFSET(Calc2!$F$4,,,$F$26*B704,1)=F714)*(OFFSET(Calc2!$H$4,,,$F$26*B704,1)&gt;OFFSET(Calc2!$I$4,,,$F$26*B704,1)))+SUMPRODUCT((OFFSET(Calc2!$G$4,,,$F$26*B704,1)=F714)*(OFFSET(Calc2!$H$4,,,$F$26*B704,1)&lt;OFFSET(Calc2!$I$4,,,$F$26*B704,1)))</f>
        <v>9</v>
      </c>
      <c r="M714" s="1">
        <f t="array" aca="1" ref="M714" ca="1">SUMPRODUCT((OFFSET(Calc2!$F$4,,,$F$26*B704,2)=F714)*(OFFSET(Calc2!$H$4,,,$F$26*B704,1)=OFFSET(Calc2!$I$4,,,$F$26*B704,1))*(OFFSET(Calc2!$H$4,,,$F$26*B704,1)&lt;&gt;"")*(OFFSET(Calc2!$I$4,,,$F$26*B704,1)&lt;&gt;""))</f>
        <v>4</v>
      </c>
      <c r="N714" s="1">
        <f t="array" aca="1" ref="N714" ca="1">SUMPRODUCT((OFFSET(Calc2!$F$4,,,$F$26*B704,1)=F714)*(OFFSET(Calc2!$H$4,,,$F$26*B704,1)&lt;OFFSET(Calc2!$I$4,,,$F$26*B704,1)))+SUMPRODUCT((OFFSET(Calc2!$G$4,,,$F$26*B704,1)=F714)*(OFFSET(Calc2!$H$4,,,$F$26*B704,1)&gt;OFFSET(Calc2!$I$4,,,$F$26*B704,1)))</f>
        <v>14</v>
      </c>
      <c r="O714" s="132">
        <f ca="1">SUMPRODUCT((F714=OFFSET(Calc2!$F$4,,,$F$26*B704,1))*OFFSET(Calc2!$O$4,,,$F$26*B704,1))+SUMPRODUCT((F714=OFFSET(Calc2!$G$4,,,$F$26*B704,1))*OFFSET(Calc2!$P$4,,,$F$26*B704,1))</f>
        <v>0</v>
      </c>
      <c r="P714" s="2"/>
      <c r="Q714" s="2"/>
      <c r="R714" s="13">
        <f t="shared" ca="1" si="131"/>
        <v>31499983033</v>
      </c>
      <c r="S714" s="134">
        <f>Tie_Break!$D$15</f>
        <v>0</v>
      </c>
      <c r="T714" s="9">
        <f ca="1">RANK(R714,R706:R725)+(9-S714)/10000+(F714="")*1000</f>
        <v>10.0009</v>
      </c>
      <c r="U714" s="134"/>
      <c r="V714" s="134">
        <f ca="1">IF($K$24=0,"",IF(VLOOKUP(B714,C706:E725,3,0)=MAX(V$4:V713),VLOOKUP(B714,C706:E725,3,0),B714))</f>
        <v>9</v>
      </c>
      <c r="W714" s="4" t="str">
        <f ca="1">IF($K$24=0,Calc2!$C$12,VLOOKUP(B714,C706:N725,4,0))</f>
        <v>1. FC Union Berlin</v>
      </c>
      <c r="X714" s="1">
        <f ca="1">INDEX(V679:V698,MATCH(W714,W679:W698,0))</f>
        <v>9</v>
      </c>
      <c r="Y714" s="1">
        <f t="shared" ca="1" si="134"/>
        <v>0</v>
      </c>
    </row>
    <row r="715" spans="2:25" x14ac:dyDescent="0.2">
      <c r="B715" s="1">
        <v>10</v>
      </c>
      <c r="C715" s="9">
        <f ca="1">RANK(D715,D706:D725,1)</f>
        <v>1</v>
      </c>
      <c r="D715" s="134">
        <f t="shared" ca="1" si="132"/>
        <v>1.7149999999999999</v>
      </c>
      <c r="E715" s="134">
        <f ca="1">RANK(T715,T706:T725,1)</f>
        <v>1</v>
      </c>
      <c r="F715" s="187" t="str">
        <f>Calc2!$C$13</f>
        <v>FC Bayern München</v>
      </c>
      <c r="G715" s="1">
        <f ca="1">SUMIFS(OFFSET(Calc2!$H$4,,,$F$26*B704,1),OFFSET(Calc2!$F$4,,,$F$26*B704,1),F715)+SUMIFS(OFFSET(Calc2!$I$4,,,$F$26*B704,1),OFFSET(Calc2!$G$4,,,$F$26*B704,1),F715)</f>
        <v>97</v>
      </c>
      <c r="H715" s="1">
        <f ca="1">SUMIFS(OFFSET(Calc2!$I$4,,,$F$26*B704,1),OFFSET(Calc2!$F$4,,,$F$26*B704,1),F715)+SUMIFS(OFFSET(Calc2!$H$4,,,$F$26*B704,1),OFFSET(Calc2!$G$4,,,$F$26*B704,1),F715)</f>
        <v>25</v>
      </c>
      <c r="I715" s="134">
        <f t="shared" ca="1" si="130"/>
        <v>72</v>
      </c>
      <c r="J715" s="12">
        <f ca="1">L715*Settings!$C$3+M715+O715</f>
        <v>70</v>
      </c>
      <c r="K715" s="1">
        <f t="shared" ca="1" si="133"/>
        <v>27</v>
      </c>
      <c r="L715" s="1">
        <f t="array" aca="1" ref="L715" ca="1">SUMPRODUCT((OFFSET(Calc2!$F$4,,,$F$26*B704,1)=F715)*(OFFSET(Calc2!$H$4,,,$F$26*B704,1)&gt;OFFSET(Calc2!$I$4,,,$F$26*B704,1)))+SUMPRODUCT((OFFSET(Calc2!$G$4,,,$F$26*B704,1)=F715)*(OFFSET(Calc2!$H$4,,,$F$26*B704,1)&lt;OFFSET(Calc2!$I$4,,,$F$26*B704,1)))</f>
        <v>22</v>
      </c>
      <c r="M715" s="1">
        <f t="array" aca="1" ref="M715" ca="1">SUMPRODUCT((OFFSET(Calc2!$F$4,,,$F$26*B704,2)=F715)*(OFFSET(Calc2!$H$4,,,$F$26*B704,1)=OFFSET(Calc2!$I$4,,,$F$26*B704,1))*(OFFSET(Calc2!$H$4,,,$F$26*B704,1)&lt;&gt;"")*(OFFSET(Calc2!$I$4,,,$F$26*B704,1)&lt;&gt;""))</f>
        <v>4</v>
      </c>
      <c r="N715" s="1">
        <f t="array" aca="1" ref="N715" ca="1">SUMPRODUCT((OFFSET(Calc2!$F$4,,,$F$26*B704,1)=F715)*(OFFSET(Calc2!$H$4,,,$F$26*B704,1)&lt;OFFSET(Calc2!$I$4,,,$F$26*B704,1)))+SUMPRODUCT((OFFSET(Calc2!$G$4,,,$F$26*B704,1)=F715)*(OFFSET(Calc2!$H$4,,,$F$26*B704,1)&gt;OFFSET(Calc2!$I$4,,,$F$26*B704,1)))</f>
        <v>1</v>
      </c>
      <c r="O715" s="132">
        <f ca="1">SUMPRODUCT((F715=OFFSET(Calc2!$F$4,,,$F$26*B704,1))*OFFSET(Calc2!$O$4,,,$F$26*B704,1))+SUMPRODUCT((F715=OFFSET(Calc2!$G$4,,,$F$26*B704,1))*OFFSET(Calc2!$P$4,,,$F$26*B704,1))</f>
        <v>0</v>
      </c>
      <c r="P715" s="2"/>
      <c r="Q715" s="2"/>
      <c r="R715" s="13">
        <f t="shared" ca="1" si="131"/>
        <v>70500072097</v>
      </c>
      <c r="S715" s="134">
        <f>Tie_Break!$D$16</f>
        <v>0</v>
      </c>
      <c r="T715" s="9">
        <f ca="1">RANK(R715,R706:R725)+(9-S715)/10000+(F715="")*1000</f>
        <v>1.0008999999999999</v>
      </c>
      <c r="U715" s="2"/>
      <c r="V715" s="134">
        <f ca="1">IF($K$24=0,"",IF(VLOOKUP(B715,C706:E725,3,0)=MAX(V$4:V714),VLOOKUP(B715,C706:E725,3,0),B715))</f>
        <v>10</v>
      </c>
      <c r="W715" s="4" t="str">
        <f ca="1">IF($K$24=0,Calc2!$C$13,VLOOKUP(B715,C706:N725,4,0))</f>
        <v>FC Augsburg</v>
      </c>
      <c r="X715" s="1">
        <f ca="1">INDEX(V679:V698,MATCH(W715,W679:W698,0))</f>
        <v>10</v>
      </c>
      <c r="Y715" s="1">
        <f t="shared" ca="1" si="134"/>
        <v>0</v>
      </c>
    </row>
    <row r="716" spans="2:25" x14ac:dyDescent="0.2">
      <c r="B716" s="1">
        <v>11</v>
      </c>
      <c r="C716" s="9">
        <f ca="1">RANK(D716,D706:D725,1)</f>
        <v>16</v>
      </c>
      <c r="D716" s="134">
        <f t="shared" ca="1" si="132"/>
        <v>16.716000000000001</v>
      </c>
      <c r="E716" s="134">
        <f ca="1">RANK(T716,T706:T725,1)</f>
        <v>16</v>
      </c>
      <c r="F716" s="187" t="str">
        <f>Calc2!$C$14</f>
        <v>FC St. Pauli</v>
      </c>
      <c r="G716" s="1">
        <f ca="1">SUMIFS(OFFSET(Calc2!$H$4,,,$F$26*B704,1),OFFSET(Calc2!$F$4,,,$F$26*B704,1),F716)+SUMIFS(OFFSET(Calc2!$I$4,,,$F$26*B704,1),OFFSET(Calc2!$G$4,,,$F$26*B704,1),F716)</f>
        <v>24</v>
      </c>
      <c r="H716" s="1">
        <f ca="1">SUMIFS(OFFSET(Calc2!$I$4,,,$F$26*B704,1),OFFSET(Calc2!$F$4,,,$F$26*B704,1),F716)+SUMIFS(OFFSET(Calc2!$H$4,,,$F$26*B704,1),OFFSET(Calc2!$G$4,,,$F$26*B704,1),F716)</f>
        <v>44</v>
      </c>
      <c r="I716" s="134">
        <f t="shared" ca="1" si="130"/>
        <v>-20</v>
      </c>
      <c r="J716" s="12">
        <f ca="1">L716*Settings!$C$3+M716+O716</f>
        <v>24</v>
      </c>
      <c r="K716" s="1">
        <f t="shared" ca="1" si="133"/>
        <v>27</v>
      </c>
      <c r="L716" s="1">
        <f t="array" aca="1" ref="L716" ca="1">SUMPRODUCT((OFFSET(Calc2!$F$4,,,$F$26*B704,1)=F716)*(OFFSET(Calc2!$H$4,,,$F$26*B704,1)&gt;OFFSET(Calc2!$I$4,,,$F$26*B704,1)))+SUMPRODUCT((OFFSET(Calc2!$G$4,,,$F$26*B704,1)=F716)*(OFFSET(Calc2!$H$4,,,$F$26*B704,1)&lt;OFFSET(Calc2!$I$4,,,$F$26*B704,1)))</f>
        <v>6</v>
      </c>
      <c r="M716" s="1">
        <f t="array" aca="1" ref="M716" ca="1">SUMPRODUCT((OFFSET(Calc2!$F$4,,,$F$26*B704,2)=F716)*(OFFSET(Calc2!$H$4,,,$F$26*B704,1)=OFFSET(Calc2!$I$4,,,$F$26*B704,1))*(OFFSET(Calc2!$H$4,,,$F$26*B704,1)&lt;&gt;"")*(OFFSET(Calc2!$I$4,,,$F$26*B704,1)&lt;&gt;""))</f>
        <v>6</v>
      </c>
      <c r="N716" s="1">
        <f t="array" aca="1" ref="N716" ca="1">SUMPRODUCT((OFFSET(Calc2!$F$4,,,$F$26*B704,1)=F716)*(OFFSET(Calc2!$H$4,,,$F$26*B704,1)&lt;OFFSET(Calc2!$I$4,,,$F$26*B704,1)))+SUMPRODUCT((OFFSET(Calc2!$G$4,,,$F$26*B704,1)=F716)*(OFFSET(Calc2!$H$4,,,$F$26*B704,1)&gt;OFFSET(Calc2!$I$4,,,$F$26*B704,1)))</f>
        <v>15</v>
      </c>
      <c r="O716" s="132">
        <f ca="1">SUMPRODUCT((F716=OFFSET(Calc2!$F$4,,,$F$26*B704,1))*OFFSET(Calc2!$O$4,,,$F$26*B704,1))+SUMPRODUCT((F716=OFFSET(Calc2!$G$4,,,$F$26*B704,1))*OFFSET(Calc2!$P$4,,,$F$26*B704,1))</f>
        <v>0</v>
      </c>
      <c r="P716" s="2"/>
      <c r="Q716" s="2"/>
      <c r="R716" s="13">
        <f t="shared" ca="1" si="131"/>
        <v>24499980024</v>
      </c>
      <c r="S716" s="134">
        <f>Tie_Break!$D$17</f>
        <v>0</v>
      </c>
      <c r="T716" s="9">
        <f ca="1">RANK(R716,R706:R725)+(9-S716)/10000+(F716="")*1000</f>
        <v>16.000900000000001</v>
      </c>
      <c r="U716" s="2"/>
      <c r="V716" s="134">
        <f ca="1">IF($K$24=0,"",IF(VLOOKUP(B716,C706:E725,3,0)=MAX(V$4:V715),VLOOKUP(B716,C706:E725,3,0),B716))</f>
        <v>11</v>
      </c>
      <c r="W716" s="4" t="str">
        <f ca="1">IF($K$24=0,Calc2!$C$14,VLOOKUP(B716,C706:N725,4,0))</f>
        <v>1. FSV Mainz 05</v>
      </c>
      <c r="X716" s="1">
        <f ca="1">INDEX(V679:V698,MATCH(W716,W679:W698,0))</f>
        <v>13</v>
      </c>
      <c r="Y716" s="1">
        <f t="shared" ca="1" si="134"/>
        <v>1</v>
      </c>
    </row>
    <row r="717" spans="2:25" x14ac:dyDescent="0.2">
      <c r="B717" s="1">
        <v>12</v>
      </c>
      <c r="C717" s="9">
        <f ca="1">RANK(D717,D706:D725,1)</f>
        <v>12</v>
      </c>
      <c r="D717" s="134">
        <f t="shared" ca="1" si="132"/>
        <v>12.717000000000001</v>
      </c>
      <c r="E717" s="134">
        <f ca="1">RANK(T717,T706:T725,1)</f>
        <v>12</v>
      </c>
      <c r="F717" s="187" t="str">
        <f>Calc2!$C$15</f>
        <v>Hamburger SV</v>
      </c>
      <c r="G717" s="1">
        <f ca="1">SUMIFS(OFFSET(Calc2!$H$4,,,$F$26*B704,1),OFFSET(Calc2!$F$4,,,$F$26*B704,1),F717)+SUMIFS(OFFSET(Calc2!$I$4,,,$F$26*B704,1),OFFSET(Calc2!$G$4,,,$F$26*B704,1),F717)</f>
        <v>31</v>
      </c>
      <c r="H717" s="1">
        <f ca="1">SUMIFS(OFFSET(Calc2!$I$4,,,$F$26*B704,1),OFFSET(Calc2!$F$4,,,$F$26*B704,1),F717)+SUMIFS(OFFSET(Calc2!$H$4,,,$F$26*B704,1),OFFSET(Calc2!$G$4,,,$F$26*B704,1),F717)</f>
        <v>40</v>
      </c>
      <c r="I717" s="134">
        <f t="shared" ca="1" si="130"/>
        <v>-9</v>
      </c>
      <c r="J717" s="12">
        <f ca="1">L717*Settings!$C$3+M717+O717</f>
        <v>30</v>
      </c>
      <c r="K717" s="1">
        <f t="shared" ca="1" si="133"/>
        <v>27</v>
      </c>
      <c r="L717" s="1">
        <f t="array" aca="1" ref="L717" ca="1">SUMPRODUCT((OFFSET(Calc2!$F$4,,,$F$26*B704,1)=F717)*(OFFSET(Calc2!$H$4,,,$F$26*B704,1)&gt;OFFSET(Calc2!$I$4,,,$F$26*B704,1)))+SUMPRODUCT((OFFSET(Calc2!$G$4,,,$F$26*B704,1)=F717)*(OFFSET(Calc2!$H$4,,,$F$26*B704,1)&lt;OFFSET(Calc2!$I$4,,,$F$26*B704,1)))</f>
        <v>7</v>
      </c>
      <c r="M717" s="1">
        <f t="array" aca="1" ref="M717" ca="1">SUMPRODUCT((OFFSET(Calc2!$F$4,,,$F$26*B704,2)=F717)*(OFFSET(Calc2!$H$4,,,$F$26*B704,1)=OFFSET(Calc2!$I$4,,,$F$26*B704,1))*(OFFSET(Calc2!$H$4,,,$F$26*B704,1)&lt;&gt;"")*(OFFSET(Calc2!$I$4,,,$F$26*B704,1)&lt;&gt;""))</f>
        <v>9</v>
      </c>
      <c r="N717" s="1">
        <f t="array" aca="1" ref="N717" ca="1">SUMPRODUCT((OFFSET(Calc2!$F$4,,,$F$26*B704,1)=F717)*(OFFSET(Calc2!$H$4,,,$F$26*B704,1)&lt;OFFSET(Calc2!$I$4,,,$F$26*B704,1)))+SUMPRODUCT((OFFSET(Calc2!$G$4,,,$F$26*B704,1)=F717)*(OFFSET(Calc2!$H$4,,,$F$26*B704,1)&gt;OFFSET(Calc2!$I$4,,,$F$26*B704,1)))</f>
        <v>11</v>
      </c>
      <c r="O717" s="132">
        <f ca="1">SUMPRODUCT((F717=OFFSET(Calc2!$F$4,,,$F$26*B704,1))*OFFSET(Calc2!$O$4,,,$F$26*B704,1))+SUMPRODUCT((F717=OFFSET(Calc2!$G$4,,,$F$26*B704,1))*OFFSET(Calc2!$P$4,,,$F$26*B704,1))</f>
        <v>0</v>
      </c>
      <c r="P717" s="2"/>
      <c r="Q717" s="2"/>
      <c r="R717" s="13">
        <f t="shared" ca="1" si="131"/>
        <v>30499991031</v>
      </c>
      <c r="S717" s="134">
        <f>Tie_Break!$D$18</f>
        <v>0</v>
      </c>
      <c r="T717" s="9">
        <f ca="1">RANK(R717,R706:R725)+(9-S717)/10000+(F717="")*1000</f>
        <v>12.0009</v>
      </c>
      <c r="U717" s="2"/>
      <c r="V717" s="134">
        <f ca="1">IF($K$24=0,"",IF(VLOOKUP(B717,C706:E725,3,0)=MAX(V$4:V716),VLOOKUP(B717,C706:E725,3,0),B717))</f>
        <v>12</v>
      </c>
      <c r="W717" s="4" t="str">
        <f ca="1">IF($K$24=0,Calc2!$C$15,VLOOKUP(B717,C706:N725,4,0))</f>
        <v>Hamburger SV</v>
      </c>
      <c r="X717" s="1">
        <f ca="1">INDEX(V679:V698,MATCH(W717,W679:W698,0))</f>
        <v>11</v>
      </c>
      <c r="Y717" s="1">
        <f t="shared" ca="1" si="134"/>
        <v>-1</v>
      </c>
    </row>
    <row r="718" spans="2:25" x14ac:dyDescent="0.2">
      <c r="B718" s="1">
        <v>13</v>
      </c>
      <c r="C718" s="9">
        <f ca="1">RANK(D718,D706:D725,1)</f>
        <v>4</v>
      </c>
      <c r="D718" s="134">
        <f t="shared" ca="1" si="132"/>
        <v>4.718</v>
      </c>
      <c r="E718" s="134">
        <f ca="1">RANK(T718,T706:T725,1)</f>
        <v>4</v>
      </c>
      <c r="F718" s="187" t="str">
        <f>Calc2!$C$16</f>
        <v>RB Leipzig</v>
      </c>
      <c r="G718" s="1">
        <f ca="1">SUMIFS(OFFSET(Calc2!$H$4,,,$F$26*B704,1),OFFSET(Calc2!$F$4,,,$F$26*B704,1),F718)+SUMIFS(OFFSET(Calc2!$I$4,,,$F$26*B704,1),OFFSET(Calc2!$G$4,,,$F$26*B704,1),F718)</f>
        <v>53</v>
      </c>
      <c r="H718" s="1">
        <f ca="1">SUMIFS(OFFSET(Calc2!$I$4,,,$F$26*B704,1),OFFSET(Calc2!$F$4,,,$F$26*B704,1),F718)+SUMIFS(OFFSET(Calc2!$H$4,,,$F$26*B704,1),OFFSET(Calc2!$G$4,,,$F$26*B704,1),F718)</f>
        <v>35</v>
      </c>
      <c r="I718" s="134">
        <f t="shared" ca="1" si="130"/>
        <v>18</v>
      </c>
      <c r="J718" s="12">
        <f ca="1">L718*Settings!$C$3+M718+O718</f>
        <v>50</v>
      </c>
      <c r="K718" s="1">
        <f t="shared" ca="1" si="133"/>
        <v>27</v>
      </c>
      <c r="L718" s="1">
        <f t="array" aca="1" ref="L718" ca="1">SUMPRODUCT((OFFSET(Calc2!$F$4,,,$F$26*B704,1)=F718)*(OFFSET(Calc2!$H$4,,,$F$26*B704,1)&gt;OFFSET(Calc2!$I$4,,,$F$26*B704,1)))+SUMPRODUCT((OFFSET(Calc2!$G$4,,,$F$26*B704,1)=F718)*(OFFSET(Calc2!$H$4,,,$F$26*B704,1)&lt;OFFSET(Calc2!$I$4,,,$F$26*B704,1)))</f>
        <v>15</v>
      </c>
      <c r="M718" s="1">
        <f t="array" aca="1" ref="M718" ca="1">SUMPRODUCT((OFFSET(Calc2!$F$4,,,$F$26*B704,2)=F718)*(OFFSET(Calc2!$H$4,,,$F$26*B704,1)=OFFSET(Calc2!$I$4,,,$F$26*B704,1))*(OFFSET(Calc2!$H$4,,,$F$26*B704,1)&lt;&gt;"")*(OFFSET(Calc2!$I$4,,,$F$26*B704,1)&lt;&gt;""))</f>
        <v>5</v>
      </c>
      <c r="N718" s="1">
        <f t="array" aca="1" ref="N718" ca="1">SUMPRODUCT((OFFSET(Calc2!$F$4,,,$F$26*B704,1)=F718)*(OFFSET(Calc2!$H$4,,,$F$26*B704,1)&lt;OFFSET(Calc2!$I$4,,,$F$26*B704,1)))+SUMPRODUCT((OFFSET(Calc2!$G$4,,,$F$26*B704,1)=F718)*(OFFSET(Calc2!$H$4,,,$F$26*B704,1)&gt;OFFSET(Calc2!$I$4,,,$F$26*B704,1)))</f>
        <v>7</v>
      </c>
      <c r="O718" s="132">
        <f ca="1">SUMPRODUCT((F718=OFFSET(Calc2!$F$4,,,$F$26*B704,1))*OFFSET(Calc2!$O$4,,,$F$26*B704,1))+SUMPRODUCT((F718=OFFSET(Calc2!$G$4,,,$F$26*B704,1))*OFFSET(Calc2!$P$4,,,$F$26*B704,1))</f>
        <v>0</v>
      </c>
      <c r="P718" s="2"/>
      <c r="Q718" s="2"/>
      <c r="R718" s="13">
        <f t="shared" ca="1" si="131"/>
        <v>50500018053</v>
      </c>
      <c r="S718" s="134">
        <f>Tie_Break!$D$19</f>
        <v>0</v>
      </c>
      <c r="T718" s="9">
        <f ca="1">RANK(R718,R706:R725)+(9-S718)/10000+(F718="")*1000</f>
        <v>4.0008999999999997</v>
      </c>
      <c r="U718" s="1"/>
      <c r="V718" s="134">
        <f ca="1">IF($K$24=0,"",IF(VLOOKUP(B718,C706:E725,3,0)=MAX(V$4:V717),VLOOKUP(B718,C706:E725,3,0),B718))</f>
        <v>13</v>
      </c>
      <c r="W718" s="4" t="str">
        <f ca="1">IF($K$24=0,Calc2!$C$16,VLOOKUP(B718,C706:N725,4,0))</f>
        <v>Borussia Mönchengladbach</v>
      </c>
      <c r="X718" s="1">
        <f ca="1">INDEX(V679:V698,MATCH(W718,W679:W698,0))</f>
        <v>12</v>
      </c>
      <c r="Y718" s="1">
        <f t="shared" ca="1" si="134"/>
        <v>-1</v>
      </c>
    </row>
    <row r="719" spans="2:25" x14ac:dyDescent="0.2">
      <c r="B719" s="1">
        <v>14</v>
      </c>
      <c r="C719" s="9">
        <f ca="1">RANK(D719,D706:D725,1)</f>
        <v>8</v>
      </c>
      <c r="D719" s="134">
        <f t="shared" ca="1" si="132"/>
        <v>8.7189999999999994</v>
      </c>
      <c r="E719" s="134">
        <f ca="1">RANK(T719,T706:T725,1)</f>
        <v>8</v>
      </c>
      <c r="F719" s="187" t="str">
        <f>Calc2!$C$17</f>
        <v>SC Freiburg</v>
      </c>
      <c r="G719" s="1">
        <f ca="1">SUMIFS(OFFSET(Calc2!$H$4,,,$F$26*B704,1),OFFSET(Calc2!$F$4,,,$F$26*B704,1),F719)+SUMIFS(OFFSET(Calc2!$I$4,,,$F$26*B704,1),OFFSET(Calc2!$G$4,,,$F$26*B704,1),F719)</f>
        <v>39</v>
      </c>
      <c r="H719" s="1">
        <f ca="1">SUMIFS(OFFSET(Calc2!$I$4,,,$F$26*B704,1),OFFSET(Calc2!$F$4,,,$F$26*B704,1),F719)+SUMIFS(OFFSET(Calc2!$H$4,,,$F$26*B704,1),OFFSET(Calc2!$G$4,,,$F$26*B704,1),F719)</f>
        <v>44</v>
      </c>
      <c r="I719" s="134">
        <f t="shared" ca="1" si="130"/>
        <v>-5</v>
      </c>
      <c r="J719" s="12">
        <f ca="1">L719*Settings!$C$3+M719+O719</f>
        <v>37</v>
      </c>
      <c r="K719" s="1">
        <f t="shared" ca="1" si="133"/>
        <v>27</v>
      </c>
      <c r="L719" s="1">
        <f t="array" aca="1" ref="L719" ca="1">SUMPRODUCT((OFFSET(Calc2!$F$4,,,$F$26*B704,1)=F719)*(OFFSET(Calc2!$H$4,,,$F$26*B704,1)&gt;OFFSET(Calc2!$I$4,,,$F$26*B704,1)))+SUMPRODUCT((OFFSET(Calc2!$G$4,,,$F$26*B704,1)=F719)*(OFFSET(Calc2!$H$4,,,$F$26*B704,1)&lt;OFFSET(Calc2!$I$4,,,$F$26*B704,1)))</f>
        <v>10</v>
      </c>
      <c r="M719" s="1">
        <f t="array" aca="1" ref="M719" ca="1">SUMPRODUCT((OFFSET(Calc2!$F$4,,,$F$26*B704,2)=F719)*(OFFSET(Calc2!$H$4,,,$F$26*B704,1)=OFFSET(Calc2!$I$4,,,$F$26*B704,1))*(OFFSET(Calc2!$H$4,,,$F$26*B704,1)&lt;&gt;"")*(OFFSET(Calc2!$I$4,,,$F$26*B704,1)&lt;&gt;""))</f>
        <v>7</v>
      </c>
      <c r="N719" s="1">
        <f t="array" aca="1" ref="N719" ca="1">SUMPRODUCT((OFFSET(Calc2!$F$4,,,$F$26*B704,1)=F719)*(OFFSET(Calc2!$H$4,,,$F$26*B704,1)&lt;OFFSET(Calc2!$I$4,,,$F$26*B704,1)))+SUMPRODUCT((OFFSET(Calc2!$G$4,,,$F$26*B704,1)=F719)*(OFFSET(Calc2!$H$4,,,$F$26*B704,1)&gt;OFFSET(Calc2!$I$4,,,$F$26*B704,1)))</f>
        <v>10</v>
      </c>
      <c r="O719" s="132">
        <f ca="1">SUMPRODUCT((F719=OFFSET(Calc2!$F$4,,,$F$26*B704,1))*OFFSET(Calc2!$O$4,,,$F$26*B704,1))+SUMPRODUCT((F719=OFFSET(Calc2!$G$4,,,$F$26*B704,1))*OFFSET(Calc2!$P$4,,,$F$26*B704,1))</f>
        <v>0</v>
      </c>
      <c r="P719" s="2"/>
      <c r="Q719" s="2"/>
      <c r="R719" s="13">
        <f t="shared" ca="1" si="131"/>
        <v>37499995039</v>
      </c>
      <c r="S719" s="134">
        <f>Tie_Break!$D$20</f>
        <v>0</v>
      </c>
      <c r="T719" s="9">
        <f ca="1">RANK(R719,R706:R725)+(9-S719)/10000+(F719="")*1000</f>
        <v>8.0008999999999997</v>
      </c>
      <c r="U719" s="2"/>
      <c r="V719" s="134">
        <f ca="1">IF($K$24=0,"",IF(VLOOKUP(B719,C706:E725,3,0)=MAX(V$4:V718),VLOOKUP(B719,C706:E725,3,0),B719))</f>
        <v>14</v>
      </c>
      <c r="W719" s="4" t="str">
        <f ca="1">IF($K$24=0,Calc2!$C$17,VLOOKUP(B719,C706:N725,4,0))</f>
        <v>SV Werder Bremen</v>
      </c>
      <c r="X719" s="1">
        <f ca="1">INDEX(V679:V698,MATCH(W719,W679:W698,0))</f>
        <v>15</v>
      </c>
      <c r="Y719" s="1">
        <f t="shared" ca="1" si="134"/>
        <v>1</v>
      </c>
    </row>
    <row r="720" spans="2:25" x14ac:dyDescent="0.2">
      <c r="B720" s="1">
        <v>15</v>
      </c>
      <c r="C720" s="9">
        <f ca="1">RANK(D720,D706:D725,1)</f>
        <v>14</v>
      </c>
      <c r="D720" s="134">
        <f t="shared" ca="1" si="132"/>
        <v>14.72</v>
      </c>
      <c r="E720" s="134">
        <f ca="1">RANK(T720,T706:T725,1)</f>
        <v>14</v>
      </c>
      <c r="F720" s="187" t="str">
        <f>Calc2!$C$18</f>
        <v>SV Werder Bremen</v>
      </c>
      <c r="G720" s="1">
        <f ca="1">SUMIFS(OFFSET(Calc2!$H$4,,,$F$26*B704,1),OFFSET(Calc2!$F$4,,,$F$26*B704,1),F720)+SUMIFS(OFFSET(Calc2!$I$4,,,$F$26*B704,1),OFFSET(Calc2!$G$4,,,$F$26*B704,1),F720)</f>
        <v>30</v>
      </c>
      <c r="H720" s="1">
        <f ca="1">SUMIFS(OFFSET(Calc2!$I$4,,,$F$26*B704,1),OFFSET(Calc2!$F$4,,,$F$26*B704,1),F720)+SUMIFS(OFFSET(Calc2!$H$4,,,$F$26*B704,1),OFFSET(Calc2!$G$4,,,$F$26*B704,1),F720)</f>
        <v>47</v>
      </c>
      <c r="I720" s="134">
        <f t="shared" ca="1" si="130"/>
        <v>-17</v>
      </c>
      <c r="J720" s="12">
        <f ca="1">L720*Settings!$C$3+M720+O720</f>
        <v>28</v>
      </c>
      <c r="K720" s="1">
        <f t="shared" ca="1" si="133"/>
        <v>27</v>
      </c>
      <c r="L720" s="1">
        <f t="array" aca="1" ref="L720" ca="1">SUMPRODUCT((OFFSET(Calc2!$F$4,,,$F$26*B704,1)=F720)*(OFFSET(Calc2!$H$4,,,$F$26*B704,1)&gt;OFFSET(Calc2!$I$4,,,$F$26*B704,1)))+SUMPRODUCT((OFFSET(Calc2!$G$4,,,$F$26*B704,1)=F720)*(OFFSET(Calc2!$H$4,,,$F$26*B704,1)&lt;OFFSET(Calc2!$I$4,,,$F$26*B704,1)))</f>
        <v>7</v>
      </c>
      <c r="M720" s="1">
        <f t="array" aca="1" ref="M720" ca="1">SUMPRODUCT((OFFSET(Calc2!$F$4,,,$F$26*B704,2)=F720)*(OFFSET(Calc2!$H$4,,,$F$26*B704,1)=OFFSET(Calc2!$I$4,,,$F$26*B704,1))*(OFFSET(Calc2!$H$4,,,$F$26*B704,1)&lt;&gt;"")*(OFFSET(Calc2!$I$4,,,$F$26*B704,1)&lt;&gt;""))</f>
        <v>7</v>
      </c>
      <c r="N720" s="1">
        <f t="array" aca="1" ref="N720" ca="1">SUMPRODUCT((OFFSET(Calc2!$F$4,,,$F$26*B704,1)=F720)*(OFFSET(Calc2!$H$4,,,$F$26*B704,1)&lt;OFFSET(Calc2!$I$4,,,$F$26*B704,1)))+SUMPRODUCT((OFFSET(Calc2!$G$4,,,$F$26*B704,1)=F720)*(OFFSET(Calc2!$H$4,,,$F$26*B704,1)&gt;OFFSET(Calc2!$I$4,,,$F$26*B704,1)))</f>
        <v>13</v>
      </c>
      <c r="O720" s="132">
        <f ca="1">SUMPRODUCT((F720=OFFSET(Calc2!$F$4,,,$F$26*B704,1))*OFFSET(Calc2!$O$4,,,$F$26*B704,1))+SUMPRODUCT((F720=OFFSET(Calc2!$G$4,,,$F$26*B704,1))*OFFSET(Calc2!$P$4,,,$F$26*B704,1))</f>
        <v>0</v>
      </c>
      <c r="P720" s="2"/>
      <c r="Q720" s="2"/>
      <c r="R720" s="13">
        <f t="shared" ca="1" si="131"/>
        <v>28499983030</v>
      </c>
      <c r="S720" s="134">
        <f>Tie_Break!$D$21</f>
        <v>0</v>
      </c>
      <c r="T720" s="9">
        <f ca="1">RANK(R720,R706:R725)+(9-S720)/10000+(F720="")*1000</f>
        <v>14.0009</v>
      </c>
      <c r="U720" s="2"/>
      <c r="V720" s="134">
        <f ca="1">IF($K$24=0,"",IF(VLOOKUP(B720,C706:E725,3,0)=MAX(V$4:V719),VLOOKUP(B720,C706:E725,3,0),B720))</f>
        <v>15</v>
      </c>
      <c r="W720" s="4" t="str">
        <f ca="1">IF($K$24=0,Calc2!$C$18,VLOOKUP(B720,C706:N725,4,0))</f>
        <v>1. FC Köln</v>
      </c>
      <c r="X720" s="1">
        <f ca="1">INDEX(V679:V698,MATCH(W720,W679:W698,0))</f>
        <v>14</v>
      </c>
      <c r="Y720" s="1">
        <f t="shared" ca="1" si="134"/>
        <v>-1</v>
      </c>
    </row>
    <row r="721" spans="2:25" x14ac:dyDescent="0.2">
      <c r="B721" s="1">
        <v>16</v>
      </c>
      <c r="C721" s="9">
        <f ca="1">RANK(D721,D706:D725,1)</f>
        <v>5</v>
      </c>
      <c r="D721" s="134">
        <f t="shared" ca="1" si="132"/>
        <v>5.7210000000000001</v>
      </c>
      <c r="E721" s="134">
        <f ca="1">RANK(T721,T706:T725,1)</f>
        <v>5</v>
      </c>
      <c r="F721" s="187" t="str">
        <f>Calc2!$C$19</f>
        <v>TSG Hoffenheim</v>
      </c>
      <c r="G721" s="1">
        <f ca="1">SUMIFS(OFFSET(Calc2!$H$4,,,$F$26*B704,1),OFFSET(Calc2!$F$4,,,$F$26*B704,1),F721)+SUMIFS(OFFSET(Calc2!$I$4,,,$F$26*B704,1),OFFSET(Calc2!$G$4,,,$F$26*B704,1),F721)</f>
        <v>54</v>
      </c>
      <c r="H721" s="1">
        <f ca="1">SUMIFS(OFFSET(Calc2!$I$4,,,$F$26*B704,1),OFFSET(Calc2!$F$4,,,$F$26*B704,1),F721)+SUMIFS(OFFSET(Calc2!$H$4,,,$F$26*B704,1),OFFSET(Calc2!$G$4,,,$F$26*B704,1),F721)</f>
        <v>39</v>
      </c>
      <c r="I721" s="134">
        <f t="shared" ca="1" si="130"/>
        <v>15</v>
      </c>
      <c r="J721" s="12">
        <f ca="1">L721*Settings!$C$3+M721+O721</f>
        <v>50</v>
      </c>
      <c r="K721" s="1">
        <f t="shared" ca="1" si="133"/>
        <v>27</v>
      </c>
      <c r="L721" s="1">
        <f t="array" aca="1" ref="L721" ca="1">SUMPRODUCT((OFFSET(Calc2!$F$4,,,$F$26*B704,1)=F721)*(OFFSET(Calc2!$H$4,,,$F$26*B704,1)&gt;OFFSET(Calc2!$I$4,,,$F$26*B704,1)))+SUMPRODUCT((OFFSET(Calc2!$G$4,,,$F$26*B704,1)=F721)*(OFFSET(Calc2!$H$4,,,$F$26*B704,1)&lt;OFFSET(Calc2!$I$4,,,$F$26*B704,1)))</f>
        <v>15</v>
      </c>
      <c r="M721" s="1">
        <f t="array" aca="1" ref="M721" ca="1">SUMPRODUCT((OFFSET(Calc2!$F$4,,,$F$26*B704,2)=F721)*(OFFSET(Calc2!$H$4,,,$F$26*B704,1)=OFFSET(Calc2!$I$4,,,$F$26*B704,1))*(OFFSET(Calc2!$H$4,,,$F$26*B704,1)&lt;&gt;"")*(OFFSET(Calc2!$I$4,,,$F$26*B704,1)&lt;&gt;""))</f>
        <v>5</v>
      </c>
      <c r="N721" s="1">
        <f t="array" aca="1" ref="N721" ca="1">SUMPRODUCT((OFFSET(Calc2!$F$4,,,$F$26*B704,1)=F721)*(OFFSET(Calc2!$H$4,,,$F$26*B704,1)&lt;OFFSET(Calc2!$I$4,,,$F$26*B704,1)))+SUMPRODUCT((OFFSET(Calc2!$G$4,,,$F$26*B704,1)=F721)*(OFFSET(Calc2!$H$4,,,$F$26*B704,1)&gt;OFFSET(Calc2!$I$4,,,$F$26*B704,1)))</f>
        <v>7</v>
      </c>
      <c r="O721" s="132">
        <f ca="1">SUMPRODUCT((F721=OFFSET(Calc2!$F$4,,,$F$26*B704,1))*OFFSET(Calc2!$O$4,,,$F$26*B704,1))+SUMPRODUCT((F721=OFFSET(Calc2!$G$4,,,$F$26*B704,1))*OFFSET(Calc2!$P$4,,,$F$26*B704,1))</f>
        <v>0</v>
      </c>
      <c r="P721" s="2"/>
      <c r="Q721" s="2"/>
      <c r="R721" s="13">
        <f t="shared" ca="1" si="131"/>
        <v>50500015054</v>
      </c>
      <c r="S721" s="134">
        <f>Tie_Break!$D$22</f>
        <v>0</v>
      </c>
      <c r="T721" s="9">
        <f ca="1">RANK(R721,R706:R725)+(9-S721)/10000+(F721="")*1000</f>
        <v>5.0008999999999997</v>
      </c>
      <c r="U721" s="2"/>
      <c r="V721" s="134">
        <f ca="1">IF($K$24=0,"",IF(VLOOKUP(B721,C706:E725,3,0)=MAX(V$4:V720),VLOOKUP(B721,C706:E725,3,0),B721))</f>
        <v>16</v>
      </c>
      <c r="W721" s="4" t="str">
        <f ca="1">IF($K$24=0,Calc2!$C$19,VLOOKUP(B721,C706:N725,4,0))</f>
        <v>FC St. Pauli</v>
      </c>
      <c r="X721" s="1">
        <f ca="1">INDEX(V679:V698,MATCH(W721,W679:W698,0))</f>
        <v>16</v>
      </c>
      <c r="Y721" s="1">
        <f t="shared" ca="1" si="134"/>
        <v>0</v>
      </c>
    </row>
    <row r="722" spans="2:25" x14ac:dyDescent="0.2">
      <c r="B722" s="1">
        <v>17</v>
      </c>
      <c r="C722" s="9">
        <f ca="1">RANK(D722,D706:D725,1)</f>
        <v>3</v>
      </c>
      <c r="D722" s="134">
        <f t="shared" ca="1" si="132"/>
        <v>3.722</v>
      </c>
      <c r="E722" s="134">
        <f ca="1">RANK(T722,T706:T725,1)</f>
        <v>3</v>
      </c>
      <c r="F722" s="187" t="str">
        <f>Calc2!$C$20</f>
        <v>VfB Stuttgart</v>
      </c>
      <c r="G722" s="1">
        <f ca="1">SUMIFS(OFFSET(Calc2!$H$4,,,$F$26*B704,1),OFFSET(Calc2!$F$4,,,$F$26*B704,1),F722)+SUMIFS(OFFSET(Calc2!$I$4,,,$F$26*B704,1),OFFSET(Calc2!$G$4,,,$F$26*B704,1),F722)</f>
        <v>56</v>
      </c>
      <c r="H722" s="1">
        <f ca="1">SUMIFS(OFFSET(Calc2!$I$4,,,$F$26*B704,1),OFFSET(Calc2!$F$4,,,$F$26*B704,1),F722)+SUMIFS(OFFSET(Calc2!$H$4,,,$F$26*B704,1),OFFSET(Calc2!$G$4,,,$F$26*B704,1),F722)</f>
        <v>36</v>
      </c>
      <c r="I722" s="134">
        <f t="shared" ca="1" si="130"/>
        <v>20</v>
      </c>
      <c r="J722" s="12">
        <f ca="1">L722*Settings!$C$3+M722+O722</f>
        <v>53</v>
      </c>
      <c r="K722" s="1">
        <f t="shared" ca="1" si="133"/>
        <v>27</v>
      </c>
      <c r="L722" s="1">
        <f t="array" aca="1" ref="L722" ca="1">SUMPRODUCT((OFFSET(Calc2!$F$4,,,$F$26*B704,1)=F722)*(OFFSET(Calc2!$H$4,,,$F$26*B704,1)&gt;OFFSET(Calc2!$I$4,,,$F$26*B704,1)))+SUMPRODUCT((OFFSET(Calc2!$G$4,,,$F$26*B704,1)=F722)*(OFFSET(Calc2!$H$4,,,$F$26*B704,1)&lt;OFFSET(Calc2!$I$4,,,$F$26*B704,1)))</f>
        <v>16</v>
      </c>
      <c r="M722" s="1">
        <f t="array" aca="1" ref="M722" ca="1">SUMPRODUCT((OFFSET(Calc2!$F$4,,,$F$26*B704,2)=F722)*(OFFSET(Calc2!$H$4,,,$F$26*B704,1)=OFFSET(Calc2!$I$4,,,$F$26*B704,1))*(OFFSET(Calc2!$H$4,,,$F$26*B704,1)&lt;&gt;"")*(OFFSET(Calc2!$I$4,,,$F$26*B704,1)&lt;&gt;""))</f>
        <v>5</v>
      </c>
      <c r="N722" s="1">
        <f t="array" aca="1" ref="N722" ca="1">SUMPRODUCT((OFFSET(Calc2!$F$4,,,$F$26*B704,1)=F722)*(OFFSET(Calc2!$H$4,,,$F$26*B704,1)&lt;OFFSET(Calc2!$I$4,,,$F$26*B704,1)))+SUMPRODUCT((OFFSET(Calc2!$G$4,,,$F$26*B704,1)=F722)*(OFFSET(Calc2!$H$4,,,$F$26*B704,1)&gt;OFFSET(Calc2!$I$4,,,$F$26*B704,1)))</f>
        <v>6</v>
      </c>
      <c r="O722" s="132">
        <f ca="1">SUMPRODUCT((F722=OFFSET(Calc2!$F$4,,,$F$26*B704,1))*OFFSET(Calc2!$O$4,,,$F$26*B704,1))+SUMPRODUCT((F722=OFFSET(Calc2!$G$4,,,$F$26*B704,1))*OFFSET(Calc2!$P$4,,,$F$26*B704,1))</f>
        <v>0</v>
      </c>
      <c r="P722" s="2"/>
      <c r="Q722" s="2"/>
      <c r="R722" s="13">
        <f t="shared" ca="1" si="131"/>
        <v>53500020056</v>
      </c>
      <c r="S722" s="134">
        <f>Tie_Break!$D$23</f>
        <v>0</v>
      </c>
      <c r="T722" s="9">
        <f ca="1">RANK(R722,R706:R725)+(9-S722)/10000+(F722="")*1000</f>
        <v>3.0009000000000001</v>
      </c>
      <c r="U722" s="2"/>
      <c r="V722" s="134">
        <f ca="1">IF($K$24=0,"",IF(VLOOKUP(B722,C706:E725,3,0)=MAX(V$4:V721),VLOOKUP(B722,C706:E725,3,0),B722))</f>
        <v>17</v>
      </c>
      <c r="W722" s="4" t="str">
        <f ca="1">IF($K$24=0,Calc2!$C$20,VLOOKUP(B722,C706:N725,4,0))</f>
        <v>VfL Wolfsburg</v>
      </c>
      <c r="X722" s="1">
        <f ca="1">INDEX(V679:V698,MATCH(W722,W679:W698,0))</f>
        <v>17</v>
      </c>
      <c r="Y722" s="1">
        <f t="shared" ca="1" si="134"/>
        <v>0</v>
      </c>
    </row>
    <row r="723" spans="2:25" x14ac:dyDescent="0.2">
      <c r="B723" s="1">
        <v>18</v>
      </c>
      <c r="C723" s="9">
        <f ca="1">RANK(D723,D706:D725,1)</f>
        <v>17</v>
      </c>
      <c r="D723" s="134">
        <f t="shared" ca="1" si="132"/>
        <v>17.722999999999999</v>
      </c>
      <c r="E723" s="134">
        <f ca="1">RANK(T723,T706:T725,1)</f>
        <v>17</v>
      </c>
      <c r="F723" s="187" t="str">
        <f>Calc2!$C$21</f>
        <v>VfL Wolfsburg</v>
      </c>
      <c r="G723" s="1">
        <f ca="1">SUMIFS(OFFSET(Calc2!$H$4,,,$F$26*B704,1),OFFSET(Calc2!$F$4,,,$F$26*B704,1),F723)+SUMIFS(OFFSET(Calc2!$I$4,,,$F$26*B704,1),OFFSET(Calc2!$G$4,,,$F$26*B704,1),F723)</f>
        <v>35</v>
      </c>
      <c r="H723" s="1">
        <f ca="1">SUMIFS(OFFSET(Calc2!$I$4,,,$F$26*B704,1),OFFSET(Calc2!$F$4,,,$F$26*B704,1),F723)+SUMIFS(OFFSET(Calc2!$H$4,,,$F$26*B704,1),OFFSET(Calc2!$G$4,,,$F$26*B704,1),F723)</f>
        <v>57</v>
      </c>
      <c r="I723" s="134">
        <f t="shared" ca="1" si="130"/>
        <v>-22</v>
      </c>
      <c r="J723" s="12">
        <f ca="1">L723*Settings!$C$3+M723+O723</f>
        <v>21</v>
      </c>
      <c r="K723" s="1">
        <f t="shared" ca="1" si="133"/>
        <v>27</v>
      </c>
      <c r="L723" s="1">
        <f t="array" aca="1" ref="L723" ca="1">SUMPRODUCT((OFFSET(Calc2!$F$4,,,$F$26*B704,1)=F723)*(OFFSET(Calc2!$H$4,,,$F$26*B704,1)&gt;OFFSET(Calc2!$I$4,,,$F$26*B704,1)))+SUMPRODUCT((OFFSET(Calc2!$G$4,,,$F$26*B704,1)=F723)*(OFFSET(Calc2!$H$4,,,$F$26*B704,1)&lt;OFFSET(Calc2!$I$4,,,$F$26*B704,1)))</f>
        <v>5</v>
      </c>
      <c r="M723" s="1">
        <f t="array" aca="1" ref="M723" ca="1">SUMPRODUCT((OFFSET(Calc2!$F$4,,,$F$26*B704,2)=F723)*(OFFSET(Calc2!$H$4,,,$F$26*B704,1)=OFFSET(Calc2!$I$4,,,$F$26*B704,1))*(OFFSET(Calc2!$H$4,,,$F$26*B704,1)&lt;&gt;"")*(OFFSET(Calc2!$I$4,,,$F$26*B704,1)&lt;&gt;""))</f>
        <v>6</v>
      </c>
      <c r="N723" s="1">
        <f t="array" aca="1" ref="N723" ca="1">SUMPRODUCT((OFFSET(Calc2!$F$4,,,$F$26*B704,1)=F723)*(OFFSET(Calc2!$H$4,,,$F$26*B704,1)&lt;OFFSET(Calc2!$I$4,,,$F$26*B704,1)))+SUMPRODUCT((OFFSET(Calc2!$G$4,,,$F$26*B704,1)=F723)*(OFFSET(Calc2!$H$4,,,$F$26*B704,1)&gt;OFFSET(Calc2!$I$4,,,$F$26*B704,1)))</f>
        <v>16</v>
      </c>
      <c r="O723" s="132">
        <f ca="1">SUMPRODUCT((F723=OFFSET(Calc2!$F$4,,,$F$26*B704,1))*OFFSET(Calc2!$O$4,,,$F$26*B704,1))+SUMPRODUCT((F723=OFFSET(Calc2!$G$4,,,$F$26*B704,1))*OFFSET(Calc2!$P$4,,,$F$26*B704,1))</f>
        <v>0</v>
      </c>
      <c r="P723" s="2"/>
      <c r="Q723" s="2"/>
      <c r="R723" s="13">
        <f t="shared" ca="1" si="131"/>
        <v>21499978035</v>
      </c>
      <c r="S723" s="134">
        <f>Tie_Break!$D$24</f>
        <v>0</v>
      </c>
      <c r="T723" s="9">
        <f ca="1">RANK(R723,R706:R725)+(9-S723)/10000+(F723="")*1000</f>
        <v>17.000900000000001</v>
      </c>
      <c r="U723" s="2"/>
      <c r="V723" s="134">
        <f ca="1">IF($K$24=0,"",IF(VLOOKUP(B723,C706:E725,3,0)=MAX(V$4:V722),VLOOKUP(B723,C706:E725,3,0),B723))</f>
        <v>18</v>
      </c>
      <c r="W723" s="4" t="str">
        <f ca="1">IF($K$24=0,Calc2!$C$21,VLOOKUP(B723,C706:N725,4,0))</f>
        <v>1. FC Heidenheim 1846</v>
      </c>
      <c r="X723" s="1">
        <f ca="1">INDEX(V679:V698,MATCH(W723,W679:W698,0))</f>
        <v>18</v>
      </c>
      <c r="Y723" s="1">
        <f t="shared" ca="1" si="134"/>
        <v>0</v>
      </c>
    </row>
    <row r="724" spans="2:25" x14ac:dyDescent="0.2">
      <c r="B724" s="1">
        <v>19</v>
      </c>
      <c r="C724" s="9">
        <f ca="1">RANK(D724,D706:D725,1)</f>
        <v>19</v>
      </c>
      <c r="D724" s="134">
        <f t="shared" ca="1" si="132"/>
        <v>19.724</v>
      </c>
      <c r="E724" s="134">
        <f ca="1">RANK(T724,T706:T725,1)</f>
        <v>19</v>
      </c>
      <c r="F724" s="187" t="str">
        <f>Calc2!$C$22</f>
        <v/>
      </c>
      <c r="G724" s="1">
        <f ca="1">SUMIFS(OFFSET(Calc2!$H$4,,,$F$26*B704,1),OFFSET(Calc2!$F$4,,,$F$26*B704,1),F724)+SUMIFS(OFFSET(Calc2!$I$4,,,$F$26*B704,1),OFFSET(Calc2!$G$4,,,$F$26*B704,1),F724)</f>
        <v>0</v>
      </c>
      <c r="H724" s="1">
        <f ca="1">SUMIFS(OFFSET(Calc2!$I$4,,,$F$26*B704,1),OFFSET(Calc2!$F$4,,,$F$26*B704,1),F724)+SUMIFS(OFFSET(Calc2!$H$4,,,$F$26*B704,1),OFFSET(Calc2!$G$4,,,$F$26*B704,1),F724)</f>
        <v>0</v>
      </c>
      <c r="I724" s="134">
        <f t="shared" ca="1" si="130"/>
        <v>0</v>
      </c>
      <c r="J724" s="12">
        <f ca="1">L724*Settings!$C$3+M724+O724</f>
        <v>0</v>
      </c>
      <c r="K724" s="1">
        <f t="shared" ca="1" si="133"/>
        <v>0</v>
      </c>
      <c r="L724" s="1">
        <f t="array" aca="1" ref="L724" ca="1">SUMPRODUCT((OFFSET(Calc2!$F$4,,,$F$26*B704,1)=F724)*(OFFSET(Calc2!$H$4,,,$F$26*B704,1)&gt;OFFSET(Calc2!$I$4,,,$F$26*B704,1)))+SUMPRODUCT((OFFSET(Calc2!$G$4,,,$F$26*B704,1)=F724)*(OFFSET(Calc2!$H$4,,,$F$26*B704,1)&lt;OFFSET(Calc2!$I$4,,,$F$26*B704,1)))</f>
        <v>0</v>
      </c>
      <c r="M724" s="1">
        <f t="array" aca="1" ref="M724" ca="1">SUMPRODUCT((OFFSET(Calc2!$F$4,,,$F$26*B704,2)=F724)*(OFFSET(Calc2!$H$4,,,$F$26*B704,1)=OFFSET(Calc2!$I$4,,,$F$26*B704,1))*(OFFSET(Calc2!$H$4,,,$F$26*B704,1)&lt;&gt;"")*(OFFSET(Calc2!$I$4,,,$F$26*B704,1)&lt;&gt;""))</f>
        <v>0</v>
      </c>
      <c r="N724" s="1">
        <f t="array" aca="1" ref="N724" ca="1">SUMPRODUCT((OFFSET(Calc2!$F$4,,,$F$26*B704,1)=F724)*(OFFSET(Calc2!$H$4,,,$F$26*B704,1)&lt;OFFSET(Calc2!$I$4,,,$F$26*B704,1)))+SUMPRODUCT((OFFSET(Calc2!$G$4,,,$F$26*B704,1)=F724)*(OFFSET(Calc2!$H$4,,,$F$26*B704,1)&gt;OFFSET(Calc2!$I$4,,,$F$26*B704,1)))</f>
        <v>0</v>
      </c>
      <c r="O724" s="132">
        <f ca="1">SUMPRODUCT((F724=OFFSET(Calc2!$F$4,,,$F$26*B704,1))*OFFSET(Calc2!$O$4,,,$F$26*B704,1))+SUMPRODUCT((F724=OFFSET(Calc2!$G$4,,,$F$26*B704,1))*OFFSET(Calc2!$P$4,,,$F$26*B704,1))</f>
        <v>0</v>
      </c>
      <c r="P724" s="2"/>
      <c r="Q724" s="2"/>
      <c r="R724" s="13">
        <f t="shared" ca="1" si="131"/>
        <v>500000000</v>
      </c>
      <c r="S724" s="134">
        <f>Tie_Break!$D$25</f>
        <v>0</v>
      </c>
      <c r="T724" s="9">
        <f ca="1">RANK(R724,R706:R725)+(9-S724)/10000+(F724="")*1000</f>
        <v>1019.0009</v>
      </c>
      <c r="U724" s="2"/>
      <c r="V724" s="134">
        <f ca="1">IF($K$24=0,"",IF(VLOOKUP(B724,C706:E725,3,0)=MAX(V$4:V723),VLOOKUP(B724,C706:E725,3,0),B724))</f>
        <v>19</v>
      </c>
      <c r="W724" s="4" t="str">
        <f ca="1">IF($K$24=0,Calc2!$C$22,VLOOKUP(B724,C706:N725,4,0))</f>
        <v/>
      </c>
      <c r="X724" s="1">
        <f ca="1">INDEX(V679:V698,MATCH(W724,W679:W698,0))</f>
        <v>19</v>
      </c>
      <c r="Y724" s="1">
        <f t="shared" ca="1" si="134"/>
        <v>0</v>
      </c>
    </row>
    <row r="725" spans="2:25" ht="12.75" thickBot="1" x14ac:dyDescent="0.25">
      <c r="B725" s="1">
        <v>20</v>
      </c>
      <c r="C725" s="10">
        <f ca="1">RANK(D725,D706:D725,1)</f>
        <v>20</v>
      </c>
      <c r="D725" s="134">
        <f t="shared" ca="1" si="132"/>
        <v>19.725000000000001</v>
      </c>
      <c r="E725" s="134">
        <f ca="1">RANK(T725,T706:T725,1)</f>
        <v>19</v>
      </c>
      <c r="F725" s="187" t="str">
        <f>Calc2!$C$23</f>
        <v/>
      </c>
      <c r="G725" s="1">
        <f ca="1">SUMIFS(OFFSET(Calc2!$H$4,,,$F$26*B704,1),OFFSET(Calc2!$F$4,,,$F$26*B704,1),F725)+SUMIFS(OFFSET(Calc2!$I$4,,,$F$26*B704,1),OFFSET(Calc2!$G$4,,,$F$26*B704,1),F725)</f>
        <v>0</v>
      </c>
      <c r="H725" s="1">
        <f ca="1">SUMIFS(OFFSET(Calc2!$I$4,,,$F$26*B704,1),OFFSET(Calc2!$F$4,,,$F$26*B704,1),F725)+SUMIFS(OFFSET(Calc2!$H$4,,,$F$26*B704,1),OFFSET(Calc2!$G$4,,,$F$26*B704,1),F725)</f>
        <v>0</v>
      </c>
      <c r="I725" s="134">
        <f t="shared" ca="1" si="130"/>
        <v>0</v>
      </c>
      <c r="J725" s="12">
        <f ca="1">L725*Settings!$C$3+M725+O725</f>
        <v>0</v>
      </c>
      <c r="K725" s="1">
        <f t="shared" ca="1" si="133"/>
        <v>0</v>
      </c>
      <c r="L725" s="1">
        <f t="array" aca="1" ref="L725" ca="1">SUMPRODUCT((OFFSET(Calc2!$F$4,,,$F$26*B704,1)=F725)*(OFFSET(Calc2!$H$4,,,$F$26*B704,1)&gt;OFFSET(Calc2!$I$4,,,$F$26*B704,1)))+SUMPRODUCT((OFFSET(Calc2!$G$4,,,$F$26*B704,1)=F725)*(OFFSET(Calc2!$H$4,,,$F$26*B704,1)&lt;OFFSET(Calc2!$I$4,,,$F$26*B704,1)))</f>
        <v>0</v>
      </c>
      <c r="M725" s="1">
        <f t="array" aca="1" ref="M725" ca="1">SUMPRODUCT((OFFSET(Calc2!$F$4,,,$F$26*B704,2)=F725)*(OFFSET(Calc2!$H$4,,,$F$26*B704,1)=OFFSET(Calc2!$I$4,,,$F$26*B704,1))*(OFFSET(Calc2!$H$4,,,$F$26*B704,1)&lt;&gt;"")*(OFFSET(Calc2!$I$4,,,$F$26*B704,1)&lt;&gt;""))</f>
        <v>0</v>
      </c>
      <c r="N725" s="1">
        <f t="array" aca="1" ref="N725" ca="1">SUMPRODUCT((OFFSET(Calc2!$F$4,,,$F$26*B704,1)=F725)*(OFFSET(Calc2!$H$4,,,$F$26*B704,1)&lt;OFFSET(Calc2!$I$4,,,$F$26*B704,1)))+SUMPRODUCT((OFFSET(Calc2!$G$4,,,$F$26*B704,1)=F725)*(OFFSET(Calc2!$H$4,,,$F$26*B704,1)&gt;OFFSET(Calc2!$I$4,,,$F$26*B704,1)))</f>
        <v>0</v>
      </c>
      <c r="O725" s="132">
        <f ca="1">SUMPRODUCT((F725=OFFSET(Calc2!$F$4,,,$F$26*B704,1))*OFFSET(Calc2!$O$4,,,$F$26*B704,1))+SUMPRODUCT((F725=OFFSET(Calc2!$G$4,,,$F$26*B704,1))*OFFSET(Calc2!$P$4,,,$F$26*B704,1))</f>
        <v>0</v>
      </c>
      <c r="P725" s="2"/>
      <c r="Q725" s="2"/>
      <c r="R725" s="13">
        <f t="shared" ca="1" si="131"/>
        <v>500000000</v>
      </c>
      <c r="S725" s="134">
        <f>Tie_Break!$D$26</f>
        <v>0</v>
      </c>
      <c r="T725" s="10">
        <f ca="1">RANK(R725,R706:R725)+(9-S725)/10000+(F725="")*1000</f>
        <v>1019.0009</v>
      </c>
      <c r="U725" s="2"/>
      <c r="V725" s="134">
        <f ca="1">IF($K$24=0,"",IF(VLOOKUP(B725,C706:E725,3,0)=MAX(V$4:V724),VLOOKUP(B725,C706:E725,3,0),B725))</f>
        <v>19</v>
      </c>
      <c r="W725" s="4" t="str">
        <f ca="1">IF($K$24=0,Calc2!$C$23,VLOOKUP(B725,C706:N725,4,0))</f>
        <v/>
      </c>
      <c r="X725" s="1">
        <f ca="1">INDEX(V679:V698,MATCH(W725,W679:W698,0))</f>
        <v>19</v>
      </c>
      <c r="Y725" s="1">
        <f t="shared" ca="1" si="134"/>
        <v>0</v>
      </c>
    </row>
    <row r="726" spans="2:25" ht="12.75" thickTop="1" x14ac:dyDescent="0.2">
      <c r="X726" s="1"/>
      <c r="Y726" s="1"/>
    </row>
    <row r="727" spans="2:25" x14ac:dyDescent="0.2">
      <c r="X727" s="1"/>
      <c r="Y727" s="1"/>
    </row>
    <row r="728" spans="2:25" x14ac:dyDescent="0.2">
      <c r="X728" s="1"/>
      <c r="Y728" s="1"/>
    </row>
    <row r="729" spans="2:25" x14ac:dyDescent="0.2">
      <c r="X729" s="1"/>
      <c r="Y729" s="1"/>
    </row>
    <row r="730" spans="2:25" ht="12.75" thickBot="1" x14ac:dyDescent="0.25">
      <c r="X730" s="1"/>
      <c r="Y730" s="1"/>
    </row>
    <row r="731" spans="2:25" ht="12.75" thickBot="1" x14ac:dyDescent="0.25">
      <c r="B731" s="410">
        <v>28</v>
      </c>
      <c r="C731" s="134"/>
      <c r="D731" s="134"/>
      <c r="E731" s="134"/>
      <c r="F731" s="187"/>
      <c r="G731" s="1"/>
      <c r="H731" s="1"/>
      <c r="I731" s="1"/>
      <c r="J731" s="1"/>
      <c r="K731" s="1"/>
      <c r="L731" s="1"/>
      <c r="M731" s="1"/>
      <c r="N731" s="134"/>
      <c r="O731" s="1"/>
      <c r="P731" s="1"/>
      <c r="Q731" s="1"/>
      <c r="R731" s="2"/>
      <c r="S731" s="2"/>
      <c r="T731" s="2"/>
      <c r="U731" s="2"/>
      <c r="V731" s="2"/>
      <c r="W731" s="2"/>
      <c r="X731" s="1"/>
      <c r="Y731" s="1"/>
    </row>
    <row r="732" spans="2:25" ht="15.75" thickBot="1" x14ac:dyDescent="0.25">
      <c r="B732" s="1"/>
      <c r="C732" s="134"/>
      <c r="D732" s="134"/>
      <c r="E732" s="134"/>
      <c r="F732" s="11" t="s">
        <v>90</v>
      </c>
      <c r="G732" s="42" t="s">
        <v>95</v>
      </c>
      <c r="H732" s="42" t="s">
        <v>96</v>
      </c>
      <c r="I732" s="11" t="s">
        <v>97</v>
      </c>
      <c r="J732" s="11" t="s">
        <v>98</v>
      </c>
      <c r="K732" s="11" t="s">
        <v>91</v>
      </c>
      <c r="L732" s="12" t="s">
        <v>92</v>
      </c>
      <c r="M732" s="12" t="s">
        <v>93</v>
      </c>
      <c r="N732" s="12" t="s">
        <v>94</v>
      </c>
      <c r="O732" s="12" t="s">
        <v>534</v>
      </c>
      <c r="P732" s="2"/>
      <c r="Q732" s="11"/>
      <c r="R732" s="133" t="s">
        <v>99</v>
      </c>
      <c r="S732" s="6" t="s">
        <v>483</v>
      </c>
      <c r="T732" s="120" t="s">
        <v>146</v>
      </c>
      <c r="U732" s="134"/>
      <c r="V732" s="134"/>
      <c r="W732" s="132"/>
      <c r="X732" s="120" t="s">
        <v>575</v>
      </c>
      <c r="Y732" s="1"/>
    </row>
    <row r="733" spans="2:25" ht="12.75" thickTop="1" x14ac:dyDescent="0.2">
      <c r="B733" s="1">
        <v>1</v>
      </c>
      <c r="C733" s="8">
        <f ca="1">RANK(D733,D733:D752,1)</f>
        <v>18</v>
      </c>
      <c r="D733" s="134">
        <f ca="1">E733+ROW()/1000</f>
        <v>18.733000000000001</v>
      </c>
      <c r="E733" s="134">
        <f ca="1">RANK(T733,T733:T752,1)</f>
        <v>18</v>
      </c>
      <c r="F733" s="187" t="str">
        <f>Calc2!$C$4</f>
        <v>1. FC Heidenheim 1846</v>
      </c>
      <c r="G733" s="1">
        <f ca="1">SUMIFS(OFFSET(Calc2!$H$4,,,$F$26*B731,1),OFFSET(Calc2!$F$4,,,$F$26*B731,1),F733)+SUMIFS(OFFSET(Calc2!$I$4,,,$F$26*B731,1),OFFSET(Calc2!$G$4,,,$F$26*B731,1),F733)</f>
        <v>29</v>
      </c>
      <c r="H733" s="1">
        <f ca="1">SUMIFS(OFFSET(Calc2!$I$4,,,$F$26*B731,1),OFFSET(Calc2!$F$4,,,$F$26*B731,1),F733)+SUMIFS(OFFSET(Calc2!$H$4,,,$F$26*B731,1),OFFSET(Calc2!$G$4,,,$F$26*B731,1),F733)</f>
        <v>63</v>
      </c>
      <c r="I733" s="134">
        <f t="shared" ref="I733:I752" ca="1" si="135">G733-H733</f>
        <v>-34</v>
      </c>
      <c r="J733" s="12">
        <f ca="1">L733*Settings!$C$3+M733+O733</f>
        <v>16</v>
      </c>
      <c r="K733" s="1">
        <f ca="1">L733+M733+N733</f>
        <v>28</v>
      </c>
      <c r="L733" s="1">
        <f t="array" aca="1" ref="L733" ca="1">SUMPRODUCT((OFFSET(Calc2!$F$4,,,$F$26*B731,1)=F733)*(OFFSET(Calc2!$H$4,,,$F$26*B731,1)&gt;OFFSET(Calc2!$I$4,,,$F$26*B731,1)))+SUMPRODUCT((OFFSET(Calc2!$G$4,,,$F$26*B731,1)=F733)*(OFFSET(Calc2!$H$4,,,$F$26*B731,1)&lt;OFFSET(Calc2!$I$4,,,$F$26*B731,1)))</f>
        <v>3</v>
      </c>
      <c r="M733" s="1">
        <f t="array" aca="1" ref="M733" ca="1">SUMPRODUCT((OFFSET(Calc2!$F$4,,,$F$26*B731,2)=F733)*(OFFSET(Calc2!$H$4,,,$F$26*B731,1)=OFFSET(Calc2!$I$4,,,$F$26*B731,1))*(OFFSET(Calc2!$H$4,,,$F$26*B731,1)&lt;&gt;"")*(OFFSET(Calc2!$I$4,,,$F$26*B731,1)&lt;&gt;""))</f>
        <v>7</v>
      </c>
      <c r="N733" s="1">
        <f t="array" aca="1" ref="N733" ca="1">SUMPRODUCT((OFFSET(Calc2!$F$4,,,$F$26*B731,1)=F733)*(OFFSET(Calc2!$H$4,,,$F$26*B731,1)&lt;OFFSET(Calc2!$I$4,,,$F$26*B731,1)))+SUMPRODUCT((OFFSET(Calc2!$G$4,,,$F$26*B731,1)=F733)*(OFFSET(Calc2!$H$4,,,$F$26*B731,1)&gt;OFFSET(Calc2!$I$4,,,$F$26*B731,1)))</f>
        <v>18</v>
      </c>
      <c r="O733" s="132">
        <f ca="1">SUMPRODUCT((F733=OFFSET(Calc2!$F$4,,,$F$26*B731,1))*OFFSET(Calc2!$O$4,,,$F$26*B731,1))+SUMPRODUCT((F733=OFFSET(Calc2!$G$4,,,$F$26*B731,1))*OFFSET(Calc2!$P$4,,,$F$26*B731,1))</f>
        <v>0</v>
      </c>
      <c r="P733" s="2"/>
      <c r="Q733" s="2"/>
      <c r="R733" s="13">
        <f t="shared" ref="R733:R752" ca="1" si="136">J733*FactorPts+(I733+GDzero)*FactorGD+G733*FactorGF</f>
        <v>16499966029</v>
      </c>
      <c r="S733" s="134">
        <f>Tie_Break!$D$7</f>
        <v>0</v>
      </c>
      <c r="T733" s="8">
        <f ca="1">RANK(R733,R733:R752)+(9-S733)/10000+(F733="")*1000</f>
        <v>18.000900000000001</v>
      </c>
      <c r="U733" s="134"/>
      <c r="V733" s="134">
        <f ca="1">IF($K$24=0,"",1)</f>
        <v>1</v>
      </c>
      <c r="W733" s="4" t="str">
        <f ca="1">IF($K$24=0,Calc2!$C$4,VLOOKUP(B733,C733:N752,4,0))</f>
        <v>FC Bayern München</v>
      </c>
      <c r="X733" s="1">
        <f ca="1">INDEX(V706:V725,MATCH(W733,W706:W725,0))</f>
        <v>1</v>
      </c>
      <c r="Y733" s="1">
        <f ca="1">IF(X733&gt;V733,1,IF(X733&lt;V733,-1,0))</f>
        <v>0</v>
      </c>
    </row>
    <row r="734" spans="2:25" x14ac:dyDescent="0.2">
      <c r="B734" s="1">
        <v>2</v>
      </c>
      <c r="C734" s="9">
        <f ca="1">RANK(D734,D733:D752,1)</f>
        <v>15</v>
      </c>
      <c r="D734" s="134">
        <f t="shared" ref="D734:D752" ca="1" si="137">E734+ROW()/1000</f>
        <v>15.734</v>
      </c>
      <c r="E734" s="134">
        <f ca="1">RANK(T734,T733:T752,1)</f>
        <v>15</v>
      </c>
      <c r="F734" s="187" t="str">
        <f>Calc2!$C$5</f>
        <v>1. FC Köln</v>
      </c>
      <c r="G734" s="1">
        <f ca="1">SUMIFS(OFFSET(Calc2!$H$4,,,$F$26*B731,1),OFFSET(Calc2!$F$4,,,$F$26*B731,1),F734)+SUMIFS(OFFSET(Calc2!$I$4,,,$F$26*B731,1),OFFSET(Calc2!$G$4,,,$F$26*B731,1),F734)</f>
        <v>40</v>
      </c>
      <c r="H734" s="1">
        <f ca="1">SUMIFS(OFFSET(Calc2!$I$4,,,$F$26*B731,1),OFFSET(Calc2!$F$4,,,$F$26*B731,1),F734)+SUMIFS(OFFSET(Calc2!$H$4,,,$F$26*B731,1),OFFSET(Calc2!$G$4,,,$F$26*B731,1),F734)</f>
        <v>49</v>
      </c>
      <c r="I734" s="134">
        <f t="shared" ca="1" si="135"/>
        <v>-9</v>
      </c>
      <c r="J734" s="12">
        <f ca="1">L734*Settings!$C$3+M734+O734</f>
        <v>27</v>
      </c>
      <c r="K734" s="1">
        <f t="shared" ref="K734:K752" ca="1" si="138">L734+M734+N734</f>
        <v>28</v>
      </c>
      <c r="L734" s="1">
        <f t="array" aca="1" ref="L734" ca="1">SUMPRODUCT((OFFSET(Calc2!$F$4,,,$F$26*B731,1)=F734)*(OFFSET(Calc2!$H$4,,,$F$26*B731,1)&gt;OFFSET(Calc2!$I$4,,,$F$26*B731,1)))+SUMPRODUCT((OFFSET(Calc2!$G$4,,,$F$26*B731,1)=F734)*(OFFSET(Calc2!$H$4,,,$F$26*B731,1)&lt;OFFSET(Calc2!$I$4,,,$F$26*B731,1)))</f>
        <v>6</v>
      </c>
      <c r="M734" s="1">
        <f t="array" aca="1" ref="M734" ca="1">SUMPRODUCT((OFFSET(Calc2!$F$4,,,$F$26*B731,2)=F734)*(OFFSET(Calc2!$H$4,,,$F$26*B731,1)=OFFSET(Calc2!$I$4,,,$F$26*B731,1))*(OFFSET(Calc2!$H$4,,,$F$26*B731,1)&lt;&gt;"")*(OFFSET(Calc2!$I$4,,,$F$26*B731,1)&lt;&gt;""))</f>
        <v>9</v>
      </c>
      <c r="N734" s="1">
        <f t="array" aca="1" ref="N734" ca="1">SUMPRODUCT((OFFSET(Calc2!$F$4,,,$F$26*B731,1)=F734)*(OFFSET(Calc2!$H$4,,,$F$26*B731,1)&lt;OFFSET(Calc2!$I$4,,,$F$26*B731,1)))+SUMPRODUCT((OFFSET(Calc2!$G$4,,,$F$26*B731,1)=F734)*(OFFSET(Calc2!$H$4,,,$F$26*B731,1)&gt;OFFSET(Calc2!$I$4,,,$F$26*B731,1)))</f>
        <v>13</v>
      </c>
      <c r="O734" s="132">
        <f ca="1">SUMPRODUCT((F734=OFFSET(Calc2!$F$4,,,$F$26*B731,1))*OFFSET(Calc2!$O$4,,,$F$26*B731,1))+SUMPRODUCT((F734=OFFSET(Calc2!$G$4,,,$F$26*B731,1))*OFFSET(Calc2!$P$4,,,$F$26*B731,1))</f>
        <v>0</v>
      </c>
      <c r="P734" s="2"/>
      <c r="Q734" s="2"/>
      <c r="R734" s="13">
        <f t="shared" ca="1" si="136"/>
        <v>27499991040</v>
      </c>
      <c r="S734" s="134">
        <f>Tie_Break!$D$8</f>
        <v>0</v>
      </c>
      <c r="T734" s="9">
        <f ca="1">RANK(R734,R733:R752)+(9-S734)/10000+(F734="")*1000</f>
        <v>15.0009</v>
      </c>
      <c r="U734" s="134"/>
      <c r="V734" s="134">
        <f ca="1">IF($K$24=0,"",IF(VLOOKUP(B734,C733:E752,3,0)=MAX(V$4:V733),VLOOKUP(B734,C733:E752,3,0),B734))</f>
        <v>2</v>
      </c>
      <c r="W734" s="4" t="str">
        <f ca="1">IF($K$24=0,Calc2!$C$5,VLOOKUP(B734,C733:N752,4,0))</f>
        <v>Borussia Dortmund</v>
      </c>
      <c r="X734" s="1">
        <f ca="1">INDEX(V706:V725,MATCH(W734,W706:W725,0))</f>
        <v>2</v>
      </c>
      <c r="Y734" s="1">
        <f t="shared" ref="Y734:Y752" ca="1" si="139">IF(X734&gt;V734,1,IF(X734&lt;V734,-1,0))</f>
        <v>0</v>
      </c>
    </row>
    <row r="735" spans="2:25" x14ac:dyDescent="0.2">
      <c r="B735" s="1">
        <v>3</v>
      </c>
      <c r="C735" s="9">
        <f ca="1">RANK(D735,D733:D752,1)</f>
        <v>10</v>
      </c>
      <c r="D735" s="134">
        <f t="shared" ca="1" si="137"/>
        <v>10.734999999999999</v>
      </c>
      <c r="E735" s="134">
        <f ca="1">RANK(T735,T733:T752,1)</f>
        <v>10</v>
      </c>
      <c r="F735" s="187" t="str">
        <f>Calc2!$C$6</f>
        <v>1. FC Union Berlin</v>
      </c>
      <c r="G735" s="1">
        <f ca="1">SUMIFS(OFFSET(Calc2!$H$4,,,$F$26*B731,1),OFFSET(Calc2!$F$4,,,$F$26*B731,1),F735)+SUMIFS(OFFSET(Calc2!$I$4,,,$F$26*B731,1),OFFSET(Calc2!$G$4,,,$F$26*B731,1),F735)</f>
        <v>32</v>
      </c>
      <c r="H735" s="1">
        <f ca="1">SUMIFS(OFFSET(Calc2!$I$4,,,$F$26*B731,1),OFFSET(Calc2!$F$4,,,$F$26*B731,1),F735)+SUMIFS(OFFSET(Calc2!$H$4,,,$F$26*B731,1),OFFSET(Calc2!$G$4,,,$F$26*B731,1),F735)</f>
        <v>47</v>
      </c>
      <c r="I735" s="134">
        <f t="shared" ca="1" si="135"/>
        <v>-15</v>
      </c>
      <c r="J735" s="12">
        <f ca="1">L735*Settings!$C$3+M735+O735</f>
        <v>32</v>
      </c>
      <c r="K735" s="1">
        <f t="shared" ca="1" si="138"/>
        <v>28</v>
      </c>
      <c r="L735" s="1">
        <f t="array" aca="1" ref="L735" ca="1">SUMPRODUCT((OFFSET(Calc2!$F$4,,,$F$26*B731,1)=F735)*(OFFSET(Calc2!$H$4,,,$F$26*B731,1)&gt;OFFSET(Calc2!$I$4,,,$F$26*B731,1)))+SUMPRODUCT((OFFSET(Calc2!$G$4,,,$F$26*B731,1)=F735)*(OFFSET(Calc2!$H$4,,,$F$26*B731,1)&lt;OFFSET(Calc2!$I$4,,,$F$26*B731,1)))</f>
        <v>8</v>
      </c>
      <c r="M735" s="1">
        <f t="array" aca="1" ref="M735" ca="1">SUMPRODUCT((OFFSET(Calc2!$F$4,,,$F$26*B731,2)=F735)*(OFFSET(Calc2!$H$4,,,$F$26*B731,1)=OFFSET(Calc2!$I$4,,,$F$26*B731,1))*(OFFSET(Calc2!$H$4,,,$F$26*B731,1)&lt;&gt;"")*(OFFSET(Calc2!$I$4,,,$F$26*B731,1)&lt;&gt;""))</f>
        <v>8</v>
      </c>
      <c r="N735" s="1">
        <f t="array" aca="1" ref="N735" ca="1">SUMPRODUCT((OFFSET(Calc2!$F$4,,,$F$26*B731,1)=F735)*(OFFSET(Calc2!$H$4,,,$F$26*B731,1)&lt;OFFSET(Calc2!$I$4,,,$F$26*B731,1)))+SUMPRODUCT((OFFSET(Calc2!$G$4,,,$F$26*B731,1)=F735)*(OFFSET(Calc2!$H$4,,,$F$26*B731,1)&gt;OFFSET(Calc2!$I$4,,,$F$26*B731,1)))</f>
        <v>12</v>
      </c>
      <c r="O735" s="132">
        <f ca="1">SUMPRODUCT((F735=OFFSET(Calc2!$F$4,,,$F$26*B731,1))*OFFSET(Calc2!$O$4,,,$F$26*B731,1))+SUMPRODUCT((F735=OFFSET(Calc2!$G$4,,,$F$26*B731,1))*OFFSET(Calc2!$P$4,,,$F$26*B731,1))</f>
        <v>0</v>
      </c>
      <c r="P735" s="2"/>
      <c r="Q735" s="2"/>
      <c r="R735" s="13">
        <f t="shared" ca="1" si="136"/>
        <v>32499985032</v>
      </c>
      <c r="S735" s="134">
        <f>Tie_Break!$D$9</f>
        <v>0</v>
      </c>
      <c r="T735" s="9">
        <f ca="1">RANK(R735,R733:R752)+(9-S735)/10000+(F735="")*1000</f>
        <v>10.0009</v>
      </c>
      <c r="U735" s="134"/>
      <c r="V735" s="134">
        <f ca="1">IF($K$24=0,"",IF(VLOOKUP(B735,C733:E752,3,0)=MAX(V$4:V734),VLOOKUP(B735,C733:E752,3,0),B735))</f>
        <v>3</v>
      </c>
      <c r="W735" s="4" t="str">
        <f ca="1">IF($K$24=0,Calc2!$C$6,VLOOKUP(B735,C733:N752,4,0))</f>
        <v>RB Leipzig</v>
      </c>
      <c r="X735" s="1">
        <f ca="1">INDEX(V706:V725,MATCH(W735,W706:W725,0))</f>
        <v>4</v>
      </c>
      <c r="Y735" s="1">
        <f t="shared" ca="1" si="139"/>
        <v>1</v>
      </c>
    </row>
    <row r="736" spans="2:25" x14ac:dyDescent="0.2">
      <c r="B736" s="1">
        <v>4</v>
      </c>
      <c r="C736" s="9">
        <f ca="1">RANK(D736,D733:D752,1)</f>
        <v>9</v>
      </c>
      <c r="D736" s="134">
        <f t="shared" ca="1" si="137"/>
        <v>9.7360000000000007</v>
      </c>
      <c r="E736" s="134">
        <f ca="1">RANK(T736,T733:T752,1)</f>
        <v>9</v>
      </c>
      <c r="F736" s="187" t="str">
        <f>Calc2!$C$7</f>
        <v>1. FSV Mainz 05</v>
      </c>
      <c r="G736" s="1">
        <f ca="1">SUMIFS(OFFSET(Calc2!$H$4,,,$F$26*B731,1),OFFSET(Calc2!$F$4,,,$F$26*B731,1),F736)+SUMIFS(OFFSET(Calc2!$I$4,,,$F$26*B731,1),OFFSET(Calc2!$G$4,,,$F$26*B731,1),F736)</f>
        <v>35</v>
      </c>
      <c r="H736" s="1">
        <f ca="1">SUMIFS(OFFSET(Calc2!$I$4,,,$F$26*B731,1),OFFSET(Calc2!$F$4,,,$F$26*B731,1),F736)+SUMIFS(OFFSET(Calc2!$H$4,,,$F$26*B731,1),OFFSET(Calc2!$G$4,,,$F$26*B731,1),F736)</f>
        <v>43</v>
      </c>
      <c r="I736" s="134">
        <f t="shared" ca="1" si="135"/>
        <v>-8</v>
      </c>
      <c r="J736" s="12">
        <f ca="1">L736*Settings!$C$3+M736+O736</f>
        <v>33</v>
      </c>
      <c r="K736" s="1">
        <f t="shared" ca="1" si="138"/>
        <v>28</v>
      </c>
      <c r="L736" s="1">
        <f t="array" aca="1" ref="L736" ca="1">SUMPRODUCT((OFFSET(Calc2!$F$4,,,$F$26*B731,1)=F736)*(OFFSET(Calc2!$H$4,,,$F$26*B731,1)&gt;OFFSET(Calc2!$I$4,,,$F$26*B731,1)))+SUMPRODUCT((OFFSET(Calc2!$G$4,,,$F$26*B731,1)=F736)*(OFFSET(Calc2!$H$4,,,$F$26*B731,1)&lt;OFFSET(Calc2!$I$4,,,$F$26*B731,1)))</f>
        <v>8</v>
      </c>
      <c r="M736" s="1">
        <f t="array" aca="1" ref="M736" ca="1">SUMPRODUCT((OFFSET(Calc2!$F$4,,,$F$26*B731,2)=F736)*(OFFSET(Calc2!$H$4,,,$F$26*B731,1)=OFFSET(Calc2!$I$4,,,$F$26*B731,1))*(OFFSET(Calc2!$H$4,,,$F$26*B731,1)&lt;&gt;"")*(OFFSET(Calc2!$I$4,,,$F$26*B731,1)&lt;&gt;""))</f>
        <v>9</v>
      </c>
      <c r="N736" s="1">
        <f t="array" aca="1" ref="N736" ca="1">SUMPRODUCT((OFFSET(Calc2!$F$4,,,$F$26*B731,1)=F736)*(OFFSET(Calc2!$H$4,,,$F$26*B731,1)&lt;OFFSET(Calc2!$I$4,,,$F$26*B731,1)))+SUMPRODUCT((OFFSET(Calc2!$G$4,,,$F$26*B731,1)=F736)*(OFFSET(Calc2!$H$4,,,$F$26*B731,1)&gt;OFFSET(Calc2!$I$4,,,$F$26*B731,1)))</f>
        <v>11</v>
      </c>
      <c r="O736" s="132">
        <f ca="1">SUMPRODUCT((F736=OFFSET(Calc2!$F$4,,,$F$26*B731,1))*OFFSET(Calc2!$O$4,,,$F$26*B731,1))+SUMPRODUCT((F736=OFFSET(Calc2!$G$4,,,$F$26*B731,1))*OFFSET(Calc2!$P$4,,,$F$26*B731,1))</f>
        <v>0</v>
      </c>
      <c r="P736" s="2"/>
      <c r="Q736" s="2"/>
      <c r="R736" s="13">
        <f t="shared" ca="1" si="136"/>
        <v>33499992035</v>
      </c>
      <c r="S736" s="134">
        <f>Tie_Break!$D$10</f>
        <v>0</v>
      </c>
      <c r="T736" s="9">
        <f ca="1">RANK(R736,R733:R752)+(9-S736)/10000+(F736="")*1000</f>
        <v>9.0008999999999997</v>
      </c>
      <c r="U736" s="134"/>
      <c r="V736" s="134">
        <f ca="1">IF($K$24=0,"",IF(VLOOKUP(B736,C733:E752,3,0)=MAX(V$4:V735),VLOOKUP(B736,C733:E752,3,0),B736))</f>
        <v>4</v>
      </c>
      <c r="W736" s="4" t="str">
        <f ca="1">IF($K$24=0,Calc2!$C$7,VLOOKUP(B736,C733:N752,4,0))</f>
        <v>VfB Stuttgart</v>
      </c>
      <c r="X736" s="1">
        <f ca="1">INDEX(V706:V725,MATCH(W736,W706:W725,0))</f>
        <v>3</v>
      </c>
      <c r="Y736" s="1">
        <f t="shared" ca="1" si="139"/>
        <v>-1</v>
      </c>
    </row>
    <row r="737" spans="2:25" x14ac:dyDescent="0.2">
      <c r="B737" s="1">
        <v>5</v>
      </c>
      <c r="C737" s="9">
        <f ca="1">RANK(D737,D733:D752,1)</f>
        <v>6</v>
      </c>
      <c r="D737" s="134">
        <f t="shared" ca="1" si="137"/>
        <v>6.7370000000000001</v>
      </c>
      <c r="E737" s="134">
        <f ca="1">RANK(T737,T733:T752,1)</f>
        <v>6</v>
      </c>
      <c r="F737" s="187" t="str">
        <f>Calc2!$C$8</f>
        <v>Bayer 04 Leverkusen</v>
      </c>
      <c r="G737" s="1">
        <f ca="1">SUMIFS(OFFSET(Calc2!$H$4,,,$F$26*B731,1),OFFSET(Calc2!$F$4,,,$F$26*B731,1),F737)+SUMIFS(OFFSET(Calc2!$I$4,,,$F$26*B731,1),OFFSET(Calc2!$G$4,,,$F$26*B731,1),F737)</f>
        <v>58</v>
      </c>
      <c r="H737" s="1">
        <f ca="1">SUMIFS(OFFSET(Calc2!$I$4,,,$F$26*B731,1),OFFSET(Calc2!$F$4,,,$F$26*B731,1),F737)+SUMIFS(OFFSET(Calc2!$H$4,,,$F$26*B731,1),OFFSET(Calc2!$G$4,,,$F$26*B731,1),F737)</f>
        <v>39</v>
      </c>
      <c r="I737" s="134">
        <f t="shared" ca="1" si="135"/>
        <v>19</v>
      </c>
      <c r="J737" s="12">
        <f ca="1">L737*Settings!$C$3+M737+O737</f>
        <v>49</v>
      </c>
      <c r="K737" s="1">
        <f t="shared" ca="1" si="138"/>
        <v>28</v>
      </c>
      <c r="L737" s="1">
        <f t="array" aca="1" ref="L737" ca="1">SUMPRODUCT((OFFSET(Calc2!$F$4,,,$F$26*B731,1)=F737)*(OFFSET(Calc2!$H$4,,,$F$26*B731,1)&gt;OFFSET(Calc2!$I$4,,,$F$26*B731,1)))+SUMPRODUCT((OFFSET(Calc2!$G$4,,,$F$26*B731,1)=F737)*(OFFSET(Calc2!$H$4,,,$F$26*B731,1)&lt;OFFSET(Calc2!$I$4,,,$F$26*B731,1)))</f>
        <v>14</v>
      </c>
      <c r="M737" s="1">
        <f t="array" aca="1" ref="M737" ca="1">SUMPRODUCT((OFFSET(Calc2!$F$4,,,$F$26*B731,2)=F737)*(OFFSET(Calc2!$H$4,,,$F$26*B731,1)=OFFSET(Calc2!$I$4,,,$F$26*B731,1))*(OFFSET(Calc2!$H$4,,,$F$26*B731,1)&lt;&gt;"")*(OFFSET(Calc2!$I$4,,,$F$26*B731,1)&lt;&gt;""))</f>
        <v>7</v>
      </c>
      <c r="N737" s="1">
        <f t="array" aca="1" ref="N737" ca="1">SUMPRODUCT((OFFSET(Calc2!$F$4,,,$F$26*B731,1)=F737)*(OFFSET(Calc2!$H$4,,,$F$26*B731,1)&lt;OFFSET(Calc2!$I$4,,,$F$26*B731,1)))+SUMPRODUCT((OFFSET(Calc2!$G$4,,,$F$26*B731,1)=F737)*(OFFSET(Calc2!$H$4,,,$F$26*B731,1)&gt;OFFSET(Calc2!$I$4,,,$F$26*B731,1)))</f>
        <v>7</v>
      </c>
      <c r="O737" s="132">
        <f ca="1">SUMPRODUCT((F737=OFFSET(Calc2!$F$4,,,$F$26*B731,1))*OFFSET(Calc2!$O$4,,,$F$26*B731,1))+SUMPRODUCT((F737=OFFSET(Calc2!$G$4,,,$F$26*B731,1))*OFFSET(Calc2!$P$4,,,$F$26*B731,1))</f>
        <v>0</v>
      </c>
      <c r="P737" s="2"/>
      <c r="Q737" s="2"/>
      <c r="R737" s="13">
        <f t="shared" ca="1" si="136"/>
        <v>49500019058</v>
      </c>
      <c r="S737" s="134">
        <f>Tie_Break!$D$11</f>
        <v>0</v>
      </c>
      <c r="T737" s="9">
        <f ca="1">RANK(R737,R733:R752)+(9-S737)/10000+(F737="")*1000</f>
        <v>6.0008999999999997</v>
      </c>
      <c r="U737" s="134"/>
      <c r="V737" s="134">
        <f ca="1">IF($K$24=0,"",IF(VLOOKUP(B737,C733:E752,3,0)=MAX(V$4:V736),VLOOKUP(B737,C733:E752,3,0),B737))</f>
        <v>5</v>
      </c>
      <c r="W737" s="4" t="str">
        <f ca="1">IF($K$24=0,Calc2!$C$8,VLOOKUP(B737,C733:N752,4,0))</f>
        <v>TSG Hoffenheim</v>
      </c>
      <c r="X737" s="1">
        <f ca="1">INDEX(V706:V725,MATCH(W737,W706:W725,0))</f>
        <v>5</v>
      </c>
      <c r="Y737" s="1">
        <f t="shared" ca="1" si="139"/>
        <v>0</v>
      </c>
    </row>
    <row r="738" spans="2:25" x14ac:dyDescent="0.2">
      <c r="B738" s="1">
        <v>6</v>
      </c>
      <c r="C738" s="9">
        <f ca="1">RANK(D738,D733:D752,1)</f>
        <v>2</v>
      </c>
      <c r="D738" s="134">
        <f t="shared" ca="1" si="137"/>
        <v>2.738</v>
      </c>
      <c r="E738" s="134">
        <f ca="1">RANK(T738,T733:T752,1)</f>
        <v>2</v>
      </c>
      <c r="F738" s="187" t="str">
        <f>Calc2!$C$9</f>
        <v>Borussia Dortmund</v>
      </c>
      <c r="G738" s="1">
        <f ca="1">SUMIFS(OFFSET(Calc2!$H$4,,,$F$26*B731,1),OFFSET(Calc2!$F$4,,,$F$26*B731,1),F738)+SUMIFS(OFFSET(Calc2!$I$4,,,$F$26*B731,1),OFFSET(Calc2!$G$4,,,$F$26*B731,1),F738)</f>
        <v>60</v>
      </c>
      <c r="H738" s="1">
        <f ca="1">SUMIFS(OFFSET(Calc2!$I$4,,,$F$26*B731,1),OFFSET(Calc2!$F$4,,,$F$26*B731,1),F738)+SUMIFS(OFFSET(Calc2!$H$4,,,$F$26*B731,1),OFFSET(Calc2!$G$4,,,$F$26*B731,1),F738)</f>
        <v>28</v>
      </c>
      <c r="I738" s="134">
        <f t="shared" ca="1" si="135"/>
        <v>32</v>
      </c>
      <c r="J738" s="12">
        <f ca="1">L738*Settings!$C$3+M738+O738</f>
        <v>64</v>
      </c>
      <c r="K738" s="1">
        <f t="shared" ca="1" si="138"/>
        <v>28</v>
      </c>
      <c r="L738" s="1">
        <f t="array" aca="1" ref="L738" ca="1">SUMPRODUCT((OFFSET(Calc2!$F$4,,,$F$26*B731,1)=F738)*(OFFSET(Calc2!$H$4,,,$F$26*B731,1)&gt;OFFSET(Calc2!$I$4,,,$F$26*B731,1)))+SUMPRODUCT((OFFSET(Calc2!$G$4,,,$F$26*B731,1)=F738)*(OFFSET(Calc2!$H$4,,,$F$26*B731,1)&lt;OFFSET(Calc2!$I$4,,,$F$26*B731,1)))</f>
        <v>19</v>
      </c>
      <c r="M738" s="1">
        <f t="array" aca="1" ref="M738" ca="1">SUMPRODUCT((OFFSET(Calc2!$F$4,,,$F$26*B731,2)=F738)*(OFFSET(Calc2!$H$4,,,$F$26*B731,1)=OFFSET(Calc2!$I$4,,,$F$26*B731,1))*(OFFSET(Calc2!$H$4,,,$F$26*B731,1)&lt;&gt;"")*(OFFSET(Calc2!$I$4,,,$F$26*B731,1)&lt;&gt;""))</f>
        <v>7</v>
      </c>
      <c r="N738" s="1">
        <f t="array" aca="1" ref="N738" ca="1">SUMPRODUCT((OFFSET(Calc2!$F$4,,,$F$26*B731,1)=F738)*(OFFSET(Calc2!$H$4,,,$F$26*B731,1)&lt;OFFSET(Calc2!$I$4,,,$F$26*B731,1)))+SUMPRODUCT((OFFSET(Calc2!$G$4,,,$F$26*B731,1)=F738)*(OFFSET(Calc2!$H$4,,,$F$26*B731,1)&gt;OFFSET(Calc2!$I$4,,,$F$26*B731,1)))</f>
        <v>2</v>
      </c>
      <c r="O738" s="132">
        <f ca="1">SUMPRODUCT((F738=OFFSET(Calc2!$F$4,,,$F$26*B731,1))*OFFSET(Calc2!$O$4,,,$F$26*B731,1))+SUMPRODUCT((F738=OFFSET(Calc2!$G$4,,,$F$26*B731,1))*OFFSET(Calc2!$P$4,,,$F$26*B731,1))</f>
        <v>0</v>
      </c>
      <c r="P738" s="2"/>
      <c r="Q738" s="2"/>
      <c r="R738" s="13">
        <f t="shared" ca="1" si="136"/>
        <v>64500032060</v>
      </c>
      <c r="S738" s="134">
        <f>Tie_Break!$D$12</f>
        <v>0</v>
      </c>
      <c r="T738" s="9">
        <f ca="1">RANK(R738,R733:R752)+(9-S738)/10000+(F738="")*1000</f>
        <v>2.0009000000000001</v>
      </c>
      <c r="U738" s="134"/>
      <c r="V738" s="134">
        <f ca="1">IF($K$24=0,"",IF(VLOOKUP(B738,C733:E752,3,0)=MAX(V$4:V737),VLOOKUP(B738,C733:E752,3,0),B738))</f>
        <v>6</v>
      </c>
      <c r="W738" s="4" t="str">
        <f ca="1">IF($K$24=0,Calc2!$C$9,VLOOKUP(B738,C733:N752,4,0))</f>
        <v>Bayer 04 Leverkusen</v>
      </c>
      <c r="X738" s="1">
        <f ca="1">INDEX(V706:V725,MATCH(W738,W706:W725,0))</f>
        <v>6</v>
      </c>
      <c r="Y738" s="1">
        <f t="shared" ca="1" si="139"/>
        <v>0</v>
      </c>
    </row>
    <row r="739" spans="2:25" x14ac:dyDescent="0.2">
      <c r="B739" s="1">
        <v>7</v>
      </c>
      <c r="C739" s="9">
        <f ca="1">RANK(D739,D733:D752,1)</f>
        <v>13</v>
      </c>
      <c r="D739" s="134">
        <f t="shared" ca="1" si="137"/>
        <v>13.739000000000001</v>
      </c>
      <c r="E739" s="134">
        <f ca="1">RANK(T739,T733:T752,1)</f>
        <v>13</v>
      </c>
      <c r="F739" s="187" t="str">
        <f>Calc2!$C$10</f>
        <v>Borussia Mönchengladbach</v>
      </c>
      <c r="G739" s="1">
        <f ca="1">SUMIFS(OFFSET(Calc2!$H$4,,,$F$26*B731,1),OFFSET(Calc2!$F$4,,,$F$26*B731,1),F739)+SUMIFS(OFFSET(Calc2!$I$4,,,$F$26*B731,1),OFFSET(Calc2!$G$4,,,$F$26*B731,1),F739)</f>
        <v>35</v>
      </c>
      <c r="H739" s="1">
        <f ca="1">SUMIFS(OFFSET(Calc2!$I$4,,,$F$26*B731,1),OFFSET(Calc2!$F$4,,,$F$26*B731,1),F739)+SUMIFS(OFFSET(Calc2!$H$4,,,$F$26*B731,1),OFFSET(Calc2!$G$4,,,$F$26*B731,1),F739)</f>
        <v>48</v>
      </c>
      <c r="I739" s="134">
        <f t="shared" ca="1" si="135"/>
        <v>-13</v>
      </c>
      <c r="J739" s="12">
        <f ca="1">L739*Settings!$C$3+M739+O739</f>
        <v>30</v>
      </c>
      <c r="K739" s="1">
        <f t="shared" ca="1" si="138"/>
        <v>28</v>
      </c>
      <c r="L739" s="1">
        <f t="array" aca="1" ref="L739" ca="1">SUMPRODUCT((OFFSET(Calc2!$F$4,,,$F$26*B731,1)=F739)*(OFFSET(Calc2!$H$4,,,$F$26*B731,1)&gt;OFFSET(Calc2!$I$4,,,$F$26*B731,1)))+SUMPRODUCT((OFFSET(Calc2!$G$4,,,$F$26*B731,1)=F739)*(OFFSET(Calc2!$H$4,,,$F$26*B731,1)&lt;OFFSET(Calc2!$I$4,,,$F$26*B731,1)))</f>
        <v>7</v>
      </c>
      <c r="M739" s="1">
        <f t="array" aca="1" ref="M739" ca="1">SUMPRODUCT((OFFSET(Calc2!$F$4,,,$F$26*B731,2)=F739)*(OFFSET(Calc2!$H$4,,,$F$26*B731,1)=OFFSET(Calc2!$I$4,,,$F$26*B731,1))*(OFFSET(Calc2!$H$4,,,$F$26*B731,1)&lt;&gt;"")*(OFFSET(Calc2!$I$4,,,$F$26*B731,1)&lt;&gt;""))</f>
        <v>9</v>
      </c>
      <c r="N739" s="1">
        <f t="array" aca="1" ref="N739" ca="1">SUMPRODUCT((OFFSET(Calc2!$F$4,,,$F$26*B731,1)=F739)*(OFFSET(Calc2!$H$4,,,$F$26*B731,1)&lt;OFFSET(Calc2!$I$4,,,$F$26*B731,1)))+SUMPRODUCT((OFFSET(Calc2!$G$4,,,$F$26*B731,1)=F739)*(OFFSET(Calc2!$H$4,,,$F$26*B731,1)&gt;OFFSET(Calc2!$I$4,,,$F$26*B731,1)))</f>
        <v>12</v>
      </c>
      <c r="O739" s="132">
        <f ca="1">SUMPRODUCT((F739=OFFSET(Calc2!$F$4,,,$F$26*B731,1))*OFFSET(Calc2!$O$4,,,$F$26*B731,1))+SUMPRODUCT((F739=OFFSET(Calc2!$G$4,,,$F$26*B731,1))*OFFSET(Calc2!$P$4,,,$F$26*B731,1))</f>
        <v>0</v>
      </c>
      <c r="P739" s="2"/>
      <c r="Q739" s="2"/>
      <c r="R739" s="13">
        <f t="shared" ca="1" si="136"/>
        <v>30499987035</v>
      </c>
      <c r="S739" s="134">
        <f>Tie_Break!$D$13</f>
        <v>0</v>
      </c>
      <c r="T739" s="9">
        <f ca="1">RANK(R739,R733:R752)+(9-S739)/10000+(F739="")*1000</f>
        <v>13.0009</v>
      </c>
      <c r="U739" s="134"/>
      <c r="V739" s="134">
        <f ca="1">IF($K$24=0,"",IF(VLOOKUP(B739,C733:E752,3,0)=MAX(V$4:V738),VLOOKUP(B739,C733:E752,3,0),B739))</f>
        <v>7</v>
      </c>
      <c r="W739" s="4" t="str">
        <f ca="1">IF($K$24=0,Calc2!$C$10,VLOOKUP(B739,C733:N752,4,0))</f>
        <v>Eintracht Frankfurt</v>
      </c>
      <c r="X739" s="1">
        <f ca="1">INDEX(V706:V725,MATCH(W739,W706:W725,0))</f>
        <v>7</v>
      </c>
      <c r="Y739" s="1">
        <f t="shared" ca="1" si="139"/>
        <v>0</v>
      </c>
    </row>
    <row r="740" spans="2:25" x14ac:dyDescent="0.2">
      <c r="B740" s="1">
        <v>8</v>
      </c>
      <c r="C740" s="9">
        <f ca="1">RANK(D740,D733:D752,1)</f>
        <v>7</v>
      </c>
      <c r="D740" s="134">
        <f t="shared" ca="1" si="137"/>
        <v>7.74</v>
      </c>
      <c r="E740" s="134">
        <f ca="1">RANK(T740,T733:T752,1)</f>
        <v>7</v>
      </c>
      <c r="F740" s="187" t="str">
        <f>Calc2!$C$11</f>
        <v>Eintracht Frankfurt</v>
      </c>
      <c r="G740" s="1">
        <f ca="1">SUMIFS(OFFSET(Calc2!$H$4,,,$F$26*B731,1),OFFSET(Calc2!$F$4,,,$F$26*B731,1),F740)+SUMIFS(OFFSET(Calc2!$I$4,,,$F$26*B731,1),OFFSET(Calc2!$G$4,,,$F$26*B731,1),F740)</f>
        <v>52</v>
      </c>
      <c r="H740" s="1">
        <f ca="1">SUMIFS(OFFSET(Calc2!$I$4,,,$F$26*B731,1),OFFSET(Calc2!$F$4,,,$F$26*B731,1),F740)+SUMIFS(OFFSET(Calc2!$H$4,,,$F$26*B731,1),OFFSET(Calc2!$G$4,,,$F$26*B731,1),F740)</f>
        <v>53</v>
      </c>
      <c r="I740" s="134">
        <f t="shared" ca="1" si="135"/>
        <v>-1</v>
      </c>
      <c r="J740" s="12">
        <f ca="1">L740*Settings!$C$3+M740+O740</f>
        <v>39</v>
      </c>
      <c r="K740" s="1">
        <f t="shared" ca="1" si="138"/>
        <v>28</v>
      </c>
      <c r="L740" s="1">
        <f t="array" aca="1" ref="L740" ca="1">SUMPRODUCT((OFFSET(Calc2!$F$4,,,$F$26*B731,1)=F740)*(OFFSET(Calc2!$H$4,,,$F$26*B731,1)&gt;OFFSET(Calc2!$I$4,,,$F$26*B731,1)))+SUMPRODUCT((OFFSET(Calc2!$G$4,,,$F$26*B731,1)=F740)*(OFFSET(Calc2!$H$4,,,$F$26*B731,1)&lt;OFFSET(Calc2!$I$4,,,$F$26*B731,1)))</f>
        <v>10</v>
      </c>
      <c r="M740" s="1">
        <f t="array" aca="1" ref="M740" ca="1">SUMPRODUCT((OFFSET(Calc2!$F$4,,,$F$26*B731,2)=F740)*(OFFSET(Calc2!$H$4,,,$F$26*B731,1)=OFFSET(Calc2!$I$4,,,$F$26*B731,1))*(OFFSET(Calc2!$H$4,,,$F$26*B731,1)&lt;&gt;"")*(OFFSET(Calc2!$I$4,,,$F$26*B731,1)&lt;&gt;""))</f>
        <v>9</v>
      </c>
      <c r="N740" s="1">
        <f t="array" aca="1" ref="N740" ca="1">SUMPRODUCT((OFFSET(Calc2!$F$4,,,$F$26*B731,1)=F740)*(OFFSET(Calc2!$H$4,,,$F$26*B731,1)&lt;OFFSET(Calc2!$I$4,,,$F$26*B731,1)))+SUMPRODUCT((OFFSET(Calc2!$G$4,,,$F$26*B731,1)=F740)*(OFFSET(Calc2!$H$4,,,$F$26*B731,1)&gt;OFFSET(Calc2!$I$4,,,$F$26*B731,1)))</f>
        <v>9</v>
      </c>
      <c r="O740" s="132">
        <f ca="1">SUMPRODUCT((F740=OFFSET(Calc2!$F$4,,,$F$26*B731,1))*OFFSET(Calc2!$O$4,,,$F$26*B731,1))+SUMPRODUCT((F740=OFFSET(Calc2!$G$4,,,$F$26*B731,1))*OFFSET(Calc2!$P$4,,,$F$26*B731,1))</f>
        <v>0</v>
      </c>
      <c r="P740" s="2"/>
      <c r="Q740" s="2"/>
      <c r="R740" s="13">
        <f t="shared" ca="1" si="136"/>
        <v>39499999052</v>
      </c>
      <c r="S740" s="134">
        <f>Tie_Break!$D$14</f>
        <v>0</v>
      </c>
      <c r="T740" s="9">
        <f ca="1">RANK(R740,R733:R752)+(9-S740)/10000+(F740="")*1000</f>
        <v>7.0008999999999997</v>
      </c>
      <c r="U740" s="134"/>
      <c r="V740" s="134">
        <f ca="1">IF($K$24=0,"",IF(VLOOKUP(B740,C733:E752,3,0)=MAX(V$4:V739),VLOOKUP(B740,C733:E752,3,0),B740))</f>
        <v>8</v>
      </c>
      <c r="W740" s="4" t="str">
        <f ca="1">IF($K$24=0,Calc2!$C$11,VLOOKUP(B740,C733:N752,4,0))</f>
        <v>SC Freiburg</v>
      </c>
      <c r="X740" s="1">
        <f ca="1">INDEX(V706:V725,MATCH(W740,W706:W725,0))</f>
        <v>8</v>
      </c>
      <c r="Y740" s="1">
        <f t="shared" ca="1" si="139"/>
        <v>0</v>
      </c>
    </row>
    <row r="741" spans="2:25" x14ac:dyDescent="0.2">
      <c r="B741" s="1">
        <v>9</v>
      </c>
      <c r="C741" s="9">
        <f ca="1">RANK(D741,D733:D752,1)</f>
        <v>11</v>
      </c>
      <c r="D741" s="134">
        <f t="shared" ca="1" si="137"/>
        <v>11.741</v>
      </c>
      <c r="E741" s="134">
        <f ca="1">RANK(T741,T733:T752,1)</f>
        <v>11</v>
      </c>
      <c r="F741" s="187" t="str">
        <f>Calc2!$C$12</f>
        <v>FC Augsburg</v>
      </c>
      <c r="G741" s="1">
        <f ca="1">SUMIFS(OFFSET(Calc2!$H$4,,,$F$26*B731,1),OFFSET(Calc2!$F$4,,,$F$26*B731,1),F741)+SUMIFS(OFFSET(Calc2!$I$4,,,$F$26*B731,1),OFFSET(Calc2!$G$4,,,$F$26*B731,1),F741)</f>
        <v>34</v>
      </c>
      <c r="H741" s="1">
        <f ca="1">SUMIFS(OFFSET(Calc2!$I$4,,,$F$26*B731,1),OFFSET(Calc2!$F$4,,,$F$26*B731,1),F741)+SUMIFS(OFFSET(Calc2!$H$4,,,$F$26*B731,1),OFFSET(Calc2!$G$4,,,$F$26*B731,1),F741)</f>
        <v>51</v>
      </c>
      <c r="I741" s="134">
        <f t="shared" ca="1" si="135"/>
        <v>-17</v>
      </c>
      <c r="J741" s="12">
        <f ca="1">L741*Settings!$C$3+M741+O741</f>
        <v>32</v>
      </c>
      <c r="K741" s="1">
        <f t="shared" ca="1" si="138"/>
        <v>28</v>
      </c>
      <c r="L741" s="1">
        <f t="array" aca="1" ref="L741" ca="1">SUMPRODUCT((OFFSET(Calc2!$F$4,,,$F$26*B731,1)=F741)*(OFFSET(Calc2!$H$4,,,$F$26*B731,1)&gt;OFFSET(Calc2!$I$4,,,$F$26*B731,1)))+SUMPRODUCT((OFFSET(Calc2!$G$4,,,$F$26*B731,1)=F741)*(OFFSET(Calc2!$H$4,,,$F$26*B731,1)&lt;OFFSET(Calc2!$I$4,,,$F$26*B731,1)))</f>
        <v>9</v>
      </c>
      <c r="M741" s="1">
        <f t="array" aca="1" ref="M741" ca="1">SUMPRODUCT((OFFSET(Calc2!$F$4,,,$F$26*B731,2)=F741)*(OFFSET(Calc2!$H$4,,,$F$26*B731,1)=OFFSET(Calc2!$I$4,,,$F$26*B731,1))*(OFFSET(Calc2!$H$4,,,$F$26*B731,1)&lt;&gt;"")*(OFFSET(Calc2!$I$4,,,$F$26*B731,1)&lt;&gt;""))</f>
        <v>5</v>
      </c>
      <c r="N741" s="1">
        <f t="array" aca="1" ref="N741" ca="1">SUMPRODUCT((OFFSET(Calc2!$F$4,,,$F$26*B731,1)=F741)*(OFFSET(Calc2!$H$4,,,$F$26*B731,1)&lt;OFFSET(Calc2!$I$4,,,$F$26*B731,1)))+SUMPRODUCT((OFFSET(Calc2!$G$4,,,$F$26*B731,1)=F741)*(OFFSET(Calc2!$H$4,,,$F$26*B731,1)&gt;OFFSET(Calc2!$I$4,,,$F$26*B731,1)))</f>
        <v>14</v>
      </c>
      <c r="O741" s="132">
        <f ca="1">SUMPRODUCT((F741=OFFSET(Calc2!$F$4,,,$F$26*B731,1))*OFFSET(Calc2!$O$4,,,$F$26*B731,1))+SUMPRODUCT((F741=OFFSET(Calc2!$G$4,,,$F$26*B731,1))*OFFSET(Calc2!$P$4,,,$F$26*B731,1))</f>
        <v>0</v>
      </c>
      <c r="P741" s="2"/>
      <c r="Q741" s="2"/>
      <c r="R741" s="13">
        <f t="shared" ca="1" si="136"/>
        <v>32499983034</v>
      </c>
      <c r="S741" s="134">
        <f>Tie_Break!$D$15</f>
        <v>0</v>
      </c>
      <c r="T741" s="9">
        <f ca="1">RANK(R741,R733:R752)+(9-S741)/10000+(F741="")*1000</f>
        <v>11.0009</v>
      </c>
      <c r="U741" s="134"/>
      <c r="V741" s="134">
        <f ca="1">IF($K$24=0,"",IF(VLOOKUP(B741,C733:E752,3,0)=MAX(V$4:V740),VLOOKUP(B741,C733:E752,3,0),B741))</f>
        <v>9</v>
      </c>
      <c r="W741" s="4" t="str">
        <f ca="1">IF($K$24=0,Calc2!$C$12,VLOOKUP(B741,C733:N752,4,0))</f>
        <v>1. FSV Mainz 05</v>
      </c>
      <c r="X741" s="1">
        <f ca="1">INDEX(V706:V725,MATCH(W741,W706:W725,0))</f>
        <v>11</v>
      </c>
      <c r="Y741" s="1">
        <f t="shared" ca="1" si="139"/>
        <v>1</v>
      </c>
    </row>
    <row r="742" spans="2:25" x14ac:dyDescent="0.2">
      <c r="B742" s="1">
        <v>10</v>
      </c>
      <c r="C742" s="9">
        <f ca="1">RANK(D742,D733:D752,1)</f>
        <v>1</v>
      </c>
      <c r="D742" s="134">
        <f t="shared" ca="1" si="137"/>
        <v>1.742</v>
      </c>
      <c r="E742" s="134">
        <f ca="1">RANK(T742,T733:T752,1)</f>
        <v>1</v>
      </c>
      <c r="F742" s="187" t="str">
        <f>Calc2!$C$13</f>
        <v>FC Bayern München</v>
      </c>
      <c r="G742" s="1">
        <f ca="1">SUMIFS(OFFSET(Calc2!$H$4,,,$F$26*B731,1),OFFSET(Calc2!$F$4,,,$F$26*B731,1),F742)+SUMIFS(OFFSET(Calc2!$I$4,,,$F$26*B731,1),OFFSET(Calc2!$G$4,,,$F$26*B731,1),F742)</f>
        <v>100</v>
      </c>
      <c r="H742" s="1">
        <f ca="1">SUMIFS(OFFSET(Calc2!$I$4,,,$F$26*B731,1),OFFSET(Calc2!$F$4,,,$F$26*B731,1),F742)+SUMIFS(OFFSET(Calc2!$H$4,,,$F$26*B731,1),OFFSET(Calc2!$G$4,,,$F$26*B731,1),F742)</f>
        <v>27</v>
      </c>
      <c r="I742" s="134">
        <f t="shared" ca="1" si="135"/>
        <v>73</v>
      </c>
      <c r="J742" s="12">
        <f ca="1">L742*Settings!$C$3+M742+O742</f>
        <v>73</v>
      </c>
      <c r="K742" s="1">
        <f t="shared" ca="1" si="138"/>
        <v>28</v>
      </c>
      <c r="L742" s="1">
        <f t="array" aca="1" ref="L742" ca="1">SUMPRODUCT((OFFSET(Calc2!$F$4,,,$F$26*B731,1)=F742)*(OFFSET(Calc2!$H$4,,,$F$26*B731,1)&gt;OFFSET(Calc2!$I$4,,,$F$26*B731,1)))+SUMPRODUCT((OFFSET(Calc2!$G$4,,,$F$26*B731,1)=F742)*(OFFSET(Calc2!$H$4,,,$F$26*B731,1)&lt;OFFSET(Calc2!$I$4,,,$F$26*B731,1)))</f>
        <v>23</v>
      </c>
      <c r="M742" s="1">
        <f t="array" aca="1" ref="M742" ca="1">SUMPRODUCT((OFFSET(Calc2!$F$4,,,$F$26*B731,2)=F742)*(OFFSET(Calc2!$H$4,,,$F$26*B731,1)=OFFSET(Calc2!$I$4,,,$F$26*B731,1))*(OFFSET(Calc2!$H$4,,,$F$26*B731,1)&lt;&gt;"")*(OFFSET(Calc2!$I$4,,,$F$26*B731,1)&lt;&gt;""))</f>
        <v>4</v>
      </c>
      <c r="N742" s="1">
        <f t="array" aca="1" ref="N742" ca="1">SUMPRODUCT((OFFSET(Calc2!$F$4,,,$F$26*B731,1)=F742)*(OFFSET(Calc2!$H$4,,,$F$26*B731,1)&lt;OFFSET(Calc2!$I$4,,,$F$26*B731,1)))+SUMPRODUCT((OFFSET(Calc2!$G$4,,,$F$26*B731,1)=F742)*(OFFSET(Calc2!$H$4,,,$F$26*B731,1)&gt;OFFSET(Calc2!$I$4,,,$F$26*B731,1)))</f>
        <v>1</v>
      </c>
      <c r="O742" s="132">
        <f ca="1">SUMPRODUCT((F742=OFFSET(Calc2!$F$4,,,$F$26*B731,1))*OFFSET(Calc2!$O$4,,,$F$26*B731,1))+SUMPRODUCT((F742=OFFSET(Calc2!$G$4,,,$F$26*B731,1))*OFFSET(Calc2!$P$4,,,$F$26*B731,1))</f>
        <v>0</v>
      </c>
      <c r="P742" s="2"/>
      <c r="Q742" s="2"/>
      <c r="R742" s="13">
        <f t="shared" ca="1" si="136"/>
        <v>73500073100</v>
      </c>
      <c r="S742" s="134">
        <f>Tie_Break!$D$16</f>
        <v>0</v>
      </c>
      <c r="T742" s="9">
        <f ca="1">RANK(R742,R733:R752)+(9-S742)/10000+(F742="")*1000</f>
        <v>1.0008999999999999</v>
      </c>
      <c r="U742" s="2"/>
      <c r="V742" s="134">
        <f ca="1">IF($K$24=0,"",IF(VLOOKUP(B742,C733:E752,3,0)=MAX(V$4:V741),VLOOKUP(B742,C733:E752,3,0),B742))</f>
        <v>10</v>
      </c>
      <c r="W742" s="4" t="str">
        <f ca="1">IF($K$24=0,Calc2!$C$13,VLOOKUP(B742,C733:N752,4,0))</f>
        <v>1. FC Union Berlin</v>
      </c>
      <c r="X742" s="1">
        <f ca="1">INDEX(V706:V725,MATCH(W742,W706:W725,0))</f>
        <v>9</v>
      </c>
      <c r="Y742" s="1">
        <f t="shared" ca="1" si="139"/>
        <v>-1</v>
      </c>
    </row>
    <row r="743" spans="2:25" x14ac:dyDescent="0.2">
      <c r="B743" s="1">
        <v>11</v>
      </c>
      <c r="C743" s="9">
        <f ca="1">RANK(D743,D733:D752,1)</f>
        <v>16</v>
      </c>
      <c r="D743" s="134">
        <f t="shared" ca="1" si="137"/>
        <v>16.742999999999999</v>
      </c>
      <c r="E743" s="134">
        <f ca="1">RANK(T743,T733:T752,1)</f>
        <v>16</v>
      </c>
      <c r="F743" s="187" t="str">
        <f>Calc2!$C$14</f>
        <v>FC St. Pauli</v>
      </c>
      <c r="G743" s="1">
        <f ca="1">SUMIFS(OFFSET(Calc2!$H$4,,,$F$26*B731,1),OFFSET(Calc2!$F$4,,,$F$26*B731,1),F743)+SUMIFS(OFFSET(Calc2!$I$4,,,$F$26*B731,1),OFFSET(Calc2!$G$4,,,$F$26*B731,1),F743)</f>
        <v>25</v>
      </c>
      <c r="H743" s="1">
        <f ca="1">SUMIFS(OFFSET(Calc2!$I$4,,,$F$26*B731,1),OFFSET(Calc2!$F$4,,,$F$26*B731,1),F743)+SUMIFS(OFFSET(Calc2!$H$4,,,$F$26*B731,1),OFFSET(Calc2!$G$4,,,$F$26*B731,1),F743)</f>
        <v>45</v>
      </c>
      <c r="I743" s="134">
        <f t="shared" ca="1" si="135"/>
        <v>-20</v>
      </c>
      <c r="J743" s="12">
        <f ca="1">L743*Settings!$C$3+M743+O743</f>
        <v>25</v>
      </c>
      <c r="K743" s="1">
        <f t="shared" ca="1" si="138"/>
        <v>28</v>
      </c>
      <c r="L743" s="1">
        <f t="array" aca="1" ref="L743" ca="1">SUMPRODUCT((OFFSET(Calc2!$F$4,,,$F$26*B731,1)=F743)*(OFFSET(Calc2!$H$4,,,$F$26*B731,1)&gt;OFFSET(Calc2!$I$4,,,$F$26*B731,1)))+SUMPRODUCT((OFFSET(Calc2!$G$4,,,$F$26*B731,1)=F743)*(OFFSET(Calc2!$H$4,,,$F$26*B731,1)&lt;OFFSET(Calc2!$I$4,,,$F$26*B731,1)))</f>
        <v>6</v>
      </c>
      <c r="M743" s="1">
        <f t="array" aca="1" ref="M743" ca="1">SUMPRODUCT((OFFSET(Calc2!$F$4,,,$F$26*B731,2)=F743)*(OFFSET(Calc2!$H$4,,,$F$26*B731,1)=OFFSET(Calc2!$I$4,,,$F$26*B731,1))*(OFFSET(Calc2!$H$4,,,$F$26*B731,1)&lt;&gt;"")*(OFFSET(Calc2!$I$4,,,$F$26*B731,1)&lt;&gt;""))</f>
        <v>7</v>
      </c>
      <c r="N743" s="1">
        <f t="array" aca="1" ref="N743" ca="1">SUMPRODUCT((OFFSET(Calc2!$F$4,,,$F$26*B731,1)=F743)*(OFFSET(Calc2!$H$4,,,$F$26*B731,1)&lt;OFFSET(Calc2!$I$4,,,$F$26*B731,1)))+SUMPRODUCT((OFFSET(Calc2!$G$4,,,$F$26*B731,1)=F743)*(OFFSET(Calc2!$H$4,,,$F$26*B731,1)&gt;OFFSET(Calc2!$I$4,,,$F$26*B731,1)))</f>
        <v>15</v>
      </c>
      <c r="O743" s="132">
        <f ca="1">SUMPRODUCT((F743=OFFSET(Calc2!$F$4,,,$F$26*B731,1))*OFFSET(Calc2!$O$4,,,$F$26*B731,1))+SUMPRODUCT((F743=OFFSET(Calc2!$G$4,,,$F$26*B731,1))*OFFSET(Calc2!$P$4,,,$F$26*B731,1))</f>
        <v>0</v>
      </c>
      <c r="P743" s="2"/>
      <c r="Q743" s="2"/>
      <c r="R743" s="13">
        <f t="shared" ca="1" si="136"/>
        <v>25499980025</v>
      </c>
      <c r="S743" s="134">
        <f>Tie_Break!$D$17</f>
        <v>0</v>
      </c>
      <c r="T743" s="9">
        <f ca="1">RANK(R743,R733:R752)+(9-S743)/10000+(F743="")*1000</f>
        <v>16.000900000000001</v>
      </c>
      <c r="U743" s="2"/>
      <c r="V743" s="134">
        <f ca="1">IF($K$24=0,"",IF(VLOOKUP(B743,C733:E752,3,0)=MAX(V$4:V742),VLOOKUP(B743,C733:E752,3,0),B743))</f>
        <v>11</v>
      </c>
      <c r="W743" s="4" t="str">
        <f ca="1">IF($K$24=0,Calc2!$C$14,VLOOKUP(B743,C733:N752,4,0))</f>
        <v>FC Augsburg</v>
      </c>
      <c r="X743" s="1">
        <f ca="1">INDEX(V706:V725,MATCH(W743,W706:W725,0))</f>
        <v>10</v>
      </c>
      <c r="Y743" s="1">
        <f t="shared" ca="1" si="139"/>
        <v>-1</v>
      </c>
    </row>
    <row r="744" spans="2:25" x14ac:dyDescent="0.2">
      <c r="B744" s="1">
        <v>12</v>
      </c>
      <c r="C744" s="9">
        <f ca="1">RANK(D744,D733:D752,1)</f>
        <v>12</v>
      </c>
      <c r="D744" s="134">
        <f t="shared" ca="1" si="137"/>
        <v>12.744</v>
      </c>
      <c r="E744" s="134">
        <f ca="1">RANK(T744,T733:T752,1)</f>
        <v>12</v>
      </c>
      <c r="F744" s="187" t="str">
        <f>Calc2!$C$15</f>
        <v>Hamburger SV</v>
      </c>
      <c r="G744" s="1">
        <f ca="1">SUMIFS(OFFSET(Calc2!$H$4,,,$F$26*B731,1),OFFSET(Calc2!$F$4,,,$F$26*B731,1),F744)+SUMIFS(OFFSET(Calc2!$I$4,,,$F$26*B731,1),OFFSET(Calc2!$G$4,,,$F$26*B731,1),F744)</f>
        <v>32</v>
      </c>
      <c r="H744" s="1">
        <f ca="1">SUMIFS(OFFSET(Calc2!$I$4,,,$F$26*B731,1),OFFSET(Calc2!$F$4,,,$F$26*B731,1),F744)+SUMIFS(OFFSET(Calc2!$H$4,,,$F$26*B731,1),OFFSET(Calc2!$G$4,,,$F$26*B731,1),F744)</f>
        <v>41</v>
      </c>
      <c r="I744" s="134">
        <f t="shared" ca="1" si="135"/>
        <v>-9</v>
      </c>
      <c r="J744" s="12">
        <f ca="1">L744*Settings!$C$3+M744+O744</f>
        <v>31</v>
      </c>
      <c r="K744" s="1">
        <f t="shared" ca="1" si="138"/>
        <v>28</v>
      </c>
      <c r="L744" s="1">
        <f t="array" aca="1" ref="L744" ca="1">SUMPRODUCT((OFFSET(Calc2!$F$4,,,$F$26*B731,1)=F744)*(OFFSET(Calc2!$H$4,,,$F$26*B731,1)&gt;OFFSET(Calc2!$I$4,,,$F$26*B731,1)))+SUMPRODUCT((OFFSET(Calc2!$G$4,,,$F$26*B731,1)=F744)*(OFFSET(Calc2!$H$4,,,$F$26*B731,1)&lt;OFFSET(Calc2!$I$4,,,$F$26*B731,1)))</f>
        <v>7</v>
      </c>
      <c r="M744" s="1">
        <f t="array" aca="1" ref="M744" ca="1">SUMPRODUCT((OFFSET(Calc2!$F$4,,,$F$26*B731,2)=F744)*(OFFSET(Calc2!$H$4,,,$F$26*B731,1)=OFFSET(Calc2!$I$4,,,$F$26*B731,1))*(OFFSET(Calc2!$H$4,,,$F$26*B731,1)&lt;&gt;"")*(OFFSET(Calc2!$I$4,,,$F$26*B731,1)&lt;&gt;""))</f>
        <v>10</v>
      </c>
      <c r="N744" s="1">
        <f t="array" aca="1" ref="N744" ca="1">SUMPRODUCT((OFFSET(Calc2!$F$4,,,$F$26*B731,1)=F744)*(OFFSET(Calc2!$H$4,,,$F$26*B731,1)&lt;OFFSET(Calc2!$I$4,,,$F$26*B731,1)))+SUMPRODUCT((OFFSET(Calc2!$G$4,,,$F$26*B731,1)=F744)*(OFFSET(Calc2!$H$4,,,$F$26*B731,1)&gt;OFFSET(Calc2!$I$4,,,$F$26*B731,1)))</f>
        <v>11</v>
      </c>
      <c r="O744" s="132">
        <f ca="1">SUMPRODUCT((F744=OFFSET(Calc2!$F$4,,,$F$26*B731,1))*OFFSET(Calc2!$O$4,,,$F$26*B731,1))+SUMPRODUCT((F744=OFFSET(Calc2!$G$4,,,$F$26*B731,1))*OFFSET(Calc2!$P$4,,,$F$26*B731,1))</f>
        <v>0</v>
      </c>
      <c r="P744" s="2"/>
      <c r="Q744" s="2"/>
      <c r="R744" s="13">
        <f t="shared" ca="1" si="136"/>
        <v>31499991032</v>
      </c>
      <c r="S744" s="134">
        <f>Tie_Break!$D$18</f>
        <v>0</v>
      </c>
      <c r="T744" s="9">
        <f ca="1">RANK(R744,R733:R752)+(9-S744)/10000+(F744="")*1000</f>
        <v>12.0009</v>
      </c>
      <c r="U744" s="2"/>
      <c r="V744" s="134">
        <f ca="1">IF($K$24=0,"",IF(VLOOKUP(B744,C733:E752,3,0)=MAX(V$4:V743),VLOOKUP(B744,C733:E752,3,0),B744))</f>
        <v>12</v>
      </c>
      <c r="W744" s="4" t="str">
        <f ca="1">IF($K$24=0,Calc2!$C$15,VLOOKUP(B744,C733:N752,4,0))</f>
        <v>Hamburger SV</v>
      </c>
      <c r="X744" s="1">
        <f ca="1">INDEX(V706:V725,MATCH(W744,W706:W725,0))</f>
        <v>12</v>
      </c>
      <c r="Y744" s="1">
        <f t="shared" ca="1" si="139"/>
        <v>0</v>
      </c>
    </row>
    <row r="745" spans="2:25" x14ac:dyDescent="0.2">
      <c r="B745" s="1">
        <v>13</v>
      </c>
      <c r="C745" s="9">
        <f ca="1">RANK(D745,D733:D752,1)</f>
        <v>3</v>
      </c>
      <c r="D745" s="134">
        <f t="shared" ca="1" si="137"/>
        <v>3.7450000000000001</v>
      </c>
      <c r="E745" s="134">
        <f ca="1">RANK(T745,T733:T752,1)</f>
        <v>3</v>
      </c>
      <c r="F745" s="187" t="str">
        <f>Calc2!$C$16</f>
        <v>RB Leipzig</v>
      </c>
      <c r="G745" s="1">
        <f ca="1">SUMIFS(OFFSET(Calc2!$H$4,,,$F$26*B731,1),OFFSET(Calc2!$F$4,,,$F$26*B731,1),F745)+SUMIFS(OFFSET(Calc2!$I$4,,,$F$26*B731,1),OFFSET(Calc2!$G$4,,,$F$26*B731,1),F745)</f>
        <v>55</v>
      </c>
      <c r="H745" s="1">
        <f ca="1">SUMIFS(OFFSET(Calc2!$I$4,,,$F$26*B731,1),OFFSET(Calc2!$F$4,,,$F$26*B731,1),F745)+SUMIFS(OFFSET(Calc2!$H$4,,,$F$26*B731,1),OFFSET(Calc2!$G$4,,,$F$26*B731,1),F745)</f>
        <v>36</v>
      </c>
      <c r="I745" s="134">
        <f t="shared" ca="1" si="135"/>
        <v>19</v>
      </c>
      <c r="J745" s="12">
        <f ca="1">L745*Settings!$C$3+M745+O745</f>
        <v>53</v>
      </c>
      <c r="K745" s="1">
        <f t="shared" ca="1" si="138"/>
        <v>28</v>
      </c>
      <c r="L745" s="1">
        <f t="array" aca="1" ref="L745" ca="1">SUMPRODUCT((OFFSET(Calc2!$F$4,,,$F$26*B731,1)=F745)*(OFFSET(Calc2!$H$4,,,$F$26*B731,1)&gt;OFFSET(Calc2!$I$4,,,$F$26*B731,1)))+SUMPRODUCT((OFFSET(Calc2!$G$4,,,$F$26*B731,1)=F745)*(OFFSET(Calc2!$H$4,,,$F$26*B731,1)&lt;OFFSET(Calc2!$I$4,,,$F$26*B731,1)))</f>
        <v>16</v>
      </c>
      <c r="M745" s="1">
        <f t="array" aca="1" ref="M745" ca="1">SUMPRODUCT((OFFSET(Calc2!$F$4,,,$F$26*B731,2)=F745)*(OFFSET(Calc2!$H$4,,,$F$26*B731,1)=OFFSET(Calc2!$I$4,,,$F$26*B731,1))*(OFFSET(Calc2!$H$4,,,$F$26*B731,1)&lt;&gt;"")*(OFFSET(Calc2!$I$4,,,$F$26*B731,1)&lt;&gt;""))</f>
        <v>5</v>
      </c>
      <c r="N745" s="1">
        <f t="array" aca="1" ref="N745" ca="1">SUMPRODUCT((OFFSET(Calc2!$F$4,,,$F$26*B731,1)=F745)*(OFFSET(Calc2!$H$4,,,$F$26*B731,1)&lt;OFFSET(Calc2!$I$4,,,$F$26*B731,1)))+SUMPRODUCT((OFFSET(Calc2!$G$4,,,$F$26*B731,1)=F745)*(OFFSET(Calc2!$H$4,,,$F$26*B731,1)&gt;OFFSET(Calc2!$I$4,,,$F$26*B731,1)))</f>
        <v>7</v>
      </c>
      <c r="O745" s="132">
        <f ca="1">SUMPRODUCT((F745=OFFSET(Calc2!$F$4,,,$F$26*B731,1))*OFFSET(Calc2!$O$4,,,$F$26*B731,1))+SUMPRODUCT((F745=OFFSET(Calc2!$G$4,,,$F$26*B731,1))*OFFSET(Calc2!$P$4,,,$F$26*B731,1))</f>
        <v>0</v>
      </c>
      <c r="P745" s="2"/>
      <c r="Q745" s="2"/>
      <c r="R745" s="13">
        <f t="shared" ca="1" si="136"/>
        <v>53500019055</v>
      </c>
      <c r="S745" s="134">
        <f>Tie_Break!$D$19</f>
        <v>0</v>
      </c>
      <c r="T745" s="9">
        <f ca="1">RANK(R745,R733:R752)+(9-S745)/10000+(F745="")*1000</f>
        <v>3.0009000000000001</v>
      </c>
      <c r="U745" s="1"/>
      <c r="V745" s="134">
        <f ca="1">IF($K$24=0,"",IF(VLOOKUP(B745,C733:E752,3,0)=MAX(V$4:V744),VLOOKUP(B745,C733:E752,3,0),B745))</f>
        <v>13</v>
      </c>
      <c r="W745" s="4" t="str">
        <f ca="1">IF($K$24=0,Calc2!$C$16,VLOOKUP(B745,C733:N752,4,0))</f>
        <v>Borussia Mönchengladbach</v>
      </c>
      <c r="X745" s="1">
        <f ca="1">INDEX(V706:V725,MATCH(W745,W706:W725,0))</f>
        <v>13</v>
      </c>
      <c r="Y745" s="1">
        <f t="shared" ca="1" si="139"/>
        <v>0</v>
      </c>
    </row>
    <row r="746" spans="2:25" x14ac:dyDescent="0.2">
      <c r="B746" s="1">
        <v>14</v>
      </c>
      <c r="C746" s="9">
        <f ca="1">RANK(D746,D733:D752,1)</f>
        <v>8</v>
      </c>
      <c r="D746" s="134">
        <f t="shared" ca="1" si="137"/>
        <v>8.7460000000000004</v>
      </c>
      <c r="E746" s="134">
        <f ca="1">RANK(T746,T733:T752,1)</f>
        <v>8</v>
      </c>
      <c r="F746" s="187" t="str">
        <f>Calc2!$C$17</f>
        <v>SC Freiburg</v>
      </c>
      <c r="G746" s="1">
        <f ca="1">SUMIFS(OFFSET(Calc2!$H$4,,,$F$26*B731,1),OFFSET(Calc2!$F$4,,,$F$26*B731,1),F746)+SUMIFS(OFFSET(Calc2!$I$4,,,$F$26*B731,1),OFFSET(Calc2!$G$4,,,$F$26*B731,1),F746)</f>
        <v>41</v>
      </c>
      <c r="H746" s="1">
        <f ca="1">SUMIFS(OFFSET(Calc2!$I$4,,,$F$26*B731,1),OFFSET(Calc2!$F$4,,,$F$26*B731,1),F746)+SUMIFS(OFFSET(Calc2!$H$4,,,$F$26*B731,1),OFFSET(Calc2!$G$4,,,$F$26*B731,1),F746)</f>
        <v>47</v>
      </c>
      <c r="I746" s="134">
        <f t="shared" ca="1" si="135"/>
        <v>-6</v>
      </c>
      <c r="J746" s="12">
        <f ca="1">L746*Settings!$C$3+M746+O746</f>
        <v>37</v>
      </c>
      <c r="K746" s="1">
        <f t="shared" ca="1" si="138"/>
        <v>28</v>
      </c>
      <c r="L746" s="1">
        <f t="array" aca="1" ref="L746" ca="1">SUMPRODUCT((OFFSET(Calc2!$F$4,,,$F$26*B731,1)=F746)*(OFFSET(Calc2!$H$4,,,$F$26*B731,1)&gt;OFFSET(Calc2!$I$4,,,$F$26*B731,1)))+SUMPRODUCT((OFFSET(Calc2!$G$4,,,$F$26*B731,1)=F746)*(OFFSET(Calc2!$H$4,,,$F$26*B731,1)&lt;OFFSET(Calc2!$I$4,,,$F$26*B731,1)))</f>
        <v>10</v>
      </c>
      <c r="M746" s="1">
        <f t="array" aca="1" ref="M746" ca="1">SUMPRODUCT((OFFSET(Calc2!$F$4,,,$F$26*B731,2)=F746)*(OFFSET(Calc2!$H$4,,,$F$26*B731,1)=OFFSET(Calc2!$I$4,,,$F$26*B731,1))*(OFFSET(Calc2!$H$4,,,$F$26*B731,1)&lt;&gt;"")*(OFFSET(Calc2!$I$4,,,$F$26*B731,1)&lt;&gt;""))</f>
        <v>7</v>
      </c>
      <c r="N746" s="1">
        <f t="array" aca="1" ref="N746" ca="1">SUMPRODUCT((OFFSET(Calc2!$F$4,,,$F$26*B731,1)=F746)*(OFFSET(Calc2!$H$4,,,$F$26*B731,1)&lt;OFFSET(Calc2!$I$4,,,$F$26*B731,1)))+SUMPRODUCT((OFFSET(Calc2!$G$4,,,$F$26*B731,1)=F746)*(OFFSET(Calc2!$H$4,,,$F$26*B731,1)&gt;OFFSET(Calc2!$I$4,,,$F$26*B731,1)))</f>
        <v>11</v>
      </c>
      <c r="O746" s="132">
        <f ca="1">SUMPRODUCT((F746=OFFSET(Calc2!$F$4,,,$F$26*B731,1))*OFFSET(Calc2!$O$4,,,$F$26*B731,1))+SUMPRODUCT((F746=OFFSET(Calc2!$G$4,,,$F$26*B731,1))*OFFSET(Calc2!$P$4,,,$F$26*B731,1))</f>
        <v>0</v>
      </c>
      <c r="P746" s="2"/>
      <c r="Q746" s="2"/>
      <c r="R746" s="13">
        <f t="shared" ca="1" si="136"/>
        <v>37499994041</v>
      </c>
      <c r="S746" s="134">
        <f>Tie_Break!$D$20</f>
        <v>0</v>
      </c>
      <c r="T746" s="9">
        <f ca="1">RANK(R746,R733:R752)+(9-S746)/10000+(F746="")*1000</f>
        <v>8.0008999999999997</v>
      </c>
      <c r="U746" s="2"/>
      <c r="V746" s="134">
        <f ca="1">IF($K$24=0,"",IF(VLOOKUP(B746,C733:E752,3,0)=MAX(V$4:V745),VLOOKUP(B746,C733:E752,3,0),B746))</f>
        <v>14</v>
      </c>
      <c r="W746" s="4" t="str">
        <f ca="1">IF($K$24=0,Calc2!$C$17,VLOOKUP(B746,C733:N752,4,0))</f>
        <v>SV Werder Bremen</v>
      </c>
      <c r="X746" s="1">
        <f ca="1">INDEX(V706:V725,MATCH(W746,W706:W725,0))</f>
        <v>14</v>
      </c>
      <c r="Y746" s="1">
        <f t="shared" ca="1" si="139"/>
        <v>0</v>
      </c>
    </row>
    <row r="747" spans="2:25" x14ac:dyDescent="0.2">
      <c r="B747" s="1">
        <v>15</v>
      </c>
      <c r="C747" s="9">
        <f ca="1">RANK(D747,D733:D752,1)</f>
        <v>14</v>
      </c>
      <c r="D747" s="134">
        <f t="shared" ca="1" si="137"/>
        <v>14.747</v>
      </c>
      <c r="E747" s="134">
        <f ca="1">RANK(T747,T733:T752,1)</f>
        <v>14</v>
      </c>
      <c r="F747" s="187" t="str">
        <f>Calc2!$C$18</f>
        <v>SV Werder Bremen</v>
      </c>
      <c r="G747" s="1">
        <f ca="1">SUMIFS(OFFSET(Calc2!$H$4,,,$F$26*B731,1),OFFSET(Calc2!$F$4,,,$F$26*B731,1),F747)+SUMIFS(OFFSET(Calc2!$I$4,,,$F$26*B731,1),OFFSET(Calc2!$G$4,,,$F$26*B731,1),F747)</f>
        <v>31</v>
      </c>
      <c r="H747" s="1">
        <f ca="1">SUMIFS(OFFSET(Calc2!$I$4,,,$F$26*B731,1),OFFSET(Calc2!$F$4,,,$F$26*B731,1),F747)+SUMIFS(OFFSET(Calc2!$H$4,,,$F$26*B731,1),OFFSET(Calc2!$G$4,,,$F$26*B731,1),F747)</f>
        <v>49</v>
      </c>
      <c r="I747" s="134">
        <f t="shared" ca="1" si="135"/>
        <v>-18</v>
      </c>
      <c r="J747" s="12">
        <f ca="1">L747*Settings!$C$3+M747+O747</f>
        <v>28</v>
      </c>
      <c r="K747" s="1">
        <f t="shared" ca="1" si="138"/>
        <v>28</v>
      </c>
      <c r="L747" s="1">
        <f t="array" aca="1" ref="L747" ca="1">SUMPRODUCT((OFFSET(Calc2!$F$4,,,$F$26*B731,1)=F747)*(OFFSET(Calc2!$H$4,,,$F$26*B731,1)&gt;OFFSET(Calc2!$I$4,,,$F$26*B731,1)))+SUMPRODUCT((OFFSET(Calc2!$G$4,,,$F$26*B731,1)=F747)*(OFFSET(Calc2!$H$4,,,$F$26*B731,1)&lt;OFFSET(Calc2!$I$4,,,$F$26*B731,1)))</f>
        <v>7</v>
      </c>
      <c r="M747" s="1">
        <f t="array" aca="1" ref="M747" ca="1">SUMPRODUCT((OFFSET(Calc2!$F$4,,,$F$26*B731,2)=F747)*(OFFSET(Calc2!$H$4,,,$F$26*B731,1)=OFFSET(Calc2!$I$4,,,$F$26*B731,1))*(OFFSET(Calc2!$H$4,,,$F$26*B731,1)&lt;&gt;"")*(OFFSET(Calc2!$I$4,,,$F$26*B731,1)&lt;&gt;""))</f>
        <v>7</v>
      </c>
      <c r="N747" s="1">
        <f t="array" aca="1" ref="N747" ca="1">SUMPRODUCT((OFFSET(Calc2!$F$4,,,$F$26*B731,1)=F747)*(OFFSET(Calc2!$H$4,,,$F$26*B731,1)&lt;OFFSET(Calc2!$I$4,,,$F$26*B731,1)))+SUMPRODUCT((OFFSET(Calc2!$G$4,,,$F$26*B731,1)=F747)*(OFFSET(Calc2!$H$4,,,$F$26*B731,1)&gt;OFFSET(Calc2!$I$4,,,$F$26*B731,1)))</f>
        <v>14</v>
      </c>
      <c r="O747" s="132">
        <f ca="1">SUMPRODUCT((F747=OFFSET(Calc2!$F$4,,,$F$26*B731,1))*OFFSET(Calc2!$O$4,,,$F$26*B731,1))+SUMPRODUCT((F747=OFFSET(Calc2!$G$4,,,$F$26*B731,1))*OFFSET(Calc2!$P$4,,,$F$26*B731,1))</f>
        <v>0</v>
      </c>
      <c r="P747" s="2"/>
      <c r="Q747" s="2"/>
      <c r="R747" s="13">
        <f t="shared" ca="1" si="136"/>
        <v>28499982031</v>
      </c>
      <c r="S747" s="134">
        <f>Tie_Break!$D$21</f>
        <v>0</v>
      </c>
      <c r="T747" s="9">
        <f ca="1">RANK(R747,R733:R752)+(9-S747)/10000+(F747="")*1000</f>
        <v>14.0009</v>
      </c>
      <c r="U747" s="2"/>
      <c r="V747" s="134">
        <f ca="1">IF($K$24=0,"",IF(VLOOKUP(B747,C733:E752,3,0)=MAX(V$4:V746),VLOOKUP(B747,C733:E752,3,0),B747))</f>
        <v>15</v>
      </c>
      <c r="W747" s="4" t="str">
        <f ca="1">IF($K$24=0,Calc2!$C$18,VLOOKUP(B747,C733:N752,4,0))</f>
        <v>1. FC Köln</v>
      </c>
      <c r="X747" s="1">
        <f ca="1">INDEX(V706:V725,MATCH(W747,W706:W725,0))</f>
        <v>15</v>
      </c>
      <c r="Y747" s="1">
        <f t="shared" ca="1" si="139"/>
        <v>0</v>
      </c>
    </row>
    <row r="748" spans="2:25" x14ac:dyDescent="0.2">
      <c r="B748" s="1">
        <v>16</v>
      </c>
      <c r="C748" s="9">
        <f ca="1">RANK(D748,D733:D752,1)</f>
        <v>5</v>
      </c>
      <c r="D748" s="134">
        <f t="shared" ca="1" si="137"/>
        <v>5.7480000000000002</v>
      </c>
      <c r="E748" s="134">
        <f ca="1">RANK(T748,T733:T752,1)</f>
        <v>5</v>
      </c>
      <c r="F748" s="187" t="str">
        <f>Calc2!$C$19</f>
        <v>TSG Hoffenheim</v>
      </c>
      <c r="G748" s="1">
        <f ca="1">SUMIFS(OFFSET(Calc2!$H$4,,,$F$26*B731,1),OFFSET(Calc2!$F$4,,,$F$26*B731,1),F748)+SUMIFS(OFFSET(Calc2!$I$4,,,$F$26*B731,1),OFFSET(Calc2!$G$4,,,$F$26*B731,1),F748)</f>
        <v>55</v>
      </c>
      <c r="H748" s="1">
        <f ca="1">SUMIFS(OFFSET(Calc2!$I$4,,,$F$26*B731,1),OFFSET(Calc2!$F$4,,,$F$26*B731,1),F748)+SUMIFS(OFFSET(Calc2!$H$4,,,$F$26*B731,1),OFFSET(Calc2!$G$4,,,$F$26*B731,1),F748)</f>
        <v>41</v>
      </c>
      <c r="I748" s="134">
        <f t="shared" ca="1" si="135"/>
        <v>14</v>
      </c>
      <c r="J748" s="12">
        <f ca="1">L748*Settings!$C$3+M748+O748</f>
        <v>50</v>
      </c>
      <c r="K748" s="1">
        <f t="shared" ca="1" si="138"/>
        <v>28</v>
      </c>
      <c r="L748" s="1">
        <f t="array" aca="1" ref="L748" ca="1">SUMPRODUCT((OFFSET(Calc2!$F$4,,,$F$26*B731,1)=F748)*(OFFSET(Calc2!$H$4,,,$F$26*B731,1)&gt;OFFSET(Calc2!$I$4,,,$F$26*B731,1)))+SUMPRODUCT((OFFSET(Calc2!$G$4,,,$F$26*B731,1)=F748)*(OFFSET(Calc2!$H$4,,,$F$26*B731,1)&lt;OFFSET(Calc2!$I$4,,,$F$26*B731,1)))</f>
        <v>15</v>
      </c>
      <c r="M748" s="1">
        <f t="array" aca="1" ref="M748" ca="1">SUMPRODUCT((OFFSET(Calc2!$F$4,,,$F$26*B731,2)=F748)*(OFFSET(Calc2!$H$4,,,$F$26*B731,1)=OFFSET(Calc2!$I$4,,,$F$26*B731,1))*(OFFSET(Calc2!$H$4,,,$F$26*B731,1)&lt;&gt;"")*(OFFSET(Calc2!$I$4,,,$F$26*B731,1)&lt;&gt;""))</f>
        <v>5</v>
      </c>
      <c r="N748" s="1">
        <f t="array" aca="1" ref="N748" ca="1">SUMPRODUCT((OFFSET(Calc2!$F$4,,,$F$26*B731,1)=F748)*(OFFSET(Calc2!$H$4,,,$F$26*B731,1)&lt;OFFSET(Calc2!$I$4,,,$F$26*B731,1)))+SUMPRODUCT((OFFSET(Calc2!$G$4,,,$F$26*B731,1)=F748)*(OFFSET(Calc2!$H$4,,,$F$26*B731,1)&gt;OFFSET(Calc2!$I$4,,,$F$26*B731,1)))</f>
        <v>8</v>
      </c>
      <c r="O748" s="132">
        <f ca="1">SUMPRODUCT((F748=OFFSET(Calc2!$F$4,,,$F$26*B731,1))*OFFSET(Calc2!$O$4,,,$F$26*B731,1))+SUMPRODUCT((F748=OFFSET(Calc2!$G$4,,,$F$26*B731,1))*OFFSET(Calc2!$P$4,,,$F$26*B731,1))</f>
        <v>0</v>
      </c>
      <c r="P748" s="2"/>
      <c r="Q748" s="2"/>
      <c r="R748" s="13">
        <f t="shared" ca="1" si="136"/>
        <v>50500014055</v>
      </c>
      <c r="S748" s="134">
        <f>Tie_Break!$D$22</f>
        <v>0</v>
      </c>
      <c r="T748" s="9">
        <f ca="1">RANK(R748,R733:R752)+(9-S748)/10000+(F748="")*1000</f>
        <v>5.0008999999999997</v>
      </c>
      <c r="U748" s="2"/>
      <c r="V748" s="134">
        <f ca="1">IF($K$24=0,"",IF(VLOOKUP(B748,C733:E752,3,0)=MAX(V$4:V747),VLOOKUP(B748,C733:E752,3,0),B748))</f>
        <v>16</v>
      </c>
      <c r="W748" s="4" t="str">
        <f ca="1">IF($K$24=0,Calc2!$C$19,VLOOKUP(B748,C733:N752,4,0))</f>
        <v>FC St. Pauli</v>
      </c>
      <c r="X748" s="1">
        <f ca="1">INDEX(V706:V725,MATCH(W748,W706:W725,0))</f>
        <v>16</v>
      </c>
      <c r="Y748" s="1">
        <f t="shared" ca="1" si="139"/>
        <v>0</v>
      </c>
    </row>
    <row r="749" spans="2:25" x14ac:dyDescent="0.2">
      <c r="B749" s="1">
        <v>17</v>
      </c>
      <c r="C749" s="9">
        <f ca="1">RANK(D749,D733:D752,1)</f>
        <v>4</v>
      </c>
      <c r="D749" s="134">
        <f t="shared" ca="1" si="137"/>
        <v>4.7489999999999997</v>
      </c>
      <c r="E749" s="134">
        <f ca="1">RANK(T749,T733:T752,1)</f>
        <v>4</v>
      </c>
      <c r="F749" s="187" t="str">
        <f>Calc2!$C$20</f>
        <v>VfB Stuttgart</v>
      </c>
      <c r="G749" s="1">
        <f ca="1">SUMIFS(OFFSET(Calc2!$H$4,,,$F$26*B731,1),OFFSET(Calc2!$F$4,,,$F$26*B731,1),F749)+SUMIFS(OFFSET(Calc2!$I$4,,,$F$26*B731,1),OFFSET(Calc2!$G$4,,,$F$26*B731,1),F749)</f>
        <v>56</v>
      </c>
      <c r="H749" s="1">
        <f ca="1">SUMIFS(OFFSET(Calc2!$I$4,,,$F$26*B731,1),OFFSET(Calc2!$F$4,,,$F$26*B731,1),F749)+SUMIFS(OFFSET(Calc2!$H$4,,,$F$26*B731,1),OFFSET(Calc2!$G$4,,,$F$26*B731,1),F749)</f>
        <v>38</v>
      </c>
      <c r="I749" s="134">
        <f t="shared" ca="1" si="135"/>
        <v>18</v>
      </c>
      <c r="J749" s="12">
        <f ca="1">L749*Settings!$C$3+M749+O749</f>
        <v>53</v>
      </c>
      <c r="K749" s="1">
        <f t="shared" ca="1" si="138"/>
        <v>28</v>
      </c>
      <c r="L749" s="1">
        <f t="array" aca="1" ref="L749" ca="1">SUMPRODUCT((OFFSET(Calc2!$F$4,,,$F$26*B731,1)=F749)*(OFFSET(Calc2!$H$4,,,$F$26*B731,1)&gt;OFFSET(Calc2!$I$4,,,$F$26*B731,1)))+SUMPRODUCT((OFFSET(Calc2!$G$4,,,$F$26*B731,1)=F749)*(OFFSET(Calc2!$H$4,,,$F$26*B731,1)&lt;OFFSET(Calc2!$I$4,,,$F$26*B731,1)))</f>
        <v>16</v>
      </c>
      <c r="M749" s="1">
        <f t="array" aca="1" ref="M749" ca="1">SUMPRODUCT((OFFSET(Calc2!$F$4,,,$F$26*B731,2)=F749)*(OFFSET(Calc2!$H$4,,,$F$26*B731,1)=OFFSET(Calc2!$I$4,,,$F$26*B731,1))*(OFFSET(Calc2!$H$4,,,$F$26*B731,1)&lt;&gt;"")*(OFFSET(Calc2!$I$4,,,$F$26*B731,1)&lt;&gt;""))</f>
        <v>5</v>
      </c>
      <c r="N749" s="1">
        <f t="array" aca="1" ref="N749" ca="1">SUMPRODUCT((OFFSET(Calc2!$F$4,,,$F$26*B731,1)=F749)*(OFFSET(Calc2!$H$4,,,$F$26*B731,1)&lt;OFFSET(Calc2!$I$4,,,$F$26*B731,1)))+SUMPRODUCT((OFFSET(Calc2!$G$4,,,$F$26*B731,1)=F749)*(OFFSET(Calc2!$H$4,,,$F$26*B731,1)&gt;OFFSET(Calc2!$I$4,,,$F$26*B731,1)))</f>
        <v>7</v>
      </c>
      <c r="O749" s="132">
        <f ca="1">SUMPRODUCT((F749=OFFSET(Calc2!$F$4,,,$F$26*B731,1))*OFFSET(Calc2!$O$4,,,$F$26*B731,1))+SUMPRODUCT((F749=OFFSET(Calc2!$G$4,,,$F$26*B731,1))*OFFSET(Calc2!$P$4,,,$F$26*B731,1))</f>
        <v>0</v>
      </c>
      <c r="P749" s="2"/>
      <c r="Q749" s="2"/>
      <c r="R749" s="13">
        <f t="shared" ca="1" si="136"/>
        <v>53500018056</v>
      </c>
      <c r="S749" s="134">
        <f>Tie_Break!$D$23</f>
        <v>0</v>
      </c>
      <c r="T749" s="9">
        <f ca="1">RANK(R749,R733:R752)+(9-S749)/10000+(F749="")*1000</f>
        <v>4.0008999999999997</v>
      </c>
      <c r="U749" s="2"/>
      <c r="V749" s="134">
        <f ca="1">IF($K$24=0,"",IF(VLOOKUP(B749,C733:E752,3,0)=MAX(V$4:V748),VLOOKUP(B749,C733:E752,3,0),B749))</f>
        <v>17</v>
      </c>
      <c r="W749" s="4" t="str">
        <f ca="1">IF($K$24=0,Calc2!$C$20,VLOOKUP(B749,C733:N752,4,0))</f>
        <v>VfL Wolfsburg</v>
      </c>
      <c r="X749" s="1">
        <f ca="1">INDEX(V706:V725,MATCH(W749,W706:W725,0))</f>
        <v>17</v>
      </c>
      <c r="Y749" s="1">
        <f t="shared" ca="1" si="139"/>
        <v>0</v>
      </c>
    </row>
    <row r="750" spans="2:25" x14ac:dyDescent="0.2">
      <c r="B750" s="1">
        <v>18</v>
      </c>
      <c r="C750" s="9">
        <f ca="1">RANK(D750,D733:D752,1)</f>
        <v>17</v>
      </c>
      <c r="D750" s="134">
        <f t="shared" ca="1" si="137"/>
        <v>17.75</v>
      </c>
      <c r="E750" s="134">
        <f ca="1">RANK(T750,T733:T752,1)</f>
        <v>17</v>
      </c>
      <c r="F750" s="187" t="str">
        <f>Calc2!$C$21</f>
        <v>VfL Wolfsburg</v>
      </c>
      <c r="G750" s="1">
        <f ca="1">SUMIFS(OFFSET(Calc2!$H$4,,,$F$26*B731,1),OFFSET(Calc2!$F$4,,,$F$26*B731,1),F750)+SUMIFS(OFFSET(Calc2!$I$4,,,$F$26*B731,1),OFFSET(Calc2!$G$4,,,$F$26*B731,1),F750)</f>
        <v>38</v>
      </c>
      <c r="H750" s="1">
        <f ca="1">SUMIFS(OFFSET(Calc2!$I$4,,,$F$26*B731,1),OFFSET(Calc2!$F$4,,,$F$26*B731,1),F750)+SUMIFS(OFFSET(Calc2!$H$4,,,$F$26*B731,1),OFFSET(Calc2!$G$4,,,$F$26*B731,1),F750)</f>
        <v>63</v>
      </c>
      <c r="I750" s="134">
        <f t="shared" ca="1" si="135"/>
        <v>-25</v>
      </c>
      <c r="J750" s="12">
        <f ca="1">L750*Settings!$C$3+M750+O750</f>
        <v>21</v>
      </c>
      <c r="K750" s="1">
        <f t="shared" ca="1" si="138"/>
        <v>28</v>
      </c>
      <c r="L750" s="1">
        <f t="array" aca="1" ref="L750" ca="1">SUMPRODUCT((OFFSET(Calc2!$F$4,,,$F$26*B731,1)=F750)*(OFFSET(Calc2!$H$4,,,$F$26*B731,1)&gt;OFFSET(Calc2!$I$4,,,$F$26*B731,1)))+SUMPRODUCT((OFFSET(Calc2!$G$4,,,$F$26*B731,1)=F750)*(OFFSET(Calc2!$H$4,,,$F$26*B731,1)&lt;OFFSET(Calc2!$I$4,,,$F$26*B731,1)))</f>
        <v>5</v>
      </c>
      <c r="M750" s="1">
        <f t="array" aca="1" ref="M750" ca="1">SUMPRODUCT((OFFSET(Calc2!$F$4,,,$F$26*B731,2)=F750)*(OFFSET(Calc2!$H$4,,,$F$26*B731,1)=OFFSET(Calc2!$I$4,,,$F$26*B731,1))*(OFFSET(Calc2!$H$4,,,$F$26*B731,1)&lt;&gt;"")*(OFFSET(Calc2!$I$4,,,$F$26*B731,1)&lt;&gt;""))</f>
        <v>6</v>
      </c>
      <c r="N750" s="1">
        <f t="array" aca="1" ref="N750" ca="1">SUMPRODUCT((OFFSET(Calc2!$F$4,,,$F$26*B731,1)=F750)*(OFFSET(Calc2!$H$4,,,$F$26*B731,1)&lt;OFFSET(Calc2!$I$4,,,$F$26*B731,1)))+SUMPRODUCT((OFFSET(Calc2!$G$4,,,$F$26*B731,1)=F750)*(OFFSET(Calc2!$H$4,,,$F$26*B731,1)&gt;OFFSET(Calc2!$I$4,,,$F$26*B731,1)))</f>
        <v>17</v>
      </c>
      <c r="O750" s="132">
        <f ca="1">SUMPRODUCT((F750=OFFSET(Calc2!$F$4,,,$F$26*B731,1))*OFFSET(Calc2!$O$4,,,$F$26*B731,1))+SUMPRODUCT((F750=OFFSET(Calc2!$G$4,,,$F$26*B731,1))*OFFSET(Calc2!$P$4,,,$F$26*B731,1))</f>
        <v>0</v>
      </c>
      <c r="P750" s="2"/>
      <c r="Q750" s="2"/>
      <c r="R750" s="13">
        <f t="shared" ca="1" si="136"/>
        <v>21499975038</v>
      </c>
      <c r="S750" s="134">
        <f>Tie_Break!$D$24</f>
        <v>0</v>
      </c>
      <c r="T750" s="9">
        <f ca="1">RANK(R750,R733:R752)+(9-S750)/10000+(F750="")*1000</f>
        <v>17.000900000000001</v>
      </c>
      <c r="U750" s="2"/>
      <c r="V750" s="134">
        <f ca="1">IF($K$24=0,"",IF(VLOOKUP(B750,C733:E752,3,0)=MAX(V$4:V749),VLOOKUP(B750,C733:E752,3,0),B750))</f>
        <v>18</v>
      </c>
      <c r="W750" s="4" t="str">
        <f ca="1">IF($K$24=0,Calc2!$C$21,VLOOKUP(B750,C733:N752,4,0))</f>
        <v>1. FC Heidenheim 1846</v>
      </c>
      <c r="X750" s="1">
        <f ca="1">INDEX(V706:V725,MATCH(W750,W706:W725,0))</f>
        <v>18</v>
      </c>
      <c r="Y750" s="1">
        <f t="shared" ca="1" si="139"/>
        <v>0</v>
      </c>
    </row>
    <row r="751" spans="2:25" x14ac:dyDescent="0.2">
      <c r="B751" s="1">
        <v>19</v>
      </c>
      <c r="C751" s="9">
        <f ca="1">RANK(D751,D733:D752,1)</f>
        <v>19</v>
      </c>
      <c r="D751" s="134">
        <f t="shared" ca="1" si="137"/>
        <v>19.751000000000001</v>
      </c>
      <c r="E751" s="134">
        <f ca="1">RANK(T751,T733:T752,1)</f>
        <v>19</v>
      </c>
      <c r="F751" s="187" t="str">
        <f>Calc2!$C$22</f>
        <v/>
      </c>
      <c r="G751" s="1">
        <f ca="1">SUMIFS(OFFSET(Calc2!$H$4,,,$F$26*B731,1),OFFSET(Calc2!$F$4,,,$F$26*B731,1),F751)+SUMIFS(OFFSET(Calc2!$I$4,,,$F$26*B731,1),OFFSET(Calc2!$G$4,,,$F$26*B731,1),F751)</f>
        <v>0</v>
      </c>
      <c r="H751" s="1">
        <f ca="1">SUMIFS(OFFSET(Calc2!$I$4,,,$F$26*B731,1),OFFSET(Calc2!$F$4,,,$F$26*B731,1),F751)+SUMIFS(OFFSET(Calc2!$H$4,,,$F$26*B731,1),OFFSET(Calc2!$G$4,,,$F$26*B731,1),F751)</f>
        <v>0</v>
      </c>
      <c r="I751" s="134">
        <f t="shared" ca="1" si="135"/>
        <v>0</v>
      </c>
      <c r="J751" s="12">
        <f ca="1">L751*Settings!$C$3+M751+O751</f>
        <v>0</v>
      </c>
      <c r="K751" s="1">
        <f t="shared" ca="1" si="138"/>
        <v>0</v>
      </c>
      <c r="L751" s="1">
        <f t="array" aca="1" ref="L751" ca="1">SUMPRODUCT((OFFSET(Calc2!$F$4,,,$F$26*B731,1)=F751)*(OFFSET(Calc2!$H$4,,,$F$26*B731,1)&gt;OFFSET(Calc2!$I$4,,,$F$26*B731,1)))+SUMPRODUCT((OFFSET(Calc2!$G$4,,,$F$26*B731,1)=F751)*(OFFSET(Calc2!$H$4,,,$F$26*B731,1)&lt;OFFSET(Calc2!$I$4,,,$F$26*B731,1)))</f>
        <v>0</v>
      </c>
      <c r="M751" s="1">
        <f t="array" aca="1" ref="M751" ca="1">SUMPRODUCT((OFFSET(Calc2!$F$4,,,$F$26*B731,2)=F751)*(OFFSET(Calc2!$H$4,,,$F$26*B731,1)=OFFSET(Calc2!$I$4,,,$F$26*B731,1))*(OFFSET(Calc2!$H$4,,,$F$26*B731,1)&lt;&gt;"")*(OFFSET(Calc2!$I$4,,,$F$26*B731,1)&lt;&gt;""))</f>
        <v>0</v>
      </c>
      <c r="N751" s="1">
        <f t="array" aca="1" ref="N751" ca="1">SUMPRODUCT((OFFSET(Calc2!$F$4,,,$F$26*B731,1)=F751)*(OFFSET(Calc2!$H$4,,,$F$26*B731,1)&lt;OFFSET(Calc2!$I$4,,,$F$26*B731,1)))+SUMPRODUCT((OFFSET(Calc2!$G$4,,,$F$26*B731,1)=F751)*(OFFSET(Calc2!$H$4,,,$F$26*B731,1)&gt;OFFSET(Calc2!$I$4,,,$F$26*B731,1)))</f>
        <v>0</v>
      </c>
      <c r="O751" s="132">
        <f ca="1">SUMPRODUCT((F751=OFFSET(Calc2!$F$4,,,$F$26*B731,1))*OFFSET(Calc2!$O$4,,,$F$26*B731,1))+SUMPRODUCT((F751=OFFSET(Calc2!$G$4,,,$F$26*B731,1))*OFFSET(Calc2!$P$4,,,$F$26*B731,1))</f>
        <v>0</v>
      </c>
      <c r="P751" s="2"/>
      <c r="Q751" s="2"/>
      <c r="R751" s="13">
        <f t="shared" ca="1" si="136"/>
        <v>500000000</v>
      </c>
      <c r="S751" s="134">
        <f>Tie_Break!$D$25</f>
        <v>0</v>
      </c>
      <c r="T751" s="9">
        <f ca="1">RANK(R751,R733:R752)+(9-S751)/10000+(F751="")*1000</f>
        <v>1019.0009</v>
      </c>
      <c r="U751" s="2"/>
      <c r="V751" s="134">
        <f ca="1">IF($K$24=0,"",IF(VLOOKUP(B751,C733:E752,3,0)=MAX(V$4:V750),VLOOKUP(B751,C733:E752,3,0),B751))</f>
        <v>19</v>
      </c>
      <c r="W751" s="4" t="str">
        <f ca="1">IF($K$24=0,Calc2!$C$22,VLOOKUP(B751,C733:N752,4,0))</f>
        <v/>
      </c>
      <c r="X751" s="1">
        <f ca="1">INDEX(V706:V725,MATCH(W751,W706:W725,0))</f>
        <v>19</v>
      </c>
      <c r="Y751" s="1">
        <f t="shared" ca="1" si="139"/>
        <v>0</v>
      </c>
    </row>
    <row r="752" spans="2:25" ht="12.75" thickBot="1" x14ac:dyDescent="0.25">
      <c r="B752" s="1">
        <v>20</v>
      </c>
      <c r="C752" s="10">
        <f ca="1">RANK(D752,D733:D752,1)</f>
        <v>20</v>
      </c>
      <c r="D752" s="134">
        <f t="shared" ca="1" si="137"/>
        <v>19.751999999999999</v>
      </c>
      <c r="E752" s="134">
        <f ca="1">RANK(T752,T733:T752,1)</f>
        <v>19</v>
      </c>
      <c r="F752" s="187" t="str">
        <f>Calc2!$C$23</f>
        <v/>
      </c>
      <c r="G752" s="1">
        <f ca="1">SUMIFS(OFFSET(Calc2!$H$4,,,$F$26*B731,1),OFFSET(Calc2!$F$4,,,$F$26*B731,1),F752)+SUMIFS(OFFSET(Calc2!$I$4,,,$F$26*B731,1),OFFSET(Calc2!$G$4,,,$F$26*B731,1),F752)</f>
        <v>0</v>
      </c>
      <c r="H752" s="1">
        <f ca="1">SUMIFS(OFFSET(Calc2!$I$4,,,$F$26*B731,1),OFFSET(Calc2!$F$4,,,$F$26*B731,1),F752)+SUMIFS(OFFSET(Calc2!$H$4,,,$F$26*B731,1),OFFSET(Calc2!$G$4,,,$F$26*B731,1),F752)</f>
        <v>0</v>
      </c>
      <c r="I752" s="134">
        <f t="shared" ca="1" si="135"/>
        <v>0</v>
      </c>
      <c r="J752" s="12">
        <f ca="1">L752*Settings!$C$3+M752+O752</f>
        <v>0</v>
      </c>
      <c r="K752" s="1">
        <f t="shared" ca="1" si="138"/>
        <v>0</v>
      </c>
      <c r="L752" s="1">
        <f t="array" aca="1" ref="L752" ca="1">SUMPRODUCT((OFFSET(Calc2!$F$4,,,$F$26*B731,1)=F752)*(OFFSET(Calc2!$H$4,,,$F$26*B731,1)&gt;OFFSET(Calc2!$I$4,,,$F$26*B731,1)))+SUMPRODUCT((OFFSET(Calc2!$G$4,,,$F$26*B731,1)=F752)*(OFFSET(Calc2!$H$4,,,$F$26*B731,1)&lt;OFFSET(Calc2!$I$4,,,$F$26*B731,1)))</f>
        <v>0</v>
      </c>
      <c r="M752" s="1">
        <f t="array" aca="1" ref="M752" ca="1">SUMPRODUCT((OFFSET(Calc2!$F$4,,,$F$26*B731,2)=F752)*(OFFSET(Calc2!$H$4,,,$F$26*B731,1)=OFFSET(Calc2!$I$4,,,$F$26*B731,1))*(OFFSET(Calc2!$H$4,,,$F$26*B731,1)&lt;&gt;"")*(OFFSET(Calc2!$I$4,,,$F$26*B731,1)&lt;&gt;""))</f>
        <v>0</v>
      </c>
      <c r="N752" s="1">
        <f t="array" aca="1" ref="N752" ca="1">SUMPRODUCT((OFFSET(Calc2!$F$4,,,$F$26*B731,1)=F752)*(OFFSET(Calc2!$H$4,,,$F$26*B731,1)&lt;OFFSET(Calc2!$I$4,,,$F$26*B731,1)))+SUMPRODUCT((OFFSET(Calc2!$G$4,,,$F$26*B731,1)=F752)*(OFFSET(Calc2!$H$4,,,$F$26*B731,1)&gt;OFFSET(Calc2!$I$4,,,$F$26*B731,1)))</f>
        <v>0</v>
      </c>
      <c r="O752" s="132">
        <f ca="1">SUMPRODUCT((F752=OFFSET(Calc2!$F$4,,,$F$26*B731,1))*OFFSET(Calc2!$O$4,,,$F$26*B731,1))+SUMPRODUCT((F752=OFFSET(Calc2!$G$4,,,$F$26*B731,1))*OFFSET(Calc2!$P$4,,,$F$26*B731,1))</f>
        <v>0</v>
      </c>
      <c r="P752" s="2"/>
      <c r="Q752" s="2"/>
      <c r="R752" s="13">
        <f t="shared" ca="1" si="136"/>
        <v>500000000</v>
      </c>
      <c r="S752" s="134">
        <f>Tie_Break!$D$26</f>
        <v>0</v>
      </c>
      <c r="T752" s="10">
        <f ca="1">RANK(R752,R733:R752)+(9-S752)/10000+(F752="")*1000</f>
        <v>1019.0009</v>
      </c>
      <c r="U752" s="2"/>
      <c r="V752" s="134">
        <f ca="1">IF($K$24=0,"",IF(VLOOKUP(B752,C733:E752,3,0)=MAX(V$4:V751),VLOOKUP(B752,C733:E752,3,0),B752))</f>
        <v>19</v>
      </c>
      <c r="W752" s="4" t="str">
        <f ca="1">IF($K$24=0,Calc2!$C$23,VLOOKUP(B752,C733:N752,4,0))</f>
        <v/>
      </c>
      <c r="X752" s="1">
        <f ca="1">INDEX(V706:V725,MATCH(W752,W706:W725,0))</f>
        <v>19</v>
      </c>
      <c r="Y752" s="1">
        <f t="shared" ca="1" si="139"/>
        <v>0</v>
      </c>
    </row>
    <row r="753" spans="2:25" ht="12.75" thickTop="1" x14ac:dyDescent="0.2">
      <c r="X753" s="1"/>
      <c r="Y753" s="1"/>
    </row>
    <row r="754" spans="2:25" x14ac:dyDescent="0.2">
      <c r="X754" s="1"/>
      <c r="Y754" s="1"/>
    </row>
    <row r="755" spans="2:25" x14ac:dyDescent="0.2">
      <c r="X755" s="1"/>
      <c r="Y755" s="1"/>
    </row>
    <row r="756" spans="2:25" x14ac:dyDescent="0.2">
      <c r="X756" s="1"/>
      <c r="Y756" s="1"/>
    </row>
    <row r="757" spans="2:25" ht="12.75" thickBot="1" x14ac:dyDescent="0.25">
      <c r="X757" s="1"/>
      <c r="Y757" s="1"/>
    </row>
    <row r="758" spans="2:25" ht="12.75" thickBot="1" x14ac:dyDescent="0.25">
      <c r="B758" s="410">
        <v>29</v>
      </c>
      <c r="C758" s="134"/>
      <c r="D758" s="134"/>
      <c r="E758" s="134"/>
      <c r="F758" s="187"/>
      <c r="G758" s="1"/>
      <c r="H758" s="1"/>
      <c r="I758" s="1"/>
      <c r="J758" s="1"/>
      <c r="K758" s="1"/>
      <c r="L758" s="1"/>
      <c r="M758" s="1"/>
      <c r="N758" s="134"/>
      <c r="O758" s="1"/>
      <c r="P758" s="1"/>
      <c r="Q758" s="1"/>
      <c r="R758" s="2"/>
      <c r="S758" s="2"/>
      <c r="T758" s="2"/>
      <c r="U758" s="2"/>
      <c r="V758" s="2"/>
      <c r="W758" s="2"/>
      <c r="X758" s="1"/>
      <c r="Y758" s="1"/>
    </row>
    <row r="759" spans="2:25" ht="15.75" thickBot="1" x14ac:dyDescent="0.25">
      <c r="B759" s="1"/>
      <c r="C759" s="134"/>
      <c r="D759" s="134"/>
      <c r="E759" s="134"/>
      <c r="F759" s="11" t="s">
        <v>90</v>
      </c>
      <c r="G759" s="42" t="s">
        <v>95</v>
      </c>
      <c r="H759" s="42" t="s">
        <v>96</v>
      </c>
      <c r="I759" s="11" t="s">
        <v>97</v>
      </c>
      <c r="J759" s="11" t="s">
        <v>98</v>
      </c>
      <c r="K759" s="11" t="s">
        <v>91</v>
      </c>
      <c r="L759" s="12" t="s">
        <v>92</v>
      </c>
      <c r="M759" s="12" t="s">
        <v>93</v>
      </c>
      <c r="N759" s="12" t="s">
        <v>94</v>
      </c>
      <c r="O759" s="12" t="s">
        <v>534</v>
      </c>
      <c r="P759" s="2"/>
      <c r="Q759" s="11"/>
      <c r="R759" s="133" t="s">
        <v>99</v>
      </c>
      <c r="S759" s="6" t="s">
        <v>483</v>
      </c>
      <c r="T759" s="120" t="s">
        <v>146</v>
      </c>
      <c r="U759" s="134"/>
      <c r="V759" s="134"/>
      <c r="W759" s="132"/>
      <c r="X759" s="120" t="s">
        <v>575</v>
      </c>
      <c r="Y759" s="1"/>
    </row>
    <row r="760" spans="2:25" ht="12.75" thickTop="1" x14ac:dyDescent="0.2">
      <c r="B760" s="1">
        <v>1</v>
      </c>
      <c r="C760" s="8">
        <f ca="1">RANK(D760,D760:D779,1)</f>
        <v>18</v>
      </c>
      <c r="D760" s="134">
        <f ca="1">E760+ROW()/1000</f>
        <v>18.760000000000002</v>
      </c>
      <c r="E760" s="134">
        <f ca="1">RANK(T760,T760:T779,1)</f>
        <v>18</v>
      </c>
      <c r="F760" s="187" t="str">
        <f>Calc2!$C$4</f>
        <v>1. FC Heidenheim 1846</v>
      </c>
      <c r="G760" s="1">
        <f ca="1">SUMIFS(OFFSET(Calc2!$H$4,,,$F$26*B758,1),OFFSET(Calc2!$F$4,,,$F$26*B758,1),F760)+SUMIFS(OFFSET(Calc2!$I$4,,,$F$26*B758,1),OFFSET(Calc2!$G$4,,,$F$26*B758,1),F760)</f>
        <v>32</v>
      </c>
      <c r="H760" s="1">
        <f ca="1">SUMIFS(OFFSET(Calc2!$I$4,,,$F$26*B758,1),OFFSET(Calc2!$F$4,,,$F$26*B758,1),F760)+SUMIFS(OFFSET(Calc2!$H$4,,,$F$26*B758,1),OFFSET(Calc2!$G$4,,,$F$26*B758,1),F760)</f>
        <v>64</v>
      </c>
      <c r="I760" s="134">
        <f t="shared" ref="I760:I779" ca="1" si="140">G760-H760</f>
        <v>-32</v>
      </c>
      <c r="J760" s="12">
        <f ca="1">L760*Settings!$C$3+M760+O760</f>
        <v>19</v>
      </c>
      <c r="K760" s="1">
        <f ca="1">L760+M760+N760</f>
        <v>29</v>
      </c>
      <c r="L760" s="1">
        <f t="array" aca="1" ref="L760" ca="1">SUMPRODUCT((OFFSET(Calc2!$F$4,,,$F$26*B758,1)=F760)*(OFFSET(Calc2!$H$4,,,$F$26*B758,1)&gt;OFFSET(Calc2!$I$4,,,$F$26*B758,1)))+SUMPRODUCT((OFFSET(Calc2!$G$4,,,$F$26*B758,1)=F760)*(OFFSET(Calc2!$H$4,,,$F$26*B758,1)&lt;OFFSET(Calc2!$I$4,,,$F$26*B758,1)))</f>
        <v>4</v>
      </c>
      <c r="M760" s="1">
        <f t="array" aca="1" ref="M760" ca="1">SUMPRODUCT((OFFSET(Calc2!$F$4,,,$F$26*B758,2)=F760)*(OFFSET(Calc2!$H$4,,,$F$26*B758,1)=OFFSET(Calc2!$I$4,,,$F$26*B758,1))*(OFFSET(Calc2!$H$4,,,$F$26*B758,1)&lt;&gt;"")*(OFFSET(Calc2!$I$4,,,$F$26*B758,1)&lt;&gt;""))</f>
        <v>7</v>
      </c>
      <c r="N760" s="1">
        <f t="array" aca="1" ref="N760" ca="1">SUMPRODUCT((OFFSET(Calc2!$F$4,,,$F$26*B758,1)=F760)*(OFFSET(Calc2!$H$4,,,$F$26*B758,1)&lt;OFFSET(Calc2!$I$4,,,$F$26*B758,1)))+SUMPRODUCT((OFFSET(Calc2!$G$4,,,$F$26*B758,1)=F760)*(OFFSET(Calc2!$H$4,,,$F$26*B758,1)&gt;OFFSET(Calc2!$I$4,,,$F$26*B758,1)))</f>
        <v>18</v>
      </c>
      <c r="O760" s="132">
        <f ca="1">SUMPRODUCT((F760=OFFSET(Calc2!$F$4,,,$F$26*B758,1))*OFFSET(Calc2!$O$4,,,$F$26*B758,1))+SUMPRODUCT((F760=OFFSET(Calc2!$G$4,,,$F$26*B758,1))*OFFSET(Calc2!$P$4,,,$F$26*B758,1))</f>
        <v>0</v>
      </c>
      <c r="P760" s="2"/>
      <c r="Q760" s="2"/>
      <c r="R760" s="13">
        <f t="shared" ref="R760:R779" ca="1" si="141">J760*FactorPts+(I760+GDzero)*FactorGD+G760*FactorGF</f>
        <v>19499968032</v>
      </c>
      <c r="S760" s="134">
        <f>Tie_Break!$D$7</f>
        <v>0</v>
      </c>
      <c r="T760" s="8">
        <f ca="1">RANK(R760,R760:R779)+(9-S760)/10000+(F760="")*1000</f>
        <v>18.000900000000001</v>
      </c>
      <c r="U760" s="134"/>
      <c r="V760" s="134">
        <f ca="1">IF($K$24=0,"",1)</f>
        <v>1</v>
      </c>
      <c r="W760" s="4" t="str">
        <f ca="1">IF($K$24=0,Calc2!$C$4,VLOOKUP(B760,C760:N779,4,0))</f>
        <v>FC Bayern München</v>
      </c>
      <c r="X760" s="1">
        <f ca="1">INDEX(V733:V752,MATCH(W760,W733:W752,0))</f>
        <v>1</v>
      </c>
      <c r="Y760" s="1">
        <f ca="1">IF(X760&gt;V760,1,IF(X760&lt;V760,-1,0))</f>
        <v>0</v>
      </c>
    </row>
    <row r="761" spans="2:25" x14ac:dyDescent="0.2">
      <c r="B761" s="1">
        <v>2</v>
      </c>
      <c r="C761" s="9">
        <f ca="1">RANK(D761,D760:D779,1)</f>
        <v>13</v>
      </c>
      <c r="D761" s="134">
        <f t="shared" ref="D761:D779" ca="1" si="142">E761+ROW()/1000</f>
        <v>13.760999999999999</v>
      </c>
      <c r="E761" s="134">
        <f ca="1">RANK(T761,T760:T779,1)</f>
        <v>13</v>
      </c>
      <c r="F761" s="187" t="str">
        <f>Calc2!$C$5</f>
        <v>1. FC Köln</v>
      </c>
      <c r="G761" s="1">
        <f ca="1">SUMIFS(OFFSET(Calc2!$H$4,,,$F$26*B758,1),OFFSET(Calc2!$F$4,,,$F$26*B758,1),F761)+SUMIFS(OFFSET(Calc2!$I$4,,,$F$26*B758,1),OFFSET(Calc2!$G$4,,,$F$26*B758,1),F761)</f>
        <v>43</v>
      </c>
      <c r="H761" s="1">
        <f ca="1">SUMIFS(OFFSET(Calc2!$I$4,,,$F$26*B758,1),OFFSET(Calc2!$F$4,,,$F$26*B758,1),F761)+SUMIFS(OFFSET(Calc2!$H$4,,,$F$26*B758,1),OFFSET(Calc2!$G$4,,,$F$26*B758,1),F761)</f>
        <v>50</v>
      </c>
      <c r="I761" s="134">
        <f t="shared" ca="1" si="140"/>
        <v>-7</v>
      </c>
      <c r="J761" s="12">
        <f ca="1">L761*Settings!$C$3+M761+O761</f>
        <v>30</v>
      </c>
      <c r="K761" s="1">
        <f t="shared" ref="K761:K779" ca="1" si="143">L761+M761+N761</f>
        <v>29</v>
      </c>
      <c r="L761" s="1">
        <f t="array" aca="1" ref="L761" ca="1">SUMPRODUCT((OFFSET(Calc2!$F$4,,,$F$26*B758,1)=F761)*(OFFSET(Calc2!$H$4,,,$F$26*B758,1)&gt;OFFSET(Calc2!$I$4,,,$F$26*B758,1)))+SUMPRODUCT((OFFSET(Calc2!$G$4,,,$F$26*B758,1)=F761)*(OFFSET(Calc2!$H$4,,,$F$26*B758,1)&lt;OFFSET(Calc2!$I$4,,,$F$26*B758,1)))</f>
        <v>7</v>
      </c>
      <c r="M761" s="1">
        <f t="array" aca="1" ref="M761" ca="1">SUMPRODUCT((OFFSET(Calc2!$F$4,,,$F$26*B758,2)=F761)*(OFFSET(Calc2!$H$4,,,$F$26*B758,1)=OFFSET(Calc2!$I$4,,,$F$26*B758,1))*(OFFSET(Calc2!$H$4,,,$F$26*B758,1)&lt;&gt;"")*(OFFSET(Calc2!$I$4,,,$F$26*B758,1)&lt;&gt;""))</f>
        <v>9</v>
      </c>
      <c r="N761" s="1">
        <f t="array" aca="1" ref="N761" ca="1">SUMPRODUCT((OFFSET(Calc2!$F$4,,,$F$26*B758,1)=F761)*(OFFSET(Calc2!$H$4,,,$F$26*B758,1)&lt;OFFSET(Calc2!$I$4,,,$F$26*B758,1)))+SUMPRODUCT((OFFSET(Calc2!$G$4,,,$F$26*B758,1)=F761)*(OFFSET(Calc2!$H$4,,,$F$26*B758,1)&gt;OFFSET(Calc2!$I$4,,,$F$26*B758,1)))</f>
        <v>13</v>
      </c>
      <c r="O761" s="132">
        <f ca="1">SUMPRODUCT((F761=OFFSET(Calc2!$F$4,,,$F$26*B758,1))*OFFSET(Calc2!$O$4,,,$F$26*B758,1))+SUMPRODUCT((F761=OFFSET(Calc2!$G$4,,,$F$26*B758,1))*OFFSET(Calc2!$P$4,,,$F$26*B758,1))</f>
        <v>0</v>
      </c>
      <c r="P761" s="2"/>
      <c r="Q761" s="2"/>
      <c r="R761" s="13">
        <f t="shared" ca="1" si="141"/>
        <v>30499993043</v>
      </c>
      <c r="S761" s="134">
        <f>Tie_Break!$D$8</f>
        <v>0</v>
      </c>
      <c r="T761" s="9">
        <f ca="1">RANK(R761,R760:R779)+(9-S761)/10000+(F761="")*1000</f>
        <v>13.0009</v>
      </c>
      <c r="U761" s="134"/>
      <c r="V761" s="134">
        <f ca="1">IF($K$24=0,"",IF(VLOOKUP(B761,C760:E779,3,0)=MAX(V$4:V760),VLOOKUP(B761,C760:E779,3,0),B761))</f>
        <v>2</v>
      </c>
      <c r="W761" s="4" t="str">
        <f ca="1">IF($K$24=0,Calc2!$C$5,VLOOKUP(B761,C760:N779,4,0))</f>
        <v>Borussia Dortmund</v>
      </c>
      <c r="X761" s="1">
        <f ca="1">INDEX(V733:V752,MATCH(W761,W733:W752,0))</f>
        <v>2</v>
      </c>
      <c r="Y761" s="1">
        <f t="shared" ref="Y761:Y779" ca="1" si="144">IF(X761&gt;V761,1,IF(X761&lt;V761,-1,0))</f>
        <v>0</v>
      </c>
    </row>
    <row r="762" spans="2:25" x14ac:dyDescent="0.2">
      <c r="B762" s="1">
        <v>3</v>
      </c>
      <c r="C762" s="9">
        <f ca="1">RANK(D762,D760:D779,1)</f>
        <v>11</v>
      </c>
      <c r="D762" s="134">
        <f t="shared" ca="1" si="142"/>
        <v>11.762</v>
      </c>
      <c r="E762" s="134">
        <f ca="1">RANK(T762,T760:T779,1)</f>
        <v>11</v>
      </c>
      <c r="F762" s="187" t="str">
        <f>Calc2!$C$6</f>
        <v>1. FC Union Berlin</v>
      </c>
      <c r="G762" s="1">
        <f ca="1">SUMIFS(OFFSET(Calc2!$H$4,,,$F$26*B758,1),OFFSET(Calc2!$F$4,,,$F$26*B758,1),F762)+SUMIFS(OFFSET(Calc2!$I$4,,,$F$26*B758,1),OFFSET(Calc2!$G$4,,,$F$26*B758,1),F762)</f>
        <v>33</v>
      </c>
      <c r="H762" s="1">
        <f ca="1">SUMIFS(OFFSET(Calc2!$I$4,,,$F$26*B758,1),OFFSET(Calc2!$F$4,,,$F$26*B758,1),F762)+SUMIFS(OFFSET(Calc2!$H$4,,,$F$26*B758,1),OFFSET(Calc2!$G$4,,,$F$26*B758,1),F762)</f>
        <v>50</v>
      </c>
      <c r="I762" s="134">
        <f t="shared" ca="1" si="140"/>
        <v>-17</v>
      </c>
      <c r="J762" s="12">
        <f ca="1">L762*Settings!$C$3+M762+O762</f>
        <v>32</v>
      </c>
      <c r="K762" s="1">
        <f t="shared" ca="1" si="143"/>
        <v>29</v>
      </c>
      <c r="L762" s="1">
        <f t="array" aca="1" ref="L762" ca="1">SUMPRODUCT((OFFSET(Calc2!$F$4,,,$F$26*B758,1)=F762)*(OFFSET(Calc2!$H$4,,,$F$26*B758,1)&gt;OFFSET(Calc2!$I$4,,,$F$26*B758,1)))+SUMPRODUCT((OFFSET(Calc2!$G$4,,,$F$26*B758,1)=F762)*(OFFSET(Calc2!$H$4,,,$F$26*B758,1)&lt;OFFSET(Calc2!$I$4,,,$F$26*B758,1)))</f>
        <v>8</v>
      </c>
      <c r="M762" s="1">
        <f t="array" aca="1" ref="M762" ca="1">SUMPRODUCT((OFFSET(Calc2!$F$4,,,$F$26*B758,2)=F762)*(OFFSET(Calc2!$H$4,,,$F$26*B758,1)=OFFSET(Calc2!$I$4,,,$F$26*B758,1))*(OFFSET(Calc2!$H$4,,,$F$26*B758,1)&lt;&gt;"")*(OFFSET(Calc2!$I$4,,,$F$26*B758,1)&lt;&gt;""))</f>
        <v>8</v>
      </c>
      <c r="N762" s="1">
        <f t="array" aca="1" ref="N762" ca="1">SUMPRODUCT((OFFSET(Calc2!$F$4,,,$F$26*B758,1)=F762)*(OFFSET(Calc2!$H$4,,,$F$26*B758,1)&lt;OFFSET(Calc2!$I$4,,,$F$26*B758,1)))+SUMPRODUCT((OFFSET(Calc2!$G$4,,,$F$26*B758,1)=F762)*(OFFSET(Calc2!$H$4,,,$F$26*B758,1)&gt;OFFSET(Calc2!$I$4,,,$F$26*B758,1)))</f>
        <v>13</v>
      </c>
      <c r="O762" s="132">
        <f ca="1">SUMPRODUCT((F762=OFFSET(Calc2!$F$4,,,$F$26*B758,1))*OFFSET(Calc2!$O$4,,,$F$26*B758,1))+SUMPRODUCT((F762=OFFSET(Calc2!$G$4,,,$F$26*B758,1))*OFFSET(Calc2!$P$4,,,$F$26*B758,1))</f>
        <v>0</v>
      </c>
      <c r="P762" s="2"/>
      <c r="Q762" s="2"/>
      <c r="R762" s="13">
        <f t="shared" ca="1" si="141"/>
        <v>32499983033</v>
      </c>
      <c r="S762" s="134">
        <f>Tie_Break!$D$9</f>
        <v>0</v>
      </c>
      <c r="T762" s="9">
        <f ca="1">RANK(R762,R760:R779)+(9-S762)/10000+(F762="")*1000</f>
        <v>11.0009</v>
      </c>
      <c r="U762" s="134"/>
      <c r="V762" s="134">
        <f ca="1">IF($K$24=0,"",IF(VLOOKUP(B762,C760:E779,3,0)=MAX(V$4:V761),VLOOKUP(B762,C760:E779,3,0),B762))</f>
        <v>3</v>
      </c>
      <c r="W762" s="4" t="str">
        <f ca="1">IF($K$24=0,Calc2!$C$6,VLOOKUP(B762,C760:N779,4,0))</f>
        <v>VfB Stuttgart</v>
      </c>
      <c r="X762" s="1">
        <f ca="1">INDEX(V733:V752,MATCH(W762,W733:W752,0))</f>
        <v>4</v>
      </c>
      <c r="Y762" s="1">
        <f t="shared" ca="1" si="144"/>
        <v>1</v>
      </c>
    </row>
    <row r="763" spans="2:25" x14ac:dyDescent="0.2">
      <c r="B763" s="1">
        <v>4</v>
      </c>
      <c r="C763" s="9">
        <f ca="1">RANK(D763,D760:D779,1)</f>
        <v>9</v>
      </c>
      <c r="D763" s="134">
        <f t="shared" ca="1" si="142"/>
        <v>9.7629999999999999</v>
      </c>
      <c r="E763" s="134">
        <f ca="1">RANK(T763,T760:T779,1)</f>
        <v>9</v>
      </c>
      <c r="F763" s="187" t="str">
        <f>Calc2!$C$7</f>
        <v>1. FSV Mainz 05</v>
      </c>
      <c r="G763" s="1">
        <f ca="1">SUMIFS(OFFSET(Calc2!$H$4,,,$F$26*B758,1),OFFSET(Calc2!$F$4,,,$F$26*B758,1),F763)+SUMIFS(OFFSET(Calc2!$I$4,,,$F$26*B758,1),OFFSET(Calc2!$G$4,,,$F$26*B758,1),F763)</f>
        <v>35</v>
      </c>
      <c r="H763" s="1">
        <f ca="1">SUMIFS(OFFSET(Calc2!$I$4,,,$F$26*B758,1),OFFSET(Calc2!$F$4,,,$F$26*B758,1),F763)+SUMIFS(OFFSET(Calc2!$H$4,,,$F$26*B758,1),OFFSET(Calc2!$G$4,,,$F$26*B758,1),F763)</f>
        <v>44</v>
      </c>
      <c r="I763" s="134">
        <f t="shared" ca="1" si="140"/>
        <v>-9</v>
      </c>
      <c r="J763" s="12">
        <f ca="1">L763*Settings!$C$3+M763+O763</f>
        <v>33</v>
      </c>
      <c r="K763" s="1">
        <f t="shared" ca="1" si="143"/>
        <v>29</v>
      </c>
      <c r="L763" s="1">
        <f t="array" aca="1" ref="L763" ca="1">SUMPRODUCT((OFFSET(Calc2!$F$4,,,$F$26*B758,1)=F763)*(OFFSET(Calc2!$H$4,,,$F$26*B758,1)&gt;OFFSET(Calc2!$I$4,,,$F$26*B758,1)))+SUMPRODUCT((OFFSET(Calc2!$G$4,,,$F$26*B758,1)=F763)*(OFFSET(Calc2!$H$4,,,$F$26*B758,1)&lt;OFFSET(Calc2!$I$4,,,$F$26*B758,1)))</f>
        <v>8</v>
      </c>
      <c r="M763" s="1">
        <f t="array" aca="1" ref="M763" ca="1">SUMPRODUCT((OFFSET(Calc2!$F$4,,,$F$26*B758,2)=F763)*(OFFSET(Calc2!$H$4,,,$F$26*B758,1)=OFFSET(Calc2!$I$4,,,$F$26*B758,1))*(OFFSET(Calc2!$H$4,,,$F$26*B758,1)&lt;&gt;"")*(OFFSET(Calc2!$I$4,,,$F$26*B758,1)&lt;&gt;""))</f>
        <v>9</v>
      </c>
      <c r="N763" s="1">
        <f t="array" aca="1" ref="N763" ca="1">SUMPRODUCT((OFFSET(Calc2!$F$4,,,$F$26*B758,1)=F763)*(OFFSET(Calc2!$H$4,,,$F$26*B758,1)&lt;OFFSET(Calc2!$I$4,,,$F$26*B758,1)))+SUMPRODUCT((OFFSET(Calc2!$G$4,,,$F$26*B758,1)=F763)*(OFFSET(Calc2!$H$4,,,$F$26*B758,1)&gt;OFFSET(Calc2!$I$4,,,$F$26*B758,1)))</f>
        <v>12</v>
      </c>
      <c r="O763" s="132">
        <f ca="1">SUMPRODUCT((F763=OFFSET(Calc2!$F$4,,,$F$26*B758,1))*OFFSET(Calc2!$O$4,,,$F$26*B758,1))+SUMPRODUCT((F763=OFFSET(Calc2!$G$4,,,$F$26*B758,1))*OFFSET(Calc2!$P$4,,,$F$26*B758,1))</f>
        <v>0</v>
      </c>
      <c r="P763" s="2"/>
      <c r="Q763" s="2"/>
      <c r="R763" s="13">
        <f t="shared" ca="1" si="141"/>
        <v>33499991035</v>
      </c>
      <c r="S763" s="134">
        <f>Tie_Break!$D$10</f>
        <v>0</v>
      </c>
      <c r="T763" s="9">
        <f ca="1">RANK(R763,R760:R779)+(9-S763)/10000+(F763="")*1000</f>
        <v>9.0008999999999997</v>
      </c>
      <c r="U763" s="134"/>
      <c r="V763" s="134">
        <f ca="1">IF($K$24=0,"",IF(VLOOKUP(B763,C760:E779,3,0)=MAX(V$4:V762),VLOOKUP(B763,C760:E779,3,0),B763))</f>
        <v>4</v>
      </c>
      <c r="W763" s="4" t="str">
        <f ca="1">IF($K$24=0,Calc2!$C$7,VLOOKUP(B763,C760:N779,4,0))</f>
        <v>RB Leipzig</v>
      </c>
      <c r="X763" s="1">
        <f ca="1">INDEX(V733:V752,MATCH(W763,W733:W752,0))</f>
        <v>3</v>
      </c>
      <c r="Y763" s="1">
        <f t="shared" ca="1" si="144"/>
        <v>-1</v>
      </c>
    </row>
    <row r="764" spans="2:25" x14ac:dyDescent="0.2">
      <c r="B764" s="1">
        <v>5</v>
      </c>
      <c r="C764" s="9">
        <f ca="1">RANK(D764,D760:D779,1)</f>
        <v>5</v>
      </c>
      <c r="D764" s="134">
        <f t="shared" ca="1" si="142"/>
        <v>5.7640000000000002</v>
      </c>
      <c r="E764" s="134">
        <f ca="1">RANK(T764,T760:T779,1)</f>
        <v>5</v>
      </c>
      <c r="F764" s="187" t="str">
        <f>Calc2!$C$8</f>
        <v>Bayer 04 Leverkusen</v>
      </c>
      <c r="G764" s="1">
        <f ca="1">SUMIFS(OFFSET(Calc2!$H$4,,,$F$26*B758,1),OFFSET(Calc2!$F$4,,,$F$26*B758,1),F764)+SUMIFS(OFFSET(Calc2!$I$4,,,$F$26*B758,1),OFFSET(Calc2!$G$4,,,$F$26*B758,1),F764)</f>
        <v>59</v>
      </c>
      <c r="H764" s="1">
        <f ca="1">SUMIFS(OFFSET(Calc2!$I$4,,,$F$26*B758,1),OFFSET(Calc2!$F$4,,,$F$26*B758,1),F764)+SUMIFS(OFFSET(Calc2!$H$4,,,$F$26*B758,1),OFFSET(Calc2!$G$4,,,$F$26*B758,1),F764)</f>
        <v>39</v>
      </c>
      <c r="I764" s="134">
        <f t="shared" ca="1" si="140"/>
        <v>20</v>
      </c>
      <c r="J764" s="12">
        <f ca="1">L764*Settings!$C$3+M764+O764</f>
        <v>52</v>
      </c>
      <c r="K764" s="1">
        <f t="shared" ca="1" si="143"/>
        <v>29</v>
      </c>
      <c r="L764" s="1">
        <f t="array" aca="1" ref="L764" ca="1">SUMPRODUCT((OFFSET(Calc2!$F$4,,,$F$26*B758,1)=F764)*(OFFSET(Calc2!$H$4,,,$F$26*B758,1)&gt;OFFSET(Calc2!$I$4,,,$F$26*B758,1)))+SUMPRODUCT((OFFSET(Calc2!$G$4,,,$F$26*B758,1)=F764)*(OFFSET(Calc2!$H$4,,,$F$26*B758,1)&lt;OFFSET(Calc2!$I$4,,,$F$26*B758,1)))</f>
        <v>15</v>
      </c>
      <c r="M764" s="1">
        <f t="array" aca="1" ref="M764" ca="1">SUMPRODUCT((OFFSET(Calc2!$F$4,,,$F$26*B758,2)=F764)*(OFFSET(Calc2!$H$4,,,$F$26*B758,1)=OFFSET(Calc2!$I$4,,,$F$26*B758,1))*(OFFSET(Calc2!$H$4,,,$F$26*B758,1)&lt;&gt;"")*(OFFSET(Calc2!$I$4,,,$F$26*B758,1)&lt;&gt;""))</f>
        <v>7</v>
      </c>
      <c r="N764" s="1">
        <f t="array" aca="1" ref="N764" ca="1">SUMPRODUCT((OFFSET(Calc2!$F$4,,,$F$26*B758,1)=F764)*(OFFSET(Calc2!$H$4,,,$F$26*B758,1)&lt;OFFSET(Calc2!$I$4,,,$F$26*B758,1)))+SUMPRODUCT((OFFSET(Calc2!$G$4,,,$F$26*B758,1)=F764)*(OFFSET(Calc2!$H$4,,,$F$26*B758,1)&gt;OFFSET(Calc2!$I$4,,,$F$26*B758,1)))</f>
        <v>7</v>
      </c>
      <c r="O764" s="132">
        <f ca="1">SUMPRODUCT((F764=OFFSET(Calc2!$F$4,,,$F$26*B758,1))*OFFSET(Calc2!$O$4,,,$F$26*B758,1))+SUMPRODUCT((F764=OFFSET(Calc2!$G$4,,,$F$26*B758,1))*OFFSET(Calc2!$P$4,,,$F$26*B758,1))</f>
        <v>0</v>
      </c>
      <c r="P764" s="2"/>
      <c r="Q764" s="2"/>
      <c r="R764" s="13">
        <f t="shared" ca="1" si="141"/>
        <v>52500020059</v>
      </c>
      <c r="S764" s="134">
        <f>Tie_Break!$D$11</f>
        <v>0</v>
      </c>
      <c r="T764" s="9">
        <f ca="1">RANK(R764,R760:R779)+(9-S764)/10000+(F764="")*1000</f>
        <v>5.0008999999999997</v>
      </c>
      <c r="U764" s="134"/>
      <c r="V764" s="134">
        <f ca="1">IF($K$24=0,"",IF(VLOOKUP(B764,C760:E779,3,0)=MAX(V$4:V763),VLOOKUP(B764,C760:E779,3,0),B764))</f>
        <v>5</v>
      </c>
      <c r="W764" s="4" t="str">
        <f ca="1">IF($K$24=0,Calc2!$C$8,VLOOKUP(B764,C760:N779,4,0))</f>
        <v>Bayer 04 Leverkusen</v>
      </c>
      <c r="X764" s="1">
        <f ca="1">INDEX(V733:V752,MATCH(W764,W733:W752,0))</f>
        <v>6</v>
      </c>
      <c r="Y764" s="1">
        <f t="shared" ca="1" si="144"/>
        <v>1</v>
      </c>
    </row>
    <row r="765" spans="2:25" x14ac:dyDescent="0.2">
      <c r="B765" s="1">
        <v>6</v>
      </c>
      <c r="C765" s="9">
        <f ca="1">RANK(D765,D760:D779,1)</f>
        <v>2</v>
      </c>
      <c r="D765" s="134">
        <f t="shared" ca="1" si="142"/>
        <v>2.7650000000000001</v>
      </c>
      <c r="E765" s="134">
        <f ca="1">RANK(T765,T760:T779,1)</f>
        <v>2</v>
      </c>
      <c r="F765" s="187" t="str">
        <f>Calc2!$C$9</f>
        <v>Borussia Dortmund</v>
      </c>
      <c r="G765" s="1">
        <f ca="1">SUMIFS(OFFSET(Calc2!$H$4,,,$F$26*B758,1),OFFSET(Calc2!$F$4,,,$F$26*B758,1),F765)+SUMIFS(OFFSET(Calc2!$I$4,,,$F$26*B758,1),OFFSET(Calc2!$G$4,,,$F$26*B758,1),F765)</f>
        <v>60</v>
      </c>
      <c r="H765" s="1">
        <f ca="1">SUMIFS(OFFSET(Calc2!$I$4,,,$F$26*B758,1),OFFSET(Calc2!$F$4,,,$F$26*B758,1),F765)+SUMIFS(OFFSET(Calc2!$H$4,,,$F$26*B758,1),OFFSET(Calc2!$G$4,,,$F$26*B758,1),F765)</f>
        <v>29</v>
      </c>
      <c r="I765" s="134">
        <f t="shared" ca="1" si="140"/>
        <v>31</v>
      </c>
      <c r="J765" s="12">
        <f ca="1">L765*Settings!$C$3+M765+O765</f>
        <v>64</v>
      </c>
      <c r="K765" s="1">
        <f t="shared" ca="1" si="143"/>
        <v>29</v>
      </c>
      <c r="L765" s="1">
        <f t="array" aca="1" ref="L765" ca="1">SUMPRODUCT((OFFSET(Calc2!$F$4,,,$F$26*B758,1)=F765)*(OFFSET(Calc2!$H$4,,,$F$26*B758,1)&gt;OFFSET(Calc2!$I$4,,,$F$26*B758,1)))+SUMPRODUCT((OFFSET(Calc2!$G$4,,,$F$26*B758,1)=F765)*(OFFSET(Calc2!$H$4,,,$F$26*B758,1)&lt;OFFSET(Calc2!$I$4,,,$F$26*B758,1)))</f>
        <v>19</v>
      </c>
      <c r="M765" s="1">
        <f t="array" aca="1" ref="M765" ca="1">SUMPRODUCT((OFFSET(Calc2!$F$4,,,$F$26*B758,2)=F765)*(OFFSET(Calc2!$H$4,,,$F$26*B758,1)=OFFSET(Calc2!$I$4,,,$F$26*B758,1))*(OFFSET(Calc2!$H$4,,,$F$26*B758,1)&lt;&gt;"")*(OFFSET(Calc2!$I$4,,,$F$26*B758,1)&lt;&gt;""))</f>
        <v>7</v>
      </c>
      <c r="N765" s="1">
        <f t="array" aca="1" ref="N765" ca="1">SUMPRODUCT((OFFSET(Calc2!$F$4,,,$F$26*B758,1)=F765)*(OFFSET(Calc2!$H$4,,,$F$26*B758,1)&lt;OFFSET(Calc2!$I$4,,,$F$26*B758,1)))+SUMPRODUCT((OFFSET(Calc2!$G$4,,,$F$26*B758,1)=F765)*(OFFSET(Calc2!$H$4,,,$F$26*B758,1)&gt;OFFSET(Calc2!$I$4,,,$F$26*B758,1)))</f>
        <v>3</v>
      </c>
      <c r="O765" s="132">
        <f ca="1">SUMPRODUCT((F765=OFFSET(Calc2!$F$4,,,$F$26*B758,1))*OFFSET(Calc2!$O$4,,,$F$26*B758,1))+SUMPRODUCT((F765=OFFSET(Calc2!$G$4,,,$F$26*B758,1))*OFFSET(Calc2!$P$4,,,$F$26*B758,1))</f>
        <v>0</v>
      </c>
      <c r="P765" s="2"/>
      <c r="Q765" s="2"/>
      <c r="R765" s="13">
        <f t="shared" ca="1" si="141"/>
        <v>64500031060</v>
      </c>
      <c r="S765" s="134">
        <f>Tie_Break!$D$12</f>
        <v>0</v>
      </c>
      <c r="T765" s="9">
        <f ca="1">RANK(R765,R760:R779)+(9-S765)/10000+(F765="")*1000</f>
        <v>2.0009000000000001</v>
      </c>
      <c r="U765" s="134"/>
      <c r="V765" s="134">
        <f ca="1">IF($K$24=0,"",IF(VLOOKUP(B765,C760:E779,3,0)=MAX(V$4:V764),VLOOKUP(B765,C760:E779,3,0),B765))</f>
        <v>6</v>
      </c>
      <c r="W765" s="4" t="str">
        <f ca="1">IF($K$24=0,Calc2!$C$9,VLOOKUP(B765,C760:N779,4,0))</f>
        <v>TSG Hoffenheim</v>
      </c>
      <c r="X765" s="1">
        <f ca="1">INDEX(V733:V752,MATCH(W765,W733:W752,0))</f>
        <v>5</v>
      </c>
      <c r="Y765" s="1">
        <f t="shared" ca="1" si="144"/>
        <v>-1</v>
      </c>
    </row>
    <row r="766" spans="2:25" x14ac:dyDescent="0.2">
      <c r="B766" s="1">
        <v>7</v>
      </c>
      <c r="C766" s="9">
        <f ca="1">RANK(D766,D760:D779,1)</f>
        <v>14</v>
      </c>
      <c r="D766" s="134">
        <f t="shared" ca="1" si="142"/>
        <v>14.766</v>
      </c>
      <c r="E766" s="134">
        <f ca="1">RANK(T766,T760:T779,1)</f>
        <v>14</v>
      </c>
      <c r="F766" s="187" t="str">
        <f>Calc2!$C$10</f>
        <v>Borussia Mönchengladbach</v>
      </c>
      <c r="G766" s="1">
        <f ca="1">SUMIFS(OFFSET(Calc2!$H$4,,,$F$26*B758,1),OFFSET(Calc2!$F$4,,,$F$26*B758,1),F766)+SUMIFS(OFFSET(Calc2!$I$4,,,$F$26*B758,1),OFFSET(Calc2!$G$4,,,$F$26*B758,1),F766)</f>
        <v>35</v>
      </c>
      <c r="H766" s="1">
        <f ca="1">SUMIFS(OFFSET(Calc2!$I$4,,,$F$26*B758,1),OFFSET(Calc2!$F$4,,,$F$26*B758,1),F766)+SUMIFS(OFFSET(Calc2!$H$4,,,$F$26*B758,1),OFFSET(Calc2!$G$4,,,$F$26*B758,1),F766)</f>
        <v>49</v>
      </c>
      <c r="I766" s="134">
        <f t="shared" ca="1" si="140"/>
        <v>-14</v>
      </c>
      <c r="J766" s="12">
        <f ca="1">L766*Settings!$C$3+M766+O766</f>
        <v>30</v>
      </c>
      <c r="K766" s="1">
        <f t="shared" ca="1" si="143"/>
        <v>29</v>
      </c>
      <c r="L766" s="1">
        <f t="array" aca="1" ref="L766" ca="1">SUMPRODUCT((OFFSET(Calc2!$F$4,,,$F$26*B758,1)=F766)*(OFFSET(Calc2!$H$4,,,$F$26*B758,1)&gt;OFFSET(Calc2!$I$4,,,$F$26*B758,1)))+SUMPRODUCT((OFFSET(Calc2!$G$4,,,$F$26*B758,1)=F766)*(OFFSET(Calc2!$H$4,,,$F$26*B758,1)&lt;OFFSET(Calc2!$I$4,,,$F$26*B758,1)))</f>
        <v>7</v>
      </c>
      <c r="M766" s="1">
        <f t="array" aca="1" ref="M766" ca="1">SUMPRODUCT((OFFSET(Calc2!$F$4,,,$F$26*B758,2)=F766)*(OFFSET(Calc2!$H$4,,,$F$26*B758,1)=OFFSET(Calc2!$I$4,,,$F$26*B758,1))*(OFFSET(Calc2!$H$4,,,$F$26*B758,1)&lt;&gt;"")*(OFFSET(Calc2!$I$4,,,$F$26*B758,1)&lt;&gt;""))</f>
        <v>9</v>
      </c>
      <c r="N766" s="1">
        <f t="array" aca="1" ref="N766" ca="1">SUMPRODUCT((OFFSET(Calc2!$F$4,,,$F$26*B758,1)=F766)*(OFFSET(Calc2!$H$4,,,$F$26*B758,1)&lt;OFFSET(Calc2!$I$4,,,$F$26*B758,1)))+SUMPRODUCT((OFFSET(Calc2!$G$4,,,$F$26*B758,1)=F766)*(OFFSET(Calc2!$H$4,,,$F$26*B758,1)&gt;OFFSET(Calc2!$I$4,,,$F$26*B758,1)))</f>
        <v>13</v>
      </c>
      <c r="O766" s="132">
        <f ca="1">SUMPRODUCT((F766=OFFSET(Calc2!$F$4,,,$F$26*B758,1))*OFFSET(Calc2!$O$4,,,$F$26*B758,1))+SUMPRODUCT((F766=OFFSET(Calc2!$G$4,,,$F$26*B758,1))*OFFSET(Calc2!$P$4,,,$F$26*B758,1))</f>
        <v>0</v>
      </c>
      <c r="P766" s="2"/>
      <c r="Q766" s="2"/>
      <c r="R766" s="13">
        <f t="shared" ca="1" si="141"/>
        <v>30499986035</v>
      </c>
      <c r="S766" s="134">
        <f>Tie_Break!$D$13</f>
        <v>0</v>
      </c>
      <c r="T766" s="9">
        <f ca="1">RANK(R766,R760:R779)+(9-S766)/10000+(F766="")*1000</f>
        <v>14.0009</v>
      </c>
      <c r="U766" s="134"/>
      <c r="V766" s="134">
        <f ca="1">IF($K$24=0,"",IF(VLOOKUP(B766,C760:E779,3,0)=MAX(V$4:V765),VLOOKUP(B766,C760:E779,3,0),B766))</f>
        <v>7</v>
      </c>
      <c r="W766" s="4" t="str">
        <f ca="1">IF($K$24=0,Calc2!$C$10,VLOOKUP(B766,C760:N779,4,0))</f>
        <v>Eintracht Frankfurt</v>
      </c>
      <c r="X766" s="1">
        <f ca="1">INDEX(V733:V752,MATCH(W766,W733:W752,0))</f>
        <v>7</v>
      </c>
      <c r="Y766" s="1">
        <f t="shared" ca="1" si="144"/>
        <v>0</v>
      </c>
    </row>
    <row r="767" spans="2:25" x14ac:dyDescent="0.2">
      <c r="B767" s="1">
        <v>8</v>
      </c>
      <c r="C767" s="9">
        <f ca="1">RANK(D767,D760:D779,1)</f>
        <v>7</v>
      </c>
      <c r="D767" s="134">
        <f t="shared" ca="1" si="142"/>
        <v>7.7670000000000003</v>
      </c>
      <c r="E767" s="134">
        <f ca="1">RANK(T767,T760:T779,1)</f>
        <v>7</v>
      </c>
      <c r="F767" s="187" t="str">
        <f>Calc2!$C$11</f>
        <v>Eintracht Frankfurt</v>
      </c>
      <c r="G767" s="1">
        <f ca="1">SUMIFS(OFFSET(Calc2!$H$4,,,$F$26*B758,1),OFFSET(Calc2!$F$4,,,$F$26*B758,1),F767)+SUMIFS(OFFSET(Calc2!$I$4,,,$F$26*B758,1),OFFSET(Calc2!$G$4,,,$F$26*B758,1),F767)</f>
        <v>54</v>
      </c>
      <c r="H767" s="1">
        <f ca="1">SUMIFS(OFFSET(Calc2!$I$4,,,$F$26*B758,1),OFFSET(Calc2!$F$4,,,$F$26*B758,1),F767)+SUMIFS(OFFSET(Calc2!$H$4,,,$F$26*B758,1),OFFSET(Calc2!$G$4,,,$F$26*B758,1),F767)</f>
        <v>54</v>
      </c>
      <c r="I767" s="134">
        <f t="shared" ca="1" si="140"/>
        <v>0</v>
      </c>
      <c r="J767" s="12">
        <f ca="1">L767*Settings!$C$3+M767+O767</f>
        <v>42</v>
      </c>
      <c r="K767" s="1">
        <f t="shared" ca="1" si="143"/>
        <v>29</v>
      </c>
      <c r="L767" s="1">
        <f t="array" aca="1" ref="L767" ca="1">SUMPRODUCT((OFFSET(Calc2!$F$4,,,$F$26*B758,1)=F767)*(OFFSET(Calc2!$H$4,,,$F$26*B758,1)&gt;OFFSET(Calc2!$I$4,,,$F$26*B758,1)))+SUMPRODUCT((OFFSET(Calc2!$G$4,,,$F$26*B758,1)=F767)*(OFFSET(Calc2!$H$4,,,$F$26*B758,1)&lt;OFFSET(Calc2!$I$4,,,$F$26*B758,1)))</f>
        <v>11</v>
      </c>
      <c r="M767" s="1">
        <f t="array" aca="1" ref="M767" ca="1">SUMPRODUCT((OFFSET(Calc2!$F$4,,,$F$26*B758,2)=F767)*(OFFSET(Calc2!$H$4,,,$F$26*B758,1)=OFFSET(Calc2!$I$4,,,$F$26*B758,1))*(OFFSET(Calc2!$H$4,,,$F$26*B758,1)&lt;&gt;"")*(OFFSET(Calc2!$I$4,,,$F$26*B758,1)&lt;&gt;""))</f>
        <v>9</v>
      </c>
      <c r="N767" s="1">
        <f t="array" aca="1" ref="N767" ca="1">SUMPRODUCT((OFFSET(Calc2!$F$4,,,$F$26*B758,1)=F767)*(OFFSET(Calc2!$H$4,,,$F$26*B758,1)&lt;OFFSET(Calc2!$I$4,,,$F$26*B758,1)))+SUMPRODUCT((OFFSET(Calc2!$G$4,,,$F$26*B758,1)=F767)*(OFFSET(Calc2!$H$4,,,$F$26*B758,1)&gt;OFFSET(Calc2!$I$4,,,$F$26*B758,1)))</f>
        <v>9</v>
      </c>
      <c r="O767" s="132">
        <f ca="1">SUMPRODUCT((F767=OFFSET(Calc2!$F$4,,,$F$26*B758,1))*OFFSET(Calc2!$O$4,,,$F$26*B758,1))+SUMPRODUCT((F767=OFFSET(Calc2!$G$4,,,$F$26*B758,1))*OFFSET(Calc2!$P$4,,,$F$26*B758,1))</f>
        <v>0</v>
      </c>
      <c r="P767" s="2"/>
      <c r="Q767" s="2"/>
      <c r="R767" s="13">
        <f t="shared" ca="1" si="141"/>
        <v>42500000054</v>
      </c>
      <c r="S767" s="134">
        <f>Tie_Break!$D$14</f>
        <v>0</v>
      </c>
      <c r="T767" s="9">
        <f ca="1">RANK(R767,R760:R779)+(9-S767)/10000+(F767="")*1000</f>
        <v>7.0008999999999997</v>
      </c>
      <c r="U767" s="134"/>
      <c r="V767" s="134">
        <f ca="1">IF($K$24=0,"",IF(VLOOKUP(B767,C760:E779,3,0)=MAX(V$4:V766),VLOOKUP(B767,C760:E779,3,0),B767))</f>
        <v>8</v>
      </c>
      <c r="W767" s="4" t="str">
        <f ca="1">IF($K$24=0,Calc2!$C$11,VLOOKUP(B767,C760:N779,4,0))</f>
        <v>SC Freiburg</v>
      </c>
      <c r="X767" s="1">
        <f ca="1">INDEX(V733:V752,MATCH(W767,W733:W752,0))</f>
        <v>8</v>
      </c>
      <c r="Y767" s="1">
        <f t="shared" ca="1" si="144"/>
        <v>0</v>
      </c>
    </row>
    <row r="768" spans="2:25" x14ac:dyDescent="0.2">
      <c r="B768" s="1">
        <v>9</v>
      </c>
      <c r="C768" s="9">
        <f ca="1">RANK(D768,D760:D779,1)</f>
        <v>10</v>
      </c>
      <c r="D768" s="134">
        <f t="shared" ca="1" si="142"/>
        <v>10.768000000000001</v>
      </c>
      <c r="E768" s="134">
        <f ca="1">RANK(T768,T760:T779,1)</f>
        <v>10</v>
      </c>
      <c r="F768" s="187" t="str">
        <f>Calc2!$C$12</f>
        <v>FC Augsburg</v>
      </c>
      <c r="G768" s="1">
        <f ca="1">SUMIFS(OFFSET(Calc2!$H$4,,,$F$26*B758,1),OFFSET(Calc2!$F$4,,,$F$26*B758,1),F768)+SUMIFS(OFFSET(Calc2!$I$4,,,$F$26*B758,1),OFFSET(Calc2!$G$4,,,$F$26*B758,1),F768)</f>
        <v>36</v>
      </c>
      <c r="H768" s="1">
        <f ca="1">SUMIFS(OFFSET(Calc2!$I$4,,,$F$26*B758,1),OFFSET(Calc2!$F$4,,,$F$26*B758,1),F768)+SUMIFS(OFFSET(Calc2!$H$4,,,$F$26*B758,1),OFFSET(Calc2!$G$4,,,$F$26*B758,1),F768)</f>
        <v>53</v>
      </c>
      <c r="I768" s="134">
        <f t="shared" ca="1" si="140"/>
        <v>-17</v>
      </c>
      <c r="J768" s="12">
        <f ca="1">L768*Settings!$C$3+M768+O768</f>
        <v>33</v>
      </c>
      <c r="K768" s="1">
        <f t="shared" ca="1" si="143"/>
        <v>29</v>
      </c>
      <c r="L768" s="1">
        <f t="array" aca="1" ref="L768" ca="1">SUMPRODUCT((OFFSET(Calc2!$F$4,,,$F$26*B758,1)=F768)*(OFFSET(Calc2!$H$4,,,$F$26*B758,1)&gt;OFFSET(Calc2!$I$4,,,$F$26*B758,1)))+SUMPRODUCT((OFFSET(Calc2!$G$4,,,$F$26*B758,1)=F768)*(OFFSET(Calc2!$H$4,,,$F$26*B758,1)&lt;OFFSET(Calc2!$I$4,,,$F$26*B758,1)))</f>
        <v>9</v>
      </c>
      <c r="M768" s="1">
        <f t="array" aca="1" ref="M768" ca="1">SUMPRODUCT((OFFSET(Calc2!$F$4,,,$F$26*B758,2)=F768)*(OFFSET(Calc2!$H$4,,,$F$26*B758,1)=OFFSET(Calc2!$I$4,,,$F$26*B758,1))*(OFFSET(Calc2!$H$4,,,$F$26*B758,1)&lt;&gt;"")*(OFFSET(Calc2!$I$4,,,$F$26*B758,1)&lt;&gt;""))</f>
        <v>6</v>
      </c>
      <c r="N768" s="1">
        <f t="array" aca="1" ref="N768" ca="1">SUMPRODUCT((OFFSET(Calc2!$F$4,,,$F$26*B758,1)=F768)*(OFFSET(Calc2!$H$4,,,$F$26*B758,1)&lt;OFFSET(Calc2!$I$4,,,$F$26*B758,1)))+SUMPRODUCT((OFFSET(Calc2!$G$4,,,$F$26*B758,1)=F768)*(OFFSET(Calc2!$H$4,,,$F$26*B758,1)&gt;OFFSET(Calc2!$I$4,,,$F$26*B758,1)))</f>
        <v>14</v>
      </c>
      <c r="O768" s="132">
        <f ca="1">SUMPRODUCT((F768=OFFSET(Calc2!$F$4,,,$F$26*B758,1))*OFFSET(Calc2!$O$4,,,$F$26*B758,1))+SUMPRODUCT((F768=OFFSET(Calc2!$G$4,,,$F$26*B758,1))*OFFSET(Calc2!$P$4,,,$F$26*B758,1))</f>
        <v>0</v>
      </c>
      <c r="P768" s="2"/>
      <c r="Q768" s="2"/>
      <c r="R768" s="13">
        <f t="shared" ca="1" si="141"/>
        <v>33499983036</v>
      </c>
      <c r="S768" s="134">
        <f>Tie_Break!$D$15</f>
        <v>0</v>
      </c>
      <c r="T768" s="9">
        <f ca="1">RANK(R768,R760:R779)+(9-S768)/10000+(F768="")*1000</f>
        <v>10.0009</v>
      </c>
      <c r="U768" s="134"/>
      <c r="V768" s="134">
        <f ca="1">IF($K$24=0,"",IF(VLOOKUP(B768,C760:E779,3,0)=MAX(V$4:V767),VLOOKUP(B768,C760:E779,3,0),B768))</f>
        <v>9</v>
      </c>
      <c r="W768" s="4" t="str">
        <f ca="1">IF($K$24=0,Calc2!$C$12,VLOOKUP(B768,C760:N779,4,0))</f>
        <v>1. FSV Mainz 05</v>
      </c>
      <c r="X768" s="1">
        <f ca="1">INDEX(V733:V752,MATCH(W768,W733:W752,0))</f>
        <v>9</v>
      </c>
      <c r="Y768" s="1">
        <f t="shared" ca="1" si="144"/>
        <v>0</v>
      </c>
    </row>
    <row r="769" spans="2:25" x14ac:dyDescent="0.2">
      <c r="B769" s="1">
        <v>10</v>
      </c>
      <c r="C769" s="9">
        <f ca="1">RANK(D769,D760:D779,1)</f>
        <v>1</v>
      </c>
      <c r="D769" s="134">
        <f t="shared" ca="1" si="142"/>
        <v>1.7690000000000001</v>
      </c>
      <c r="E769" s="134">
        <f ca="1">RANK(T769,T760:T779,1)</f>
        <v>1</v>
      </c>
      <c r="F769" s="187" t="str">
        <f>Calc2!$C$13</f>
        <v>FC Bayern München</v>
      </c>
      <c r="G769" s="1">
        <f ca="1">SUMIFS(OFFSET(Calc2!$H$4,,,$F$26*B758,1),OFFSET(Calc2!$F$4,,,$F$26*B758,1),F769)+SUMIFS(OFFSET(Calc2!$I$4,,,$F$26*B758,1),OFFSET(Calc2!$G$4,,,$F$26*B758,1),F769)</f>
        <v>105</v>
      </c>
      <c r="H769" s="1">
        <f ca="1">SUMIFS(OFFSET(Calc2!$I$4,,,$F$26*B758,1),OFFSET(Calc2!$F$4,,,$F$26*B758,1),F769)+SUMIFS(OFFSET(Calc2!$H$4,,,$F$26*B758,1),OFFSET(Calc2!$G$4,,,$F$26*B758,1),F769)</f>
        <v>27</v>
      </c>
      <c r="I769" s="134">
        <f t="shared" ca="1" si="140"/>
        <v>78</v>
      </c>
      <c r="J769" s="12">
        <f ca="1">L769*Settings!$C$3+M769+O769</f>
        <v>76</v>
      </c>
      <c r="K769" s="1">
        <f t="shared" ca="1" si="143"/>
        <v>29</v>
      </c>
      <c r="L769" s="1">
        <f t="array" aca="1" ref="L769" ca="1">SUMPRODUCT((OFFSET(Calc2!$F$4,,,$F$26*B758,1)=F769)*(OFFSET(Calc2!$H$4,,,$F$26*B758,1)&gt;OFFSET(Calc2!$I$4,,,$F$26*B758,1)))+SUMPRODUCT((OFFSET(Calc2!$G$4,,,$F$26*B758,1)=F769)*(OFFSET(Calc2!$H$4,,,$F$26*B758,1)&lt;OFFSET(Calc2!$I$4,,,$F$26*B758,1)))</f>
        <v>24</v>
      </c>
      <c r="M769" s="1">
        <f t="array" aca="1" ref="M769" ca="1">SUMPRODUCT((OFFSET(Calc2!$F$4,,,$F$26*B758,2)=F769)*(OFFSET(Calc2!$H$4,,,$F$26*B758,1)=OFFSET(Calc2!$I$4,,,$F$26*B758,1))*(OFFSET(Calc2!$H$4,,,$F$26*B758,1)&lt;&gt;"")*(OFFSET(Calc2!$I$4,,,$F$26*B758,1)&lt;&gt;""))</f>
        <v>4</v>
      </c>
      <c r="N769" s="1">
        <f t="array" aca="1" ref="N769" ca="1">SUMPRODUCT((OFFSET(Calc2!$F$4,,,$F$26*B758,1)=F769)*(OFFSET(Calc2!$H$4,,,$F$26*B758,1)&lt;OFFSET(Calc2!$I$4,,,$F$26*B758,1)))+SUMPRODUCT((OFFSET(Calc2!$G$4,,,$F$26*B758,1)=F769)*(OFFSET(Calc2!$H$4,,,$F$26*B758,1)&gt;OFFSET(Calc2!$I$4,,,$F$26*B758,1)))</f>
        <v>1</v>
      </c>
      <c r="O769" s="132">
        <f ca="1">SUMPRODUCT((F769=OFFSET(Calc2!$F$4,,,$F$26*B758,1))*OFFSET(Calc2!$O$4,,,$F$26*B758,1))+SUMPRODUCT((F769=OFFSET(Calc2!$G$4,,,$F$26*B758,1))*OFFSET(Calc2!$P$4,,,$F$26*B758,1))</f>
        <v>0</v>
      </c>
      <c r="P769" s="2"/>
      <c r="Q769" s="2"/>
      <c r="R769" s="13">
        <f t="shared" ca="1" si="141"/>
        <v>76500078105</v>
      </c>
      <c r="S769" s="134">
        <f>Tie_Break!$D$16</f>
        <v>0</v>
      </c>
      <c r="T769" s="9">
        <f ca="1">RANK(R769,R760:R779)+(9-S769)/10000+(F769="")*1000</f>
        <v>1.0008999999999999</v>
      </c>
      <c r="U769" s="2"/>
      <c r="V769" s="134">
        <f ca="1">IF($K$24=0,"",IF(VLOOKUP(B769,C760:E779,3,0)=MAX(V$4:V768),VLOOKUP(B769,C760:E779,3,0),B769))</f>
        <v>10</v>
      </c>
      <c r="W769" s="4" t="str">
        <f ca="1">IF($K$24=0,Calc2!$C$13,VLOOKUP(B769,C760:N779,4,0))</f>
        <v>FC Augsburg</v>
      </c>
      <c r="X769" s="1">
        <f ca="1">INDEX(V733:V752,MATCH(W769,W733:W752,0))</f>
        <v>11</v>
      </c>
      <c r="Y769" s="1">
        <f t="shared" ca="1" si="144"/>
        <v>1</v>
      </c>
    </row>
    <row r="770" spans="2:25" x14ac:dyDescent="0.2">
      <c r="B770" s="1">
        <v>11</v>
      </c>
      <c r="C770" s="9">
        <f ca="1">RANK(D770,D760:D779,1)</f>
        <v>16</v>
      </c>
      <c r="D770" s="134">
        <f t="shared" ca="1" si="142"/>
        <v>16.77</v>
      </c>
      <c r="E770" s="134">
        <f ca="1">RANK(T770,T760:T779,1)</f>
        <v>16</v>
      </c>
      <c r="F770" s="187" t="str">
        <f>Calc2!$C$14</f>
        <v>FC St. Pauli</v>
      </c>
      <c r="G770" s="1">
        <f ca="1">SUMIFS(OFFSET(Calc2!$H$4,,,$F$26*B758,1),OFFSET(Calc2!$F$4,,,$F$26*B758,1),F770)+SUMIFS(OFFSET(Calc2!$I$4,,,$F$26*B758,1),OFFSET(Calc2!$G$4,,,$F$26*B758,1),F770)</f>
        <v>25</v>
      </c>
      <c r="H770" s="1">
        <f ca="1">SUMIFS(OFFSET(Calc2!$I$4,,,$F$26*B758,1),OFFSET(Calc2!$F$4,,,$F$26*B758,1),F770)+SUMIFS(OFFSET(Calc2!$H$4,,,$F$26*B758,1),OFFSET(Calc2!$G$4,,,$F$26*B758,1),F770)</f>
        <v>50</v>
      </c>
      <c r="I770" s="134">
        <f t="shared" ca="1" si="140"/>
        <v>-25</v>
      </c>
      <c r="J770" s="12">
        <f ca="1">L770*Settings!$C$3+M770+O770</f>
        <v>25</v>
      </c>
      <c r="K770" s="1">
        <f t="shared" ca="1" si="143"/>
        <v>29</v>
      </c>
      <c r="L770" s="1">
        <f t="array" aca="1" ref="L770" ca="1">SUMPRODUCT((OFFSET(Calc2!$F$4,,,$F$26*B758,1)=F770)*(OFFSET(Calc2!$H$4,,,$F$26*B758,1)&gt;OFFSET(Calc2!$I$4,,,$F$26*B758,1)))+SUMPRODUCT((OFFSET(Calc2!$G$4,,,$F$26*B758,1)=F770)*(OFFSET(Calc2!$H$4,,,$F$26*B758,1)&lt;OFFSET(Calc2!$I$4,,,$F$26*B758,1)))</f>
        <v>6</v>
      </c>
      <c r="M770" s="1">
        <f t="array" aca="1" ref="M770" ca="1">SUMPRODUCT((OFFSET(Calc2!$F$4,,,$F$26*B758,2)=F770)*(OFFSET(Calc2!$H$4,,,$F$26*B758,1)=OFFSET(Calc2!$I$4,,,$F$26*B758,1))*(OFFSET(Calc2!$H$4,,,$F$26*B758,1)&lt;&gt;"")*(OFFSET(Calc2!$I$4,,,$F$26*B758,1)&lt;&gt;""))</f>
        <v>7</v>
      </c>
      <c r="N770" s="1">
        <f t="array" aca="1" ref="N770" ca="1">SUMPRODUCT((OFFSET(Calc2!$F$4,,,$F$26*B758,1)=F770)*(OFFSET(Calc2!$H$4,,,$F$26*B758,1)&lt;OFFSET(Calc2!$I$4,,,$F$26*B758,1)))+SUMPRODUCT((OFFSET(Calc2!$G$4,,,$F$26*B758,1)=F770)*(OFFSET(Calc2!$H$4,,,$F$26*B758,1)&gt;OFFSET(Calc2!$I$4,,,$F$26*B758,1)))</f>
        <v>16</v>
      </c>
      <c r="O770" s="132">
        <f ca="1">SUMPRODUCT((F770=OFFSET(Calc2!$F$4,,,$F$26*B758,1))*OFFSET(Calc2!$O$4,,,$F$26*B758,1))+SUMPRODUCT((F770=OFFSET(Calc2!$G$4,,,$F$26*B758,1))*OFFSET(Calc2!$P$4,,,$F$26*B758,1))</f>
        <v>0</v>
      </c>
      <c r="P770" s="2"/>
      <c r="Q770" s="2"/>
      <c r="R770" s="13">
        <f t="shared" ca="1" si="141"/>
        <v>25499975025</v>
      </c>
      <c r="S770" s="134">
        <f>Tie_Break!$D$17</f>
        <v>0</v>
      </c>
      <c r="T770" s="9">
        <f ca="1">RANK(R770,R760:R779)+(9-S770)/10000+(F770="")*1000</f>
        <v>16.000900000000001</v>
      </c>
      <c r="U770" s="2"/>
      <c r="V770" s="134">
        <f ca="1">IF($K$24=0,"",IF(VLOOKUP(B770,C760:E779,3,0)=MAX(V$4:V769),VLOOKUP(B770,C760:E779,3,0),B770))</f>
        <v>11</v>
      </c>
      <c r="W770" s="4" t="str">
        <f ca="1">IF($K$24=0,Calc2!$C$14,VLOOKUP(B770,C760:N779,4,0))</f>
        <v>1. FC Union Berlin</v>
      </c>
      <c r="X770" s="1">
        <f ca="1">INDEX(V733:V752,MATCH(W770,W733:W752,0))</f>
        <v>10</v>
      </c>
      <c r="Y770" s="1">
        <f t="shared" ca="1" si="144"/>
        <v>-1</v>
      </c>
    </row>
    <row r="771" spans="2:25" x14ac:dyDescent="0.2">
      <c r="B771" s="1">
        <v>12</v>
      </c>
      <c r="C771" s="9">
        <f ca="1">RANK(D771,D760:D779,1)</f>
        <v>12</v>
      </c>
      <c r="D771" s="134">
        <f t="shared" ca="1" si="142"/>
        <v>12.771000000000001</v>
      </c>
      <c r="E771" s="134">
        <f ca="1">RANK(T771,T760:T779,1)</f>
        <v>12</v>
      </c>
      <c r="F771" s="187" t="str">
        <f>Calc2!$C$15</f>
        <v>Hamburger SV</v>
      </c>
      <c r="G771" s="1">
        <f ca="1">SUMIFS(OFFSET(Calc2!$H$4,,,$F$26*B758,1),OFFSET(Calc2!$F$4,,,$F$26*B758,1),F771)+SUMIFS(OFFSET(Calc2!$I$4,,,$F$26*B758,1),OFFSET(Calc2!$G$4,,,$F$26*B758,1),F771)</f>
        <v>32</v>
      </c>
      <c r="H771" s="1">
        <f ca="1">SUMIFS(OFFSET(Calc2!$I$4,,,$F$26*B758,1),OFFSET(Calc2!$F$4,,,$F$26*B758,1),F771)+SUMIFS(OFFSET(Calc2!$H$4,,,$F$26*B758,1),OFFSET(Calc2!$G$4,,,$F$26*B758,1),F771)</f>
        <v>45</v>
      </c>
      <c r="I771" s="134">
        <f t="shared" ca="1" si="140"/>
        <v>-13</v>
      </c>
      <c r="J771" s="12">
        <f ca="1">L771*Settings!$C$3+M771+O771</f>
        <v>31</v>
      </c>
      <c r="K771" s="1">
        <f t="shared" ca="1" si="143"/>
        <v>29</v>
      </c>
      <c r="L771" s="1">
        <f t="array" aca="1" ref="L771" ca="1">SUMPRODUCT((OFFSET(Calc2!$F$4,,,$F$26*B758,1)=F771)*(OFFSET(Calc2!$H$4,,,$F$26*B758,1)&gt;OFFSET(Calc2!$I$4,,,$F$26*B758,1)))+SUMPRODUCT((OFFSET(Calc2!$G$4,,,$F$26*B758,1)=F771)*(OFFSET(Calc2!$H$4,,,$F$26*B758,1)&lt;OFFSET(Calc2!$I$4,,,$F$26*B758,1)))</f>
        <v>7</v>
      </c>
      <c r="M771" s="1">
        <f t="array" aca="1" ref="M771" ca="1">SUMPRODUCT((OFFSET(Calc2!$F$4,,,$F$26*B758,2)=F771)*(OFFSET(Calc2!$H$4,,,$F$26*B758,1)=OFFSET(Calc2!$I$4,,,$F$26*B758,1))*(OFFSET(Calc2!$H$4,,,$F$26*B758,1)&lt;&gt;"")*(OFFSET(Calc2!$I$4,,,$F$26*B758,1)&lt;&gt;""))</f>
        <v>10</v>
      </c>
      <c r="N771" s="1">
        <f t="array" aca="1" ref="N771" ca="1">SUMPRODUCT((OFFSET(Calc2!$F$4,,,$F$26*B758,1)=F771)*(OFFSET(Calc2!$H$4,,,$F$26*B758,1)&lt;OFFSET(Calc2!$I$4,,,$F$26*B758,1)))+SUMPRODUCT((OFFSET(Calc2!$G$4,,,$F$26*B758,1)=F771)*(OFFSET(Calc2!$H$4,,,$F$26*B758,1)&gt;OFFSET(Calc2!$I$4,,,$F$26*B758,1)))</f>
        <v>12</v>
      </c>
      <c r="O771" s="132">
        <f ca="1">SUMPRODUCT((F771=OFFSET(Calc2!$F$4,,,$F$26*B758,1))*OFFSET(Calc2!$O$4,,,$F$26*B758,1))+SUMPRODUCT((F771=OFFSET(Calc2!$G$4,,,$F$26*B758,1))*OFFSET(Calc2!$P$4,,,$F$26*B758,1))</f>
        <v>0</v>
      </c>
      <c r="P771" s="2"/>
      <c r="Q771" s="2"/>
      <c r="R771" s="13">
        <f t="shared" ca="1" si="141"/>
        <v>31499987032</v>
      </c>
      <c r="S771" s="134">
        <f>Tie_Break!$D$18</f>
        <v>0</v>
      </c>
      <c r="T771" s="9">
        <f ca="1">RANK(R771,R760:R779)+(9-S771)/10000+(F771="")*1000</f>
        <v>12.0009</v>
      </c>
      <c r="U771" s="2"/>
      <c r="V771" s="134">
        <f ca="1">IF($K$24=0,"",IF(VLOOKUP(B771,C760:E779,3,0)=MAX(V$4:V770),VLOOKUP(B771,C760:E779,3,0),B771))</f>
        <v>12</v>
      </c>
      <c r="W771" s="4" t="str">
        <f ca="1">IF($K$24=0,Calc2!$C$15,VLOOKUP(B771,C760:N779,4,0))</f>
        <v>Hamburger SV</v>
      </c>
      <c r="X771" s="1">
        <f ca="1">INDEX(V733:V752,MATCH(W771,W733:W752,0))</f>
        <v>12</v>
      </c>
      <c r="Y771" s="1">
        <f t="shared" ca="1" si="144"/>
        <v>0</v>
      </c>
    </row>
    <row r="772" spans="2:25" x14ac:dyDescent="0.2">
      <c r="B772" s="1">
        <v>13</v>
      </c>
      <c r="C772" s="9">
        <f ca="1">RANK(D772,D760:D779,1)</f>
        <v>4</v>
      </c>
      <c r="D772" s="134">
        <f t="shared" ca="1" si="142"/>
        <v>4.7720000000000002</v>
      </c>
      <c r="E772" s="134">
        <f ca="1">RANK(T772,T760:T779,1)</f>
        <v>4</v>
      </c>
      <c r="F772" s="187" t="str">
        <f>Calc2!$C$16</f>
        <v>RB Leipzig</v>
      </c>
      <c r="G772" s="1">
        <f ca="1">SUMIFS(OFFSET(Calc2!$H$4,,,$F$26*B758,1),OFFSET(Calc2!$F$4,,,$F$26*B758,1),F772)+SUMIFS(OFFSET(Calc2!$I$4,,,$F$26*B758,1),OFFSET(Calc2!$G$4,,,$F$26*B758,1),F772)</f>
        <v>56</v>
      </c>
      <c r="H772" s="1">
        <f ca="1">SUMIFS(OFFSET(Calc2!$I$4,,,$F$26*B758,1),OFFSET(Calc2!$F$4,,,$F$26*B758,1),F772)+SUMIFS(OFFSET(Calc2!$H$4,,,$F$26*B758,1),OFFSET(Calc2!$G$4,,,$F$26*B758,1),F772)</f>
        <v>36</v>
      </c>
      <c r="I772" s="134">
        <f t="shared" ca="1" si="140"/>
        <v>20</v>
      </c>
      <c r="J772" s="12">
        <f ca="1">L772*Settings!$C$3+M772+O772</f>
        <v>56</v>
      </c>
      <c r="K772" s="1">
        <f t="shared" ca="1" si="143"/>
        <v>29</v>
      </c>
      <c r="L772" s="1">
        <f t="array" aca="1" ref="L772" ca="1">SUMPRODUCT((OFFSET(Calc2!$F$4,,,$F$26*B758,1)=F772)*(OFFSET(Calc2!$H$4,,,$F$26*B758,1)&gt;OFFSET(Calc2!$I$4,,,$F$26*B758,1)))+SUMPRODUCT((OFFSET(Calc2!$G$4,,,$F$26*B758,1)=F772)*(OFFSET(Calc2!$H$4,,,$F$26*B758,1)&lt;OFFSET(Calc2!$I$4,,,$F$26*B758,1)))</f>
        <v>17</v>
      </c>
      <c r="M772" s="1">
        <f t="array" aca="1" ref="M772" ca="1">SUMPRODUCT((OFFSET(Calc2!$F$4,,,$F$26*B758,2)=F772)*(OFFSET(Calc2!$H$4,,,$F$26*B758,1)=OFFSET(Calc2!$I$4,,,$F$26*B758,1))*(OFFSET(Calc2!$H$4,,,$F$26*B758,1)&lt;&gt;"")*(OFFSET(Calc2!$I$4,,,$F$26*B758,1)&lt;&gt;""))</f>
        <v>5</v>
      </c>
      <c r="N772" s="1">
        <f t="array" aca="1" ref="N772" ca="1">SUMPRODUCT((OFFSET(Calc2!$F$4,,,$F$26*B758,1)=F772)*(OFFSET(Calc2!$H$4,,,$F$26*B758,1)&lt;OFFSET(Calc2!$I$4,,,$F$26*B758,1)))+SUMPRODUCT((OFFSET(Calc2!$G$4,,,$F$26*B758,1)=F772)*(OFFSET(Calc2!$H$4,,,$F$26*B758,1)&gt;OFFSET(Calc2!$I$4,,,$F$26*B758,1)))</f>
        <v>7</v>
      </c>
      <c r="O772" s="132">
        <f ca="1">SUMPRODUCT((F772=OFFSET(Calc2!$F$4,,,$F$26*B758,1))*OFFSET(Calc2!$O$4,,,$F$26*B758,1))+SUMPRODUCT((F772=OFFSET(Calc2!$G$4,,,$F$26*B758,1))*OFFSET(Calc2!$P$4,,,$F$26*B758,1))</f>
        <v>0</v>
      </c>
      <c r="P772" s="2"/>
      <c r="Q772" s="2"/>
      <c r="R772" s="13">
        <f t="shared" ca="1" si="141"/>
        <v>56500020056</v>
      </c>
      <c r="S772" s="134">
        <f>Tie_Break!$D$19</f>
        <v>0</v>
      </c>
      <c r="T772" s="9">
        <f ca="1">RANK(R772,R760:R779)+(9-S772)/10000+(F772="")*1000</f>
        <v>4.0008999999999997</v>
      </c>
      <c r="U772" s="1"/>
      <c r="V772" s="134">
        <f ca="1">IF($K$24=0,"",IF(VLOOKUP(B772,C760:E779,3,0)=MAX(V$4:V771),VLOOKUP(B772,C760:E779,3,0),B772))</f>
        <v>13</v>
      </c>
      <c r="W772" s="4" t="str">
        <f ca="1">IF($K$24=0,Calc2!$C$16,VLOOKUP(B772,C760:N779,4,0))</f>
        <v>1. FC Köln</v>
      </c>
      <c r="X772" s="1">
        <f ca="1">INDEX(V733:V752,MATCH(W772,W733:W752,0))</f>
        <v>15</v>
      </c>
      <c r="Y772" s="1">
        <f t="shared" ca="1" si="144"/>
        <v>1</v>
      </c>
    </row>
    <row r="773" spans="2:25" x14ac:dyDescent="0.2">
      <c r="B773" s="1">
        <v>14</v>
      </c>
      <c r="C773" s="9">
        <f ca="1">RANK(D773,D760:D779,1)</f>
        <v>8</v>
      </c>
      <c r="D773" s="134">
        <f t="shared" ca="1" si="142"/>
        <v>8.7729999999999997</v>
      </c>
      <c r="E773" s="134">
        <f ca="1">RANK(T773,T760:T779,1)</f>
        <v>8</v>
      </c>
      <c r="F773" s="187" t="str">
        <f>Calc2!$C$17</f>
        <v>SC Freiburg</v>
      </c>
      <c r="G773" s="1">
        <f ca="1">SUMIFS(OFFSET(Calc2!$H$4,,,$F$26*B758,1),OFFSET(Calc2!$F$4,,,$F$26*B758,1),F773)+SUMIFS(OFFSET(Calc2!$I$4,,,$F$26*B758,1),OFFSET(Calc2!$G$4,,,$F$26*B758,1),F773)</f>
        <v>42</v>
      </c>
      <c r="H773" s="1">
        <f ca="1">SUMIFS(OFFSET(Calc2!$I$4,,,$F$26*B758,1),OFFSET(Calc2!$F$4,,,$F$26*B758,1),F773)+SUMIFS(OFFSET(Calc2!$H$4,,,$F$26*B758,1),OFFSET(Calc2!$G$4,,,$F$26*B758,1),F773)</f>
        <v>47</v>
      </c>
      <c r="I773" s="134">
        <f t="shared" ca="1" si="140"/>
        <v>-5</v>
      </c>
      <c r="J773" s="12">
        <f ca="1">L773*Settings!$C$3+M773+O773</f>
        <v>40</v>
      </c>
      <c r="K773" s="1">
        <f t="shared" ca="1" si="143"/>
        <v>29</v>
      </c>
      <c r="L773" s="1">
        <f t="array" aca="1" ref="L773" ca="1">SUMPRODUCT((OFFSET(Calc2!$F$4,,,$F$26*B758,1)=F773)*(OFFSET(Calc2!$H$4,,,$F$26*B758,1)&gt;OFFSET(Calc2!$I$4,,,$F$26*B758,1)))+SUMPRODUCT((OFFSET(Calc2!$G$4,,,$F$26*B758,1)=F773)*(OFFSET(Calc2!$H$4,,,$F$26*B758,1)&lt;OFFSET(Calc2!$I$4,,,$F$26*B758,1)))</f>
        <v>11</v>
      </c>
      <c r="M773" s="1">
        <f t="array" aca="1" ref="M773" ca="1">SUMPRODUCT((OFFSET(Calc2!$F$4,,,$F$26*B758,2)=F773)*(OFFSET(Calc2!$H$4,,,$F$26*B758,1)=OFFSET(Calc2!$I$4,,,$F$26*B758,1))*(OFFSET(Calc2!$H$4,,,$F$26*B758,1)&lt;&gt;"")*(OFFSET(Calc2!$I$4,,,$F$26*B758,1)&lt;&gt;""))</f>
        <v>7</v>
      </c>
      <c r="N773" s="1">
        <f t="array" aca="1" ref="N773" ca="1">SUMPRODUCT((OFFSET(Calc2!$F$4,,,$F$26*B758,1)=F773)*(OFFSET(Calc2!$H$4,,,$F$26*B758,1)&lt;OFFSET(Calc2!$I$4,,,$F$26*B758,1)))+SUMPRODUCT((OFFSET(Calc2!$G$4,,,$F$26*B758,1)=F773)*(OFFSET(Calc2!$H$4,,,$F$26*B758,1)&gt;OFFSET(Calc2!$I$4,,,$F$26*B758,1)))</f>
        <v>11</v>
      </c>
      <c r="O773" s="132">
        <f ca="1">SUMPRODUCT((F773=OFFSET(Calc2!$F$4,,,$F$26*B758,1))*OFFSET(Calc2!$O$4,,,$F$26*B758,1))+SUMPRODUCT((F773=OFFSET(Calc2!$G$4,,,$F$26*B758,1))*OFFSET(Calc2!$P$4,,,$F$26*B758,1))</f>
        <v>0</v>
      </c>
      <c r="P773" s="2"/>
      <c r="Q773" s="2"/>
      <c r="R773" s="13">
        <f t="shared" ca="1" si="141"/>
        <v>40499995042</v>
      </c>
      <c r="S773" s="134">
        <f>Tie_Break!$D$20</f>
        <v>0</v>
      </c>
      <c r="T773" s="9">
        <f ca="1">RANK(R773,R760:R779)+(9-S773)/10000+(F773="")*1000</f>
        <v>8.0008999999999997</v>
      </c>
      <c r="U773" s="2"/>
      <c r="V773" s="134">
        <f ca="1">IF($K$24=0,"",IF(VLOOKUP(B773,C760:E779,3,0)=MAX(V$4:V772),VLOOKUP(B773,C760:E779,3,0),B773))</f>
        <v>14</v>
      </c>
      <c r="W773" s="4" t="str">
        <f ca="1">IF($K$24=0,Calc2!$C$17,VLOOKUP(B773,C760:N779,4,0))</f>
        <v>Borussia Mönchengladbach</v>
      </c>
      <c r="X773" s="1">
        <f ca="1">INDEX(V733:V752,MATCH(W773,W733:W752,0))</f>
        <v>13</v>
      </c>
      <c r="Y773" s="1">
        <f t="shared" ca="1" si="144"/>
        <v>-1</v>
      </c>
    </row>
    <row r="774" spans="2:25" x14ac:dyDescent="0.2">
      <c r="B774" s="1">
        <v>15</v>
      </c>
      <c r="C774" s="9">
        <f ca="1">RANK(D774,D760:D779,1)</f>
        <v>15</v>
      </c>
      <c r="D774" s="134">
        <f t="shared" ca="1" si="142"/>
        <v>15.774000000000001</v>
      </c>
      <c r="E774" s="134">
        <f ca="1">RANK(T774,T760:T779,1)</f>
        <v>15</v>
      </c>
      <c r="F774" s="187" t="str">
        <f>Calc2!$C$18</f>
        <v>SV Werder Bremen</v>
      </c>
      <c r="G774" s="1">
        <f ca="1">SUMIFS(OFFSET(Calc2!$H$4,,,$F$26*B758,1),OFFSET(Calc2!$F$4,,,$F$26*B758,1),F774)+SUMIFS(OFFSET(Calc2!$I$4,,,$F$26*B758,1),OFFSET(Calc2!$G$4,,,$F$26*B758,1),F774)</f>
        <v>32</v>
      </c>
      <c r="H774" s="1">
        <f ca="1">SUMIFS(OFFSET(Calc2!$I$4,,,$F$26*B758,1),OFFSET(Calc2!$F$4,,,$F$26*B758,1),F774)+SUMIFS(OFFSET(Calc2!$H$4,,,$F$26*B758,1),OFFSET(Calc2!$G$4,,,$F$26*B758,1),F774)</f>
        <v>52</v>
      </c>
      <c r="I774" s="134">
        <f t="shared" ca="1" si="140"/>
        <v>-20</v>
      </c>
      <c r="J774" s="12">
        <f ca="1">L774*Settings!$C$3+M774+O774</f>
        <v>28</v>
      </c>
      <c r="K774" s="1">
        <f t="shared" ca="1" si="143"/>
        <v>29</v>
      </c>
      <c r="L774" s="1">
        <f t="array" aca="1" ref="L774" ca="1">SUMPRODUCT((OFFSET(Calc2!$F$4,,,$F$26*B758,1)=F774)*(OFFSET(Calc2!$H$4,,,$F$26*B758,1)&gt;OFFSET(Calc2!$I$4,,,$F$26*B758,1)))+SUMPRODUCT((OFFSET(Calc2!$G$4,,,$F$26*B758,1)=F774)*(OFFSET(Calc2!$H$4,,,$F$26*B758,1)&lt;OFFSET(Calc2!$I$4,,,$F$26*B758,1)))</f>
        <v>7</v>
      </c>
      <c r="M774" s="1">
        <f t="array" aca="1" ref="M774" ca="1">SUMPRODUCT((OFFSET(Calc2!$F$4,,,$F$26*B758,2)=F774)*(OFFSET(Calc2!$H$4,,,$F$26*B758,1)=OFFSET(Calc2!$I$4,,,$F$26*B758,1))*(OFFSET(Calc2!$H$4,,,$F$26*B758,1)&lt;&gt;"")*(OFFSET(Calc2!$I$4,,,$F$26*B758,1)&lt;&gt;""))</f>
        <v>7</v>
      </c>
      <c r="N774" s="1">
        <f t="array" aca="1" ref="N774" ca="1">SUMPRODUCT((OFFSET(Calc2!$F$4,,,$F$26*B758,1)=F774)*(OFFSET(Calc2!$H$4,,,$F$26*B758,1)&lt;OFFSET(Calc2!$I$4,,,$F$26*B758,1)))+SUMPRODUCT((OFFSET(Calc2!$G$4,,,$F$26*B758,1)=F774)*(OFFSET(Calc2!$H$4,,,$F$26*B758,1)&gt;OFFSET(Calc2!$I$4,,,$F$26*B758,1)))</f>
        <v>15</v>
      </c>
      <c r="O774" s="132">
        <f ca="1">SUMPRODUCT((F774=OFFSET(Calc2!$F$4,,,$F$26*B758,1))*OFFSET(Calc2!$O$4,,,$F$26*B758,1))+SUMPRODUCT((F774=OFFSET(Calc2!$G$4,,,$F$26*B758,1))*OFFSET(Calc2!$P$4,,,$F$26*B758,1))</f>
        <v>0</v>
      </c>
      <c r="P774" s="2"/>
      <c r="Q774" s="2"/>
      <c r="R774" s="13">
        <f t="shared" ca="1" si="141"/>
        <v>28499980032</v>
      </c>
      <c r="S774" s="134">
        <f>Tie_Break!$D$21</f>
        <v>0</v>
      </c>
      <c r="T774" s="9">
        <f ca="1">RANK(R774,R760:R779)+(9-S774)/10000+(F774="")*1000</f>
        <v>15.0009</v>
      </c>
      <c r="U774" s="2"/>
      <c r="V774" s="134">
        <f ca="1">IF($K$24=0,"",IF(VLOOKUP(B774,C760:E779,3,0)=MAX(V$4:V773),VLOOKUP(B774,C760:E779,3,0),B774))</f>
        <v>15</v>
      </c>
      <c r="W774" s="4" t="str">
        <f ca="1">IF($K$24=0,Calc2!$C$18,VLOOKUP(B774,C760:N779,4,0))</f>
        <v>SV Werder Bremen</v>
      </c>
      <c r="X774" s="1">
        <f ca="1">INDEX(V733:V752,MATCH(W774,W733:W752,0))</f>
        <v>14</v>
      </c>
      <c r="Y774" s="1">
        <f t="shared" ca="1" si="144"/>
        <v>-1</v>
      </c>
    </row>
    <row r="775" spans="2:25" x14ac:dyDescent="0.2">
      <c r="B775" s="1">
        <v>16</v>
      </c>
      <c r="C775" s="9">
        <f ca="1">RANK(D775,D760:D779,1)</f>
        <v>6</v>
      </c>
      <c r="D775" s="134">
        <f t="shared" ca="1" si="142"/>
        <v>6.7750000000000004</v>
      </c>
      <c r="E775" s="134">
        <f ca="1">RANK(T775,T760:T779,1)</f>
        <v>6</v>
      </c>
      <c r="F775" s="187" t="str">
        <f>Calc2!$C$19</f>
        <v>TSG Hoffenheim</v>
      </c>
      <c r="G775" s="1">
        <f ca="1">SUMIFS(OFFSET(Calc2!$H$4,,,$F$26*B758,1),OFFSET(Calc2!$F$4,,,$F$26*B758,1),F775)+SUMIFS(OFFSET(Calc2!$I$4,,,$F$26*B758,1),OFFSET(Calc2!$G$4,,,$F$26*B758,1),F775)</f>
        <v>57</v>
      </c>
      <c r="H775" s="1">
        <f ca="1">SUMIFS(OFFSET(Calc2!$I$4,,,$F$26*B758,1),OFFSET(Calc2!$F$4,,,$F$26*B758,1),F775)+SUMIFS(OFFSET(Calc2!$H$4,,,$F$26*B758,1),OFFSET(Calc2!$G$4,,,$F$26*B758,1),F775)</f>
        <v>43</v>
      </c>
      <c r="I775" s="134">
        <f t="shared" ca="1" si="140"/>
        <v>14</v>
      </c>
      <c r="J775" s="12">
        <f ca="1">L775*Settings!$C$3+M775+O775</f>
        <v>51</v>
      </c>
      <c r="K775" s="1">
        <f t="shared" ca="1" si="143"/>
        <v>29</v>
      </c>
      <c r="L775" s="1">
        <f t="array" aca="1" ref="L775" ca="1">SUMPRODUCT((OFFSET(Calc2!$F$4,,,$F$26*B758,1)=F775)*(OFFSET(Calc2!$H$4,,,$F$26*B758,1)&gt;OFFSET(Calc2!$I$4,,,$F$26*B758,1)))+SUMPRODUCT((OFFSET(Calc2!$G$4,,,$F$26*B758,1)=F775)*(OFFSET(Calc2!$H$4,,,$F$26*B758,1)&lt;OFFSET(Calc2!$I$4,,,$F$26*B758,1)))</f>
        <v>15</v>
      </c>
      <c r="M775" s="1">
        <f t="array" aca="1" ref="M775" ca="1">SUMPRODUCT((OFFSET(Calc2!$F$4,,,$F$26*B758,2)=F775)*(OFFSET(Calc2!$H$4,,,$F$26*B758,1)=OFFSET(Calc2!$I$4,,,$F$26*B758,1))*(OFFSET(Calc2!$H$4,,,$F$26*B758,1)&lt;&gt;"")*(OFFSET(Calc2!$I$4,,,$F$26*B758,1)&lt;&gt;""))</f>
        <v>6</v>
      </c>
      <c r="N775" s="1">
        <f t="array" aca="1" ref="N775" ca="1">SUMPRODUCT((OFFSET(Calc2!$F$4,,,$F$26*B758,1)=F775)*(OFFSET(Calc2!$H$4,,,$F$26*B758,1)&lt;OFFSET(Calc2!$I$4,,,$F$26*B758,1)))+SUMPRODUCT((OFFSET(Calc2!$G$4,,,$F$26*B758,1)=F775)*(OFFSET(Calc2!$H$4,,,$F$26*B758,1)&gt;OFFSET(Calc2!$I$4,,,$F$26*B758,1)))</f>
        <v>8</v>
      </c>
      <c r="O775" s="132">
        <f ca="1">SUMPRODUCT((F775=OFFSET(Calc2!$F$4,,,$F$26*B758,1))*OFFSET(Calc2!$O$4,,,$F$26*B758,1))+SUMPRODUCT((F775=OFFSET(Calc2!$G$4,,,$F$26*B758,1))*OFFSET(Calc2!$P$4,,,$F$26*B758,1))</f>
        <v>0</v>
      </c>
      <c r="P775" s="2"/>
      <c r="Q775" s="2"/>
      <c r="R775" s="13">
        <f t="shared" ca="1" si="141"/>
        <v>51500014057</v>
      </c>
      <c r="S775" s="134">
        <f>Tie_Break!$D$22</f>
        <v>0</v>
      </c>
      <c r="T775" s="9">
        <f ca="1">RANK(R775,R760:R779)+(9-S775)/10000+(F775="")*1000</f>
        <v>6.0008999999999997</v>
      </c>
      <c r="U775" s="2"/>
      <c r="V775" s="134">
        <f ca="1">IF($K$24=0,"",IF(VLOOKUP(B775,C760:E779,3,0)=MAX(V$4:V774),VLOOKUP(B775,C760:E779,3,0),B775))</f>
        <v>16</v>
      </c>
      <c r="W775" s="4" t="str">
        <f ca="1">IF($K$24=0,Calc2!$C$19,VLOOKUP(B775,C760:N779,4,0))</f>
        <v>FC St. Pauli</v>
      </c>
      <c r="X775" s="1">
        <f ca="1">INDEX(V733:V752,MATCH(W775,W733:W752,0))</f>
        <v>16</v>
      </c>
      <c r="Y775" s="1">
        <f t="shared" ca="1" si="144"/>
        <v>0</v>
      </c>
    </row>
    <row r="776" spans="2:25" x14ac:dyDescent="0.2">
      <c r="B776" s="1">
        <v>17</v>
      </c>
      <c r="C776" s="9">
        <f ca="1">RANK(D776,D760:D779,1)</f>
        <v>3</v>
      </c>
      <c r="D776" s="134">
        <f t="shared" ca="1" si="142"/>
        <v>3.7759999999999998</v>
      </c>
      <c r="E776" s="134">
        <f ca="1">RANK(T776,T760:T779,1)</f>
        <v>3</v>
      </c>
      <c r="F776" s="187" t="str">
        <f>Calc2!$C$20</f>
        <v>VfB Stuttgart</v>
      </c>
      <c r="G776" s="1">
        <f ca="1">SUMIFS(OFFSET(Calc2!$H$4,,,$F$26*B758,1),OFFSET(Calc2!$F$4,,,$F$26*B758,1),F776)+SUMIFS(OFFSET(Calc2!$I$4,,,$F$26*B758,1),OFFSET(Calc2!$G$4,,,$F$26*B758,1),F776)</f>
        <v>60</v>
      </c>
      <c r="H776" s="1">
        <f ca="1">SUMIFS(OFFSET(Calc2!$I$4,,,$F$26*B758,1),OFFSET(Calc2!$F$4,,,$F$26*B758,1),F776)+SUMIFS(OFFSET(Calc2!$H$4,,,$F$26*B758,1),OFFSET(Calc2!$G$4,,,$F$26*B758,1),F776)</f>
        <v>38</v>
      </c>
      <c r="I776" s="134">
        <f t="shared" ca="1" si="140"/>
        <v>22</v>
      </c>
      <c r="J776" s="12">
        <f ca="1">L776*Settings!$C$3+M776+O776</f>
        <v>56</v>
      </c>
      <c r="K776" s="1">
        <f t="shared" ca="1" si="143"/>
        <v>29</v>
      </c>
      <c r="L776" s="1">
        <f t="array" aca="1" ref="L776" ca="1">SUMPRODUCT((OFFSET(Calc2!$F$4,,,$F$26*B758,1)=F776)*(OFFSET(Calc2!$H$4,,,$F$26*B758,1)&gt;OFFSET(Calc2!$I$4,,,$F$26*B758,1)))+SUMPRODUCT((OFFSET(Calc2!$G$4,,,$F$26*B758,1)=F776)*(OFFSET(Calc2!$H$4,,,$F$26*B758,1)&lt;OFFSET(Calc2!$I$4,,,$F$26*B758,1)))</f>
        <v>17</v>
      </c>
      <c r="M776" s="1">
        <f t="array" aca="1" ref="M776" ca="1">SUMPRODUCT((OFFSET(Calc2!$F$4,,,$F$26*B758,2)=F776)*(OFFSET(Calc2!$H$4,,,$F$26*B758,1)=OFFSET(Calc2!$I$4,,,$F$26*B758,1))*(OFFSET(Calc2!$H$4,,,$F$26*B758,1)&lt;&gt;"")*(OFFSET(Calc2!$I$4,,,$F$26*B758,1)&lt;&gt;""))</f>
        <v>5</v>
      </c>
      <c r="N776" s="1">
        <f t="array" aca="1" ref="N776" ca="1">SUMPRODUCT((OFFSET(Calc2!$F$4,,,$F$26*B758,1)=F776)*(OFFSET(Calc2!$H$4,,,$F$26*B758,1)&lt;OFFSET(Calc2!$I$4,,,$F$26*B758,1)))+SUMPRODUCT((OFFSET(Calc2!$G$4,,,$F$26*B758,1)=F776)*(OFFSET(Calc2!$H$4,,,$F$26*B758,1)&gt;OFFSET(Calc2!$I$4,,,$F$26*B758,1)))</f>
        <v>7</v>
      </c>
      <c r="O776" s="132">
        <f ca="1">SUMPRODUCT((F776=OFFSET(Calc2!$F$4,,,$F$26*B758,1))*OFFSET(Calc2!$O$4,,,$F$26*B758,1))+SUMPRODUCT((F776=OFFSET(Calc2!$G$4,,,$F$26*B758,1))*OFFSET(Calc2!$P$4,,,$F$26*B758,1))</f>
        <v>0</v>
      </c>
      <c r="P776" s="2"/>
      <c r="Q776" s="2"/>
      <c r="R776" s="13">
        <f t="shared" ca="1" si="141"/>
        <v>56500022060</v>
      </c>
      <c r="S776" s="134">
        <f>Tie_Break!$D$23</f>
        <v>0</v>
      </c>
      <c r="T776" s="9">
        <f ca="1">RANK(R776,R760:R779)+(9-S776)/10000+(F776="")*1000</f>
        <v>3.0009000000000001</v>
      </c>
      <c r="U776" s="2"/>
      <c r="V776" s="134">
        <f ca="1">IF($K$24=0,"",IF(VLOOKUP(B776,C760:E779,3,0)=MAX(V$4:V775),VLOOKUP(B776,C760:E779,3,0),B776))</f>
        <v>17</v>
      </c>
      <c r="W776" s="4" t="str">
        <f ca="1">IF($K$24=0,Calc2!$C$20,VLOOKUP(B776,C760:N779,4,0))</f>
        <v>VfL Wolfsburg</v>
      </c>
      <c r="X776" s="1">
        <f ca="1">INDEX(V733:V752,MATCH(W776,W733:W752,0))</f>
        <v>17</v>
      </c>
      <c r="Y776" s="1">
        <f t="shared" ca="1" si="144"/>
        <v>0</v>
      </c>
    </row>
    <row r="777" spans="2:25" x14ac:dyDescent="0.2">
      <c r="B777" s="1">
        <v>18</v>
      </c>
      <c r="C777" s="9">
        <f ca="1">RANK(D777,D760:D779,1)</f>
        <v>17</v>
      </c>
      <c r="D777" s="134">
        <f t="shared" ca="1" si="142"/>
        <v>17.777000000000001</v>
      </c>
      <c r="E777" s="134">
        <f ca="1">RANK(T777,T760:T779,1)</f>
        <v>17</v>
      </c>
      <c r="F777" s="187" t="str">
        <f>Calc2!$C$21</f>
        <v>VfL Wolfsburg</v>
      </c>
      <c r="G777" s="1">
        <f ca="1">SUMIFS(OFFSET(Calc2!$H$4,,,$F$26*B758,1),OFFSET(Calc2!$F$4,,,$F$26*B758,1),F777)+SUMIFS(OFFSET(Calc2!$I$4,,,$F$26*B758,1),OFFSET(Calc2!$G$4,,,$F$26*B758,1),F777)</f>
        <v>39</v>
      </c>
      <c r="H777" s="1">
        <f ca="1">SUMIFS(OFFSET(Calc2!$I$4,,,$F$26*B758,1),OFFSET(Calc2!$F$4,,,$F$26*B758,1),F777)+SUMIFS(OFFSET(Calc2!$H$4,,,$F$26*B758,1),OFFSET(Calc2!$G$4,,,$F$26*B758,1),F777)</f>
        <v>65</v>
      </c>
      <c r="I777" s="134">
        <f t="shared" ca="1" si="140"/>
        <v>-26</v>
      </c>
      <c r="J777" s="12">
        <f ca="1">L777*Settings!$C$3+M777+O777</f>
        <v>21</v>
      </c>
      <c r="K777" s="1">
        <f t="shared" ca="1" si="143"/>
        <v>29</v>
      </c>
      <c r="L777" s="1">
        <f t="array" aca="1" ref="L777" ca="1">SUMPRODUCT((OFFSET(Calc2!$F$4,,,$F$26*B758,1)=F777)*(OFFSET(Calc2!$H$4,,,$F$26*B758,1)&gt;OFFSET(Calc2!$I$4,,,$F$26*B758,1)))+SUMPRODUCT((OFFSET(Calc2!$G$4,,,$F$26*B758,1)=F777)*(OFFSET(Calc2!$H$4,,,$F$26*B758,1)&lt;OFFSET(Calc2!$I$4,,,$F$26*B758,1)))</f>
        <v>5</v>
      </c>
      <c r="M777" s="1">
        <f t="array" aca="1" ref="M777" ca="1">SUMPRODUCT((OFFSET(Calc2!$F$4,,,$F$26*B758,2)=F777)*(OFFSET(Calc2!$H$4,,,$F$26*B758,1)=OFFSET(Calc2!$I$4,,,$F$26*B758,1))*(OFFSET(Calc2!$H$4,,,$F$26*B758,1)&lt;&gt;"")*(OFFSET(Calc2!$I$4,,,$F$26*B758,1)&lt;&gt;""))</f>
        <v>6</v>
      </c>
      <c r="N777" s="1">
        <f t="array" aca="1" ref="N777" ca="1">SUMPRODUCT((OFFSET(Calc2!$F$4,,,$F$26*B758,1)=F777)*(OFFSET(Calc2!$H$4,,,$F$26*B758,1)&lt;OFFSET(Calc2!$I$4,,,$F$26*B758,1)))+SUMPRODUCT((OFFSET(Calc2!$G$4,,,$F$26*B758,1)=F777)*(OFFSET(Calc2!$H$4,,,$F$26*B758,1)&gt;OFFSET(Calc2!$I$4,,,$F$26*B758,1)))</f>
        <v>18</v>
      </c>
      <c r="O777" s="132">
        <f ca="1">SUMPRODUCT((F777=OFFSET(Calc2!$F$4,,,$F$26*B758,1))*OFFSET(Calc2!$O$4,,,$F$26*B758,1))+SUMPRODUCT((F777=OFFSET(Calc2!$G$4,,,$F$26*B758,1))*OFFSET(Calc2!$P$4,,,$F$26*B758,1))</f>
        <v>0</v>
      </c>
      <c r="P777" s="2"/>
      <c r="Q777" s="2"/>
      <c r="R777" s="13">
        <f t="shared" ca="1" si="141"/>
        <v>21499974039</v>
      </c>
      <c r="S777" s="134">
        <f>Tie_Break!$D$24</f>
        <v>0</v>
      </c>
      <c r="T777" s="9">
        <f ca="1">RANK(R777,R760:R779)+(9-S777)/10000+(F777="")*1000</f>
        <v>17.000900000000001</v>
      </c>
      <c r="U777" s="2"/>
      <c r="V777" s="134">
        <f ca="1">IF($K$24=0,"",IF(VLOOKUP(B777,C760:E779,3,0)=MAX(V$4:V776),VLOOKUP(B777,C760:E779,3,0),B777))</f>
        <v>18</v>
      </c>
      <c r="W777" s="4" t="str">
        <f ca="1">IF($K$24=0,Calc2!$C$21,VLOOKUP(B777,C760:N779,4,0))</f>
        <v>1. FC Heidenheim 1846</v>
      </c>
      <c r="X777" s="1">
        <f ca="1">INDEX(V733:V752,MATCH(W777,W733:W752,0))</f>
        <v>18</v>
      </c>
      <c r="Y777" s="1">
        <f t="shared" ca="1" si="144"/>
        <v>0</v>
      </c>
    </row>
    <row r="778" spans="2:25" x14ac:dyDescent="0.2">
      <c r="B778" s="1">
        <v>19</v>
      </c>
      <c r="C778" s="9">
        <f ca="1">RANK(D778,D760:D779,1)</f>
        <v>19</v>
      </c>
      <c r="D778" s="134">
        <f t="shared" ca="1" si="142"/>
        <v>19.777999999999999</v>
      </c>
      <c r="E778" s="134">
        <f ca="1">RANK(T778,T760:T779,1)</f>
        <v>19</v>
      </c>
      <c r="F778" s="187" t="str">
        <f>Calc2!$C$22</f>
        <v/>
      </c>
      <c r="G778" s="1">
        <f ca="1">SUMIFS(OFFSET(Calc2!$H$4,,,$F$26*B758,1),OFFSET(Calc2!$F$4,,,$F$26*B758,1),F778)+SUMIFS(OFFSET(Calc2!$I$4,,,$F$26*B758,1),OFFSET(Calc2!$G$4,,,$F$26*B758,1),F778)</f>
        <v>0</v>
      </c>
      <c r="H778" s="1">
        <f ca="1">SUMIFS(OFFSET(Calc2!$I$4,,,$F$26*B758,1),OFFSET(Calc2!$F$4,,,$F$26*B758,1),F778)+SUMIFS(OFFSET(Calc2!$H$4,,,$F$26*B758,1),OFFSET(Calc2!$G$4,,,$F$26*B758,1),F778)</f>
        <v>0</v>
      </c>
      <c r="I778" s="134">
        <f t="shared" ca="1" si="140"/>
        <v>0</v>
      </c>
      <c r="J778" s="12">
        <f ca="1">L778*Settings!$C$3+M778+O778</f>
        <v>0</v>
      </c>
      <c r="K778" s="1">
        <f t="shared" ca="1" si="143"/>
        <v>0</v>
      </c>
      <c r="L778" s="1">
        <f t="array" aca="1" ref="L778" ca="1">SUMPRODUCT((OFFSET(Calc2!$F$4,,,$F$26*B758,1)=F778)*(OFFSET(Calc2!$H$4,,,$F$26*B758,1)&gt;OFFSET(Calc2!$I$4,,,$F$26*B758,1)))+SUMPRODUCT((OFFSET(Calc2!$G$4,,,$F$26*B758,1)=F778)*(OFFSET(Calc2!$H$4,,,$F$26*B758,1)&lt;OFFSET(Calc2!$I$4,,,$F$26*B758,1)))</f>
        <v>0</v>
      </c>
      <c r="M778" s="1">
        <f t="array" aca="1" ref="M778" ca="1">SUMPRODUCT((OFFSET(Calc2!$F$4,,,$F$26*B758,2)=F778)*(OFFSET(Calc2!$H$4,,,$F$26*B758,1)=OFFSET(Calc2!$I$4,,,$F$26*B758,1))*(OFFSET(Calc2!$H$4,,,$F$26*B758,1)&lt;&gt;"")*(OFFSET(Calc2!$I$4,,,$F$26*B758,1)&lt;&gt;""))</f>
        <v>0</v>
      </c>
      <c r="N778" s="1">
        <f t="array" aca="1" ref="N778" ca="1">SUMPRODUCT((OFFSET(Calc2!$F$4,,,$F$26*B758,1)=F778)*(OFFSET(Calc2!$H$4,,,$F$26*B758,1)&lt;OFFSET(Calc2!$I$4,,,$F$26*B758,1)))+SUMPRODUCT((OFFSET(Calc2!$G$4,,,$F$26*B758,1)=F778)*(OFFSET(Calc2!$H$4,,,$F$26*B758,1)&gt;OFFSET(Calc2!$I$4,,,$F$26*B758,1)))</f>
        <v>0</v>
      </c>
      <c r="O778" s="132">
        <f ca="1">SUMPRODUCT((F778=OFFSET(Calc2!$F$4,,,$F$26*B758,1))*OFFSET(Calc2!$O$4,,,$F$26*B758,1))+SUMPRODUCT((F778=OFFSET(Calc2!$G$4,,,$F$26*B758,1))*OFFSET(Calc2!$P$4,,,$F$26*B758,1))</f>
        <v>0</v>
      </c>
      <c r="P778" s="2"/>
      <c r="Q778" s="2"/>
      <c r="R778" s="13">
        <f t="shared" ca="1" si="141"/>
        <v>500000000</v>
      </c>
      <c r="S778" s="134">
        <f>Tie_Break!$D$25</f>
        <v>0</v>
      </c>
      <c r="T778" s="9">
        <f ca="1">RANK(R778,R760:R779)+(9-S778)/10000+(F778="")*1000</f>
        <v>1019.0009</v>
      </c>
      <c r="U778" s="2"/>
      <c r="V778" s="134">
        <f ca="1">IF($K$24=0,"",IF(VLOOKUP(B778,C760:E779,3,0)=MAX(V$4:V777),VLOOKUP(B778,C760:E779,3,0),B778))</f>
        <v>19</v>
      </c>
      <c r="W778" s="4" t="str">
        <f ca="1">IF($K$24=0,Calc2!$C$22,VLOOKUP(B778,C760:N779,4,0))</f>
        <v/>
      </c>
      <c r="X778" s="1">
        <f ca="1">INDEX(V733:V752,MATCH(W778,W733:W752,0))</f>
        <v>19</v>
      </c>
      <c r="Y778" s="1">
        <f t="shared" ca="1" si="144"/>
        <v>0</v>
      </c>
    </row>
    <row r="779" spans="2:25" ht="12.75" thickBot="1" x14ac:dyDescent="0.25">
      <c r="B779" s="1">
        <v>20</v>
      </c>
      <c r="C779" s="10">
        <f ca="1">RANK(D779,D760:D779,1)</f>
        <v>20</v>
      </c>
      <c r="D779" s="134">
        <f t="shared" ca="1" si="142"/>
        <v>19.779</v>
      </c>
      <c r="E779" s="134">
        <f ca="1">RANK(T779,T760:T779,1)</f>
        <v>19</v>
      </c>
      <c r="F779" s="187" t="str">
        <f>Calc2!$C$23</f>
        <v/>
      </c>
      <c r="G779" s="1">
        <f ca="1">SUMIFS(OFFSET(Calc2!$H$4,,,$F$26*B758,1),OFFSET(Calc2!$F$4,,,$F$26*B758,1),F779)+SUMIFS(OFFSET(Calc2!$I$4,,,$F$26*B758,1),OFFSET(Calc2!$G$4,,,$F$26*B758,1),F779)</f>
        <v>0</v>
      </c>
      <c r="H779" s="1">
        <f ca="1">SUMIFS(OFFSET(Calc2!$I$4,,,$F$26*B758,1),OFFSET(Calc2!$F$4,,,$F$26*B758,1),F779)+SUMIFS(OFFSET(Calc2!$H$4,,,$F$26*B758,1),OFFSET(Calc2!$G$4,,,$F$26*B758,1),F779)</f>
        <v>0</v>
      </c>
      <c r="I779" s="134">
        <f t="shared" ca="1" si="140"/>
        <v>0</v>
      </c>
      <c r="J779" s="12">
        <f ca="1">L779*Settings!$C$3+M779+O779</f>
        <v>0</v>
      </c>
      <c r="K779" s="1">
        <f t="shared" ca="1" si="143"/>
        <v>0</v>
      </c>
      <c r="L779" s="1">
        <f t="array" aca="1" ref="L779" ca="1">SUMPRODUCT((OFFSET(Calc2!$F$4,,,$F$26*B758,1)=F779)*(OFFSET(Calc2!$H$4,,,$F$26*B758,1)&gt;OFFSET(Calc2!$I$4,,,$F$26*B758,1)))+SUMPRODUCT((OFFSET(Calc2!$G$4,,,$F$26*B758,1)=F779)*(OFFSET(Calc2!$H$4,,,$F$26*B758,1)&lt;OFFSET(Calc2!$I$4,,,$F$26*B758,1)))</f>
        <v>0</v>
      </c>
      <c r="M779" s="1">
        <f t="array" aca="1" ref="M779" ca="1">SUMPRODUCT((OFFSET(Calc2!$F$4,,,$F$26*B758,2)=F779)*(OFFSET(Calc2!$H$4,,,$F$26*B758,1)=OFFSET(Calc2!$I$4,,,$F$26*B758,1))*(OFFSET(Calc2!$H$4,,,$F$26*B758,1)&lt;&gt;"")*(OFFSET(Calc2!$I$4,,,$F$26*B758,1)&lt;&gt;""))</f>
        <v>0</v>
      </c>
      <c r="N779" s="1">
        <f t="array" aca="1" ref="N779" ca="1">SUMPRODUCT((OFFSET(Calc2!$F$4,,,$F$26*B758,1)=F779)*(OFFSET(Calc2!$H$4,,,$F$26*B758,1)&lt;OFFSET(Calc2!$I$4,,,$F$26*B758,1)))+SUMPRODUCT((OFFSET(Calc2!$G$4,,,$F$26*B758,1)=F779)*(OFFSET(Calc2!$H$4,,,$F$26*B758,1)&gt;OFFSET(Calc2!$I$4,,,$F$26*B758,1)))</f>
        <v>0</v>
      </c>
      <c r="O779" s="132">
        <f ca="1">SUMPRODUCT((F779=OFFSET(Calc2!$F$4,,,$F$26*B758,1))*OFFSET(Calc2!$O$4,,,$F$26*B758,1))+SUMPRODUCT((F779=OFFSET(Calc2!$G$4,,,$F$26*B758,1))*OFFSET(Calc2!$P$4,,,$F$26*B758,1))</f>
        <v>0</v>
      </c>
      <c r="P779" s="2"/>
      <c r="Q779" s="2"/>
      <c r="R779" s="13">
        <f t="shared" ca="1" si="141"/>
        <v>500000000</v>
      </c>
      <c r="S779" s="134">
        <f>Tie_Break!$D$26</f>
        <v>0</v>
      </c>
      <c r="T779" s="10">
        <f ca="1">RANK(R779,R760:R779)+(9-S779)/10000+(F779="")*1000</f>
        <v>1019.0009</v>
      </c>
      <c r="U779" s="2"/>
      <c r="V779" s="134">
        <f ca="1">IF($K$24=0,"",IF(VLOOKUP(B779,C760:E779,3,0)=MAX(V$4:V778),VLOOKUP(B779,C760:E779,3,0),B779))</f>
        <v>19</v>
      </c>
      <c r="W779" s="4" t="str">
        <f ca="1">IF($K$24=0,Calc2!$C$23,VLOOKUP(B779,C760:N779,4,0))</f>
        <v/>
      </c>
      <c r="X779" s="1">
        <f ca="1">INDEX(V733:V752,MATCH(W779,W733:W752,0))</f>
        <v>19</v>
      </c>
      <c r="Y779" s="1">
        <f t="shared" ca="1" si="144"/>
        <v>0</v>
      </c>
    </row>
    <row r="780" spans="2:25" ht="12.75" thickTop="1" x14ac:dyDescent="0.2"/>
    <row r="784" spans="2:25" ht="12.75" thickBot="1" x14ac:dyDescent="0.25"/>
    <row r="785" spans="2:25" ht="12.75" thickBot="1" x14ac:dyDescent="0.25">
      <c r="B785" s="410">
        <v>30</v>
      </c>
      <c r="C785" s="134"/>
      <c r="D785" s="134"/>
      <c r="E785" s="134"/>
      <c r="F785" s="187"/>
      <c r="G785" s="1"/>
      <c r="H785" s="1"/>
      <c r="I785" s="1"/>
      <c r="J785" s="1"/>
      <c r="K785" s="1"/>
      <c r="L785" s="1"/>
      <c r="M785" s="1"/>
      <c r="N785" s="134"/>
      <c r="O785" s="1"/>
      <c r="P785" s="1"/>
      <c r="Q785" s="1"/>
      <c r="R785" s="2"/>
      <c r="S785" s="2"/>
      <c r="T785" s="2"/>
      <c r="U785" s="2"/>
      <c r="V785" s="2"/>
      <c r="W785" s="2"/>
    </row>
    <row r="786" spans="2:25" ht="15.75" thickBot="1" x14ac:dyDescent="0.25">
      <c r="B786" s="1"/>
      <c r="C786" s="134"/>
      <c r="D786" s="134"/>
      <c r="E786" s="134"/>
      <c r="F786" s="11" t="s">
        <v>90</v>
      </c>
      <c r="G786" s="42" t="s">
        <v>95</v>
      </c>
      <c r="H786" s="42" t="s">
        <v>96</v>
      </c>
      <c r="I786" s="11" t="s">
        <v>97</v>
      </c>
      <c r="J786" s="11" t="s">
        <v>98</v>
      </c>
      <c r="K786" s="11" t="s">
        <v>91</v>
      </c>
      <c r="L786" s="12" t="s">
        <v>92</v>
      </c>
      <c r="M786" s="12" t="s">
        <v>93</v>
      </c>
      <c r="N786" s="12" t="s">
        <v>94</v>
      </c>
      <c r="O786" s="12" t="s">
        <v>534</v>
      </c>
      <c r="P786" s="2"/>
      <c r="Q786" s="11"/>
      <c r="R786" s="133" t="s">
        <v>99</v>
      </c>
      <c r="S786" s="6" t="s">
        <v>483</v>
      </c>
      <c r="T786" s="120" t="s">
        <v>146</v>
      </c>
      <c r="U786" s="134"/>
      <c r="V786" s="134"/>
      <c r="W786" s="132"/>
      <c r="X786" s="120" t="s">
        <v>575</v>
      </c>
      <c r="Y786" s="1"/>
    </row>
    <row r="787" spans="2:25" ht="12.75" thickTop="1" x14ac:dyDescent="0.2">
      <c r="B787" s="1">
        <v>1</v>
      </c>
      <c r="C787" s="8">
        <f ca="1">RANK(D787,D787:D806,1)</f>
        <v>18</v>
      </c>
      <c r="D787" s="134">
        <f ca="1">E787+ROW()/1000</f>
        <v>18.786999999999999</v>
      </c>
      <c r="E787" s="134">
        <f ca="1">RANK(T787,T787:T806,1)</f>
        <v>18</v>
      </c>
      <c r="F787" s="187" t="str">
        <f>Calc2!$C$4</f>
        <v>1. FC Heidenheim 1846</v>
      </c>
      <c r="G787" s="1">
        <f ca="1">SUMIFS(OFFSET(Calc2!$H$4,,,$F$26*B785,1),OFFSET(Calc2!$F$4,,,$F$26*B785,1),F787)+SUMIFS(OFFSET(Calc2!$I$4,,,$F$26*B785,1),OFFSET(Calc2!$G$4,,,$F$26*B785,1),F787)</f>
        <v>33</v>
      </c>
      <c r="H787" s="1">
        <f ca="1">SUMIFS(OFFSET(Calc2!$I$4,,,$F$26*B785,1),OFFSET(Calc2!$F$4,,,$F$26*B785,1),F787)+SUMIFS(OFFSET(Calc2!$H$4,,,$F$26*B785,1),OFFSET(Calc2!$G$4,,,$F$26*B785,1),F787)</f>
        <v>66</v>
      </c>
      <c r="I787" s="134">
        <f t="shared" ref="I787:I806" ca="1" si="145">G787-H787</f>
        <v>-33</v>
      </c>
      <c r="J787" s="12">
        <f ca="1">L787*Settings!$C$3+M787+O787</f>
        <v>19</v>
      </c>
      <c r="K787" s="1">
        <f ca="1">L787+M787+N787</f>
        <v>30</v>
      </c>
      <c r="L787" s="1">
        <f t="array" aca="1" ref="L787" ca="1">SUMPRODUCT((OFFSET(Calc2!$F$4,,,$F$26*B785,1)=F787)*(OFFSET(Calc2!$H$4,,,$F$26*B785,1)&gt;OFFSET(Calc2!$I$4,,,$F$26*B785,1)))+SUMPRODUCT((OFFSET(Calc2!$G$4,,,$F$26*B785,1)=F787)*(OFFSET(Calc2!$H$4,,,$F$26*B785,1)&lt;OFFSET(Calc2!$I$4,,,$F$26*B785,1)))</f>
        <v>4</v>
      </c>
      <c r="M787" s="1">
        <f t="array" aca="1" ref="M787" ca="1">SUMPRODUCT((OFFSET(Calc2!$F$4,,,$F$26*B785,2)=F787)*(OFFSET(Calc2!$H$4,,,$F$26*B785,1)=OFFSET(Calc2!$I$4,,,$F$26*B785,1))*(OFFSET(Calc2!$H$4,,,$F$26*B785,1)&lt;&gt;"")*(OFFSET(Calc2!$I$4,,,$F$26*B785,1)&lt;&gt;""))</f>
        <v>7</v>
      </c>
      <c r="N787" s="1">
        <f t="array" aca="1" ref="N787" ca="1">SUMPRODUCT((OFFSET(Calc2!$F$4,,,$F$26*B785,1)=F787)*(OFFSET(Calc2!$H$4,,,$F$26*B785,1)&lt;OFFSET(Calc2!$I$4,,,$F$26*B785,1)))+SUMPRODUCT((OFFSET(Calc2!$G$4,,,$F$26*B785,1)=F787)*(OFFSET(Calc2!$H$4,,,$F$26*B785,1)&gt;OFFSET(Calc2!$I$4,,,$F$26*B785,1)))</f>
        <v>19</v>
      </c>
      <c r="O787" s="132">
        <f ca="1">SUMPRODUCT((F787=OFFSET(Calc2!$F$4,,,$F$26*B785,1))*OFFSET(Calc2!$O$4,,,$F$26*B785,1))+SUMPRODUCT((F787=OFFSET(Calc2!$G$4,,,$F$26*B785,1))*OFFSET(Calc2!$P$4,,,$F$26*B785,1))</f>
        <v>0</v>
      </c>
      <c r="P787" s="2"/>
      <c r="Q787" s="2"/>
      <c r="R787" s="13">
        <f t="shared" ref="R787:R806" ca="1" si="146">J787*FactorPts+(I787+GDzero)*FactorGD+G787*FactorGF</f>
        <v>19499967033</v>
      </c>
      <c r="S787" s="134">
        <f>Tie_Break!$D$7</f>
        <v>0</v>
      </c>
      <c r="T787" s="8">
        <f ca="1">RANK(R787,R787:R806)+(9-S787)/10000+(F787="")*1000</f>
        <v>18.000900000000001</v>
      </c>
      <c r="U787" s="134"/>
      <c r="V787" s="134">
        <f ca="1">IF($K$24=0,"",1)</f>
        <v>1</v>
      </c>
      <c r="W787" s="4" t="str">
        <f ca="1">IF($K$24=0,Calc2!$C$4,VLOOKUP(B787,C787:N806,4,0))</f>
        <v>FC Bayern München</v>
      </c>
      <c r="X787" s="1">
        <f ca="1">INDEX(V760:V779,MATCH(W787,W760:W779,0))</f>
        <v>1</v>
      </c>
      <c r="Y787" s="1">
        <f ca="1">IF(X787&gt;V787,1,IF(X787&lt;V787,-1,0))</f>
        <v>0</v>
      </c>
    </row>
    <row r="788" spans="2:25" x14ac:dyDescent="0.2">
      <c r="B788" s="1">
        <v>2</v>
      </c>
      <c r="C788" s="9">
        <f ca="1">RANK(D788,D787:D806,1)</f>
        <v>12</v>
      </c>
      <c r="D788" s="134">
        <f t="shared" ref="D788:D806" ca="1" si="147">E788+ROW()/1000</f>
        <v>12.788</v>
      </c>
      <c r="E788" s="134">
        <f ca="1">RANK(T788,T787:T806,1)</f>
        <v>12</v>
      </c>
      <c r="F788" s="187" t="str">
        <f>Calc2!$C$5</f>
        <v>1. FC Köln</v>
      </c>
      <c r="G788" s="1">
        <f ca="1">SUMIFS(OFFSET(Calc2!$H$4,,,$F$26*B785,1),OFFSET(Calc2!$F$4,,,$F$26*B785,1),F788)+SUMIFS(OFFSET(Calc2!$I$4,,,$F$26*B785,1),OFFSET(Calc2!$G$4,,,$F$26*B785,1),F788)</f>
        <v>44</v>
      </c>
      <c r="H788" s="1">
        <f ca="1">SUMIFS(OFFSET(Calc2!$I$4,,,$F$26*B785,1),OFFSET(Calc2!$F$4,,,$F$26*B785,1),F788)+SUMIFS(OFFSET(Calc2!$H$4,,,$F$26*B785,1),OFFSET(Calc2!$G$4,,,$F$26*B785,1),F788)</f>
        <v>51</v>
      </c>
      <c r="I788" s="134">
        <f t="shared" ca="1" si="145"/>
        <v>-7</v>
      </c>
      <c r="J788" s="12">
        <f ca="1">L788*Settings!$C$3+M788+O788</f>
        <v>31</v>
      </c>
      <c r="K788" s="1">
        <f t="shared" ref="K788:K806" ca="1" si="148">L788+M788+N788</f>
        <v>30</v>
      </c>
      <c r="L788" s="1">
        <f t="array" aca="1" ref="L788" ca="1">SUMPRODUCT((OFFSET(Calc2!$F$4,,,$F$26*B785,1)=F788)*(OFFSET(Calc2!$H$4,,,$F$26*B785,1)&gt;OFFSET(Calc2!$I$4,,,$F$26*B785,1)))+SUMPRODUCT((OFFSET(Calc2!$G$4,,,$F$26*B785,1)=F788)*(OFFSET(Calc2!$H$4,,,$F$26*B785,1)&lt;OFFSET(Calc2!$I$4,,,$F$26*B785,1)))</f>
        <v>7</v>
      </c>
      <c r="M788" s="1">
        <f t="array" aca="1" ref="M788" ca="1">SUMPRODUCT((OFFSET(Calc2!$F$4,,,$F$26*B785,2)=F788)*(OFFSET(Calc2!$H$4,,,$F$26*B785,1)=OFFSET(Calc2!$I$4,,,$F$26*B785,1))*(OFFSET(Calc2!$H$4,,,$F$26*B785,1)&lt;&gt;"")*(OFFSET(Calc2!$I$4,,,$F$26*B785,1)&lt;&gt;""))</f>
        <v>10</v>
      </c>
      <c r="N788" s="1">
        <f t="array" aca="1" ref="N788" ca="1">SUMPRODUCT((OFFSET(Calc2!$F$4,,,$F$26*B785,1)=F788)*(OFFSET(Calc2!$H$4,,,$F$26*B785,1)&lt;OFFSET(Calc2!$I$4,,,$F$26*B785,1)))+SUMPRODUCT((OFFSET(Calc2!$G$4,,,$F$26*B785,1)=F788)*(OFFSET(Calc2!$H$4,,,$F$26*B785,1)&gt;OFFSET(Calc2!$I$4,,,$F$26*B785,1)))</f>
        <v>13</v>
      </c>
      <c r="O788" s="132">
        <f ca="1">SUMPRODUCT((F788=OFFSET(Calc2!$F$4,,,$F$26*B785,1))*OFFSET(Calc2!$O$4,,,$F$26*B785,1))+SUMPRODUCT((F788=OFFSET(Calc2!$G$4,,,$F$26*B785,1))*OFFSET(Calc2!$P$4,,,$F$26*B785,1))</f>
        <v>0</v>
      </c>
      <c r="P788" s="2"/>
      <c r="Q788" s="2"/>
      <c r="R788" s="13">
        <f t="shared" ca="1" si="146"/>
        <v>31499993044</v>
      </c>
      <c r="S788" s="134">
        <f>Tie_Break!$D$8</f>
        <v>0</v>
      </c>
      <c r="T788" s="9">
        <f ca="1">RANK(R788,R787:R806)+(9-S788)/10000+(F788="")*1000</f>
        <v>12.0009</v>
      </c>
      <c r="U788" s="134"/>
      <c r="V788" s="134">
        <f ca="1">IF($K$24=0,"",IF(VLOOKUP(B788,C787:E806,3,0)=MAX(V$4:V787),VLOOKUP(B788,C787:E806,3,0),B788))</f>
        <v>2</v>
      </c>
      <c r="W788" s="4" t="str">
        <f ca="1">IF($K$24=0,Calc2!$C$5,VLOOKUP(B788,C787:N806,4,0))</f>
        <v>Borussia Dortmund</v>
      </c>
      <c r="X788" s="1">
        <f ca="1">INDEX(V760:V779,MATCH(W788,W760:W779,0))</f>
        <v>2</v>
      </c>
      <c r="Y788" s="1">
        <f t="shared" ref="Y788:Y806" ca="1" si="149">IF(X788&gt;V788,1,IF(X788&lt;V788,-1,0))</f>
        <v>0</v>
      </c>
    </row>
    <row r="789" spans="2:25" x14ac:dyDescent="0.2">
      <c r="B789" s="1">
        <v>3</v>
      </c>
      <c r="C789" s="9">
        <f ca="1">RANK(D789,D787:D806,1)</f>
        <v>11</v>
      </c>
      <c r="D789" s="134">
        <f t="shared" ca="1" si="147"/>
        <v>11.789</v>
      </c>
      <c r="E789" s="134">
        <f ca="1">RANK(T789,T787:T806,1)</f>
        <v>11</v>
      </c>
      <c r="F789" s="187" t="str">
        <f>Calc2!$C$6</f>
        <v>1. FC Union Berlin</v>
      </c>
      <c r="G789" s="1">
        <f ca="1">SUMIFS(OFFSET(Calc2!$H$4,,,$F$26*B785,1),OFFSET(Calc2!$F$4,,,$F$26*B785,1),F789)+SUMIFS(OFFSET(Calc2!$I$4,,,$F$26*B785,1),OFFSET(Calc2!$G$4,,,$F$26*B785,1),F789)</f>
        <v>34</v>
      </c>
      <c r="H789" s="1">
        <f ca="1">SUMIFS(OFFSET(Calc2!$I$4,,,$F$26*B785,1),OFFSET(Calc2!$F$4,,,$F$26*B785,1),F789)+SUMIFS(OFFSET(Calc2!$H$4,,,$F$26*B785,1),OFFSET(Calc2!$G$4,,,$F$26*B785,1),F789)</f>
        <v>52</v>
      </c>
      <c r="I789" s="134">
        <f t="shared" ca="1" si="145"/>
        <v>-18</v>
      </c>
      <c r="J789" s="12">
        <f ca="1">L789*Settings!$C$3+M789+O789</f>
        <v>32</v>
      </c>
      <c r="K789" s="1">
        <f t="shared" ca="1" si="148"/>
        <v>30</v>
      </c>
      <c r="L789" s="1">
        <f t="array" aca="1" ref="L789" ca="1">SUMPRODUCT((OFFSET(Calc2!$F$4,,,$F$26*B785,1)=F789)*(OFFSET(Calc2!$H$4,,,$F$26*B785,1)&gt;OFFSET(Calc2!$I$4,,,$F$26*B785,1)))+SUMPRODUCT((OFFSET(Calc2!$G$4,,,$F$26*B785,1)=F789)*(OFFSET(Calc2!$H$4,,,$F$26*B785,1)&lt;OFFSET(Calc2!$I$4,,,$F$26*B785,1)))</f>
        <v>8</v>
      </c>
      <c r="M789" s="1">
        <f t="array" aca="1" ref="M789" ca="1">SUMPRODUCT((OFFSET(Calc2!$F$4,,,$F$26*B785,2)=F789)*(OFFSET(Calc2!$H$4,,,$F$26*B785,1)=OFFSET(Calc2!$I$4,,,$F$26*B785,1))*(OFFSET(Calc2!$H$4,,,$F$26*B785,1)&lt;&gt;"")*(OFFSET(Calc2!$I$4,,,$F$26*B785,1)&lt;&gt;""))</f>
        <v>8</v>
      </c>
      <c r="N789" s="1">
        <f t="array" aca="1" ref="N789" ca="1">SUMPRODUCT((OFFSET(Calc2!$F$4,,,$F$26*B785,1)=F789)*(OFFSET(Calc2!$H$4,,,$F$26*B785,1)&lt;OFFSET(Calc2!$I$4,,,$F$26*B785,1)))+SUMPRODUCT((OFFSET(Calc2!$G$4,,,$F$26*B785,1)=F789)*(OFFSET(Calc2!$H$4,,,$F$26*B785,1)&gt;OFFSET(Calc2!$I$4,,,$F$26*B785,1)))</f>
        <v>14</v>
      </c>
      <c r="O789" s="132">
        <f ca="1">SUMPRODUCT((F789=OFFSET(Calc2!$F$4,,,$F$26*B785,1))*OFFSET(Calc2!$O$4,,,$F$26*B785,1))+SUMPRODUCT((F789=OFFSET(Calc2!$G$4,,,$F$26*B785,1))*OFFSET(Calc2!$P$4,,,$F$26*B785,1))</f>
        <v>0</v>
      </c>
      <c r="P789" s="2"/>
      <c r="Q789" s="2"/>
      <c r="R789" s="13">
        <f t="shared" ca="1" si="146"/>
        <v>32499982034</v>
      </c>
      <c r="S789" s="134">
        <f>Tie_Break!$D$9</f>
        <v>0</v>
      </c>
      <c r="T789" s="9">
        <f ca="1">RANK(R789,R787:R806)+(9-S789)/10000+(F789="")*1000</f>
        <v>11.0009</v>
      </c>
      <c r="U789" s="134"/>
      <c r="V789" s="134">
        <f ca="1">IF($K$24=0,"",IF(VLOOKUP(B789,C787:E806,3,0)=MAX(V$4:V788),VLOOKUP(B789,C787:E806,3,0),B789))</f>
        <v>3</v>
      </c>
      <c r="W789" s="4" t="str">
        <f ca="1">IF($K$24=0,Calc2!$C$6,VLOOKUP(B789,C787:N806,4,0))</f>
        <v>RB Leipzig</v>
      </c>
      <c r="X789" s="1">
        <f ca="1">INDEX(V760:V779,MATCH(W789,W760:W779,0))</f>
        <v>4</v>
      </c>
      <c r="Y789" s="1">
        <f t="shared" ca="1" si="149"/>
        <v>1</v>
      </c>
    </row>
    <row r="790" spans="2:25" x14ac:dyDescent="0.2">
      <c r="B790" s="1">
        <v>4</v>
      </c>
      <c r="C790" s="9">
        <f ca="1">RANK(D790,D787:D806,1)</f>
        <v>10</v>
      </c>
      <c r="D790" s="134">
        <f t="shared" ca="1" si="147"/>
        <v>10.79</v>
      </c>
      <c r="E790" s="134">
        <f ca="1">RANK(T790,T787:T806,1)</f>
        <v>10</v>
      </c>
      <c r="F790" s="187" t="str">
        <f>Calc2!$C$7</f>
        <v>1. FSV Mainz 05</v>
      </c>
      <c r="G790" s="1">
        <f ca="1">SUMIFS(OFFSET(Calc2!$H$4,,,$F$26*B785,1),OFFSET(Calc2!$F$4,,,$F$26*B785,1),F790)+SUMIFS(OFFSET(Calc2!$I$4,,,$F$26*B785,1),OFFSET(Calc2!$G$4,,,$F$26*B785,1),F790)</f>
        <v>36</v>
      </c>
      <c r="H790" s="1">
        <f ca="1">SUMIFS(OFFSET(Calc2!$I$4,,,$F$26*B785,1),OFFSET(Calc2!$F$4,,,$F$26*B785,1),F790)+SUMIFS(OFFSET(Calc2!$H$4,,,$F$26*B785,1),OFFSET(Calc2!$G$4,,,$F$26*B785,1),F790)</f>
        <v>45</v>
      </c>
      <c r="I790" s="134">
        <f t="shared" ca="1" si="145"/>
        <v>-9</v>
      </c>
      <c r="J790" s="12">
        <f ca="1">L790*Settings!$C$3+M790+O790</f>
        <v>34</v>
      </c>
      <c r="K790" s="1">
        <f t="shared" ca="1" si="148"/>
        <v>30</v>
      </c>
      <c r="L790" s="1">
        <f t="array" aca="1" ref="L790" ca="1">SUMPRODUCT((OFFSET(Calc2!$F$4,,,$F$26*B785,1)=F790)*(OFFSET(Calc2!$H$4,,,$F$26*B785,1)&gt;OFFSET(Calc2!$I$4,,,$F$26*B785,1)))+SUMPRODUCT((OFFSET(Calc2!$G$4,,,$F$26*B785,1)=F790)*(OFFSET(Calc2!$H$4,,,$F$26*B785,1)&lt;OFFSET(Calc2!$I$4,,,$F$26*B785,1)))</f>
        <v>8</v>
      </c>
      <c r="M790" s="1">
        <f t="array" aca="1" ref="M790" ca="1">SUMPRODUCT((OFFSET(Calc2!$F$4,,,$F$26*B785,2)=F790)*(OFFSET(Calc2!$H$4,,,$F$26*B785,1)=OFFSET(Calc2!$I$4,,,$F$26*B785,1))*(OFFSET(Calc2!$H$4,,,$F$26*B785,1)&lt;&gt;"")*(OFFSET(Calc2!$I$4,,,$F$26*B785,1)&lt;&gt;""))</f>
        <v>10</v>
      </c>
      <c r="N790" s="1">
        <f t="array" aca="1" ref="N790" ca="1">SUMPRODUCT((OFFSET(Calc2!$F$4,,,$F$26*B785,1)=F790)*(OFFSET(Calc2!$H$4,,,$F$26*B785,1)&lt;OFFSET(Calc2!$I$4,,,$F$26*B785,1)))+SUMPRODUCT((OFFSET(Calc2!$G$4,,,$F$26*B785,1)=F790)*(OFFSET(Calc2!$H$4,,,$F$26*B785,1)&gt;OFFSET(Calc2!$I$4,,,$F$26*B785,1)))</f>
        <v>12</v>
      </c>
      <c r="O790" s="132">
        <f ca="1">SUMPRODUCT((F790=OFFSET(Calc2!$F$4,,,$F$26*B785,1))*OFFSET(Calc2!$O$4,,,$F$26*B785,1))+SUMPRODUCT((F790=OFFSET(Calc2!$G$4,,,$F$26*B785,1))*OFFSET(Calc2!$P$4,,,$F$26*B785,1))</f>
        <v>0</v>
      </c>
      <c r="P790" s="2"/>
      <c r="Q790" s="2"/>
      <c r="R790" s="13">
        <f t="shared" ca="1" si="146"/>
        <v>34499991036</v>
      </c>
      <c r="S790" s="134">
        <f>Tie_Break!$D$10</f>
        <v>0</v>
      </c>
      <c r="T790" s="9">
        <f ca="1">RANK(R790,R787:R806)+(9-S790)/10000+(F790="")*1000</f>
        <v>10.0009</v>
      </c>
      <c r="U790" s="134"/>
      <c r="V790" s="134">
        <f ca="1">IF($K$24=0,"",IF(VLOOKUP(B790,C787:E806,3,0)=MAX(V$4:V789),VLOOKUP(B790,C787:E806,3,0),B790))</f>
        <v>4</v>
      </c>
      <c r="W790" s="4" t="str">
        <f ca="1">IF($K$24=0,Calc2!$C$7,VLOOKUP(B790,C787:N806,4,0))</f>
        <v>VfB Stuttgart</v>
      </c>
      <c r="X790" s="1">
        <f ca="1">INDEX(V760:V779,MATCH(W790,W760:W779,0))</f>
        <v>3</v>
      </c>
      <c r="Y790" s="1">
        <f t="shared" ca="1" si="149"/>
        <v>-1</v>
      </c>
    </row>
    <row r="791" spans="2:25" x14ac:dyDescent="0.2">
      <c r="B791" s="1">
        <v>5</v>
      </c>
      <c r="C791" s="9">
        <f ca="1">RANK(D791,D787:D806,1)</f>
        <v>6</v>
      </c>
      <c r="D791" s="134">
        <f t="shared" ca="1" si="147"/>
        <v>6.7910000000000004</v>
      </c>
      <c r="E791" s="134">
        <f ca="1">RANK(T791,T787:T806,1)</f>
        <v>6</v>
      </c>
      <c r="F791" s="187" t="str">
        <f>Calc2!$C$8</f>
        <v>Bayer 04 Leverkusen</v>
      </c>
      <c r="G791" s="1">
        <f ca="1">SUMIFS(OFFSET(Calc2!$H$4,,,$F$26*B785,1),OFFSET(Calc2!$F$4,,,$F$26*B785,1),F791)+SUMIFS(OFFSET(Calc2!$I$4,,,$F$26*B785,1),OFFSET(Calc2!$G$4,,,$F$26*B785,1),F791)</f>
        <v>60</v>
      </c>
      <c r="H791" s="1">
        <f ca="1">SUMIFS(OFFSET(Calc2!$I$4,,,$F$26*B785,1),OFFSET(Calc2!$F$4,,,$F$26*B785,1),F791)+SUMIFS(OFFSET(Calc2!$H$4,,,$F$26*B785,1),OFFSET(Calc2!$G$4,,,$F$26*B785,1),F791)</f>
        <v>41</v>
      </c>
      <c r="I791" s="134">
        <f t="shared" ca="1" si="145"/>
        <v>19</v>
      </c>
      <c r="J791" s="12">
        <f ca="1">L791*Settings!$C$3+M791+O791</f>
        <v>52</v>
      </c>
      <c r="K791" s="1">
        <f t="shared" ca="1" si="148"/>
        <v>30</v>
      </c>
      <c r="L791" s="1">
        <f t="array" aca="1" ref="L791" ca="1">SUMPRODUCT((OFFSET(Calc2!$F$4,,,$F$26*B785,1)=F791)*(OFFSET(Calc2!$H$4,,,$F$26*B785,1)&gt;OFFSET(Calc2!$I$4,,,$F$26*B785,1)))+SUMPRODUCT((OFFSET(Calc2!$G$4,,,$F$26*B785,1)=F791)*(OFFSET(Calc2!$H$4,,,$F$26*B785,1)&lt;OFFSET(Calc2!$I$4,,,$F$26*B785,1)))</f>
        <v>15</v>
      </c>
      <c r="M791" s="1">
        <f t="array" aca="1" ref="M791" ca="1">SUMPRODUCT((OFFSET(Calc2!$F$4,,,$F$26*B785,2)=F791)*(OFFSET(Calc2!$H$4,,,$F$26*B785,1)=OFFSET(Calc2!$I$4,,,$F$26*B785,1))*(OFFSET(Calc2!$H$4,,,$F$26*B785,1)&lt;&gt;"")*(OFFSET(Calc2!$I$4,,,$F$26*B785,1)&lt;&gt;""))</f>
        <v>7</v>
      </c>
      <c r="N791" s="1">
        <f t="array" aca="1" ref="N791" ca="1">SUMPRODUCT((OFFSET(Calc2!$F$4,,,$F$26*B785,1)=F791)*(OFFSET(Calc2!$H$4,,,$F$26*B785,1)&lt;OFFSET(Calc2!$I$4,,,$F$26*B785,1)))+SUMPRODUCT((OFFSET(Calc2!$G$4,,,$F$26*B785,1)=F791)*(OFFSET(Calc2!$H$4,,,$F$26*B785,1)&gt;OFFSET(Calc2!$I$4,,,$F$26*B785,1)))</f>
        <v>8</v>
      </c>
      <c r="O791" s="132">
        <f ca="1">SUMPRODUCT((F791=OFFSET(Calc2!$F$4,,,$F$26*B785,1))*OFFSET(Calc2!$O$4,,,$F$26*B785,1))+SUMPRODUCT((F791=OFFSET(Calc2!$G$4,,,$F$26*B785,1))*OFFSET(Calc2!$P$4,,,$F$26*B785,1))</f>
        <v>0</v>
      </c>
      <c r="P791" s="2"/>
      <c r="Q791" s="2"/>
      <c r="R791" s="13">
        <f t="shared" ca="1" si="146"/>
        <v>52500019060</v>
      </c>
      <c r="S791" s="134">
        <f>Tie_Break!$D$11</f>
        <v>0</v>
      </c>
      <c r="T791" s="9">
        <f ca="1">RANK(R791,R787:R806)+(9-S791)/10000+(F791="")*1000</f>
        <v>6.0008999999999997</v>
      </c>
      <c r="U791" s="134"/>
      <c r="V791" s="134">
        <f ca="1">IF($K$24=0,"",IF(VLOOKUP(B791,C787:E806,3,0)=MAX(V$4:V790),VLOOKUP(B791,C787:E806,3,0),B791))</f>
        <v>5</v>
      </c>
      <c r="W791" s="4" t="str">
        <f ca="1">IF($K$24=0,Calc2!$C$8,VLOOKUP(B791,C787:N806,4,0))</f>
        <v>TSG Hoffenheim</v>
      </c>
      <c r="X791" s="1">
        <f ca="1">INDEX(V760:V779,MATCH(W791,W760:W779,0))</f>
        <v>6</v>
      </c>
      <c r="Y791" s="1">
        <f t="shared" ca="1" si="149"/>
        <v>1</v>
      </c>
    </row>
    <row r="792" spans="2:25" x14ac:dyDescent="0.2">
      <c r="B792" s="1">
        <v>6</v>
      </c>
      <c r="C792" s="9">
        <f ca="1">RANK(D792,D787:D806,1)</f>
        <v>2</v>
      </c>
      <c r="D792" s="134">
        <f t="shared" ca="1" si="147"/>
        <v>2.7919999999999998</v>
      </c>
      <c r="E792" s="134">
        <f ca="1">RANK(T792,T787:T806,1)</f>
        <v>2</v>
      </c>
      <c r="F792" s="187" t="str">
        <f>Calc2!$C$9</f>
        <v>Borussia Dortmund</v>
      </c>
      <c r="G792" s="1">
        <f ca="1">SUMIFS(OFFSET(Calc2!$H$4,,,$F$26*B785,1),OFFSET(Calc2!$F$4,,,$F$26*B785,1),F792)+SUMIFS(OFFSET(Calc2!$I$4,,,$F$26*B785,1),OFFSET(Calc2!$G$4,,,$F$26*B785,1),F792)</f>
        <v>61</v>
      </c>
      <c r="H792" s="1">
        <f ca="1">SUMIFS(OFFSET(Calc2!$I$4,,,$F$26*B785,1),OFFSET(Calc2!$F$4,,,$F$26*B785,1),F792)+SUMIFS(OFFSET(Calc2!$H$4,,,$F$26*B785,1),OFFSET(Calc2!$G$4,,,$F$26*B785,1),F792)</f>
        <v>31</v>
      </c>
      <c r="I792" s="134">
        <f t="shared" ca="1" si="145"/>
        <v>30</v>
      </c>
      <c r="J792" s="12">
        <f ca="1">L792*Settings!$C$3+M792+O792</f>
        <v>64</v>
      </c>
      <c r="K792" s="1">
        <f t="shared" ca="1" si="148"/>
        <v>30</v>
      </c>
      <c r="L792" s="1">
        <f t="array" aca="1" ref="L792" ca="1">SUMPRODUCT((OFFSET(Calc2!$F$4,,,$F$26*B785,1)=F792)*(OFFSET(Calc2!$H$4,,,$F$26*B785,1)&gt;OFFSET(Calc2!$I$4,,,$F$26*B785,1)))+SUMPRODUCT((OFFSET(Calc2!$G$4,,,$F$26*B785,1)=F792)*(OFFSET(Calc2!$H$4,,,$F$26*B785,1)&lt;OFFSET(Calc2!$I$4,,,$F$26*B785,1)))</f>
        <v>19</v>
      </c>
      <c r="M792" s="1">
        <f t="array" aca="1" ref="M792" ca="1">SUMPRODUCT((OFFSET(Calc2!$F$4,,,$F$26*B785,2)=F792)*(OFFSET(Calc2!$H$4,,,$F$26*B785,1)=OFFSET(Calc2!$I$4,,,$F$26*B785,1))*(OFFSET(Calc2!$H$4,,,$F$26*B785,1)&lt;&gt;"")*(OFFSET(Calc2!$I$4,,,$F$26*B785,1)&lt;&gt;""))</f>
        <v>7</v>
      </c>
      <c r="N792" s="1">
        <f t="array" aca="1" ref="N792" ca="1">SUMPRODUCT((OFFSET(Calc2!$F$4,,,$F$26*B785,1)=F792)*(OFFSET(Calc2!$H$4,,,$F$26*B785,1)&lt;OFFSET(Calc2!$I$4,,,$F$26*B785,1)))+SUMPRODUCT((OFFSET(Calc2!$G$4,,,$F$26*B785,1)=F792)*(OFFSET(Calc2!$H$4,,,$F$26*B785,1)&gt;OFFSET(Calc2!$I$4,,,$F$26*B785,1)))</f>
        <v>4</v>
      </c>
      <c r="O792" s="132">
        <f ca="1">SUMPRODUCT((F792=OFFSET(Calc2!$F$4,,,$F$26*B785,1))*OFFSET(Calc2!$O$4,,,$F$26*B785,1))+SUMPRODUCT((F792=OFFSET(Calc2!$G$4,,,$F$26*B785,1))*OFFSET(Calc2!$P$4,,,$F$26*B785,1))</f>
        <v>0</v>
      </c>
      <c r="P792" s="2"/>
      <c r="Q792" s="2"/>
      <c r="R792" s="13">
        <f t="shared" ca="1" si="146"/>
        <v>64500030061</v>
      </c>
      <c r="S792" s="134">
        <f>Tie_Break!$D$12</f>
        <v>0</v>
      </c>
      <c r="T792" s="9">
        <f ca="1">RANK(R792,R787:R806)+(9-S792)/10000+(F792="")*1000</f>
        <v>2.0009000000000001</v>
      </c>
      <c r="U792" s="134"/>
      <c r="V792" s="134">
        <f ca="1">IF($K$24=0,"",IF(VLOOKUP(B792,C787:E806,3,0)=MAX(V$4:V791),VLOOKUP(B792,C787:E806,3,0),B792))</f>
        <v>6</v>
      </c>
      <c r="W792" s="4" t="str">
        <f ca="1">IF($K$24=0,Calc2!$C$9,VLOOKUP(B792,C787:N806,4,0))</f>
        <v>Bayer 04 Leverkusen</v>
      </c>
      <c r="X792" s="1">
        <f ca="1">INDEX(V760:V779,MATCH(W792,W760:W779,0))</f>
        <v>5</v>
      </c>
      <c r="Y792" s="1">
        <f t="shared" ca="1" si="149"/>
        <v>-1</v>
      </c>
    </row>
    <row r="793" spans="2:25" x14ac:dyDescent="0.2">
      <c r="B793" s="1">
        <v>7</v>
      </c>
      <c r="C793" s="9">
        <f ca="1">RANK(D793,D787:D806,1)</f>
        <v>13</v>
      </c>
      <c r="D793" s="134">
        <f t="shared" ca="1" si="147"/>
        <v>13.792999999999999</v>
      </c>
      <c r="E793" s="134">
        <f ca="1">RANK(T793,T787:T806,1)</f>
        <v>13</v>
      </c>
      <c r="F793" s="187" t="str">
        <f>Calc2!$C$10</f>
        <v>Borussia Mönchengladbach</v>
      </c>
      <c r="G793" s="1">
        <f ca="1">SUMIFS(OFFSET(Calc2!$H$4,,,$F$26*B785,1),OFFSET(Calc2!$F$4,,,$F$26*B785,1),F793)+SUMIFS(OFFSET(Calc2!$I$4,,,$F$26*B785,1),OFFSET(Calc2!$G$4,,,$F$26*B785,1),F793)</f>
        <v>36</v>
      </c>
      <c r="H793" s="1">
        <f ca="1">SUMIFS(OFFSET(Calc2!$I$4,,,$F$26*B785,1),OFFSET(Calc2!$F$4,,,$F$26*B785,1),F793)+SUMIFS(OFFSET(Calc2!$H$4,,,$F$26*B785,1),OFFSET(Calc2!$G$4,,,$F$26*B785,1),F793)</f>
        <v>50</v>
      </c>
      <c r="I793" s="134">
        <f t="shared" ca="1" si="145"/>
        <v>-14</v>
      </c>
      <c r="J793" s="12">
        <f ca="1">L793*Settings!$C$3+M793+O793</f>
        <v>31</v>
      </c>
      <c r="K793" s="1">
        <f t="shared" ca="1" si="148"/>
        <v>30</v>
      </c>
      <c r="L793" s="1">
        <f t="array" aca="1" ref="L793" ca="1">SUMPRODUCT((OFFSET(Calc2!$F$4,,,$F$26*B785,1)=F793)*(OFFSET(Calc2!$H$4,,,$F$26*B785,1)&gt;OFFSET(Calc2!$I$4,,,$F$26*B785,1)))+SUMPRODUCT((OFFSET(Calc2!$G$4,,,$F$26*B785,1)=F793)*(OFFSET(Calc2!$H$4,,,$F$26*B785,1)&lt;OFFSET(Calc2!$I$4,,,$F$26*B785,1)))</f>
        <v>7</v>
      </c>
      <c r="M793" s="1">
        <f t="array" aca="1" ref="M793" ca="1">SUMPRODUCT((OFFSET(Calc2!$F$4,,,$F$26*B785,2)=F793)*(OFFSET(Calc2!$H$4,,,$F$26*B785,1)=OFFSET(Calc2!$I$4,,,$F$26*B785,1))*(OFFSET(Calc2!$H$4,,,$F$26*B785,1)&lt;&gt;"")*(OFFSET(Calc2!$I$4,,,$F$26*B785,1)&lt;&gt;""))</f>
        <v>10</v>
      </c>
      <c r="N793" s="1">
        <f t="array" aca="1" ref="N793" ca="1">SUMPRODUCT((OFFSET(Calc2!$F$4,,,$F$26*B785,1)=F793)*(OFFSET(Calc2!$H$4,,,$F$26*B785,1)&lt;OFFSET(Calc2!$I$4,,,$F$26*B785,1)))+SUMPRODUCT((OFFSET(Calc2!$G$4,,,$F$26*B785,1)=F793)*(OFFSET(Calc2!$H$4,,,$F$26*B785,1)&gt;OFFSET(Calc2!$I$4,,,$F$26*B785,1)))</f>
        <v>13</v>
      </c>
      <c r="O793" s="132">
        <f ca="1">SUMPRODUCT((F793=OFFSET(Calc2!$F$4,,,$F$26*B785,1))*OFFSET(Calc2!$O$4,,,$F$26*B785,1))+SUMPRODUCT((F793=OFFSET(Calc2!$G$4,,,$F$26*B785,1))*OFFSET(Calc2!$P$4,,,$F$26*B785,1))</f>
        <v>0</v>
      </c>
      <c r="P793" s="2"/>
      <c r="Q793" s="2"/>
      <c r="R793" s="13">
        <f t="shared" ca="1" si="146"/>
        <v>31499986036</v>
      </c>
      <c r="S793" s="134">
        <f>Tie_Break!$D$13</f>
        <v>0</v>
      </c>
      <c r="T793" s="9">
        <f ca="1">RANK(R793,R787:R806)+(9-S793)/10000+(F793="")*1000</f>
        <v>13.0009</v>
      </c>
      <c r="U793" s="134"/>
      <c r="V793" s="134">
        <f ca="1">IF($K$24=0,"",IF(VLOOKUP(B793,C787:E806,3,0)=MAX(V$4:V792),VLOOKUP(B793,C787:E806,3,0),B793))</f>
        <v>7</v>
      </c>
      <c r="W793" s="4" t="str">
        <f ca="1">IF($K$24=0,Calc2!$C$10,VLOOKUP(B793,C787:N806,4,0))</f>
        <v>SC Freiburg</v>
      </c>
      <c r="X793" s="1">
        <f ca="1">INDEX(V760:V779,MATCH(W793,W760:W779,0))</f>
        <v>8</v>
      </c>
      <c r="Y793" s="1">
        <f t="shared" ca="1" si="149"/>
        <v>1</v>
      </c>
    </row>
    <row r="794" spans="2:25" x14ac:dyDescent="0.2">
      <c r="B794" s="1">
        <v>8</v>
      </c>
      <c r="C794" s="9">
        <f ca="1">RANK(D794,D787:D806,1)</f>
        <v>8</v>
      </c>
      <c r="D794" s="134">
        <f t="shared" ca="1" si="147"/>
        <v>8.7940000000000005</v>
      </c>
      <c r="E794" s="134">
        <f ca="1">RANK(T794,T787:T806,1)</f>
        <v>8</v>
      </c>
      <c r="F794" s="187" t="str">
        <f>Calc2!$C$11</f>
        <v>Eintracht Frankfurt</v>
      </c>
      <c r="G794" s="1">
        <f ca="1">SUMIFS(OFFSET(Calc2!$H$4,,,$F$26*B785,1),OFFSET(Calc2!$F$4,,,$F$26*B785,1),F794)+SUMIFS(OFFSET(Calc2!$I$4,,,$F$26*B785,1),OFFSET(Calc2!$G$4,,,$F$26*B785,1),F794)</f>
        <v>55</v>
      </c>
      <c r="H794" s="1">
        <f ca="1">SUMIFS(OFFSET(Calc2!$I$4,,,$F$26*B785,1),OFFSET(Calc2!$F$4,,,$F$26*B785,1),F794)+SUMIFS(OFFSET(Calc2!$H$4,,,$F$26*B785,1),OFFSET(Calc2!$G$4,,,$F$26*B785,1),F794)</f>
        <v>57</v>
      </c>
      <c r="I794" s="134">
        <f t="shared" ca="1" si="145"/>
        <v>-2</v>
      </c>
      <c r="J794" s="12">
        <f ca="1">L794*Settings!$C$3+M794+O794</f>
        <v>42</v>
      </c>
      <c r="K794" s="1">
        <f t="shared" ca="1" si="148"/>
        <v>30</v>
      </c>
      <c r="L794" s="1">
        <f t="array" aca="1" ref="L794" ca="1">SUMPRODUCT((OFFSET(Calc2!$F$4,,,$F$26*B785,1)=F794)*(OFFSET(Calc2!$H$4,,,$F$26*B785,1)&gt;OFFSET(Calc2!$I$4,,,$F$26*B785,1)))+SUMPRODUCT((OFFSET(Calc2!$G$4,,,$F$26*B785,1)=F794)*(OFFSET(Calc2!$H$4,,,$F$26*B785,1)&lt;OFFSET(Calc2!$I$4,,,$F$26*B785,1)))</f>
        <v>11</v>
      </c>
      <c r="M794" s="1">
        <f t="array" aca="1" ref="M794" ca="1">SUMPRODUCT((OFFSET(Calc2!$F$4,,,$F$26*B785,2)=F794)*(OFFSET(Calc2!$H$4,,,$F$26*B785,1)=OFFSET(Calc2!$I$4,,,$F$26*B785,1))*(OFFSET(Calc2!$H$4,,,$F$26*B785,1)&lt;&gt;"")*(OFFSET(Calc2!$I$4,,,$F$26*B785,1)&lt;&gt;""))</f>
        <v>9</v>
      </c>
      <c r="N794" s="1">
        <f t="array" aca="1" ref="N794" ca="1">SUMPRODUCT((OFFSET(Calc2!$F$4,,,$F$26*B785,1)=F794)*(OFFSET(Calc2!$H$4,,,$F$26*B785,1)&lt;OFFSET(Calc2!$I$4,,,$F$26*B785,1)))+SUMPRODUCT((OFFSET(Calc2!$G$4,,,$F$26*B785,1)=F794)*(OFFSET(Calc2!$H$4,,,$F$26*B785,1)&gt;OFFSET(Calc2!$I$4,,,$F$26*B785,1)))</f>
        <v>10</v>
      </c>
      <c r="O794" s="132">
        <f ca="1">SUMPRODUCT((F794=OFFSET(Calc2!$F$4,,,$F$26*B785,1))*OFFSET(Calc2!$O$4,,,$F$26*B785,1))+SUMPRODUCT((F794=OFFSET(Calc2!$G$4,,,$F$26*B785,1))*OFFSET(Calc2!$P$4,,,$F$26*B785,1))</f>
        <v>0</v>
      </c>
      <c r="P794" s="2"/>
      <c r="Q794" s="2"/>
      <c r="R794" s="13">
        <f t="shared" ca="1" si="146"/>
        <v>42499998055</v>
      </c>
      <c r="S794" s="134">
        <f>Tie_Break!$D$14</f>
        <v>0</v>
      </c>
      <c r="T794" s="9">
        <f ca="1">RANK(R794,R787:R806)+(9-S794)/10000+(F794="")*1000</f>
        <v>8.0008999999999997</v>
      </c>
      <c r="U794" s="134"/>
      <c r="V794" s="134">
        <f ca="1">IF($K$24=0,"",IF(VLOOKUP(B794,C787:E806,3,0)=MAX(V$4:V793),VLOOKUP(B794,C787:E806,3,0),B794))</f>
        <v>8</v>
      </c>
      <c r="W794" s="4" t="str">
        <f ca="1">IF($K$24=0,Calc2!$C$11,VLOOKUP(B794,C787:N806,4,0))</f>
        <v>Eintracht Frankfurt</v>
      </c>
      <c r="X794" s="1">
        <f ca="1">INDEX(V760:V779,MATCH(W794,W760:W779,0))</f>
        <v>7</v>
      </c>
      <c r="Y794" s="1">
        <f t="shared" ca="1" si="149"/>
        <v>-1</v>
      </c>
    </row>
    <row r="795" spans="2:25" x14ac:dyDescent="0.2">
      <c r="B795" s="1">
        <v>9</v>
      </c>
      <c r="C795" s="9">
        <f ca="1">RANK(D795,D787:D806,1)</f>
        <v>9</v>
      </c>
      <c r="D795" s="134">
        <f t="shared" ca="1" si="147"/>
        <v>9.7949999999999999</v>
      </c>
      <c r="E795" s="134">
        <f ca="1">RANK(T795,T787:T806,1)</f>
        <v>9</v>
      </c>
      <c r="F795" s="187" t="str">
        <f>Calc2!$C$12</f>
        <v>FC Augsburg</v>
      </c>
      <c r="G795" s="1">
        <f ca="1">SUMIFS(OFFSET(Calc2!$H$4,,,$F$26*B785,1),OFFSET(Calc2!$F$4,,,$F$26*B785,1),F795)+SUMIFS(OFFSET(Calc2!$I$4,,,$F$26*B785,1),OFFSET(Calc2!$G$4,,,$F$26*B785,1),F795)</f>
        <v>38</v>
      </c>
      <c r="H795" s="1">
        <f ca="1">SUMIFS(OFFSET(Calc2!$I$4,,,$F$26*B785,1),OFFSET(Calc2!$F$4,,,$F$26*B785,1),F795)+SUMIFS(OFFSET(Calc2!$H$4,,,$F$26*B785,1),OFFSET(Calc2!$G$4,,,$F$26*B785,1),F795)</f>
        <v>54</v>
      </c>
      <c r="I795" s="134">
        <f t="shared" ca="1" si="145"/>
        <v>-16</v>
      </c>
      <c r="J795" s="12">
        <f ca="1">L795*Settings!$C$3+M795+O795</f>
        <v>36</v>
      </c>
      <c r="K795" s="1">
        <f t="shared" ca="1" si="148"/>
        <v>30</v>
      </c>
      <c r="L795" s="1">
        <f t="array" aca="1" ref="L795" ca="1">SUMPRODUCT((OFFSET(Calc2!$F$4,,,$F$26*B785,1)=F795)*(OFFSET(Calc2!$H$4,,,$F$26*B785,1)&gt;OFFSET(Calc2!$I$4,,,$F$26*B785,1)))+SUMPRODUCT((OFFSET(Calc2!$G$4,,,$F$26*B785,1)=F795)*(OFFSET(Calc2!$H$4,,,$F$26*B785,1)&lt;OFFSET(Calc2!$I$4,,,$F$26*B785,1)))</f>
        <v>10</v>
      </c>
      <c r="M795" s="1">
        <f t="array" aca="1" ref="M795" ca="1">SUMPRODUCT((OFFSET(Calc2!$F$4,,,$F$26*B785,2)=F795)*(OFFSET(Calc2!$H$4,,,$F$26*B785,1)=OFFSET(Calc2!$I$4,,,$F$26*B785,1))*(OFFSET(Calc2!$H$4,,,$F$26*B785,1)&lt;&gt;"")*(OFFSET(Calc2!$I$4,,,$F$26*B785,1)&lt;&gt;""))</f>
        <v>6</v>
      </c>
      <c r="N795" s="1">
        <f t="array" aca="1" ref="N795" ca="1">SUMPRODUCT((OFFSET(Calc2!$F$4,,,$F$26*B785,1)=F795)*(OFFSET(Calc2!$H$4,,,$F$26*B785,1)&lt;OFFSET(Calc2!$I$4,,,$F$26*B785,1)))+SUMPRODUCT((OFFSET(Calc2!$G$4,,,$F$26*B785,1)=F795)*(OFFSET(Calc2!$H$4,,,$F$26*B785,1)&gt;OFFSET(Calc2!$I$4,,,$F$26*B785,1)))</f>
        <v>14</v>
      </c>
      <c r="O795" s="132">
        <f ca="1">SUMPRODUCT((F795=OFFSET(Calc2!$F$4,,,$F$26*B785,1))*OFFSET(Calc2!$O$4,,,$F$26*B785,1))+SUMPRODUCT((F795=OFFSET(Calc2!$G$4,,,$F$26*B785,1))*OFFSET(Calc2!$P$4,,,$F$26*B785,1))</f>
        <v>0</v>
      </c>
      <c r="P795" s="2"/>
      <c r="Q795" s="2"/>
      <c r="R795" s="13">
        <f t="shared" ca="1" si="146"/>
        <v>36499984038</v>
      </c>
      <c r="S795" s="134">
        <f>Tie_Break!$D$15</f>
        <v>0</v>
      </c>
      <c r="T795" s="9">
        <f ca="1">RANK(R795,R787:R806)+(9-S795)/10000+(F795="")*1000</f>
        <v>9.0008999999999997</v>
      </c>
      <c r="U795" s="134"/>
      <c r="V795" s="134">
        <f ca="1">IF($K$24=0,"",IF(VLOOKUP(B795,C787:E806,3,0)=MAX(V$4:V794),VLOOKUP(B795,C787:E806,3,0),B795))</f>
        <v>9</v>
      </c>
      <c r="W795" s="4" t="str">
        <f ca="1">IF($K$24=0,Calc2!$C$12,VLOOKUP(B795,C787:N806,4,0))</f>
        <v>FC Augsburg</v>
      </c>
      <c r="X795" s="1">
        <f ca="1">INDEX(V760:V779,MATCH(W795,W760:W779,0))</f>
        <v>10</v>
      </c>
      <c r="Y795" s="1">
        <f t="shared" ca="1" si="149"/>
        <v>1</v>
      </c>
    </row>
    <row r="796" spans="2:25" x14ac:dyDescent="0.2">
      <c r="B796" s="1">
        <v>10</v>
      </c>
      <c r="C796" s="9">
        <f ca="1">RANK(D796,D787:D806,1)</f>
        <v>1</v>
      </c>
      <c r="D796" s="134">
        <f t="shared" ca="1" si="147"/>
        <v>1.796</v>
      </c>
      <c r="E796" s="134">
        <f ca="1">RANK(T796,T787:T806,1)</f>
        <v>1</v>
      </c>
      <c r="F796" s="187" t="str">
        <f>Calc2!$C$13</f>
        <v>FC Bayern München</v>
      </c>
      <c r="G796" s="1">
        <f ca="1">SUMIFS(OFFSET(Calc2!$H$4,,,$F$26*B785,1),OFFSET(Calc2!$F$4,,,$F$26*B785,1),F796)+SUMIFS(OFFSET(Calc2!$I$4,,,$F$26*B785,1),OFFSET(Calc2!$G$4,,,$F$26*B785,1),F796)</f>
        <v>109</v>
      </c>
      <c r="H796" s="1">
        <f ca="1">SUMIFS(OFFSET(Calc2!$I$4,,,$F$26*B785,1),OFFSET(Calc2!$F$4,,,$F$26*B785,1),F796)+SUMIFS(OFFSET(Calc2!$H$4,,,$F$26*B785,1),OFFSET(Calc2!$G$4,,,$F$26*B785,1),F796)</f>
        <v>29</v>
      </c>
      <c r="I796" s="134">
        <f t="shared" ca="1" si="145"/>
        <v>80</v>
      </c>
      <c r="J796" s="12">
        <f ca="1">L796*Settings!$C$3+M796+O796</f>
        <v>79</v>
      </c>
      <c r="K796" s="1">
        <f t="shared" ca="1" si="148"/>
        <v>30</v>
      </c>
      <c r="L796" s="1">
        <f t="array" aca="1" ref="L796" ca="1">SUMPRODUCT((OFFSET(Calc2!$F$4,,,$F$26*B785,1)=F796)*(OFFSET(Calc2!$H$4,,,$F$26*B785,1)&gt;OFFSET(Calc2!$I$4,,,$F$26*B785,1)))+SUMPRODUCT((OFFSET(Calc2!$G$4,,,$F$26*B785,1)=F796)*(OFFSET(Calc2!$H$4,,,$F$26*B785,1)&lt;OFFSET(Calc2!$I$4,,,$F$26*B785,1)))</f>
        <v>25</v>
      </c>
      <c r="M796" s="1">
        <f t="array" aca="1" ref="M796" ca="1">SUMPRODUCT((OFFSET(Calc2!$F$4,,,$F$26*B785,2)=F796)*(OFFSET(Calc2!$H$4,,,$F$26*B785,1)=OFFSET(Calc2!$I$4,,,$F$26*B785,1))*(OFFSET(Calc2!$H$4,,,$F$26*B785,1)&lt;&gt;"")*(OFFSET(Calc2!$I$4,,,$F$26*B785,1)&lt;&gt;""))</f>
        <v>4</v>
      </c>
      <c r="N796" s="1">
        <f t="array" aca="1" ref="N796" ca="1">SUMPRODUCT((OFFSET(Calc2!$F$4,,,$F$26*B785,1)=F796)*(OFFSET(Calc2!$H$4,,,$F$26*B785,1)&lt;OFFSET(Calc2!$I$4,,,$F$26*B785,1)))+SUMPRODUCT((OFFSET(Calc2!$G$4,,,$F$26*B785,1)=F796)*(OFFSET(Calc2!$H$4,,,$F$26*B785,1)&gt;OFFSET(Calc2!$I$4,,,$F$26*B785,1)))</f>
        <v>1</v>
      </c>
      <c r="O796" s="132">
        <f ca="1">SUMPRODUCT((F796=OFFSET(Calc2!$F$4,,,$F$26*B785,1))*OFFSET(Calc2!$O$4,,,$F$26*B785,1))+SUMPRODUCT((F796=OFFSET(Calc2!$G$4,,,$F$26*B785,1))*OFFSET(Calc2!$P$4,,,$F$26*B785,1))</f>
        <v>0</v>
      </c>
      <c r="P796" s="2"/>
      <c r="Q796" s="2"/>
      <c r="R796" s="13">
        <f t="shared" ca="1" si="146"/>
        <v>79500080109</v>
      </c>
      <c r="S796" s="134">
        <f>Tie_Break!$D$16</f>
        <v>0</v>
      </c>
      <c r="T796" s="9">
        <f ca="1">RANK(R796,R787:R806)+(9-S796)/10000+(F796="")*1000</f>
        <v>1.0008999999999999</v>
      </c>
      <c r="U796" s="2"/>
      <c r="V796" s="134">
        <f ca="1">IF($K$24=0,"",IF(VLOOKUP(B796,C787:E806,3,0)=MAX(V$4:V795),VLOOKUP(B796,C787:E806,3,0),B796))</f>
        <v>10</v>
      </c>
      <c r="W796" s="4" t="str">
        <f ca="1">IF($K$24=0,Calc2!$C$13,VLOOKUP(B796,C787:N806,4,0))</f>
        <v>1. FSV Mainz 05</v>
      </c>
      <c r="X796" s="1">
        <f ca="1">INDEX(V760:V779,MATCH(W796,W760:W779,0))</f>
        <v>9</v>
      </c>
      <c r="Y796" s="1">
        <f t="shared" ca="1" si="149"/>
        <v>-1</v>
      </c>
    </row>
    <row r="797" spans="2:25" x14ac:dyDescent="0.2">
      <c r="B797" s="1">
        <v>11</v>
      </c>
      <c r="C797" s="9">
        <f ca="1">RANK(D797,D787:D806,1)</f>
        <v>16</v>
      </c>
      <c r="D797" s="134">
        <f t="shared" ca="1" si="147"/>
        <v>16.797000000000001</v>
      </c>
      <c r="E797" s="134">
        <f ca="1">RANK(T797,T787:T806,1)</f>
        <v>16</v>
      </c>
      <c r="F797" s="187" t="str">
        <f>Calc2!$C$14</f>
        <v>FC St. Pauli</v>
      </c>
      <c r="G797" s="1">
        <f ca="1">SUMIFS(OFFSET(Calc2!$H$4,,,$F$26*B785,1),OFFSET(Calc2!$F$4,,,$F$26*B785,1),F797)+SUMIFS(OFFSET(Calc2!$I$4,,,$F$26*B785,1),OFFSET(Calc2!$G$4,,,$F$26*B785,1),F797)</f>
        <v>26</v>
      </c>
      <c r="H797" s="1">
        <f ca="1">SUMIFS(OFFSET(Calc2!$I$4,,,$F$26*B785,1),OFFSET(Calc2!$F$4,,,$F$26*B785,1),F797)+SUMIFS(OFFSET(Calc2!$H$4,,,$F$26*B785,1),OFFSET(Calc2!$G$4,,,$F$26*B785,1),F797)</f>
        <v>51</v>
      </c>
      <c r="I797" s="134">
        <f t="shared" ca="1" si="145"/>
        <v>-25</v>
      </c>
      <c r="J797" s="12">
        <f ca="1">L797*Settings!$C$3+M797+O797</f>
        <v>26</v>
      </c>
      <c r="K797" s="1">
        <f t="shared" ca="1" si="148"/>
        <v>30</v>
      </c>
      <c r="L797" s="1">
        <f t="array" aca="1" ref="L797" ca="1">SUMPRODUCT((OFFSET(Calc2!$F$4,,,$F$26*B785,1)=F797)*(OFFSET(Calc2!$H$4,,,$F$26*B785,1)&gt;OFFSET(Calc2!$I$4,,,$F$26*B785,1)))+SUMPRODUCT((OFFSET(Calc2!$G$4,,,$F$26*B785,1)=F797)*(OFFSET(Calc2!$H$4,,,$F$26*B785,1)&lt;OFFSET(Calc2!$I$4,,,$F$26*B785,1)))</f>
        <v>6</v>
      </c>
      <c r="M797" s="1">
        <f t="array" aca="1" ref="M797" ca="1">SUMPRODUCT((OFFSET(Calc2!$F$4,,,$F$26*B785,2)=F797)*(OFFSET(Calc2!$H$4,,,$F$26*B785,1)=OFFSET(Calc2!$I$4,,,$F$26*B785,1))*(OFFSET(Calc2!$H$4,,,$F$26*B785,1)&lt;&gt;"")*(OFFSET(Calc2!$I$4,,,$F$26*B785,1)&lt;&gt;""))</f>
        <v>8</v>
      </c>
      <c r="N797" s="1">
        <f t="array" aca="1" ref="N797" ca="1">SUMPRODUCT((OFFSET(Calc2!$F$4,,,$F$26*B785,1)=F797)*(OFFSET(Calc2!$H$4,,,$F$26*B785,1)&lt;OFFSET(Calc2!$I$4,,,$F$26*B785,1)))+SUMPRODUCT((OFFSET(Calc2!$G$4,,,$F$26*B785,1)=F797)*(OFFSET(Calc2!$H$4,,,$F$26*B785,1)&gt;OFFSET(Calc2!$I$4,,,$F$26*B785,1)))</f>
        <v>16</v>
      </c>
      <c r="O797" s="132">
        <f ca="1">SUMPRODUCT((F797=OFFSET(Calc2!$F$4,,,$F$26*B785,1))*OFFSET(Calc2!$O$4,,,$F$26*B785,1))+SUMPRODUCT((F797=OFFSET(Calc2!$G$4,,,$F$26*B785,1))*OFFSET(Calc2!$P$4,,,$F$26*B785,1))</f>
        <v>0</v>
      </c>
      <c r="P797" s="2"/>
      <c r="Q797" s="2"/>
      <c r="R797" s="13">
        <f t="shared" ca="1" si="146"/>
        <v>26499975026</v>
      </c>
      <c r="S797" s="134">
        <f>Tie_Break!$D$17</f>
        <v>0</v>
      </c>
      <c r="T797" s="9">
        <f ca="1">RANK(R797,R787:R806)+(9-S797)/10000+(F797="")*1000</f>
        <v>16.000900000000001</v>
      </c>
      <c r="U797" s="2"/>
      <c r="V797" s="134">
        <f ca="1">IF($K$24=0,"",IF(VLOOKUP(B797,C787:E806,3,0)=MAX(V$4:V796),VLOOKUP(B797,C787:E806,3,0),B797))</f>
        <v>11</v>
      </c>
      <c r="W797" s="4" t="str">
        <f ca="1">IF($K$24=0,Calc2!$C$14,VLOOKUP(B797,C787:N806,4,0))</f>
        <v>1. FC Union Berlin</v>
      </c>
      <c r="X797" s="1">
        <f ca="1">INDEX(V760:V779,MATCH(W797,W760:W779,0))</f>
        <v>11</v>
      </c>
      <c r="Y797" s="1">
        <f t="shared" ca="1" si="149"/>
        <v>0</v>
      </c>
    </row>
    <row r="798" spans="2:25" x14ac:dyDescent="0.2">
      <c r="B798" s="1">
        <v>12</v>
      </c>
      <c r="C798" s="9">
        <f ca="1">RANK(D798,D787:D806,1)</f>
        <v>14</v>
      </c>
      <c r="D798" s="134">
        <f t="shared" ca="1" si="147"/>
        <v>14.798</v>
      </c>
      <c r="E798" s="134">
        <f ca="1">RANK(T798,T787:T806,1)</f>
        <v>14</v>
      </c>
      <c r="F798" s="187" t="str">
        <f>Calc2!$C$15</f>
        <v>Hamburger SV</v>
      </c>
      <c r="G798" s="1">
        <f ca="1">SUMIFS(OFFSET(Calc2!$H$4,,,$F$26*B785,1),OFFSET(Calc2!$F$4,,,$F$26*B785,1),F798)+SUMIFS(OFFSET(Calc2!$I$4,,,$F$26*B785,1),OFFSET(Calc2!$G$4,,,$F$26*B785,1),F798)</f>
        <v>33</v>
      </c>
      <c r="H798" s="1">
        <f ca="1">SUMIFS(OFFSET(Calc2!$I$4,,,$F$26*B785,1),OFFSET(Calc2!$F$4,,,$F$26*B785,1),F798)+SUMIFS(OFFSET(Calc2!$H$4,,,$F$26*B785,1),OFFSET(Calc2!$G$4,,,$F$26*B785,1),F798)</f>
        <v>48</v>
      </c>
      <c r="I798" s="134">
        <f t="shared" ca="1" si="145"/>
        <v>-15</v>
      </c>
      <c r="J798" s="12">
        <f ca="1">L798*Settings!$C$3+M798+O798</f>
        <v>31</v>
      </c>
      <c r="K798" s="1">
        <f t="shared" ca="1" si="148"/>
        <v>30</v>
      </c>
      <c r="L798" s="1">
        <f t="array" aca="1" ref="L798" ca="1">SUMPRODUCT((OFFSET(Calc2!$F$4,,,$F$26*B785,1)=F798)*(OFFSET(Calc2!$H$4,,,$F$26*B785,1)&gt;OFFSET(Calc2!$I$4,,,$F$26*B785,1)))+SUMPRODUCT((OFFSET(Calc2!$G$4,,,$F$26*B785,1)=F798)*(OFFSET(Calc2!$H$4,,,$F$26*B785,1)&lt;OFFSET(Calc2!$I$4,,,$F$26*B785,1)))</f>
        <v>7</v>
      </c>
      <c r="M798" s="1">
        <f t="array" aca="1" ref="M798" ca="1">SUMPRODUCT((OFFSET(Calc2!$F$4,,,$F$26*B785,2)=F798)*(OFFSET(Calc2!$H$4,,,$F$26*B785,1)=OFFSET(Calc2!$I$4,,,$F$26*B785,1))*(OFFSET(Calc2!$H$4,,,$F$26*B785,1)&lt;&gt;"")*(OFFSET(Calc2!$I$4,,,$F$26*B785,1)&lt;&gt;""))</f>
        <v>10</v>
      </c>
      <c r="N798" s="1">
        <f t="array" aca="1" ref="N798" ca="1">SUMPRODUCT((OFFSET(Calc2!$F$4,,,$F$26*B785,1)=F798)*(OFFSET(Calc2!$H$4,,,$F$26*B785,1)&lt;OFFSET(Calc2!$I$4,,,$F$26*B785,1)))+SUMPRODUCT((OFFSET(Calc2!$G$4,,,$F$26*B785,1)=F798)*(OFFSET(Calc2!$H$4,,,$F$26*B785,1)&gt;OFFSET(Calc2!$I$4,,,$F$26*B785,1)))</f>
        <v>13</v>
      </c>
      <c r="O798" s="132">
        <f ca="1">SUMPRODUCT((F798=OFFSET(Calc2!$F$4,,,$F$26*B785,1))*OFFSET(Calc2!$O$4,,,$F$26*B785,1))+SUMPRODUCT((F798=OFFSET(Calc2!$G$4,,,$F$26*B785,1))*OFFSET(Calc2!$P$4,,,$F$26*B785,1))</f>
        <v>0</v>
      </c>
      <c r="P798" s="2"/>
      <c r="Q798" s="2"/>
      <c r="R798" s="13">
        <f t="shared" ca="1" si="146"/>
        <v>31499985033</v>
      </c>
      <c r="S798" s="134">
        <f>Tie_Break!$D$18</f>
        <v>0</v>
      </c>
      <c r="T798" s="9">
        <f ca="1">RANK(R798,R787:R806)+(9-S798)/10000+(F798="")*1000</f>
        <v>14.0009</v>
      </c>
      <c r="U798" s="2"/>
      <c r="V798" s="134">
        <f ca="1">IF($K$24=0,"",IF(VLOOKUP(B798,C787:E806,3,0)=MAX(V$4:V797),VLOOKUP(B798,C787:E806,3,0),B798))</f>
        <v>12</v>
      </c>
      <c r="W798" s="4" t="str">
        <f ca="1">IF($K$24=0,Calc2!$C$15,VLOOKUP(B798,C787:N806,4,0))</f>
        <v>1. FC Köln</v>
      </c>
      <c r="X798" s="1">
        <f ca="1">INDEX(V760:V779,MATCH(W798,W760:W779,0))</f>
        <v>13</v>
      </c>
      <c r="Y798" s="1">
        <f t="shared" ca="1" si="149"/>
        <v>1</v>
      </c>
    </row>
    <row r="799" spans="2:25" x14ac:dyDescent="0.2">
      <c r="B799" s="1">
        <v>13</v>
      </c>
      <c r="C799" s="9">
        <f ca="1">RANK(D799,D787:D806,1)</f>
        <v>3</v>
      </c>
      <c r="D799" s="134">
        <f t="shared" ca="1" si="147"/>
        <v>3.7989999999999999</v>
      </c>
      <c r="E799" s="134">
        <f ca="1">RANK(T799,T787:T806,1)</f>
        <v>3</v>
      </c>
      <c r="F799" s="187" t="str">
        <f>Calc2!$C$16</f>
        <v>RB Leipzig</v>
      </c>
      <c r="G799" s="1">
        <f ca="1">SUMIFS(OFFSET(Calc2!$H$4,,,$F$26*B785,1),OFFSET(Calc2!$F$4,,,$F$26*B785,1),F799)+SUMIFS(OFFSET(Calc2!$I$4,,,$F$26*B785,1),OFFSET(Calc2!$G$4,,,$F$26*B785,1),F799)</f>
        <v>59</v>
      </c>
      <c r="H799" s="1">
        <f ca="1">SUMIFS(OFFSET(Calc2!$I$4,,,$F$26*B785,1),OFFSET(Calc2!$F$4,,,$F$26*B785,1),F799)+SUMIFS(OFFSET(Calc2!$H$4,,,$F$26*B785,1),OFFSET(Calc2!$G$4,,,$F$26*B785,1),F799)</f>
        <v>37</v>
      </c>
      <c r="I799" s="134">
        <f t="shared" ca="1" si="145"/>
        <v>22</v>
      </c>
      <c r="J799" s="12">
        <f ca="1">L799*Settings!$C$3+M799+O799</f>
        <v>59</v>
      </c>
      <c r="K799" s="1">
        <f t="shared" ca="1" si="148"/>
        <v>30</v>
      </c>
      <c r="L799" s="1">
        <f t="array" aca="1" ref="L799" ca="1">SUMPRODUCT((OFFSET(Calc2!$F$4,,,$F$26*B785,1)=F799)*(OFFSET(Calc2!$H$4,,,$F$26*B785,1)&gt;OFFSET(Calc2!$I$4,,,$F$26*B785,1)))+SUMPRODUCT((OFFSET(Calc2!$G$4,,,$F$26*B785,1)=F799)*(OFFSET(Calc2!$H$4,,,$F$26*B785,1)&lt;OFFSET(Calc2!$I$4,,,$F$26*B785,1)))</f>
        <v>18</v>
      </c>
      <c r="M799" s="1">
        <f t="array" aca="1" ref="M799" ca="1">SUMPRODUCT((OFFSET(Calc2!$F$4,,,$F$26*B785,2)=F799)*(OFFSET(Calc2!$H$4,,,$F$26*B785,1)=OFFSET(Calc2!$I$4,,,$F$26*B785,1))*(OFFSET(Calc2!$H$4,,,$F$26*B785,1)&lt;&gt;"")*(OFFSET(Calc2!$I$4,,,$F$26*B785,1)&lt;&gt;""))</f>
        <v>5</v>
      </c>
      <c r="N799" s="1">
        <f t="array" aca="1" ref="N799" ca="1">SUMPRODUCT((OFFSET(Calc2!$F$4,,,$F$26*B785,1)=F799)*(OFFSET(Calc2!$H$4,,,$F$26*B785,1)&lt;OFFSET(Calc2!$I$4,,,$F$26*B785,1)))+SUMPRODUCT((OFFSET(Calc2!$G$4,,,$F$26*B785,1)=F799)*(OFFSET(Calc2!$H$4,,,$F$26*B785,1)&gt;OFFSET(Calc2!$I$4,,,$F$26*B785,1)))</f>
        <v>7</v>
      </c>
      <c r="O799" s="132">
        <f ca="1">SUMPRODUCT((F799=OFFSET(Calc2!$F$4,,,$F$26*B785,1))*OFFSET(Calc2!$O$4,,,$F$26*B785,1))+SUMPRODUCT((F799=OFFSET(Calc2!$G$4,,,$F$26*B785,1))*OFFSET(Calc2!$P$4,,,$F$26*B785,1))</f>
        <v>0</v>
      </c>
      <c r="P799" s="2"/>
      <c r="Q799" s="2"/>
      <c r="R799" s="13">
        <f t="shared" ca="1" si="146"/>
        <v>59500022059</v>
      </c>
      <c r="S799" s="134">
        <f>Tie_Break!$D$19</f>
        <v>0</v>
      </c>
      <c r="T799" s="9">
        <f ca="1">RANK(R799,R787:R806)+(9-S799)/10000+(F799="")*1000</f>
        <v>3.0009000000000001</v>
      </c>
      <c r="U799" s="1"/>
      <c r="V799" s="134">
        <f ca="1">IF($K$24=0,"",IF(VLOOKUP(B799,C787:E806,3,0)=MAX(V$4:V798),VLOOKUP(B799,C787:E806,3,0),B799))</f>
        <v>13</v>
      </c>
      <c r="W799" s="4" t="str">
        <f ca="1">IF($K$24=0,Calc2!$C$16,VLOOKUP(B799,C787:N806,4,0))</f>
        <v>Borussia Mönchengladbach</v>
      </c>
      <c r="X799" s="1">
        <f ca="1">INDEX(V760:V779,MATCH(W799,W760:W779,0))</f>
        <v>14</v>
      </c>
      <c r="Y799" s="1">
        <f t="shared" ca="1" si="149"/>
        <v>1</v>
      </c>
    </row>
    <row r="800" spans="2:25" x14ac:dyDescent="0.2">
      <c r="B800" s="1">
        <v>14</v>
      </c>
      <c r="C800" s="9">
        <f ca="1">RANK(D800,D787:D806,1)</f>
        <v>7</v>
      </c>
      <c r="D800" s="134">
        <f t="shared" ca="1" si="147"/>
        <v>7.8</v>
      </c>
      <c r="E800" s="134">
        <f ca="1">RANK(T800,T787:T806,1)</f>
        <v>7</v>
      </c>
      <c r="F800" s="187" t="str">
        <f>Calc2!$C$17</f>
        <v>SC Freiburg</v>
      </c>
      <c r="G800" s="1">
        <f ca="1">SUMIFS(OFFSET(Calc2!$H$4,,,$F$26*B785,1),OFFSET(Calc2!$F$4,,,$F$26*B785,1),F800)+SUMIFS(OFFSET(Calc2!$I$4,,,$F$26*B785,1),OFFSET(Calc2!$G$4,,,$F$26*B785,1),F800)</f>
        <v>44</v>
      </c>
      <c r="H800" s="1">
        <f ca="1">SUMIFS(OFFSET(Calc2!$I$4,,,$F$26*B785,1),OFFSET(Calc2!$F$4,,,$F$26*B785,1),F800)+SUMIFS(OFFSET(Calc2!$H$4,,,$F$26*B785,1),OFFSET(Calc2!$G$4,,,$F$26*B785,1),F800)</f>
        <v>48</v>
      </c>
      <c r="I800" s="134">
        <f t="shared" ca="1" si="145"/>
        <v>-4</v>
      </c>
      <c r="J800" s="12">
        <f ca="1">L800*Settings!$C$3+M800+O800</f>
        <v>43</v>
      </c>
      <c r="K800" s="1">
        <f t="shared" ca="1" si="148"/>
        <v>30</v>
      </c>
      <c r="L800" s="1">
        <f t="array" aca="1" ref="L800" ca="1">SUMPRODUCT((OFFSET(Calc2!$F$4,,,$F$26*B785,1)=F800)*(OFFSET(Calc2!$H$4,,,$F$26*B785,1)&gt;OFFSET(Calc2!$I$4,,,$F$26*B785,1)))+SUMPRODUCT((OFFSET(Calc2!$G$4,,,$F$26*B785,1)=F800)*(OFFSET(Calc2!$H$4,,,$F$26*B785,1)&lt;OFFSET(Calc2!$I$4,,,$F$26*B785,1)))</f>
        <v>12</v>
      </c>
      <c r="M800" s="1">
        <f t="array" aca="1" ref="M800" ca="1">SUMPRODUCT((OFFSET(Calc2!$F$4,,,$F$26*B785,2)=F800)*(OFFSET(Calc2!$H$4,,,$F$26*B785,1)=OFFSET(Calc2!$I$4,,,$F$26*B785,1))*(OFFSET(Calc2!$H$4,,,$F$26*B785,1)&lt;&gt;"")*(OFFSET(Calc2!$I$4,,,$F$26*B785,1)&lt;&gt;""))</f>
        <v>7</v>
      </c>
      <c r="N800" s="1">
        <f t="array" aca="1" ref="N800" ca="1">SUMPRODUCT((OFFSET(Calc2!$F$4,,,$F$26*B785,1)=F800)*(OFFSET(Calc2!$H$4,,,$F$26*B785,1)&lt;OFFSET(Calc2!$I$4,,,$F$26*B785,1)))+SUMPRODUCT((OFFSET(Calc2!$G$4,,,$F$26*B785,1)=F800)*(OFFSET(Calc2!$H$4,,,$F$26*B785,1)&gt;OFFSET(Calc2!$I$4,,,$F$26*B785,1)))</f>
        <v>11</v>
      </c>
      <c r="O800" s="132">
        <f ca="1">SUMPRODUCT((F800=OFFSET(Calc2!$F$4,,,$F$26*B785,1))*OFFSET(Calc2!$O$4,,,$F$26*B785,1))+SUMPRODUCT((F800=OFFSET(Calc2!$G$4,,,$F$26*B785,1))*OFFSET(Calc2!$P$4,,,$F$26*B785,1))</f>
        <v>0</v>
      </c>
      <c r="P800" s="2"/>
      <c r="Q800" s="2"/>
      <c r="R800" s="13">
        <f t="shared" ca="1" si="146"/>
        <v>43499996044</v>
      </c>
      <c r="S800" s="134">
        <f>Tie_Break!$D$20</f>
        <v>0</v>
      </c>
      <c r="T800" s="9">
        <f ca="1">RANK(R800,R787:R806)+(9-S800)/10000+(F800="")*1000</f>
        <v>7.0008999999999997</v>
      </c>
      <c r="U800" s="2"/>
      <c r="V800" s="134">
        <f ca="1">IF($K$24=0,"",IF(VLOOKUP(B800,C787:E806,3,0)=MAX(V$4:V799),VLOOKUP(B800,C787:E806,3,0),B800))</f>
        <v>14</v>
      </c>
      <c r="W800" s="4" t="str">
        <f ca="1">IF($K$24=0,Calc2!$C$17,VLOOKUP(B800,C787:N806,4,0))</f>
        <v>Hamburger SV</v>
      </c>
      <c r="X800" s="1">
        <f ca="1">INDEX(V760:V779,MATCH(W800,W760:W779,0))</f>
        <v>12</v>
      </c>
      <c r="Y800" s="1">
        <f t="shared" ca="1" si="149"/>
        <v>-1</v>
      </c>
    </row>
    <row r="801" spans="2:25" x14ac:dyDescent="0.2">
      <c r="B801" s="1">
        <v>15</v>
      </c>
      <c r="C801" s="9">
        <f ca="1">RANK(D801,D787:D806,1)</f>
        <v>15</v>
      </c>
      <c r="D801" s="134">
        <f t="shared" ca="1" si="147"/>
        <v>15.801</v>
      </c>
      <c r="E801" s="134">
        <f ca="1">RANK(T801,T787:T806,1)</f>
        <v>15</v>
      </c>
      <c r="F801" s="187" t="str">
        <f>Calc2!$C$18</f>
        <v>SV Werder Bremen</v>
      </c>
      <c r="G801" s="1">
        <f ca="1">SUMIFS(OFFSET(Calc2!$H$4,,,$F$26*B785,1),OFFSET(Calc2!$F$4,,,$F$26*B785,1),F801)+SUMIFS(OFFSET(Calc2!$I$4,,,$F$26*B785,1),OFFSET(Calc2!$G$4,,,$F$26*B785,1),F801)</f>
        <v>35</v>
      </c>
      <c r="H801" s="1">
        <f ca="1">SUMIFS(OFFSET(Calc2!$I$4,,,$F$26*B785,1),OFFSET(Calc2!$F$4,,,$F$26*B785,1),F801)+SUMIFS(OFFSET(Calc2!$H$4,,,$F$26*B785,1),OFFSET(Calc2!$G$4,,,$F$26*B785,1),F801)</f>
        <v>53</v>
      </c>
      <c r="I801" s="134">
        <f t="shared" ca="1" si="145"/>
        <v>-18</v>
      </c>
      <c r="J801" s="12">
        <f ca="1">L801*Settings!$C$3+M801+O801</f>
        <v>31</v>
      </c>
      <c r="K801" s="1">
        <f t="shared" ca="1" si="148"/>
        <v>30</v>
      </c>
      <c r="L801" s="1">
        <f t="array" aca="1" ref="L801" ca="1">SUMPRODUCT((OFFSET(Calc2!$F$4,,,$F$26*B785,1)=F801)*(OFFSET(Calc2!$H$4,,,$F$26*B785,1)&gt;OFFSET(Calc2!$I$4,,,$F$26*B785,1)))+SUMPRODUCT((OFFSET(Calc2!$G$4,,,$F$26*B785,1)=F801)*(OFFSET(Calc2!$H$4,,,$F$26*B785,1)&lt;OFFSET(Calc2!$I$4,,,$F$26*B785,1)))</f>
        <v>8</v>
      </c>
      <c r="M801" s="1">
        <f t="array" aca="1" ref="M801" ca="1">SUMPRODUCT((OFFSET(Calc2!$F$4,,,$F$26*B785,2)=F801)*(OFFSET(Calc2!$H$4,,,$F$26*B785,1)=OFFSET(Calc2!$I$4,,,$F$26*B785,1))*(OFFSET(Calc2!$H$4,,,$F$26*B785,1)&lt;&gt;"")*(OFFSET(Calc2!$I$4,,,$F$26*B785,1)&lt;&gt;""))</f>
        <v>7</v>
      </c>
      <c r="N801" s="1">
        <f t="array" aca="1" ref="N801" ca="1">SUMPRODUCT((OFFSET(Calc2!$F$4,,,$F$26*B785,1)=F801)*(OFFSET(Calc2!$H$4,,,$F$26*B785,1)&lt;OFFSET(Calc2!$I$4,,,$F$26*B785,1)))+SUMPRODUCT((OFFSET(Calc2!$G$4,,,$F$26*B785,1)=F801)*(OFFSET(Calc2!$H$4,,,$F$26*B785,1)&gt;OFFSET(Calc2!$I$4,,,$F$26*B785,1)))</f>
        <v>15</v>
      </c>
      <c r="O801" s="132">
        <f ca="1">SUMPRODUCT((F801=OFFSET(Calc2!$F$4,,,$F$26*B785,1))*OFFSET(Calc2!$O$4,,,$F$26*B785,1))+SUMPRODUCT((F801=OFFSET(Calc2!$G$4,,,$F$26*B785,1))*OFFSET(Calc2!$P$4,,,$F$26*B785,1))</f>
        <v>0</v>
      </c>
      <c r="P801" s="2"/>
      <c r="Q801" s="2"/>
      <c r="R801" s="13">
        <f t="shared" ca="1" si="146"/>
        <v>31499982035</v>
      </c>
      <c r="S801" s="134">
        <f>Tie_Break!$D$21</f>
        <v>0</v>
      </c>
      <c r="T801" s="9">
        <f ca="1">RANK(R801,R787:R806)+(9-S801)/10000+(F801="")*1000</f>
        <v>15.0009</v>
      </c>
      <c r="U801" s="2"/>
      <c r="V801" s="134">
        <f ca="1">IF($K$24=0,"",IF(VLOOKUP(B801,C787:E806,3,0)=MAX(V$4:V800),VLOOKUP(B801,C787:E806,3,0),B801))</f>
        <v>15</v>
      </c>
      <c r="W801" s="4" t="str">
        <f ca="1">IF($K$24=0,Calc2!$C$18,VLOOKUP(B801,C787:N806,4,0))</f>
        <v>SV Werder Bremen</v>
      </c>
      <c r="X801" s="1">
        <f ca="1">INDEX(V760:V779,MATCH(W801,W760:W779,0))</f>
        <v>15</v>
      </c>
      <c r="Y801" s="1">
        <f t="shared" ca="1" si="149"/>
        <v>0</v>
      </c>
    </row>
    <row r="802" spans="2:25" x14ac:dyDescent="0.2">
      <c r="B802" s="1">
        <v>16</v>
      </c>
      <c r="C802" s="9">
        <f ca="1">RANK(D802,D787:D806,1)</f>
        <v>5</v>
      </c>
      <c r="D802" s="134">
        <f t="shared" ca="1" si="147"/>
        <v>5.8019999999999996</v>
      </c>
      <c r="E802" s="134">
        <f ca="1">RANK(T802,T787:T806,1)</f>
        <v>5</v>
      </c>
      <c r="F802" s="187" t="str">
        <f>Calc2!$C$19</f>
        <v>TSG Hoffenheim</v>
      </c>
      <c r="G802" s="1">
        <f ca="1">SUMIFS(OFFSET(Calc2!$H$4,,,$F$26*B785,1),OFFSET(Calc2!$F$4,,,$F$26*B785,1),F802)+SUMIFS(OFFSET(Calc2!$I$4,,,$F$26*B785,1),OFFSET(Calc2!$G$4,,,$F$26*B785,1),F802)</f>
        <v>59</v>
      </c>
      <c r="H802" s="1">
        <f ca="1">SUMIFS(OFFSET(Calc2!$I$4,,,$F$26*B785,1),OFFSET(Calc2!$F$4,,,$F$26*B785,1),F802)+SUMIFS(OFFSET(Calc2!$H$4,,,$F$26*B785,1),OFFSET(Calc2!$G$4,,,$F$26*B785,1),F802)</f>
        <v>44</v>
      </c>
      <c r="I802" s="134">
        <f t="shared" ca="1" si="145"/>
        <v>15</v>
      </c>
      <c r="J802" s="12">
        <f ca="1">L802*Settings!$C$3+M802+O802</f>
        <v>54</v>
      </c>
      <c r="K802" s="1">
        <f t="shared" ca="1" si="148"/>
        <v>30</v>
      </c>
      <c r="L802" s="1">
        <f t="array" aca="1" ref="L802" ca="1">SUMPRODUCT((OFFSET(Calc2!$F$4,,,$F$26*B785,1)=F802)*(OFFSET(Calc2!$H$4,,,$F$26*B785,1)&gt;OFFSET(Calc2!$I$4,,,$F$26*B785,1)))+SUMPRODUCT((OFFSET(Calc2!$G$4,,,$F$26*B785,1)=F802)*(OFFSET(Calc2!$H$4,,,$F$26*B785,1)&lt;OFFSET(Calc2!$I$4,,,$F$26*B785,1)))</f>
        <v>16</v>
      </c>
      <c r="M802" s="1">
        <f t="array" aca="1" ref="M802" ca="1">SUMPRODUCT((OFFSET(Calc2!$F$4,,,$F$26*B785,2)=F802)*(OFFSET(Calc2!$H$4,,,$F$26*B785,1)=OFFSET(Calc2!$I$4,,,$F$26*B785,1))*(OFFSET(Calc2!$H$4,,,$F$26*B785,1)&lt;&gt;"")*(OFFSET(Calc2!$I$4,,,$F$26*B785,1)&lt;&gt;""))</f>
        <v>6</v>
      </c>
      <c r="N802" s="1">
        <f t="array" aca="1" ref="N802" ca="1">SUMPRODUCT((OFFSET(Calc2!$F$4,,,$F$26*B785,1)=F802)*(OFFSET(Calc2!$H$4,,,$F$26*B785,1)&lt;OFFSET(Calc2!$I$4,,,$F$26*B785,1)))+SUMPRODUCT((OFFSET(Calc2!$G$4,,,$F$26*B785,1)=F802)*(OFFSET(Calc2!$H$4,,,$F$26*B785,1)&gt;OFFSET(Calc2!$I$4,,,$F$26*B785,1)))</f>
        <v>8</v>
      </c>
      <c r="O802" s="132">
        <f ca="1">SUMPRODUCT((F802=OFFSET(Calc2!$F$4,,,$F$26*B785,1))*OFFSET(Calc2!$O$4,,,$F$26*B785,1))+SUMPRODUCT((F802=OFFSET(Calc2!$G$4,,,$F$26*B785,1))*OFFSET(Calc2!$P$4,,,$F$26*B785,1))</f>
        <v>0</v>
      </c>
      <c r="P802" s="2"/>
      <c r="Q802" s="2"/>
      <c r="R802" s="13">
        <f t="shared" ca="1" si="146"/>
        <v>54500015059</v>
      </c>
      <c r="S802" s="134">
        <f>Tie_Break!$D$22</f>
        <v>0</v>
      </c>
      <c r="T802" s="9">
        <f ca="1">RANK(R802,R787:R806)+(9-S802)/10000+(F802="")*1000</f>
        <v>5.0008999999999997</v>
      </c>
      <c r="U802" s="2"/>
      <c r="V802" s="134">
        <f ca="1">IF($K$24=0,"",IF(VLOOKUP(B802,C787:E806,3,0)=MAX(V$4:V801),VLOOKUP(B802,C787:E806,3,0),B802))</f>
        <v>16</v>
      </c>
      <c r="W802" s="4" t="str">
        <f ca="1">IF($K$24=0,Calc2!$C$19,VLOOKUP(B802,C787:N806,4,0))</f>
        <v>FC St. Pauli</v>
      </c>
      <c r="X802" s="1">
        <f ca="1">INDEX(V760:V779,MATCH(W802,W760:W779,0))</f>
        <v>16</v>
      </c>
      <c r="Y802" s="1">
        <f t="shared" ca="1" si="149"/>
        <v>0</v>
      </c>
    </row>
    <row r="803" spans="2:25" x14ac:dyDescent="0.2">
      <c r="B803" s="1">
        <v>17</v>
      </c>
      <c r="C803" s="9">
        <f ca="1">RANK(D803,D787:D806,1)</f>
        <v>4</v>
      </c>
      <c r="D803" s="134">
        <f t="shared" ca="1" si="147"/>
        <v>4.8029999999999999</v>
      </c>
      <c r="E803" s="134">
        <f ca="1">RANK(T803,T787:T806,1)</f>
        <v>4</v>
      </c>
      <c r="F803" s="187" t="str">
        <f>Calc2!$C$20</f>
        <v>VfB Stuttgart</v>
      </c>
      <c r="G803" s="1">
        <f ca="1">SUMIFS(OFFSET(Calc2!$H$4,,,$F$26*B785,1),OFFSET(Calc2!$F$4,,,$F$26*B785,1),F803)+SUMIFS(OFFSET(Calc2!$I$4,,,$F$26*B785,1),OFFSET(Calc2!$G$4,,,$F$26*B785,1),F803)</f>
        <v>62</v>
      </c>
      <c r="H803" s="1">
        <f ca="1">SUMIFS(OFFSET(Calc2!$I$4,,,$F$26*B785,1),OFFSET(Calc2!$F$4,,,$F$26*B785,1),F803)+SUMIFS(OFFSET(Calc2!$H$4,,,$F$26*B785,1),OFFSET(Calc2!$G$4,,,$F$26*B785,1),F803)</f>
        <v>42</v>
      </c>
      <c r="I803" s="134">
        <f t="shared" ca="1" si="145"/>
        <v>20</v>
      </c>
      <c r="J803" s="12">
        <f ca="1">L803*Settings!$C$3+M803+O803</f>
        <v>56</v>
      </c>
      <c r="K803" s="1">
        <f t="shared" ca="1" si="148"/>
        <v>30</v>
      </c>
      <c r="L803" s="1">
        <f t="array" aca="1" ref="L803" ca="1">SUMPRODUCT((OFFSET(Calc2!$F$4,,,$F$26*B785,1)=F803)*(OFFSET(Calc2!$H$4,,,$F$26*B785,1)&gt;OFFSET(Calc2!$I$4,,,$F$26*B785,1)))+SUMPRODUCT((OFFSET(Calc2!$G$4,,,$F$26*B785,1)=F803)*(OFFSET(Calc2!$H$4,,,$F$26*B785,1)&lt;OFFSET(Calc2!$I$4,,,$F$26*B785,1)))</f>
        <v>17</v>
      </c>
      <c r="M803" s="1">
        <f t="array" aca="1" ref="M803" ca="1">SUMPRODUCT((OFFSET(Calc2!$F$4,,,$F$26*B785,2)=F803)*(OFFSET(Calc2!$H$4,,,$F$26*B785,1)=OFFSET(Calc2!$I$4,,,$F$26*B785,1))*(OFFSET(Calc2!$H$4,,,$F$26*B785,1)&lt;&gt;"")*(OFFSET(Calc2!$I$4,,,$F$26*B785,1)&lt;&gt;""))</f>
        <v>5</v>
      </c>
      <c r="N803" s="1">
        <f t="array" aca="1" ref="N803" ca="1">SUMPRODUCT((OFFSET(Calc2!$F$4,,,$F$26*B785,1)=F803)*(OFFSET(Calc2!$H$4,,,$F$26*B785,1)&lt;OFFSET(Calc2!$I$4,,,$F$26*B785,1)))+SUMPRODUCT((OFFSET(Calc2!$G$4,,,$F$26*B785,1)=F803)*(OFFSET(Calc2!$H$4,,,$F$26*B785,1)&gt;OFFSET(Calc2!$I$4,,,$F$26*B785,1)))</f>
        <v>8</v>
      </c>
      <c r="O803" s="132">
        <f ca="1">SUMPRODUCT((F803=OFFSET(Calc2!$F$4,,,$F$26*B785,1))*OFFSET(Calc2!$O$4,,,$F$26*B785,1))+SUMPRODUCT((F803=OFFSET(Calc2!$G$4,,,$F$26*B785,1))*OFFSET(Calc2!$P$4,,,$F$26*B785,1))</f>
        <v>0</v>
      </c>
      <c r="P803" s="2"/>
      <c r="Q803" s="2"/>
      <c r="R803" s="13">
        <f t="shared" ca="1" si="146"/>
        <v>56500020062</v>
      </c>
      <c r="S803" s="134">
        <f>Tie_Break!$D$23</f>
        <v>0</v>
      </c>
      <c r="T803" s="9">
        <f ca="1">RANK(R803,R787:R806)+(9-S803)/10000+(F803="")*1000</f>
        <v>4.0008999999999997</v>
      </c>
      <c r="U803" s="2"/>
      <c r="V803" s="134">
        <f ca="1">IF($K$24=0,"",IF(VLOOKUP(B803,C787:E806,3,0)=MAX(V$4:V802),VLOOKUP(B803,C787:E806,3,0),B803))</f>
        <v>17</v>
      </c>
      <c r="W803" s="4" t="str">
        <f ca="1">IF($K$24=0,Calc2!$C$20,VLOOKUP(B803,C787:N806,4,0))</f>
        <v>VfL Wolfsburg</v>
      </c>
      <c r="X803" s="1">
        <f ca="1">INDEX(V760:V779,MATCH(W803,W760:W779,0))</f>
        <v>17</v>
      </c>
      <c r="Y803" s="1">
        <f t="shared" ca="1" si="149"/>
        <v>0</v>
      </c>
    </row>
    <row r="804" spans="2:25" x14ac:dyDescent="0.2">
      <c r="B804" s="1">
        <v>18</v>
      </c>
      <c r="C804" s="9">
        <f ca="1">RANK(D804,D787:D806,1)</f>
        <v>17</v>
      </c>
      <c r="D804" s="134">
        <f t="shared" ca="1" si="147"/>
        <v>17.803999999999998</v>
      </c>
      <c r="E804" s="134">
        <f ca="1">RANK(T804,T787:T806,1)</f>
        <v>17</v>
      </c>
      <c r="F804" s="187" t="str">
        <f>Calc2!$C$21</f>
        <v>VfL Wolfsburg</v>
      </c>
      <c r="G804" s="1">
        <f ca="1">SUMIFS(OFFSET(Calc2!$H$4,,,$F$26*B785,1),OFFSET(Calc2!$F$4,,,$F$26*B785,1),F804)+SUMIFS(OFFSET(Calc2!$I$4,,,$F$26*B785,1),OFFSET(Calc2!$G$4,,,$F$26*B785,1),F804)</f>
        <v>41</v>
      </c>
      <c r="H804" s="1">
        <f ca="1">SUMIFS(OFFSET(Calc2!$I$4,,,$F$26*B785,1),OFFSET(Calc2!$F$4,,,$F$26*B785,1),F804)+SUMIFS(OFFSET(Calc2!$H$4,,,$F$26*B785,1),OFFSET(Calc2!$G$4,,,$F$26*B785,1),F804)</f>
        <v>66</v>
      </c>
      <c r="I804" s="134">
        <f t="shared" ca="1" si="145"/>
        <v>-25</v>
      </c>
      <c r="J804" s="12">
        <f ca="1">L804*Settings!$C$3+M804+O804</f>
        <v>24</v>
      </c>
      <c r="K804" s="1">
        <f t="shared" ca="1" si="148"/>
        <v>30</v>
      </c>
      <c r="L804" s="1">
        <f t="array" aca="1" ref="L804" ca="1">SUMPRODUCT((OFFSET(Calc2!$F$4,,,$F$26*B785,1)=F804)*(OFFSET(Calc2!$H$4,,,$F$26*B785,1)&gt;OFFSET(Calc2!$I$4,,,$F$26*B785,1)))+SUMPRODUCT((OFFSET(Calc2!$G$4,,,$F$26*B785,1)=F804)*(OFFSET(Calc2!$H$4,,,$F$26*B785,1)&lt;OFFSET(Calc2!$I$4,,,$F$26*B785,1)))</f>
        <v>6</v>
      </c>
      <c r="M804" s="1">
        <f t="array" aca="1" ref="M804" ca="1">SUMPRODUCT((OFFSET(Calc2!$F$4,,,$F$26*B785,2)=F804)*(OFFSET(Calc2!$H$4,,,$F$26*B785,1)=OFFSET(Calc2!$I$4,,,$F$26*B785,1))*(OFFSET(Calc2!$H$4,,,$F$26*B785,1)&lt;&gt;"")*(OFFSET(Calc2!$I$4,,,$F$26*B785,1)&lt;&gt;""))</f>
        <v>6</v>
      </c>
      <c r="N804" s="1">
        <f t="array" aca="1" ref="N804" ca="1">SUMPRODUCT((OFFSET(Calc2!$F$4,,,$F$26*B785,1)=F804)*(OFFSET(Calc2!$H$4,,,$F$26*B785,1)&lt;OFFSET(Calc2!$I$4,,,$F$26*B785,1)))+SUMPRODUCT((OFFSET(Calc2!$G$4,,,$F$26*B785,1)=F804)*(OFFSET(Calc2!$H$4,,,$F$26*B785,1)&gt;OFFSET(Calc2!$I$4,,,$F$26*B785,1)))</f>
        <v>18</v>
      </c>
      <c r="O804" s="132">
        <f ca="1">SUMPRODUCT((F804=OFFSET(Calc2!$F$4,,,$F$26*B785,1))*OFFSET(Calc2!$O$4,,,$F$26*B785,1))+SUMPRODUCT((F804=OFFSET(Calc2!$G$4,,,$F$26*B785,1))*OFFSET(Calc2!$P$4,,,$F$26*B785,1))</f>
        <v>0</v>
      </c>
      <c r="P804" s="2"/>
      <c r="Q804" s="2"/>
      <c r="R804" s="13">
        <f t="shared" ca="1" si="146"/>
        <v>24499975041</v>
      </c>
      <c r="S804" s="134">
        <f>Tie_Break!$D$24</f>
        <v>0</v>
      </c>
      <c r="T804" s="9">
        <f ca="1">RANK(R804,R787:R806)+(9-S804)/10000+(F804="")*1000</f>
        <v>17.000900000000001</v>
      </c>
      <c r="U804" s="2"/>
      <c r="V804" s="134">
        <f ca="1">IF($K$24=0,"",IF(VLOOKUP(B804,C787:E806,3,0)=MAX(V$4:V803),VLOOKUP(B804,C787:E806,3,0),B804))</f>
        <v>18</v>
      </c>
      <c r="W804" s="4" t="str">
        <f ca="1">IF($K$24=0,Calc2!$C$21,VLOOKUP(B804,C787:N806,4,0))</f>
        <v>1. FC Heidenheim 1846</v>
      </c>
      <c r="X804" s="1">
        <f ca="1">INDEX(V760:V779,MATCH(W804,W760:W779,0))</f>
        <v>18</v>
      </c>
      <c r="Y804" s="1">
        <f t="shared" ca="1" si="149"/>
        <v>0</v>
      </c>
    </row>
    <row r="805" spans="2:25" x14ac:dyDescent="0.2">
      <c r="B805" s="1">
        <v>19</v>
      </c>
      <c r="C805" s="9">
        <f ca="1">RANK(D805,D787:D806,1)</f>
        <v>19</v>
      </c>
      <c r="D805" s="134">
        <f t="shared" ca="1" si="147"/>
        <v>19.805</v>
      </c>
      <c r="E805" s="134">
        <f ca="1">RANK(T805,T787:T806,1)</f>
        <v>19</v>
      </c>
      <c r="F805" s="187" t="str">
        <f>Calc2!$C$22</f>
        <v/>
      </c>
      <c r="G805" s="1">
        <f ca="1">SUMIFS(OFFSET(Calc2!$H$4,,,$F$26*B785,1),OFFSET(Calc2!$F$4,,,$F$26*B785,1),F805)+SUMIFS(OFFSET(Calc2!$I$4,,,$F$26*B785,1),OFFSET(Calc2!$G$4,,,$F$26*B785,1),F805)</f>
        <v>0</v>
      </c>
      <c r="H805" s="1">
        <f ca="1">SUMIFS(OFFSET(Calc2!$I$4,,,$F$26*B785,1),OFFSET(Calc2!$F$4,,,$F$26*B785,1),F805)+SUMIFS(OFFSET(Calc2!$H$4,,,$F$26*B785,1),OFFSET(Calc2!$G$4,,,$F$26*B785,1),F805)</f>
        <v>0</v>
      </c>
      <c r="I805" s="134">
        <f t="shared" ca="1" si="145"/>
        <v>0</v>
      </c>
      <c r="J805" s="12">
        <f ca="1">L805*Settings!$C$3+M805+O805</f>
        <v>0</v>
      </c>
      <c r="K805" s="1">
        <f t="shared" ca="1" si="148"/>
        <v>0</v>
      </c>
      <c r="L805" s="1">
        <f t="array" aca="1" ref="L805" ca="1">SUMPRODUCT((OFFSET(Calc2!$F$4,,,$F$26*B785,1)=F805)*(OFFSET(Calc2!$H$4,,,$F$26*B785,1)&gt;OFFSET(Calc2!$I$4,,,$F$26*B785,1)))+SUMPRODUCT((OFFSET(Calc2!$G$4,,,$F$26*B785,1)=F805)*(OFFSET(Calc2!$H$4,,,$F$26*B785,1)&lt;OFFSET(Calc2!$I$4,,,$F$26*B785,1)))</f>
        <v>0</v>
      </c>
      <c r="M805" s="1">
        <f t="array" aca="1" ref="M805" ca="1">SUMPRODUCT((OFFSET(Calc2!$F$4,,,$F$26*B785,2)=F805)*(OFFSET(Calc2!$H$4,,,$F$26*B785,1)=OFFSET(Calc2!$I$4,,,$F$26*B785,1))*(OFFSET(Calc2!$H$4,,,$F$26*B785,1)&lt;&gt;"")*(OFFSET(Calc2!$I$4,,,$F$26*B785,1)&lt;&gt;""))</f>
        <v>0</v>
      </c>
      <c r="N805" s="1">
        <f t="array" aca="1" ref="N805" ca="1">SUMPRODUCT((OFFSET(Calc2!$F$4,,,$F$26*B785,1)=F805)*(OFFSET(Calc2!$H$4,,,$F$26*B785,1)&lt;OFFSET(Calc2!$I$4,,,$F$26*B785,1)))+SUMPRODUCT((OFFSET(Calc2!$G$4,,,$F$26*B785,1)=F805)*(OFFSET(Calc2!$H$4,,,$F$26*B785,1)&gt;OFFSET(Calc2!$I$4,,,$F$26*B785,1)))</f>
        <v>0</v>
      </c>
      <c r="O805" s="132">
        <f ca="1">SUMPRODUCT((F805=OFFSET(Calc2!$F$4,,,$F$26*B785,1))*OFFSET(Calc2!$O$4,,,$F$26*B785,1))+SUMPRODUCT((F805=OFFSET(Calc2!$G$4,,,$F$26*B785,1))*OFFSET(Calc2!$P$4,,,$F$26*B785,1))</f>
        <v>0</v>
      </c>
      <c r="P805" s="2"/>
      <c r="Q805" s="2"/>
      <c r="R805" s="13">
        <f t="shared" ca="1" si="146"/>
        <v>500000000</v>
      </c>
      <c r="S805" s="134">
        <f>Tie_Break!$D$25</f>
        <v>0</v>
      </c>
      <c r="T805" s="9">
        <f ca="1">RANK(R805,R787:R806)+(9-S805)/10000+(F805="")*1000</f>
        <v>1019.0009</v>
      </c>
      <c r="U805" s="2"/>
      <c r="V805" s="134">
        <f ca="1">IF($K$24=0,"",IF(VLOOKUP(B805,C787:E806,3,0)=MAX(V$4:V804),VLOOKUP(B805,C787:E806,3,0),B805))</f>
        <v>19</v>
      </c>
      <c r="W805" s="4" t="str">
        <f ca="1">IF($K$24=0,Calc2!$C$22,VLOOKUP(B805,C787:N806,4,0))</f>
        <v/>
      </c>
      <c r="X805" s="1">
        <f ca="1">INDEX(V760:V779,MATCH(W805,W760:W779,0))</f>
        <v>19</v>
      </c>
      <c r="Y805" s="1">
        <f t="shared" ca="1" si="149"/>
        <v>0</v>
      </c>
    </row>
    <row r="806" spans="2:25" ht="12.75" thickBot="1" x14ac:dyDescent="0.25">
      <c r="B806" s="1">
        <v>20</v>
      </c>
      <c r="C806" s="10">
        <f ca="1">RANK(D806,D787:D806,1)</f>
        <v>20</v>
      </c>
      <c r="D806" s="134">
        <f t="shared" ca="1" si="147"/>
        <v>19.806000000000001</v>
      </c>
      <c r="E806" s="134">
        <f ca="1">RANK(T806,T787:T806,1)</f>
        <v>19</v>
      </c>
      <c r="F806" s="187" t="str">
        <f>Calc2!$C$23</f>
        <v/>
      </c>
      <c r="G806" s="1">
        <f ca="1">SUMIFS(OFFSET(Calc2!$H$4,,,$F$26*B785,1),OFFSET(Calc2!$F$4,,,$F$26*B785,1),F806)+SUMIFS(OFFSET(Calc2!$I$4,,,$F$26*B785,1),OFFSET(Calc2!$G$4,,,$F$26*B785,1),F806)</f>
        <v>0</v>
      </c>
      <c r="H806" s="1">
        <f ca="1">SUMIFS(OFFSET(Calc2!$I$4,,,$F$26*B785,1),OFFSET(Calc2!$F$4,,,$F$26*B785,1),F806)+SUMIFS(OFFSET(Calc2!$H$4,,,$F$26*B785,1),OFFSET(Calc2!$G$4,,,$F$26*B785,1),F806)</f>
        <v>0</v>
      </c>
      <c r="I806" s="134">
        <f t="shared" ca="1" si="145"/>
        <v>0</v>
      </c>
      <c r="J806" s="12">
        <f ca="1">L806*Settings!$C$3+M806+O806</f>
        <v>0</v>
      </c>
      <c r="K806" s="1">
        <f t="shared" ca="1" si="148"/>
        <v>0</v>
      </c>
      <c r="L806" s="1">
        <f t="array" aca="1" ref="L806" ca="1">SUMPRODUCT((OFFSET(Calc2!$F$4,,,$F$26*B785,1)=F806)*(OFFSET(Calc2!$H$4,,,$F$26*B785,1)&gt;OFFSET(Calc2!$I$4,,,$F$26*B785,1)))+SUMPRODUCT((OFFSET(Calc2!$G$4,,,$F$26*B785,1)=F806)*(OFFSET(Calc2!$H$4,,,$F$26*B785,1)&lt;OFFSET(Calc2!$I$4,,,$F$26*B785,1)))</f>
        <v>0</v>
      </c>
      <c r="M806" s="1">
        <f t="array" aca="1" ref="M806" ca="1">SUMPRODUCT((OFFSET(Calc2!$F$4,,,$F$26*B785,2)=F806)*(OFFSET(Calc2!$H$4,,,$F$26*B785,1)=OFFSET(Calc2!$I$4,,,$F$26*B785,1))*(OFFSET(Calc2!$H$4,,,$F$26*B785,1)&lt;&gt;"")*(OFFSET(Calc2!$I$4,,,$F$26*B785,1)&lt;&gt;""))</f>
        <v>0</v>
      </c>
      <c r="N806" s="1">
        <f t="array" aca="1" ref="N806" ca="1">SUMPRODUCT((OFFSET(Calc2!$F$4,,,$F$26*B785,1)=F806)*(OFFSET(Calc2!$H$4,,,$F$26*B785,1)&lt;OFFSET(Calc2!$I$4,,,$F$26*B785,1)))+SUMPRODUCT((OFFSET(Calc2!$G$4,,,$F$26*B785,1)=F806)*(OFFSET(Calc2!$H$4,,,$F$26*B785,1)&gt;OFFSET(Calc2!$I$4,,,$F$26*B785,1)))</f>
        <v>0</v>
      </c>
      <c r="O806" s="132">
        <f ca="1">SUMPRODUCT((F806=OFFSET(Calc2!$F$4,,,$F$26*B785,1))*OFFSET(Calc2!$O$4,,,$F$26*B785,1))+SUMPRODUCT((F806=OFFSET(Calc2!$G$4,,,$F$26*B785,1))*OFFSET(Calc2!$P$4,,,$F$26*B785,1))</f>
        <v>0</v>
      </c>
      <c r="P806" s="2"/>
      <c r="Q806" s="2"/>
      <c r="R806" s="13">
        <f t="shared" ca="1" si="146"/>
        <v>500000000</v>
      </c>
      <c r="S806" s="134">
        <f>Tie_Break!$D$26</f>
        <v>0</v>
      </c>
      <c r="T806" s="10">
        <f ca="1">RANK(R806,R787:R806)+(9-S806)/10000+(F806="")*1000</f>
        <v>1019.0009</v>
      </c>
      <c r="U806" s="2"/>
      <c r="V806" s="134">
        <f ca="1">IF($K$24=0,"",IF(VLOOKUP(B806,C787:E806,3,0)=MAX(V$4:V805),VLOOKUP(B806,C787:E806,3,0),B806))</f>
        <v>19</v>
      </c>
      <c r="W806" s="4" t="str">
        <f ca="1">IF($K$24=0,Calc2!$C$23,VLOOKUP(B806,C787:N806,4,0))</f>
        <v/>
      </c>
      <c r="X806" s="1">
        <f ca="1">INDEX(V760:V779,MATCH(W806,W760:W779,0))</f>
        <v>19</v>
      </c>
      <c r="Y806" s="1">
        <f t="shared" ca="1" si="149"/>
        <v>0</v>
      </c>
    </row>
    <row r="807" spans="2:25" ht="12.75" thickTop="1" x14ac:dyDescent="0.2"/>
    <row r="811" spans="2:25" ht="12.75" thickBot="1" x14ac:dyDescent="0.25"/>
    <row r="812" spans="2:25" ht="12.75" thickBot="1" x14ac:dyDescent="0.25">
      <c r="B812" s="410">
        <v>31</v>
      </c>
      <c r="C812" s="134"/>
      <c r="D812" s="134"/>
      <c r="E812" s="134"/>
      <c r="F812" s="187"/>
      <c r="G812" s="1"/>
      <c r="H812" s="1"/>
      <c r="I812" s="1"/>
      <c r="J812" s="1"/>
      <c r="K812" s="1"/>
      <c r="L812" s="1"/>
      <c r="M812" s="1"/>
      <c r="N812" s="134"/>
      <c r="O812" s="1"/>
      <c r="P812" s="1"/>
      <c r="Q812" s="1"/>
      <c r="R812" s="2"/>
      <c r="S812" s="2"/>
      <c r="T812" s="2"/>
      <c r="U812" s="2"/>
      <c r="V812" s="2"/>
      <c r="W812" s="2"/>
    </row>
    <row r="813" spans="2:25" ht="15.75" thickBot="1" x14ac:dyDescent="0.25">
      <c r="B813" s="1"/>
      <c r="C813" s="134"/>
      <c r="D813" s="134"/>
      <c r="E813" s="134"/>
      <c r="F813" s="11" t="s">
        <v>90</v>
      </c>
      <c r="G813" s="42" t="s">
        <v>95</v>
      </c>
      <c r="H813" s="42" t="s">
        <v>96</v>
      </c>
      <c r="I813" s="11" t="s">
        <v>97</v>
      </c>
      <c r="J813" s="11" t="s">
        <v>98</v>
      </c>
      <c r="K813" s="11" t="s">
        <v>91</v>
      </c>
      <c r="L813" s="12" t="s">
        <v>92</v>
      </c>
      <c r="M813" s="12" t="s">
        <v>93</v>
      </c>
      <c r="N813" s="12" t="s">
        <v>94</v>
      </c>
      <c r="O813" s="12" t="s">
        <v>534</v>
      </c>
      <c r="P813" s="2"/>
      <c r="Q813" s="11"/>
      <c r="R813" s="133" t="s">
        <v>99</v>
      </c>
      <c r="S813" s="6" t="s">
        <v>483</v>
      </c>
      <c r="T813" s="120" t="s">
        <v>146</v>
      </c>
      <c r="U813" s="134"/>
      <c r="V813" s="134"/>
      <c r="W813" s="132"/>
      <c r="X813" s="120" t="s">
        <v>575</v>
      </c>
      <c r="Y813" s="1"/>
    </row>
    <row r="814" spans="2:25" ht="12.75" thickTop="1" x14ac:dyDescent="0.2">
      <c r="B814" s="1">
        <v>1</v>
      </c>
      <c r="C814" s="8">
        <f ca="1">RANK(D814,D814:D833,1)</f>
        <v>18</v>
      </c>
      <c r="D814" s="134">
        <f ca="1">E814+ROW()/1000</f>
        <v>18.814</v>
      </c>
      <c r="E814" s="134">
        <f ca="1">RANK(T814,T814:T833,1)</f>
        <v>18</v>
      </c>
      <c r="F814" s="187" t="str">
        <f>Calc2!$C$4</f>
        <v>1. FC Heidenheim 1846</v>
      </c>
      <c r="G814" s="1">
        <f ca="1">SUMIFS(OFFSET(Calc2!$H$4,,,$F$26*B812,1),OFFSET(Calc2!$F$4,,,$F$26*B812,1),F814)+SUMIFS(OFFSET(Calc2!$I$4,,,$F$26*B812,1),OFFSET(Calc2!$G$4,,,$F$26*B812,1),F814)</f>
        <v>35</v>
      </c>
      <c r="H814" s="1">
        <f ca="1">SUMIFS(OFFSET(Calc2!$I$4,,,$F$26*B812,1),OFFSET(Calc2!$F$4,,,$F$26*B812,1),F814)+SUMIFS(OFFSET(Calc2!$H$4,,,$F$26*B812,1),OFFSET(Calc2!$G$4,,,$F$26*B812,1),F814)</f>
        <v>66</v>
      </c>
      <c r="I814" s="134">
        <f t="shared" ref="I814:I833" ca="1" si="150">G814-H814</f>
        <v>-31</v>
      </c>
      <c r="J814" s="12">
        <f ca="1">L814*Settings!$C$3+M814+O814</f>
        <v>22</v>
      </c>
      <c r="K814" s="1">
        <f ca="1">L814+M814+N814</f>
        <v>31</v>
      </c>
      <c r="L814" s="1">
        <f t="array" aca="1" ref="L814" ca="1">SUMPRODUCT((OFFSET(Calc2!$F$4,,,$F$26*B812,1)=F814)*(OFFSET(Calc2!$H$4,,,$F$26*B812,1)&gt;OFFSET(Calc2!$I$4,,,$F$26*B812,1)))+SUMPRODUCT((OFFSET(Calc2!$G$4,,,$F$26*B812,1)=F814)*(OFFSET(Calc2!$H$4,,,$F$26*B812,1)&lt;OFFSET(Calc2!$I$4,,,$F$26*B812,1)))</f>
        <v>5</v>
      </c>
      <c r="M814" s="1">
        <f t="array" aca="1" ref="M814" ca="1">SUMPRODUCT((OFFSET(Calc2!$F$4,,,$F$26*B812,2)=F814)*(OFFSET(Calc2!$H$4,,,$F$26*B812,1)=OFFSET(Calc2!$I$4,,,$F$26*B812,1))*(OFFSET(Calc2!$H$4,,,$F$26*B812,1)&lt;&gt;"")*(OFFSET(Calc2!$I$4,,,$F$26*B812,1)&lt;&gt;""))</f>
        <v>7</v>
      </c>
      <c r="N814" s="1">
        <f t="array" aca="1" ref="N814" ca="1">SUMPRODUCT((OFFSET(Calc2!$F$4,,,$F$26*B812,1)=F814)*(OFFSET(Calc2!$H$4,,,$F$26*B812,1)&lt;OFFSET(Calc2!$I$4,,,$F$26*B812,1)))+SUMPRODUCT((OFFSET(Calc2!$G$4,,,$F$26*B812,1)=F814)*(OFFSET(Calc2!$H$4,,,$F$26*B812,1)&gt;OFFSET(Calc2!$I$4,,,$F$26*B812,1)))</f>
        <v>19</v>
      </c>
      <c r="O814" s="132">
        <f ca="1">SUMPRODUCT((F814=OFFSET(Calc2!$F$4,,,$F$26*B812,1))*OFFSET(Calc2!$O$4,,,$F$26*B812,1))+SUMPRODUCT((F814=OFFSET(Calc2!$G$4,,,$F$26*B812,1))*OFFSET(Calc2!$P$4,,,$F$26*B812,1))</f>
        <v>0</v>
      </c>
      <c r="P814" s="2"/>
      <c r="Q814" s="2"/>
      <c r="R814" s="13">
        <f t="shared" ref="R814:R833" ca="1" si="151">J814*FactorPts+(I814+GDzero)*FactorGD+G814*FactorGF</f>
        <v>22499969035</v>
      </c>
      <c r="S814" s="134">
        <f>Tie_Break!$D$7</f>
        <v>0</v>
      </c>
      <c r="T814" s="8">
        <f ca="1">RANK(R814,R814:R833)+(9-S814)/10000+(F814="")*1000</f>
        <v>18.000900000000001</v>
      </c>
      <c r="U814" s="134"/>
      <c r="V814" s="134">
        <f ca="1">IF($K$24=0,"",1)</f>
        <v>1</v>
      </c>
      <c r="W814" s="4" t="str">
        <f ca="1">IF($K$24=0,Calc2!$C$4,VLOOKUP(B814,C814:N833,4,0))</f>
        <v>FC Bayern München</v>
      </c>
      <c r="X814" s="1">
        <f ca="1">INDEX(V787:V806,MATCH(W814,W787:W806,0))</f>
        <v>1</v>
      </c>
      <c r="Y814" s="1">
        <f ca="1">IF(X814&gt;V814,1,IF(X814&lt;V814,-1,0))</f>
        <v>0</v>
      </c>
    </row>
    <row r="815" spans="2:25" x14ac:dyDescent="0.2">
      <c r="B815" s="1">
        <v>2</v>
      </c>
      <c r="C815" s="9">
        <f ca="1">RANK(D815,D814:D833,1)</f>
        <v>14</v>
      </c>
      <c r="D815" s="134">
        <f t="shared" ref="D815:D833" ca="1" si="152">E815+ROW()/1000</f>
        <v>14.815</v>
      </c>
      <c r="E815" s="134">
        <f ca="1">RANK(T815,T814:T833,1)</f>
        <v>14</v>
      </c>
      <c r="F815" s="187" t="str">
        <f>Calc2!$C$5</f>
        <v>1. FC Köln</v>
      </c>
      <c r="G815" s="1">
        <f ca="1">SUMIFS(OFFSET(Calc2!$H$4,,,$F$26*B812,1),OFFSET(Calc2!$F$4,,,$F$26*B812,1),F815)+SUMIFS(OFFSET(Calc2!$I$4,,,$F$26*B812,1),OFFSET(Calc2!$G$4,,,$F$26*B812,1),F815)</f>
        <v>45</v>
      </c>
      <c r="H815" s="1">
        <f ca="1">SUMIFS(OFFSET(Calc2!$I$4,,,$F$26*B812,1),OFFSET(Calc2!$F$4,,,$F$26*B812,1),F815)+SUMIFS(OFFSET(Calc2!$H$4,,,$F$26*B812,1),OFFSET(Calc2!$G$4,,,$F$26*B812,1),F815)</f>
        <v>53</v>
      </c>
      <c r="I815" s="134">
        <f t="shared" ca="1" si="150"/>
        <v>-8</v>
      </c>
      <c r="J815" s="12">
        <f ca="1">L815*Settings!$C$3+M815+O815</f>
        <v>31</v>
      </c>
      <c r="K815" s="1">
        <f t="shared" ref="K815:K833" ca="1" si="153">L815+M815+N815</f>
        <v>31</v>
      </c>
      <c r="L815" s="1">
        <f t="array" aca="1" ref="L815" ca="1">SUMPRODUCT((OFFSET(Calc2!$F$4,,,$F$26*B812,1)=F815)*(OFFSET(Calc2!$H$4,,,$F$26*B812,1)&gt;OFFSET(Calc2!$I$4,,,$F$26*B812,1)))+SUMPRODUCT((OFFSET(Calc2!$G$4,,,$F$26*B812,1)=F815)*(OFFSET(Calc2!$H$4,,,$F$26*B812,1)&lt;OFFSET(Calc2!$I$4,,,$F$26*B812,1)))</f>
        <v>7</v>
      </c>
      <c r="M815" s="1">
        <f t="array" aca="1" ref="M815" ca="1">SUMPRODUCT((OFFSET(Calc2!$F$4,,,$F$26*B812,2)=F815)*(OFFSET(Calc2!$H$4,,,$F$26*B812,1)=OFFSET(Calc2!$I$4,,,$F$26*B812,1))*(OFFSET(Calc2!$H$4,,,$F$26*B812,1)&lt;&gt;"")*(OFFSET(Calc2!$I$4,,,$F$26*B812,1)&lt;&gt;""))</f>
        <v>10</v>
      </c>
      <c r="N815" s="1">
        <f t="array" aca="1" ref="N815" ca="1">SUMPRODUCT((OFFSET(Calc2!$F$4,,,$F$26*B812,1)=F815)*(OFFSET(Calc2!$H$4,,,$F$26*B812,1)&lt;OFFSET(Calc2!$I$4,,,$F$26*B812,1)))+SUMPRODUCT((OFFSET(Calc2!$G$4,,,$F$26*B812,1)=F815)*(OFFSET(Calc2!$H$4,,,$F$26*B812,1)&gt;OFFSET(Calc2!$I$4,,,$F$26*B812,1)))</f>
        <v>14</v>
      </c>
      <c r="O815" s="132">
        <f ca="1">SUMPRODUCT((F815=OFFSET(Calc2!$F$4,,,$F$26*B812,1))*OFFSET(Calc2!$O$4,,,$F$26*B812,1))+SUMPRODUCT((F815=OFFSET(Calc2!$G$4,,,$F$26*B812,1))*OFFSET(Calc2!$P$4,,,$F$26*B812,1))</f>
        <v>0</v>
      </c>
      <c r="P815" s="2"/>
      <c r="Q815" s="2"/>
      <c r="R815" s="13">
        <f t="shared" ca="1" si="151"/>
        <v>31499992045</v>
      </c>
      <c r="S815" s="134">
        <f>Tie_Break!$D$8</f>
        <v>0</v>
      </c>
      <c r="T815" s="9">
        <f ca="1">RANK(R815,R814:R833)+(9-S815)/10000+(F815="")*1000</f>
        <v>14.0009</v>
      </c>
      <c r="U815" s="134"/>
      <c r="V815" s="134">
        <f ca="1">IF($K$24=0,"",IF(VLOOKUP(B815,C814:E833,3,0)=MAX(V$4:V814),VLOOKUP(B815,C814:E833,3,0),B815))</f>
        <v>2</v>
      </c>
      <c r="W815" s="4" t="str">
        <f ca="1">IF($K$24=0,Calc2!$C$5,VLOOKUP(B815,C814:N833,4,0))</f>
        <v>Borussia Dortmund</v>
      </c>
      <c r="X815" s="1">
        <f ca="1">INDEX(V787:V806,MATCH(W815,W787:W806,0))</f>
        <v>2</v>
      </c>
      <c r="Y815" s="1">
        <f t="shared" ref="Y815:Y833" ca="1" si="154">IF(X815&gt;V815,1,IF(X815&lt;V815,-1,0))</f>
        <v>0</v>
      </c>
    </row>
    <row r="816" spans="2:25" x14ac:dyDescent="0.2">
      <c r="B816" s="1">
        <v>3</v>
      </c>
      <c r="C816" s="9">
        <f ca="1">RANK(D816,D814:D833,1)</f>
        <v>13</v>
      </c>
      <c r="D816" s="134">
        <f t="shared" ca="1" si="152"/>
        <v>13.816000000000001</v>
      </c>
      <c r="E816" s="134">
        <f ca="1">RANK(T816,T814:T833,1)</f>
        <v>13</v>
      </c>
      <c r="F816" s="187" t="str">
        <f>Calc2!$C$6</f>
        <v>1. FC Union Berlin</v>
      </c>
      <c r="G816" s="1">
        <f ca="1">SUMIFS(OFFSET(Calc2!$H$4,,,$F$26*B812,1),OFFSET(Calc2!$F$4,,,$F$26*B812,1),F816)+SUMIFS(OFFSET(Calc2!$I$4,,,$F$26*B812,1),OFFSET(Calc2!$G$4,,,$F$26*B812,1),F816)</f>
        <v>35</v>
      </c>
      <c r="H816" s="1">
        <f ca="1">SUMIFS(OFFSET(Calc2!$I$4,,,$F$26*B812,1),OFFSET(Calc2!$F$4,,,$F$26*B812,1),F816)+SUMIFS(OFFSET(Calc2!$H$4,,,$F$26*B812,1),OFFSET(Calc2!$G$4,,,$F$26*B812,1),F816)</f>
        <v>55</v>
      </c>
      <c r="I816" s="134">
        <f t="shared" ca="1" si="150"/>
        <v>-20</v>
      </c>
      <c r="J816" s="12">
        <f ca="1">L816*Settings!$C$3+M816+O816</f>
        <v>32</v>
      </c>
      <c r="K816" s="1">
        <f t="shared" ca="1" si="153"/>
        <v>31</v>
      </c>
      <c r="L816" s="1">
        <f t="array" aca="1" ref="L816" ca="1">SUMPRODUCT((OFFSET(Calc2!$F$4,,,$F$26*B812,1)=F816)*(OFFSET(Calc2!$H$4,,,$F$26*B812,1)&gt;OFFSET(Calc2!$I$4,,,$F$26*B812,1)))+SUMPRODUCT((OFFSET(Calc2!$G$4,,,$F$26*B812,1)=F816)*(OFFSET(Calc2!$H$4,,,$F$26*B812,1)&lt;OFFSET(Calc2!$I$4,,,$F$26*B812,1)))</f>
        <v>8</v>
      </c>
      <c r="M816" s="1">
        <f t="array" aca="1" ref="M816" ca="1">SUMPRODUCT((OFFSET(Calc2!$F$4,,,$F$26*B812,2)=F816)*(OFFSET(Calc2!$H$4,,,$F$26*B812,1)=OFFSET(Calc2!$I$4,,,$F$26*B812,1))*(OFFSET(Calc2!$H$4,,,$F$26*B812,1)&lt;&gt;"")*(OFFSET(Calc2!$I$4,,,$F$26*B812,1)&lt;&gt;""))</f>
        <v>8</v>
      </c>
      <c r="N816" s="1">
        <f t="array" aca="1" ref="N816" ca="1">SUMPRODUCT((OFFSET(Calc2!$F$4,,,$F$26*B812,1)=F816)*(OFFSET(Calc2!$H$4,,,$F$26*B812,1)&lt;OFFSET(Calc2!$I$4,,,$F$26*B812,1)))+SUMPRODUCT((OFFSET(Calc2!$G$4,,,$F$26*B812,1)=F816)*(OFFSET(Calc2!$H$4,,,$F$26*B812,1)&gt;OFFSET(Calc2!$I$4,,,$F$26*B812,1)))</f>
        <v>15</v>
      </c>
      <c r="O816" s="132">
        <f ca="1">SUMPRODUCT((F816=OFFSET(Calc2!$F$4,,,$F$26*B812,1))*OFFSET(Calc2!$O$4,,,$F$26*B812,1))+SUMPRODUCT((F816=OFFSET(Calc2!$G$4,,,$F$26*B812,1))*OFFSET(Calc2!$P$4,,,$F$26*B812,1))</f>
        <v>0</v>
      </c>
      <c r="P816" s="2"/>
      <c r="Q816" s="2"/>
      <c r="R816" s="13">
        <f t="shared" ca="1" si="151"/>
        <v>32499980035</v>
      </c>
      <c r="S816" s="134">
        <f>Tie_Break!$D$9</f>
        <v>0</v>
      </c>
      <c r="T816" s="9">
        <f ca="1">RANK(R816,R814:R833)+(9-S816)/10000+(F816="")*1000</f>
        <v>13.0009</v>
      </c>
      <c r="U816" s="134"/>
      <c r="V816" s="134">
        <f ca="1">IF($K$24=0,"",IF(VLOOKUP(B816,C814:E833,3,0)=MAX(V$4:V815),VLOOKUP(B816,C814:E833,3,0),B816))</f>
        <v>3</v>
      </c>
      <c r="W816" s="4" t="str">
        <f ca="1">IF($K$24=0,Calc2!$C$6,VLOOKUP(B816,C814:N833,4,0))</f>
        <v>RB Leipzig</v>
      </c>
      <c r="X816" s="1">
        <f ca="1">INDEX(V787:V806,MATCH(W816,W787:W806,0))</f>
        <v>3</v>
      </c>
      <c r="Y816" s="1">
        <f t="shared" ca="1" si="154"/>
        <v>0</v>
      </c>
    </row>
    <row r="817" spans="2:25" x14ac:dyDescent="0.2">
      <c r="B817" s="1">
        <v>4</v>
      </c>
      <c r="C817" s="9">
        <f ca="1">RANK(D817,D814:D833,1)</f>
        <v>10</v>
      </c>
      <c r="D817" s="134">
        <f t="shared" ca="1" si="152"/>
        <v>10.817</v>
      </c>
      <c r="E817" s="134">
        <f ca="1">RANK(T817,T814:T833,1)</f>
        <v>10</v>
      </c>
      <c r="F817" s="187" t="str">
        <f>Calc2!$C$7</f>
        <v>1. FSV Mainz 05</v>
      </c>
      <c r="G817" s="1">
        <f ca="1">SUMIFS(OFFSET(Calc2!$H$4,,,$F$26*B812,1),OFFSET(Calc2!$F$4,,,$F$26*B812,1),F817)+SUMIFS(OFFSET(Calc2!$I$4,,,$F$26*B812,1),OFFSET(Calc2!$G$4,,,$F$26*B812,1),F817)</f>
        <v>39</v>
      </c>
      <c r="H817" s="1">
        <f ca="1">SUMIFS(OFFSET(Calc2!$I$4,,,$F$26*B812,1),OFFSET(Calc2!$F$4,,,$F$26*B812,1),F817)+SUMIFS(OFFSET(Calc2!$H$4,,,$F$26*B812,1),OFFSET(Calc2!$G$4,,,$F$26*B812,1),F817)</f>
        <v>49</v>
      </c>
      <c r="I817" s="134">
        <f t="shared" ca="1" si="150"/>
        <v>-10</v>
      </c>
      <c r="J817" s="12">
        <f ca="1">L817*Settings!$C$3+M817+O817</f>
        <v>34</v>
      </c>
      <c r="K817" s="1">
        <f t="shared" ca="1" si="153"/>
        <v>31</v>
      </c>
      <c r="L817" s="1">
        <f t="array" aca="1" ref="L817" ca="1">SUMPRODUCT((OFFSET(Calc2!$F$4,,,$F$26*B812,1)=F817)*(OFFSET(Calc2!$H$4,,,$F$26*B812,1)&gt;OFFSET(Calc2!$I$4,,,$F$26*B812,1)))+SUMPRODUCT((OFFSET(Calc2!$G$4,,,$F$26*B812,1)=F817)*(OFFSET(Calc2!$H$4,,,$F$26*B812,1)&lt;OFFSET(Calc2!$I$4,,,$F$26*B812,1)))</f>
        <v>8</v>
      </c>
      <c r="M817" s="1">
        <f t="array" aca="1" ref="M817" ca="1">SUMPRODUCT((OFFSET(Calc2!$F$4,,,$F$26*B812,2)=F817)*(OFFSET(Calc2!$H$4,,,$F$26*B812,1)=OFFSET(Calc2!$I$4,,,$F$26*B812,1))*(OFFSET(Calc2!$H$4,,,$F$26*B812,1)&lt;&gt;"")*(OFFSET(Calc2!$I$4,,,$F$26*B812,1)&lt;&gt;""))</f>
        <v>10</v>
      </c>
      <c r="N817" s="1">
        <f t="array" aca="1" ref="N817" ca="1">SUMPRODUCT((OFFSET(Calc2!$F$4,,,$F$26*B812,1)=F817)*(OFFSET(Calc2!$H$4,,,$F$26*B812,1)&lt;OFFSET(Calc2!$I$4,,,$F$26*B812,1)))+SUMPRODUCT((OFFSET(Calc2!$G$4,,,$F$26*B812,1)=F817)*(OFFSET(Calc2!$H$4,,,$F$26*B812,1)&gt;OFFSET(Calc2!$I$4,,,$F$26*B812,1)))</f>
        <v>13</v>
      </c>
      <c r="O817" s="132">
        <f ca="1">SUMPRODUCT((F817=OFFSET(Calc2!$F$4,,,$F$26*B812,1))*OFFSET(Calc2!$O$4,,,$F$26*B812,1))+SUMPRODUCT((F817=OFFSET(Calc2!$G$4,,,$F$26*B812,1))*OFFSET(Calc2!$P$4,,,$F$26*B812,1))</f>
        <v>0</v>
      </c>
      <c r="P817" s="2"/>
      <c r="Q817" s="2"/>
      <c r="R817" s="13">
        <f t="shared" ca="1" si="151"/>
        <v>34499990039</v>
      </c>
      <c r="S817" s="134">
        <f>Tie_Break!$D$10</f>
        <v>0</v>
      </c>
      <c r="T817" s="9">
        <f ca="1">RANK(R817,R814:R833)+(9-S817)/10000+(F817="")*1000</f>
        <v>10.0009</v>
      </c>
      <c r="U817" s="134"/>
      <c r="V817" s="134">
        <f ca="1">IF($K$24=0,"",IF(VLOOKUP(B817,C814:E833,3,0)=MAX(V$4:V816),VLOOKUP(B817,C814:E833,3,0),B817))</f>
        <v>4</v>
      </c>
      <c r="W817" s="4" t="str">
        <f ca="1">IF($K$24=0,Calc2!$C$7,VLOOKUP(B817,C814:N833,4,0))</f>
        <v>VfB Stuttgart</v>
      </c>
      <c r="X817" s="1">
        <f ca="1">INDEX(V787:V806,MATCH(W817,W787:W806,0))</f>
        <v>4</v>
      </c>
      <c r="Y817" s="1">
        <f t="shared" ca="1" si="154"/>
        <v>0</v>
      </c>
    </row>
    <row r="818" spans="2:25" x14ac:dyDescent="0.2">
      <c r="B818" s="1">
        <v>5</v>
      </c>
      <c r="C818" s="9">
        <f ca="1">RANK(D818,D814:D833,1)</f>
        <v>6</v>
      </c>
      <c r="D818" s="134">
        <f t="shared" ca="1" si="152"/>
        <v>6.8179999999999996</v>
      </c>
      <c r="E818" s="134">
        <f ca="1">RANK(T818,T814:T833,1)</f>
        <v>6</v>
      </c>
      <c r="F818" s="187" t="str">
        <f>Calc2!$C$8</f>
        <v>Bayer 04 Leverkusen</v>
      </c>
      <c r="G818" s="1">
        <f ca="1">SUMIFS(OFFSET(Calc2!$H$4,,,$F$26*B812,1),OFFSET(Calc2!$F$4,,,$F$26*B812,1),F818)+SUMIFS(OFFSET(Calc2!$I$4,,,$F$26*B812,1),OFFSET(Calc2!$G$4,,,$F$26*B812,1),F818)</f>
        <v>62</v>
      </c>
      <c r="H818" s="1">
        <f ca="1">SUMIFS(OFFSET(Calc2!$I$4,,,$F$26*B812,1),OFFSET(Calc2!$F$4,,,$F$26*B812,1),F818)+SUMIFS(OFFSET(Calc2!$H$4,,,$F$26*B812,1),OFFSET(Calc2!$G$4,,,$F$26*B812,1),F818)</f>
        <v>42</v>
      </c>
      <c r="I818" s="134">
        <f t="shared" ca="1" si="150"/>
        <v>20</v>
      </c>
      <c r="J818" s="12">
        <f ca="1">L818*Settings!$C$3+M818+O818</f>
        <v>55</v>
      </c>
      <c r="K818" s="1">
        <f t="shared" ca="1" si="153"/>
        <v>31</v>
      </c>
      <c r="L818" s="1">
        <f t="array" aca="1" ref="L818" ca="1">SUMPRODUCT((OFFSET(Calc2!$F$4,,,$F$26*B812,1)=F818)*(OFFSET(Calc2!$H$4,,,$F$26*B812,1)&gt;OFFSET(Calc2!$I$4,,,$F$26*B812,1)))+SUMPRODUCT((OFFSET(Calc2!$G$4,,,$F$26*B812,1)=F818)*(OFFSET(Calc2!$H$4,,,$F$26*B812,1)&lt;OFFSET(Calc2!$I$4,,,$F$26*B812,1)))</f>
        <v>16</v>
      </c>
      <c r="M818" s="1">
        <f t="array" aca="1" ref="M818" ca="1">SUMPRODUCT((OFFSET(Calc2!$F$4,,,$F$26*B812,2)=F818)*(OFFSET(Calc2!$H$4,,,$F$26*B812,1)=OFFSET(Calc2!$I$4,,,$F$26*B812,1))*(OFFSET(Calc2!$H$4,,,$F$26*B812,1)&lt;&gt;"")*(OFFSET(Calc2!$I$4,,,$F$26*B812,1)&lt;&gt;""))</f>
        <v>7</v>
      </c>
      <c r="N818" s="1">
        <f t="array" aca="1" ref="N818" ca="1">SUMPRODUCT((OFFSET(Calc2!$F$4,,,$F$26*B812,1)=F818)*(OFFSET(Calc2!$H$4,,,$F$26*B812,1)&lt;OFFSET(Calc2!$I$4,,,$F$26*B812,1)))+SUMPRODUCT((OFFSET(Calc2!$G$4,,,$F$26*B812,1)=F818)*(OFFSET(Calc2!$H$4,,,$F$26*B812,1)&gt;OFFSET(Calc2!$I$4,,,$F$26*B812,1)))</f>
        <v>8</v>
      </c>
      <c r="O818" s="132">
        <f ca="1">SUMPRODUCT((F818=OFFSET(Calc2!$F$4,,,$F$26*B812,1))*OFFSET(Calc2!$O$4,,,$F$26*B812,1))+SUMPRODUCT((F818=OFFSET(Calc2!$G$4,,,$F$26*B812,1))*OFFSET(Calc2!$P$4,,,$F$26*B812,1))</f>
        <v>0</v>
      </c>
      <c r="P818" s="2"/>
      <c r="Q818" s="2"/>
      <c r="R818" s="13">
        <f t="shared" ca="1" si="151"/>
        <v>55500020062</v>
      </c>
      <c r="S818" s="134">
        <f>Tie_Break!$D$11</f>
        <v>0</v>
      </c>
      <c r="T818" s="9">
        <f ca="1">RANK(R818,R814:R833)+(9-S818)/10000+(F818="")*1000</f>
        <v>6.0008999999999997</v>
      </c>
      <c r="U818" s="134"/>
      <c r="V818" s="134">
        <f ca="1">IF($K$24=0,"",IF(VLOOKUP(B818,C814:E833,3,0)=MAX(V$4:V817),VLOOKUP(B818,C814:E833,3,0),B818))</f>
        <v>5</v>
      </c>
      <c r="W818" s="4" t="str">
        <f ca="1">IF($K$24=0,Calc2!$C$8,VLOOKUP(B818,C814:N833,4,0))</f>
        <v>TSG Hoffenheim</v>
      </c>
      <c r="X818" s="1">
        <f ca="1">INDEX(V787:V806,MATCH(W818,W787:W806,0))</f>
        <v>5</v>
      </c>
      <c r="Y818" s="1">
        <f t="shared" ca="1" si="154"/>
        <v>0</v>
      </c>
    </row>
    <row r="819" spans="2:25" x14ac:dyDescent="0.2">
      <c r="B819" s="1">
        <v>6</v>
      </c>
      <c r="C819" s="9">
        <f ca="1">RANK(D819,D814:D833,1)</f>
        <v>2</v>
      </c>
      <c r="D819" s="134">
        <f t="shared" ca="1" si="152"/>
        <v>2.819</v>
      </c>
      <c r="E819" s="134">
        <f ca="1">RANK(T819,T814:T833,1)</f>
        <v>2</v>
      </c>
      <c r="F819" s="187" t="str">
        <f>Calc2!$C$9</f>
        <v>Borussia Dortmund</v>
      </c>
      <c r="G819" s="1">
        <f ca="1">SUMIFS(OFFSET(Calc2!$H$4,,,$F$26*B812,1),OFFSET(Calc2!$F$4,,,$F$26*B812,1),F819)+SUMIFS(OFFSET(Calc2!$I$4,,,$F$26*B812,1),OFFSET(Calc2!$G$4,,,$F$26*B812,1),F819)</f>
        <v>65</v>
      </c>
      <c r="H819" s="1">
        <f ca="1">SUMIFS(OFFSET(Calc2!$I$4,,,$F$26*B812,1),OFFSET(Calc2!$F$4,,,$F$26*B812,1),F819)+SUMIFS(OFFSET(Calc2!$H$4,,,$F$26*B812,1),OFFSET(Calc2!$G$4,,,$F$26*B812,1),F819)</f>
        <v>31</v>
      </c>
      <c r="I819" s="134">
        <f t="shared" ca="1" si="150"/>
        <v>34</v>
      </c>
      <c r="J819" s="12">
        <f ca="1">L819*Settings!$C$3+M819+O819</f>
        <v>67</v>
      </c>
      <c r="K819" s="1">
        <f t="shared" ca="1" si="153"/>
        <v>31</v>
      </c>
      <c r="L819" s="1">
        <f t="array" aca="1" ref="L819" ca="1">SUMPRODUCT((OFFSET(Calc2!$F$4,,,$F$26*B812,1)=F819)*(OFFSET(Calc2!$H$4,,,$F$26*B812,1)&gt;OFFSET(Calc2!$I$4,,,$F$26*B812,1)))+SUMPRODUCT((OFFSET(Calc2!$G$4,,,$F$26*B812,1)=F819)*(OFFSET(Calc2!$H$4,,,$F$26*B812,1)&lt;OFFSET(Calc2!$I$4,,,$F$26*B812,1)))</f>
        <v>20</v>
      </c>
      <c r="M819" s="1">
        <f t="array" aca="1" ref="M819" ca="1">SUMPRODUCT((OFFSET(Calc2!$F$4,,,$F$26*B812,2)=F819)*(OFFSET(Calc2!$H$4,,,$F$26*B812,1)=OFFSET(Calc2!$I$4,,,$F$26*B812,1))*(OFFSET(Calc2!$H$4,,,$F$26*B812,1)&lt;&gt;"")*(OFFSET(Calc2!$I$4,,,$F$26*B812,1)&lt;&gt;""))</f>
        <v>7</v>
      </c>
      <c r="N819" s="1">
        <f t="array" aca="1" ref="N819" ca="1">SUMPRODUCT((OFFSET(Calc2!$F$4,,,$F$26*B812,1)=F819)*(OFFSET(Calc2!$H$4,,,$F$26*B812,1)&lt;OFFSET(Calc2!$I$4,,,$F$26*B812,1)))+SUMPRODUCT((OFFSET(Calc2!$G$4,,,$F$26*B812,1)=F819)*(OFFSET(Calc2!$H$4,,,$F$26*B812,1)&gt;OFFSET(Calc2!$I$4,,,$F$26*B812,1)))</f>
        <v>4</v>
      </c>
      <c r="O819" s="132">
        <f ca="1">SUMPRODUCT((F819=OFFSET(Calc2!$F$4,,,$F$26*B812,1))*OFFSET(Calc2!$O$4,,,$F$26*B812,1))+SUMPRODUCT((F819=OFFSET(Calc2!$G$4,,,$F$26*B812,1))*OFFSET(Calc2!$P$4,,,$F$26*B812,1))</f>
        <v>0</v>
      </c>
      <c r="P819" s="2"/>
      <c r="Q819" s="2"/>
      <c r="R819" s="13">
        <f t="shared" ca="1" si="151"/>
        <v>67500034065</v>
      </c>
      <c r="S819" s="134">
        <f>Tie_Break!$D$12</f>
        <v>0</v>
      </c>
      <c r="T819" s="9">
        <f ca="1">RANK(R819,R814:R833)+(9-S819)/10000+(F819="")*1000</f>
        <v>2.0009000000000001</v>
      </c>
      <c r="U819" s="134"/>
      <c r="V819" s="134">
        <f ca="1">IF($K$24=0,"",IF(VLOOKUP(B819,C814:E833,3,0)=MAX(V$4:V818),VLOOKUP(B819,C814:E833,3,0),B819))</f>
        <v>6</v>
      </c>
      <c r="W819" s="4" t="str">
        <f ca="1">IF($K$24=0,Calc2!$C$9,VLOOKUP(B819,C814:N833,4,0))</f>
        <v>Bayer 04 Leverkusen</v>
      </c>
      <c r="X819" s="1">
        <f ca="1">INDEX(V787:V806,MATCH(W819,W787:W806,0))</f>
        <v>6</v>
      </c>
      <c r="Y819" s="1">
        <f t="shared" ca="1" si="154"/>
        <v>0</v>
      </c>
    </row>
    <row r="820" spans="2:25" x14ac:dyDescent="0.2">
      <c r="B820" s="1">
        <v>7</v>
      </c>
      <c r="C820" s="9">
        <f ca="1">RANK(D820,D814:D833,1)</f>
        <v>11</v>
      </c>
      <c r="D820" s="134">
        <f t="shared" ca="1" si="152"/>
        <v>11.82</v>
      </c>
      <c r="E820" s="134">
        <f ca="1">RANK(T820,T814:T833,1)</f>
        <v>11</v>
      </c>
      <c r="F820" s="187" t="str">
        <f>Calc2!$C$10</f>
        <v>Borussia Mönchengladbach</v>
      </c>
      <c r="G820" s="1">
        <f ca="1">SUMIFS(OFFSET(Calc2!$H$4,,,$F$26*B812,1),OFFSET(Calc2!$F$4,,,$F$26*B812,1),F820)+SUMIFS(OFFSET(Calc2!$I$4,,,$F$26*B812,1),OFFSET(Calc2!$G$4,,,$F$26*B812,1),F820)</f>
        <v>36</v>
      </c>
      <c r="H820" s="1">
        <f ca="1">SUMIFS(OFFSET(Calc2!$I$4,,,$F$26*B812,1),OFFSET(Calc2!$F$4,,,$F$26*B812,1),F820)+SUMIFS(OFFSET(Calc2!$H$4,,,$F$26*B812,1),OFFSET(Calc2!$G$4,,,$F$26*B812,1),F820)</f>
        <v>50</v>
      </c>
      <c r="I820" s="134">
        <f t="shared" ca="1" si="150"/>
        <v>-14</v>
      </c>
      <c r="J820" s="12">
        <f ca="1">L820*Settings!$C$3+M820+O820</f>
        <v>32</v>
      </c>
      <c r="K820" s="1">
        <f t="shared" ca="1" si="153"/>
        <v>31</v>
      </c>
      <c r="L820" s="1">
        <f t="array" aca="1" ref="L820" ca="1">SUMPRODUCT((OFFSET(Calc2!$F$4,,,$F$26*B812,1)=F820)*(OFFSET(Calc2!$H$4,,,$F$26*B812,1)&gt;OFFSET(Calc2!$I$4,,,$F$26*B812,1)))+SUMPRODUCT((OFFSET(Calc2!$G$4,,,$F$26*B812,1)=F820)*(OFFSET(Calc2!$H$4,,,$F$26*B812,1)&lt;OFFSET(Calc2!$I$4,,,$F$26*B812,1)))</f>
        <v>7</v>
      </c>
      <c r="M820" s="1">
        <f t="array" aca="1" ref="M820" ca="1">SUMPRODUCT((OFFSET(Calc2!$F$4,,,$F$26*B812,2)=F820)*(OFFSET(Calc2!$H$4,,,$F$26*B812,1)=OFFSET(Calc2!$I$4,,,$F$26*B812,1))*(OFFSET(Calc2!$H$4,,,$F$26*B812,1)&lt;&gt;"")*(OFFSET(Calc2!$I$4,,,$F$26*B812,1)&lt;&gt;""))</f>
        <v>11</v>
      </c>
      <c r="N820" s="1">
        <f t="array" aca="1" ref="N820" ca="1">SUMPRODUCT((OFFSET(Calc2!$F$4,,,$F$26*B812,1)=F820)*(OFFSET(Calc2!$H$4,,,$F$26*B812,1)&lt;OFFSET(Calc2!$I$4,,,$F$26*B812,1)))+SUMPRODUCT((OFFSET(Calc2!$G$4,,,$F$26*B812,1)=F820)*(OFFSET(Calc2!$H$4,,,$F$26*B812,1)&gt;OFFSET(Calc2!$I$4,,,$F$26*B812,1)))</f>
        <v>13</v>
      </c>
      <c r="O820" s="132">
        <f ca="1">SUMPRODUCT((F820=OFFSET(Calc2!$F$4,,,$F$26*B812,1))*OFFSET(Calc2!$O$4,,,$F$26*B812,1))+SUMPRODUCT((F820=OFFSET(Calc2!$G$4,,,$F$26*B812,1))*OFFSET(Calc2!$P$4,,,$F$26*B812,1))</f>
        <v>0</v>
      </c>
      <c r="P820" s="2"/>
      <c r="Q820" s="2"/>
      <c r="R820" s="13">
        <f t="shared" ca="1" si="151"/>
        <v>32499986036</v>
      </c>
      <c r="S820" s="134">
        <f>Tie_Break!$D$13</f>
        <v>0</v>
      </c>
      <c r="T820" s="9">
        <f ca="1">RANK(R820,R814:R833)+(9-S820)/10000+(F820="")*1000</f>
        <v>11.0009</v>
      </c>
      <c r="U820" s="134"/>
      <c r="V820" s="134">
        <f ca="1">IF($K$24=0,"",IF(VLOOKUP(B820,C814:E833,3,0)=MAX(V$4:V819),VLOOKUP(B820,C814:E833,3,0),B820))</f>
        <v>7</v>
      </c>
      <c r="W820" s="4" t="str">
        <f ca="1">IF($K$24=0,Calc2!$C$10,VLOOKUP(B820,C814:N833,4,0))</f>
        <v>Eintracht Frankfurt</v>
      </c>
      <c r="X820" s="1">
        <f ca="1">INDEX(V787:V806,MATCH(W820,W787:W806,0))</f>
        <v>8</v>
      </c>
      <c r="Y820" s="1">
        <f t="shared" ca="1" si="154"/>
        <v>1</v>
      </c>
    </row>
    <row r="821" spans="2:25" x14ac:dyDescent="0.2">
      <c r="B821" s="1">
        <v>8</v>
      </c>
      <c r="C821" s="9">
        <f ca="1">RANK(D821,D814:D833,1)</f>
        <v>7</v>
      </c>
      <c r="D821" s="134">
        <f t="shared" ca="1" si="152"/>
        <v>7.8209999999999997</v>
      </c>
      <c r="E821" s="134">
        <f ca="1">RANK(T821,T814:T833,1)</f>
        <v>7</v>
      </c>
      <c r="F821" s="187" t="str">
        <f>Calc2!$C$11</f>
        <v>Eintracht Frankfurt</v>
      </c>
      <c r="G821" s="1">
        <f ca="1">SUMIFS(OFFSET(Calc2!$H$4,,,$F$26*B812,1),OFFSET(Calc2!$F$4,,,$F$26*B812,1),F821)+SUMIFS(OFFSET(Calc2!$I$4,,,$F$26*B812,1),OFFSET(Calc2!$G$4,,,$F$26*B812,1),F821)</f>
        <v>56</v>
      </c>
      <c r="H821" s="1">
        <f ca="1">SUMIFS(OFFSET(Calc2!$I$4,,,$F$26*B812,1),OFFSET(Calc2!$F$4,,,$F$26*B812,1),F821)+SUMIFS(OFFSET(Calc2!$H$4,,,$F$26*B812,1),OFFSET(Calc2!$G$4,,,$F$26*B812,1),F821)</f>
        <v>58</v>
      </c>
      <c r="I821" s="134">
        <f t="shared" ca="1" si="150"/>
        <v>-2</v>
      </c>
      <c r="J821" s="12">
        <f ca="1">L821*Settings!$C$3+M821+O821</f>
        <v>43</v>
      </c>
      <c r="K821" s="1">
        <f t="shared" ca="1" si="153"/>
        <v>31</v>
      </c>
      <c r="L821" s="1">
        <f t="array" aca="1" ref="L821" ca="1">SUMPRODUCT((OFFSET(Calc2!$F$4,,,$F$26*B812,1)=F821)*(OFFSET(Calc2!$H$4,,,$F$26*B812,1)&gt;OFFSET(Calc2!$I$4,,,$F$26*B812,1)))+SUMPRODUCT((OFFSET(Calc2!$G$4,,,$F$26*B812,1)=F821)*(OFFSET(Calc2!$H$4,,,$F$26*B812,1)&lt;OFFSET(Calc2!$I$4,,,$F$26*B812,1)))</f>
        <v>11</v>
      </c>
      <c r="M821" s="1">
        <f t="array" aca="1" ref="M821" ca="1">SUMPRODUCT((OFFSET(Calc2!$F$4,,,$F$26*B812,2)=F821)*(OFFSET(Calc2!$H$4,,,$F$26*B812,1)=OFFSET(Calc2!$I$4,,,$F$26*B812,1))*(OFFSET(Calc2!$H$4,,,$F$26*B812,1)&lt;&gt;"")*(OFFSET(Calc2!$I$4,,,$F$26*B812,1)&lt;&gt;""))</f>
        <v>10</v>
      </c>
      <c r="N821" s="1">
        <f t="array" aca="1" ref="N821" ca="1">SUMPRODUCT((OFFSET(Calc2!$F$4,,,$F$26*B812,1)=F821)*(OFFSET(Calc2!$H$4,,,$F$26*B812,1)&lt;OFFSET(Calc2!$I$4,,,$F$26*B812,1)))+SUMPRODUCT((OFFSET(Calc2!$G$4,,,$F$26*B812,1)=F821)*(OFFSET(Calc2!$H$4,,,$F$26*B812,1)&gt;OFFSET(Calc2!$I$4,,,$F$26*B812,1)))</f>
        <v>10</v>
      </c>
      <c r="O821" s="132">
        <f ca="1">SUMPRODUCT((F821=OFFSET(Calc2!$F$4,,,$F$26*B812,1))*OFFSET(Calc2!$O$4,,,$F$26*B812,1))+SUMPRODUCT((F821=OFFSET(Calc2!$G$4,,,$F$26*B812,1))*OFFSET(Calc2!$P$4,,,$F$26*B812,1))</f>
        <v>0</v>
      </c>
      <c r="P821" s="2"/>
      <c r="Q821" s="2"/>
      <c r="R821" s="13">
        <f t="shared" ca="1" si="151"/>
        <v>43499998056</v>
      </c>
      <c r="S821" s="134">
        <f>Tie_Break!$D$14</f>
        <v>0</v>
      </c>
      <c r="T821" s="9">
        <f ca="1">RANK(R821,R814:R833)+(9-S821)/10000+(F821="")*1000</f>
        <v>7.0008999999999997</v>
      </c>
      <c r="U821" s="134"/>
      <c r="V821" s="134">
        <f ca="1">IF($K$24=0,"",IF(VLOOKUP(B821,C814:E833,3,0)=MAX(V$4:V820),VLOOKUP(B821,C814:E833,3,0),B821))</f>
        <v>8</v>
      </c>
      <c r="W821" s="4" t="str">
        <f ca="1">IF($K$24=0,Calc2!$C$11,VLOOKUP(B821,C814:N833,4,0))</f>
        <v>SC Freiburg</v>
      </c>
      <c r="X821" s="1">
        <f ca="1">INDEX(V787:V806,MATCH(W821,W787:W806,0))</f>
        <v>7</v>
      </c>
      <c r="Y821" s="1">
        <f t="shared" ca="1" si="154"/>
        <v>-1</v>
      </c>
    </row>
    <row r="822" spans="2:25" x14ac:dyDescent="0.2">
      <c r="B822" s="1">
        <v>9</v>
      </c>
      <c r="C822" s="9">
        <f ca="1">RANK(D822,D814:D833,1)</f>
        <v>9</v>
      </c>
      <c r="D822" s="134">
        <f t="shared" ca="1" si="152"/>
        <v>9.8219999999999992</v>
      </c>
      <c r="E822" s="134">
        <f ca="1">RANK(T822,T814:T833,1)</f>
        <v>9</v>
      </c>
      <c r="F822" s="187" t="str">
        <f>Calc2!$C$12</f>
        <v>FC Augsburg</v>
      </c>
      <c r="G822" s="1">
        <f ca="1">SUMIFS(OFFSET(Calc2!$H$4,,,$F$26*B812,1),OFFSET(Calc2!$F$4,,,$F$26*B812,1),F822)+SUMIFS(OFFSET(Calc2!$I$4,,,$F$26*B812,1),OFFSET(Calc2!$G$4,,,$F$26*B812,1),F822)</f>
        <v>39</v>
      </c>
      <c r="H822" s="1">
        <f ca="1">SUMIFS(OFFSET(Calc2!$I$4,,,$F$26*B812,1),OFFSET(Calc2!$F$4,,,$F$26*B812,1),F822)+SUMIFS(OFFSET(Calc2!$H$4,,,$F$26*B812,1),OFFSET(Calc2!$G$4,,,$F$26*B812,1),F822)</f>
        <v>55</v>
      </c>
      <c r="I822" s="134">
        <f t="shared" ca="1" si="150"/>
        <v>-16</v>
      </c>
      <c r="J822" s="12">
        <f ca="1">L822*Settings!$C$3+M822+O822</f>
        <v>37</v>
      </c>
      <c r="K822" s="1">
        <f t="shared" ca="1" si="153"/>
        <v>31</v>
      </c>
      <c r="L822" s="1">
        <f t="array" aca="1" ref="L822" ca="1">SUMPRODUCT((OFFSET(Calc2!$F$4,,,$F$26*B812,1)=F822)*(OFFSET(Calc2!$H$4,,,$F$26*B812,1)&gt;OFFSET(Calc2!$I$4,,,$F$26*B812,1)))+SUMPRODUCT((OFFSET(Calc2!$G$4,,,$F$26*B812,1)=F822)*(OFFSET(Calc2!$H$4,,,$F$26*B812,1)&lt;OFFSET(Calc2!$I$4,,,$F$26*B812,1)))</f>
        <v>10</v>
      </c>
      <c r="M822" s="1">
        <f t="array" aca="1" ref="M822" ca="1">SUMPRODUCT((OFFSET(Calc2!$F$4,,,$F$26*B812,2)=F822)*(OFFSET(Calc2!$H$4,,,$F$26*B812,1)=OFFSET(Calc2!$I$4,,,$F$26*B812,1))*(OFFSET(Calc2!$H$4,,,$F$26*B812,1)&lt;&gt;"")*(OFFSET(Calc2!$I$4,,,$F$26*B812,1)&lt;&gt;""))</f>
        <v>7</v>
      </c>
      <c r="N822" s="1">
        <f t="array" aca="1" ref="N822" ca="1">SUMPRODUCT((OFFSET(Calc2!$F$4,,,$F$26*B812,1)=F822)*(OFFSET(Calc2!$H$4,,,$F$26*B812,1)&lt;OFFSET(Calc2!$I$4,,,$F$26*B812,1)))+SUMPRODUCT((OFFSET(Calc2!$G$4,,,$F$26*B812,1)=F822)*(OFFSET(Calc2!$H$4,,,$F$26*B812,1)&gt;OFFSET(Calc2!$I$4,,,$F$26*B812,1)))</f>
        <v>14</v>
      </c>
      <c r="O822" s="132">
        <f ca="1">SUMPRODUCT((F822=OFFSET(Calc2!$F$4,,,$F$26*B812,1))*OFFSET(Calc2!$O$4,,,$F$26*B812,1))+SUMPRODUCT((F822=OFFSET(Calc2!$G$4,,,$F$26*B812,1))*OFFSET(Calc2!$P$4,,,$F$26*B812,1))</f>
        <v>0</v>
      </c>
      <c r="P822" s="2"/>
      <c r="Q822" s="2"/>
      <c r="R822" s="13">
        <f t="shared" ca="1" si="151"/>
        <v>37499984039</v>
      </c>
      <c r="S822" s="134">
        <f>Tie_Break!$D$15</f>
        <v>0</v>
      </c>
      <c r="T822" s="9">
        <f ca="1">RANK(R822,R814:R833)+(9-S822)/10000+(F822="")*1000</f>
        <v>9.0008999999999997</v>
      </c>
      <c r="U822" s="134"/>
      <c r="V822" s="134">
        <f ca="1">IF($K$24=0,"",IF(VLOOKUP(B822,C814:E833,3,0)=MAX(V$4:V821),VLOOKUP(B822,C814:E833,3,0),B822))</f>
        <v>9</v>
      </c>
      <c r="W822" s="4" t="str">
        <f ca="1">IF($K$24=0,Calc2!$C$12,VLOOKUP(B822,C814:N833,4,0))</f>
        <v>FC Augsburg</v>
      </c>
      <c r="X822" s="1">
        <f ca="1">INDEX(V787:V806,MATCH(W822,W787:W806,0))</f>
        <v>9</v>
      </c>
      <c r="Y822" s="1">
        <f t="shared" ca="1" si="154"/>
        <v>0</v>
      </c>
    </row>
    <row r="823" spans="2:25" x14ac:dyDescent="0.2">
      <c r="B823" s="1">
        <v>10</v>
      </c>
      <c r="C823" s="9">
        <f ca="1">RANK(D823,D814:D833,1)</f>
        <v>1</v>
      </c>
      <c r="D823" s="134">
        <f t="shared" ca="1" si="152"/>
        <v>1.823</v>
      </c>
      <c r="E823" s="134">
        <f ca="1">RANK(T823,T814:T833,1)</f>
        <v>1</v>
      </c>
      <c r="F823" s="187" t="str">
        <f>Calc2!$C$13</f>
        <v>FC Bayern München</v>
      </c>
      <c r="G823" s="1">
        <f ca="1">SUMIFS(OFFSET(Calc2!$H$4,,,$F$26*B812,1),OFFSET(Calc2!$F$4,,,$F$26*B812,1),F823)+SUMIFS(OFFSET(Calc2!$I$4,,,$F$26*B812,1),OFFSET(Calc2!$G$4,,,$F$26*B812,1),F823)</f>
        <v>113</v>
      </c>
      <c r="H823" s="1">
        <f ca="1">SUMIFS(OFFSET(Calc2!$I$4,,,$F$26*B812,1),OFFSET(Calc2!$F$4,,,$F$26*B812,1),F823)+SUMIFS(OFFSET(Calc2!$H$4,,,$F$26*B812,1),OFFSET(Calc2!$G$4,,,$F$26*B812,1),F823)</f>
        <v>32</v>
      </c>
      <c r="I823" s="134">
        <f t="shared" ca="1" si="150"/>
        <v>81</v>
      </c>
      <c r="J823" s="12">
        <f ca="1">L823*Settings!$C$3+M823+O823</f>
        <v>82</v>
      </c>
      <c r="K823" s="1">
        <f t="shared" ca="1" si="153"/>
        <v>31</v>
      </c>
      <c r="L823" s="1">
        <f t="array" aca="1" ref="L823" ca="1">SUMPRODUCT((OFFSET(Calc2!$F$4,,,$F$26*B812,1)=F823)*(OFFSET(Calc2!$H$4,,,$F$26*B812,1)&gt;OFFSET(Calc2!$I$4,,,$F$26*B812,1)))+SUMPRODUCT((OFFSET(Calc2!$G$4,,,$F$26*B812,1)=F823)*(OFFSET(Calc2!$H$4,,,$F$26*B812,1)&lt;OFFSET(Calc2!$I$4,,,$F$26*B812,1)))</f>
        <v>26</v>
      </c>
      <c r="M823" s="1">
        <f t="array" aca="1" ref="M823" ca="1">SUMPRODUCT((OFFSET(Calc2!$F$4,,,$F$26*B812,2)=F823)*(OFFSET(Calc2!$H$4,,,$F$26*B812,1)=OFFSET(Calc2!$I$4,,,$F$26*B812,1))*(OFFSET(Calc2!$H$4,,,$F$26*B812,1)&lt;&gt;"")*(OFFSET(Calc2!$I$4,,,$F$26*B812,1)&lt;&gt;""))</f>
        <v>4</v>
      </c>
      <c r="N823" s="1">
        <f t="array" aca="1" ref="N823" ca="1">SUMPRODUCT((OFFSET(Calc2!$F$4,,,$F$26*B812,1)=F823)*(OFFSET(Calc2!$H$4,,,$F$26*B812,1)&lt;OFFSET(Calc2!$I$4,,,$F$26*B812,1)))+SUMPRODUCT((OFFSET(Calc2!$G$4,,,$F$26*B812,1)=F823)*(OFFSET(Calc2!$H$4,,,$F$26*B812,1)&gt;OFFSET(Calc2!$I$4,,,$F$26*B812,1)))</f>
        <v>1</v>
      </c>
      <c r="O823" s="132">
        <f ca="1">SUMPRODUCT((F823=OFFSET(Calc2!$F$4,,,$F$26*B812,1))*OFFSET(Calc2!$O$4,,,$F$26*B812,1))+SUMPRODUCT((F823=OFFSET(Calc2!$G$4,,,$F$26*B812,1))*OFFSET(Calc2!$P$4,,,$F$26*B812,1))</f>
        <v>0</v>
      </c>
      <c r="P823" s="2"/>
      <c r="Q823" s="2"/>
      <c r="R823" s="13">
        <f t="shared" ca="1" si="151"/>
        <v>82500081113</v>
      </c>
      <c r="S823" s="134">
        <f>Tie_Break!$D$16</f>
        <v>0</v>
      </c>
      <c r="T823" s="9">
        <f ca="1">RANK(R823,R814:R833)+(9-S823)/10000+(F823="")*1000</f>
        <v>1.0008999999999999</v>
      </c>
      <c r="U823" s="2"/>
      <c r="V823" s="134">
        <f ca="1">IF($K$24=0,"",IF(VLOOKUP(B823,C814:E833,3,0)=MAX(V$4:V822),VLOOKUP(B823,C814:E833,3,0),B823))</f>
        <v>10</v>
      </c>
      <c r="W823" s="4" t="str">
        <f ca="1">IF($K$24=0,Calc2!$C$13,VLOOKUP(B823,C814:N833,4,0))</f>
        <v>1. FSV Mainz 05</v>
      </c>
      <c r="X823" s="1">
        <f ca="1">INDEX(V787:V806,MATCH(W823,W787:W806,0))</f>
        <v>10</v>
      </c>
      <c r="Y823" s="1">
        <f t="shared" ca="1" si="154"/>
        <v>0</v>
      </c>
    </row>
    <row r="824" spans="2:25" x14ac:dyDescent="0.2">
      <c r="B824" s="1">
        <v>11</v>
      </c>
      <c r="C824" s="9">
        <f ca="1">RANK(D824,D814:D833,1)</f>
        <v>16</v>
      </c>
      <c r="D824" s="134">
        <f t="shared" ca="1" si="152"/>
        <v>16.824000000000002</v>
      </c>
      <c r="E824" s="134">
        <f ca="1">RANK(T824,T814:T833,1)</f>
        <v>16</v>
      </c>
      <c r="F824" s="187" t="str">
        <f>Calc2!$C$14</f>
        <v>FC St. Pauli</v>
      </c>
      <c r="G824" s="1">
        <f ca="1">SUMIFS(OFFSET(Calc2!$H$4,,,$F$26*B812,1),OFFSET(Calc2!$F$4,,,$F$26*B812,1),F824)+SUMIFS(OFFSET(Calc2!$I$4,,,$F$26*B812,1),OFFSET(Calc2!$G$4,,,$F$26*B812,1),F824)</f>
        <v>26</v>
      </c>
      <c r="H824" s="1">
        <f ca="1">SUMIFS(OFFSET(Calc2!$I$4,,,$F$26*B812,1),OFFSET(Calc2!$F$4,,,$F$26*B812,1),F824)+SUMIFS(OFFSET(Calc2!$H$4,,,$F$26*B812,1),OFFSET(Calc2!$G$4,,,$F$26*B812,1),F824)</f>
        <v>53</v>
      </c>
      <c r="I824" s="134">
        <f t="shared" ca="1" si="150"/>
        <v>-27</v>
      </c>
      <c r="J824" s="12">
        <f ca="1">L824*Settings!$C$3+M824+O824</f>
        <v>26</v>
      </c>
      <c r="K824" s="1">
        <f t="shared" ca="1" si="153"/>
        <v>31</v>
      </c>
      <c r="L824" s="1">
        <f t="array" aca="1" ref="L824" ca="1">SUMPRODUCT((OFFSET(Calc2!$F$4,,,$F$26*B812,1)=F824)*(OFFSET(Calc2!$H$4,,,$F$26*B812,1)&gt;OFFSET(Calc2!$I$4,,,$F$26*B812,1)))+SUMPRODUCT((OFFSET(Calc2!$G$4,,,$F$26*B812,1)=F824)*(OFFSET(Calc2!$H$4,,,$F$26*B812,1)&lt;OFFSET(Calc2!$I$4,,,$F$26*B812,1)))</f>
        <v>6</v>
      </c>
      <c r="M824" s="1">
        <f t="array" aca="1" ref="M824" ca="1">SUMPRODUCT((OFFSET(Calc2!$F$4,,,$F$26*B812,2)=F824)*(OFFSET(Calc2!$H$4,,,$F$26*B812,1)=OFFSET(Calc2!$I$4,,,$F$26*B812,1))*(OFFSET(Calc2!$H$4,,,$F$26*B812,1)&lt;&gt;"")*(OFFSET(Calc2!$I$4,,,$F$26*B812,1)&lt;&gt;""))</f>
        <v>8</v>
      </c>
      <c r="N824" s="1">
        <f t="array" aca="1" ref="N824" ca="1">SUMPRODUCT((OFFSET(Calc2!$F$4,,,$F$26*B812,1)=F824)*(OFFSET(Calc2!$H$4,,,$F$26*B812,1)&lt;OFFSET(Calc2!$I$4,,,$F$26*B812,1)))+SUMPRODUCT((OFFSET(Calc2!$G$4,,,$F$26*B812,1)=F824)*(OFFSET(Calc2!$H$4,,,$F$26*B812,1)&gt;OFFSET(Calc2!$I$4,,,$F$26*B812,1)))</f>
        <v>17</v>
      </c>
      <c r="O824" s="132">
        <f ca="1">SUMPRODUCT((F824=OFFSET(Calc2!$F$4,,,$F$26*B812,1))*OFFSET(Calc2!$O$4,,,$F$26*B812,1))+SUMPRODUCT((F824=OFFSET(Calc2!$G$4,,,$F$26*B812,1))*OFFSET(Calc2!$P$4,,,$F$26*B812,1))</f>
        <v>0</v>
      </c>
      <c r="P824" s="2"/>
      <c r="Q824" s="2"/>
      <c r="R824" s="13">
        <f t="shared" ca="1" si="151"/>
        <v>26499973026</v>
      </c>
      <c r="S824" s="134">
        <f>Tie_Break!$D$17</f>
        <v>0</v>
      </c>
      <c r="T824" s="9">
        <f ca="1">RANK(R824,R814:R833)+(9-S824)/10000+(F824="")*1000</f>
        <v>16.000900000000001</v>
      </c>
      <c r="U824" s="2"/>
      <c r="V824" s="134">
        <f ca="1">IF($K$24=0,"",IF(VLOOKUP(B824,C814:E833,3,0)=MAX(V$4:V823),VLOOKUP(B824,C814:E833,3,0),B824))</f>
        <v>11</v>
      </c>
      <c r="W824" s="4" t="str">
        <f ca="1">IF($K$24=0,Calc2!$C$14,VLOOKUP(B824,C814:N833,4,0))</f>
        <v>Borussia Mönchengladbach</v>
      </c>
      <c r="X824" s="1">
        <f ca="1">INDEX(V787:V806,MATCH(W824,W787:W806,0))</f>
        <v>13</v>
      </c>
      <c r="Y824" s="1">
        <f t="shared" ca="1" si="154"/>
        <v>1</v>
      </c>
    </row>
    <row r="825" spans="2:25" x14ac:dyDescent="0.2">
      <c r="B825" s="1">
        <v>12</v>
      </c>
      <c r="C825" s="9">
        <f ca="1">RANK(D825,D814:D833,1)</f>
        <v>15</v>
      </c>
      <c r="D825" s="134">
        <f t="shared" ca="1" si="152"/>
        <v>15.824999999999999</v>
      </c>
      <c r="E825" s="134">
        <f ca="1">RANK(T825,T814:T833,1)</f>
        <v>15</v>
      </c>
      <c r="F825" s="187" t="str">
        <f>Calc2!$C$15</f>
        <v>Hamburger SV</v>
      </c>
      <c r="G825" s="1">
        <f ca="1">SUMIFS(OFFSET(Calc2!$H$4,,,$F$26*B812,1),OFFSET(Calc2!$F$4,,,$F$26*B812,1),F825)+SUMIFS(OFFSET(Calc2!$I$4,,,$F$26*B812,1),OFFSET(Calc2!$G$4,,,$F$26*B812,1),F825)</f>
        <v>34</v>
      </c>
      <c r="H825" s="1">
        <f ca="1">SUMIFS(OFFSET(Calc2!$I$4,,,$F$26*B812,1),OFFSET(Calc2!$F$4,,,$F$26*B812,1),F825)+SUMIFS(OFFSET(Calc2!$H$4,,,$F$26*B812,1),OFFSET(Calc2!$G$4,,,$F$26*B812,1),F825)</f>
        <v>50</v>
      </c>
      <c r="I825" s="134">
        <f t="shared" ca="1" si="150"/>
        <v>-16</v>
      </c>
      <c r="J825" s="12">
        <f ca="1">L825*Settings!$C$3+M825+O825</f>
        <v>31</v>
      </c>
      <c r="K825" s="1">
        <f t="shared" ca="1" si="153"/>
        <v>31</v>
      </c>
      <c r="L825" s="1">
        <f t="array" aca="1" ref="L825" ca="1">SUMPRODUCT((OFFSET(Calc2!$F$4,,,$F$26*B812,1)=F825)*(OFFSET(Calc2!$H$4,,,$F$26*B812,1)&gt;OFFSET(Calc2!$I$4,,,$F$26*B812,1)))+SUMPRODUCT((OFFSET(Calc2!$G$4,,,$F$26*B812,1)=F825)*(OFFSET(Calc2!$H$4,,,$F$26*B812,1)&lt;OFFSET(Calc2!$I$4,,,$F$26*B812,1)))</f>
        <v>7</v>
      </c>
      <c r="M825" s="1">
        <f t="array" aca="1" ref="M825" ca="1">SUMPRODUCT((OFFSET(Calc2!$F$4,,,$F$26*B812,2)=F825)*(OFFSET(Calc2!$H$4,,,$F$26*B812,1)=OFFSET(Calc2!$I$4,,,$F$26*B812,1))*(OFFSET(Calc2!$H$4,,,$F$26*B812,1)&lt;&gt;"")*(OFFSET(Calc2!$I$4,,,$F$26*B812,1)&lt;&gt;""))</f>
        <v>10</v>
      </c>
      <c r="N825" s="1">
        <f t="array" aca="1" ref="N825" ca="1">SUMPRODUCT((OFFSET(Calc2!$F$4,,,$F$26*B812,1)=F825)*(OFFSET(Calc2!$H$4,,,$F$26*B812,1)&lt;OFFSET(Calc2!$I$4,,,$F$26*B812,1)))+SUMPRODUCT((OFFSET(Calc2!$G$4,,,$F$26*B812,1)=F825)*(OFFSET(Calc2!$H$4,,,$F$26*B812,1)&gt;OFFSET(Calc2!$I$4,,,$F$26*B812,1)))</f>
        <v>14</v>
      </c>
      <c r="O825" s="132">
        <f ca="1">SUMPRODUCT((F825=OFFSET(Calc2!$F$4,,,$F$26*B812,1))*OFFSET(Calc2!$O$4,,,$F$26*B812,1))+SUMPRODUCT((F825=OFFSET(Calc2!$G$4,,,$F$26*B812,1))*OFFSET(Calc2!$P$4,,,$F$26*B812,1))</f>
        <v>0</v>
      </c>
      <c r="P825" s="2"/>
      <c r="Q825" s="2"/>
      <c r="R825" s="13">
        <f t="shared" ca="1" si="151"/>
        <v>31499984034</v>
      </c>
      <c r="S825" s="134">
        <f>Tie_Break!$D$18</f>
        <v>0</v>
      </c>
      <c r="T825" s="9">
        <f ca="1">RANK(R825,R814:R833)+(9-S825)/10000+(F825="")*1000</f>
        <v>15.0009</v>
      </c>
      <c r="U825" s="2"/>
      <c r="V825" s="134">
        <f ca="1">IF($K$24=0,"",IF(VLOOKUP(B825,C814:E833,3,0)=MAX(V$4:V824),VLOOKUP(B825,C814:E833,3,0),B825))</f>
        <v>12</v>
      </c>
      <c r="W825" s="4" t="str">
        <f ca="1">IF($K$24=0,Calc2!$C$15,VLOOKUP(B825,C814:N833,4,0))</f>
        <v>SV Werder Bremen</v>
      </c>
      <c r="X825" s="1">
        <f ca="1">INDEX(V787:V806,MATCH(W825,W787:W806,0))</f>
        <v>15</v>
      </c>
      <c r="Y825" s="1">
        <f t="shared" ca="1" si="154"/>
        <v>1</v>
      </c>
    </row>
    <row r="826" spans="2:25" x14ac:dyDescent="0.2">
      <c r="B826" s="1">
        <v>13</v>
      </c>
      <c r="C826" s="9">
        <f ca="1">RANK(D826,D814:D833,1)</f>
        <v>3</v>
      </c>
      <c r="D826" s="134">
        <f t="shared" ca="1" si="152"/>
        <v>3.8260000000000001</v>
      </c>
      <c r="E826" s="134">
        <f ca="1">RANK(T826,T814:T833,1)</f>
        <v>3</v>
      </c>
      <c r="F826" s="187" t="str">
        <f>Calc2!$C$16</f>
        <v>RB Leipzig</v>
      </c>
      <c r="G826" s="1">
        <f ca="1">SUMIFS(OFFSET(Calc2!$H$4,,,$F$26*B812,1),OFFSET(Calc2!$F$4,,,$F$26*B812,1),F826)+SUMIFS(OFFSET(Calc2!$I$4,,,$F$26*B812,1),OFFSET(Calc2!$G$4,,,$F$26*B812,1),F826)</f>
        <v>62</v>
      </c>
      <c r="H826" s="1">
        <f ca="1">SUMIFS(OFFSET(Calc2!$I$4,,,$F$26*B812,1),OFFSET(Calc2!$F$4,,,$F$26*B812,1),F826)+SUMIFS(OFFSET(Calc2!$H$4,,,$F$26*B812,1),OFFSET(Calc2!$G$4,,,$F$26*B812,1),F826)</f>
        <v>38</v>
      </c>
      <c r="I826" s="134">
        <f t="shared" ca="1" si="150"/>
        <v>24</v>
      </c>
      <c r="J826" s="12">
        <f ca="1">L826*Settings!$C$3+M826+O826</f>
        <v>62</v>
      </c>
      <c r="K826" s="1">
        <f t="shared" ca="1" si="153"/>
        <v>31</v>
      </c>
      <c r="L826" s="1">
        <f t="array" aca="1" ref="L826" ca="1">SUMPRODUCT((OFFSET(Calc2!$F$4,,,$F$26*B812,1)=F826)*(OFFSET(Calc2!$H$4,,,$F$26*B812,1)&gt;OFFSET(Calc2!$I$4,,,$F$26*B812,1)))+SUMPRODUCT((OFFSET(Calc2!$G$4,,,$F$26*B812,1)=F826)*(OFFSET(Calc2!$H$4,,,$F$26*B812,1)&lt;OFFSET(Calc2!$I$4,,,$F$26*B812,1)))</f>
        <v>19</v>
      </c>
      <c r="M826" s="1">
        <f t="array" aca="1" ref="M826" ca="1">SUMPRODUCT((OFFSET(Calc2!$F$4,,,$F$26*B812,2)=F826)*(OFFSET(Calc2!$H$4,,,$F$26*B812,1)=OFFSET(Calc2!$I$4,,,$F$26*B812,1))*(OFFSET(Calc2!$H$4,,,$F$26*B812,1)&lt;&gt;"")*(OFFSET(Calc2!$I$4,,,$F$26*B812,1)&lt;&gt;""))</f>
        <v>5</v>
      </c>
      <c r="N826" s="1">
        <f t="array" aca="1" ref="N826" ca="1">SUMPRODUCT((OFFSET(Calc2!$F$4,,,$F$26*B812,1)=F826)*(OFFSET(Calc2!$H$4,,,$F$26*B812,1)&lt;OFFSET(Calc2!$I$4,,,$F$26*B812,1)))+SUMPRODUCT((OFFSET(Calc2!$G$4,,,$F$26*B812,1)=F826)*(OFFSET(Calc2!$H$4,,,$F$26*B812,1)&gt;OFFSET(Calc2!$I$4,,,$F$26*B812,1)))</f>
        <v>7</v>
      </c>
      <c r="O826" s="132">
        <f ca="1">SUMPRODUCT((F826=OFFSET(Calc2!$F$4,,,$F$26*B812,1))*OFFSET(Calc2!$O$4,,,$F$26*B812,1))+SUMPRODUCT((F826=OFFSET(Calc2!$G$4,,,$F$26*B812,1))*OFFSET(Calc2!$P$4,,,$F$26*B812,1))</f>
        <v>0</v>
      </c>
      <c r="P826" s="2"/>
      <c r="Q826" s="2"/>
      <c r="R826" s="13">
        <f t="shared" ca="1" si="151"/>
        <v>62500024062</v>
      </c>
      <c r="S826" s="134">
        <f>Tie_Break!$D$19</f>
        <v>0</v>
      </c>
      <c r="T826" s="9">
        <f ca="1">RANK(R826,R814:R833)+(9-S826)/10000+(F826="")*1000</f>
        <v>3.0009000000000001</v>
      </c>
      <c r="U826" s="1"/>
      <c r="V826" s="134">
        <f ca="1">IF($K$24=0,"",IF(VLOOKUP(B826,C814:E833,3,0)=MAX(V$4:V825),VLOOKUP(B826,C814:E833,3,0),B826))</f>
        <v>13</v>
      </c>
      <c r="W826" s="4" t="str">
        <f ca="1">IF($K$24=0,Calc2!$C$16,VLOOKUP(B826,C814:N833,4,0))</f>
        <v>1. FC Union Berlin</v>
      </c>
      <c r="X826" s="1">
        <f ca="1">INDEX(V787:V806,MATCH(W826,W787:W806,0))</f>
        <v>11</v>
      </c>
      <c r="Y826" s="1">
        <f t="shared" ca="1" si="154"/>
        <v>-1</v>
      </c>
    </row>
    <row r="827" spans="2:25" x14ac:dyDescent="0.2">
      <c r="B827" s="1">
        <v>14</v>
      </c>
      <c r="C827" s="9">
        <f ca="1">RANK(D827,D814:D833,1)</f>
        <v>8</v>
      </c>
      <c r="D827" s="134">
        <f t="shared" ca="1" si="152"/>
        <v>8.827</v>
      </c>
      <c r="E827" s="134">
        <f ca="1">RANK(T827,T814:T833,1)</f>
        <v>8</v>
      </c>
      <c r="F827" s="187" t="str">
        <f>Calc2!$C$17</f>
        <v>SC Freiburg</v>
      </c>
      <c r="G827" s="1">
        <f ca="1">SUMIFS(OFFSET(Calc2!$H$4,,,$F$26*B812,1),OFFSET(Calc2!$F$4,,,$F$26*B812,1),F827)+SUMIFS(OFFSET(Calc2!$I$4,,,$F$26*B812,1),OFFSET(Calc2!$G$4,,,$F$26*B812,1),F827)</f>
        <v>44</v>
      </c>
      <c r="H827" s="1">
        <f ca="1">SUMIFS(OFFSET(Calc2!$I$4,,,$F$26*B812,1),OFFSET(Calc2!$F$4,,,$F$26*B812,1),F827)+SUMIFS(OFFSET(Calc2!$H$4,,,$F$26*B812,1),OFFSET(Calc2!$G$4,,,$F$26*B812,1),F827)</f>
        <v>52</v>
      </c>
      <c r="I827" s="134">
        <f t="shared" ca="1" si="150"/>
        <v>-8</v>
      </c>
      <c r="J827" s="12">
        <f ca="1">L827*Settings!$C$3+M827+O827</f>
        <v>43</v>
      </c>
      <c r="K827" s="1">
        <f t="shared" ca="1" si="153"/>
        <v>31</v>
      </c>
      <c r="L827" s="1">
        <f t="array" aca="1" ref="L827" ca="1">SUMPRODUCT((OFFSET(Calc2!$F$4,,,$F$26*B812,1)=F827)*(OFFSET(Calc2!$H$4,,,$F$26*B812,1)&gt;OFFSET(Calc2!$I$4,,,$F$26*B812,1)))+SUMPRODUCT((OFFSET(Calc2!$G$4,,,$F$26*B812,1)=F827)*(OFFSET(Calc2!$H$4,,,$F$26*B812,1)&lt;OFFSET(Calc2!$I$4,,,$F$26*B812,1)))</f>
        <v>12</v>
      </c>
      <c r="M827" s="1">
        <f t="array" aca="1" ref="M827" ca="1">SUMPRODUCT((OFFSET(Calc2!$F$4,,,$F$26*B812,2)=F827)*(OFFSET(Calc2!$H$4,,,$F$26*B812,1)=OFFSET(Calc2!$I$4,,,$F$26*B812,1))*(OFFSET(Calc2!$H$4,,,$F$26*B812,1)&lt;&gt;"")*(OFFSET(Calc2!$I$4,,,$F$26*B812,1)&lt;&gt;""))</f>
        <v>7</v>
      </c>
      <c r="N827" s="1">
        <f t="array" aca="1" ref="N827" ca="1">SUMPRODUCT((OFFSET(Calc2!$F$4,,,$F$26*B812,1)=F827)*(OFFSET(Calc2!$H$4,,,$F$26*B812,1)&lt;OFFSET(Calc2!$I$4,,,$F$26*B812,1)))+SUMPRODUCT((OFFSET(Calc2!$G$4,,,$F$26*B812,1)=F827)*(OFFSET(Calc2!$H$4,,,$F$26*B812,1)&gt;OFFSET(Calc2!$I$4,,,$F$26*B812,1)))</f>
        <v>12</v>
      </c>
      <c r="O827" s="132">
        <f ca="1">SUMPRODUCT((F827=OFFSET(Calc2!$F$4,,,$F$26*B812,1))*OFFSET(Calc2!$O$4,,,$F$26*B812,1))+SUMPRODUCT((F827=OFFSET(Calc2!$G$4,,,$F$26*B812,1))*OFFSET(Calc2!$P$4,,,$F$26*B812,1))</f>
        <v>0</v>
      </c>
      <c r="P827" s="2"/>
      <c r="Q827" s="2"/>
      <c r="R827" s="13">
        <f t="shared" ca="1" si="151"/>
        <v>43499992044</v>
      </c>
      <c r="S827" s="134">
        <f>Tie_Break!$D$20</f>
        <v>0</v>
      </c>
      <c r="T827" s="9">
        <f ca="1">RANK(R827,R814:R833)+(9-S827)/10000+(F827="")*1000</f>
        <v>8.0008999999999997</v>
      </c>
      <c r="U827" s="2"/>
      <c r="V827" s="134">
        <f ca="1">IF($K$24=0,"",IF(VLOOKUP(B827,C814:E833,3,0)=MAX(V$4:V826),VLOOKUP(B827,C814:E833,3,0),B827))</f>
        <v>14</v>
      </c>
      <c r="W827" s="4" t="str">
        <f ca="1">IF($K$24=0,Calc2!$C$17,VLOOKUP(B827,C814:N833,4,0))</f>
        <v>1. FC Köln</v>
      </c>
      <c r="X827" s="1">
        <f ca="1">INDEX(V787:V806,MATCH(W827,W787:W806,0))</f>
        <v>12</v>
      </c>
      <c r="Y827" s="1">
        <f t="shared" ca="1" si="154"/>
        <v>-1</v>
      </c>
    </row>
    <row r="828" spans="2:25" x14ac:dyDescent="0.2">
      <c r="B828" s="1">
        <v>15</v>
      </c>
      <c r="C828" s="9">
        <f ca="1">RANK(D828,D814:D833,1)</f>
        <v>12</v>
      </c>
      <c r="D828" s="134">
        <f t="shared" ca="1" si="152"/>
        <v>12.827999999999999</v>
      </c>
      <c r="E828" s="134">
        <f ca="1">RANK(T828,T814:T833,1)</f>
        <v>12</v>
      </c>
      <c r="F828" s="187" t="str">
        <f>Calc2!$C$18</f>
        <v>SV Werder Bremen</v>
      </c>
      <c r="G828" s="1">
        <f ca="1">SUMIFS(OFFSET(Calc2!$H$4,,,$F$26*B812,1),OFFSET(Calc2!$F$4,,,$F$26*B812,1),F828)+SUMIFS(OFFSET(Calc2!$I$4,,,$F$26*B812,1),OFFSET(Calc2!$G$4,,,$F$26*B812,1),F828)</f>
        <v>36</v>
      </c>
      <c r="H828" s="1">
        <f ca="1">SUMIFS(OFFSET(Calc2!$I$4,,,$F$26*B812,1),OFFSET(Calc2!$F$4,,,$F$26*B812,1),F828)+SUMIFS(OFFSET(Calc2!$H$4,,,$F$26*B812,1),OFFSET(Calc2!$G$4,,,$F$26*B812,1),F828)</f>
        <v>54</v>
      </c>
      <c r="I828" s="134">
        <f t="shared" ca="1" si="150"/>
        <v>-18</v>
      </c>
      <c r="J828" s="12">
        <f ca="1">L828*Settings!$C$3+M828+O828</f>
        <v>32</v>
      </c>
      <c r="K828" s="1">
        <f t="shared" ca="1" si="153"/>
        <v>31</v>
      </c>
      <c r="L828" s="1">
        <f t="array" aca="1" ref="L828" ca="1">SUMPRODUCT((OFFSET(Calc2!$F$4,,,$F$26*B812,1)=F828)*(OFFSET(Calc2!$H$4,,,$F$26*B812,1)&gt;OFFSET(Calc2!$I$4,,,$F$26*B812,1)))+SUMPRODUCT((OFFSET(Calc2!$G$4,,,$F$26*B812,1)=F828)*(OFFSET(Calc2!$H$4,,,$F$26*B812,1)&lt;OFFSET(Calc2!$I$4,,,$F$26*B812,1)))</f>
        <v>8</v>
      </c>
      <c r="M828" s="1">
        <f t="array" aca="1" ref="M828" ca="1">SUMPRODUCT((OFFSET(Calc2!$F$4,,,$F$26*B812,2)=F828)*(OFFSET(Calc2!$H$4,,,$F$26*B812,1)=OFFSET(Calc2!$I$4,,,$F$26*B812,1))*(OFFSET(Calc2!$H$4,,,$F$26*B812,1)&lt;&gt;"")*(OFFSET(Calc2!$I$4,,,$F$26*B812,1)&lt;&gt;""))</f>
        <v>8</v>
      </c>
      <c r="N828" s="1">
        <f t="array" aca="1" ref="N828" ca="1">SUMPRODUCT((OFFSET(Calc2!$F$4,,,$F$26*B812,1)=F828)*(OFFSET(Calc2!$H$4,,,$F$26*B812,1)&lt;OFFSET(Calc2!$I$4,,,$F$26*B812,1)))+SUMPRODUCT((OFFSET(Calc2!$G$4,,,$F$26*B812,1)=F828)*(OFFSET(Calc2!$H$4,,,$F$26*B812,1)&gt;OFFSET(Calc2!$I$4,,,$F$26*B812,1)))</f>
        <v>15</v>
      </c>
      <c r="O828" s="132">
        <f ca="1">SUMPRODUCT((F828=OFFSET(Calc2!$F$4,,,$F$26*B812,1))*OFFSET(Calc2!$O$4,,,$F$26*B812,1))+SUMPRODUCT((F828=OFFSET(Calc2!$G$4,,,$F$26*B812,1))*OFFSET(Calc2!$P$4,,,$F$26*B812,1))</f>
        <v>0</v>
      </c>
      <c r="P828" s="2"/>
      <c r="Q828" s="2"/>
      <c r="R828" s="13">
        <f t="shared" ca="1" si="151"/>
        <v>32499982036</v>
      </c>
      <c r="S828" s="134">
        <f>Tie_Break!$D$21</f>
        <v>0</v>
      </c>
      <c r="T828" s="9">
        <f ca="1">RANK(R828,R814:R833)+(9-S828)/10000+(F828="")*1000</f>
        <v>12.0009</v>
      </c>
      <c r="U828" s="2"/>
      <c r="V828" s="134">
        <f ca="1">IF($K$24=0,"",IF(VLOOKUP(B828,C814:E833,3,0)=MAX(V$4:V827),VLOOKUP(B828,C814:E833,3,0),B828))</f>
        <v>15</v>
      </c>
      <c r="W828" s="4" t="str">
        <f ca="1">IF($K$24=0,Calc2!$C$18,VLOOKUP(B828,C814:N833,4,0))</f>
        <v>Hamburger SV</v>
      </c>
      <c r="X828" s="1">
        <f ca="1">INDEX(V787:V806,MATCH(W828,W787:W806,0))</f>
        <v>14</v>
      </c>
      <c r="Y828" s="1">
        <f t="shared" ca="1" si="154"/>
        <v>-1</v>
      </c>
    </row>
    <row r="829" spans="2:25" x14ac:dyDescent="0.2">
      <c r="B829" s="1">
        <v>16</v>
      </c>
      <c r="C829" s="9">
        <f ca="1">RANK(D829,D814:D833,1)</f>
        <v>5</v>
      </c>
      <c r="D829" s="134">
        <f t="shared" ca="1" si="152"/>
        <v>5.8289999999999997</v>
      </c>
      <c r="E829" s="134">
        <f ca="1">RANK(T829,T814:T833,1)</f>
        <v>5</v>
      </c>
      <c r="F829" s="187" t="str">
        <f>Calc2!$C$19</f>
        <v>TSG Hoffenheim</v>
      </c>
      <c r="G829" s="1">
        <f ca="1">SUMIFS(OFFSET(Calc2!$H$4,,,$F$26*B812,1),OFFSET(Calc2!$F$4,,,$F$26*B812,1),F829)+SUMIFS(OFFSET(Calc2!$I$4,,,$F$26*B812,1),OFFSET(Calc2!$G$4,,,$F$26*B812,1),F829)</f>
        <v>61</v>
      </c>
      <c r="H829" s="1">
        <f ca="1">SUMIFS(OFFSET(Calc2!$I$4,,,$F$26*B812,1),OFFSET(Calc2!$F$4,,,$F$26*B812,1),F829)+SUMIFS(OFFSET(Calc2!$H$4,,,$F$26*B812,1),OFFSET(Calc2!$G$4,,,$F$26*B812,1),F829)</f>
        <v>45</v>
      </c>
      <c r="I829" s="134">
        <f t="shared" ca="1" si="150"/>
        <v>16</v>
      </c>
      <c r="J829" s="12">
        <f ca="1">L829*Settings!$C$3+M829+O829</f>
        <v>57</v>
      </c>
      <c r="K829" s="1">
        <f t="shared" ca="1" si="153"/>
        <v>31</v>
      </c>
      <c r="L829" s="1">
        <f t="array" aca="1" ref="L829" ca="1">SUMPRODUCT((OFFSET(Calc2!$F$4,,,$F$26*B812,1)=F829)*(OFFSET(Calc2!$H$4,,,$F$26*B812,1)&gt;OFFSET(Calc2!$I$4,,,$F$26*B812,1)))+SUMPRODUCT((OFFSET(Calc2!$G$4,,,$F$26*B812,1)=F829)*(OFFSET(Calc2!$H$4,,,$F$26*B812,1)&lt;OFFSET(Calc2!$I$4,,,$F$26*B812,1)))</f>
        <v>17</v>
      </c>
      <c r="M829" s="1">
        <f t="array" aca="1" ref="M829" ca="1">SUMPRODUCT((OFFSET(Calc2!$F$4,,,$F$26*B812,2)=F829)*(OFFSET(Calc2!$H$4,,,$F$26*B812,1)=OFFSET(Calc2!$I$4,,,$F$26*B812,1))*(OFFSET(Calc2!$H$4,,,$F$26*B812,1)&lt;&gt;"")*(OFFSET(Calc2!$I$4,,,$F$26*B812,1)&lt;&gt;""))</f>
        <v>6</v>
      </c>
      <c r="N829" s="1">
        <f t="array" aca="1" ref="N829" ca="1">SUMPRODUCT((OFFSET(Calc2!$F$4,,,$F$26*B812,1)=F829)*(OFFSET(Calc2!$H$4,,,$F$26*B812,1)&lt;OFFSET(Calc2!$I$4,,,$F$26*B812,1)))+SUMPRODUCT((OFFSET(Calc2!$G$4,,,$F$26*B812,1)=F829)*(OFFSET(Calc2!$H$4,,,$F$26*B812,1)&gt;OFFSET(Calc2!$I$4,,,$F$26*B812,1)))</f>
        <v>8</v>
      </c>
      <c r="O829" s="132">
        <f ca="1">SUMPRODUCT((F829=OFFSET(Calc2!$F$4,,,$F$26*B812,1))*OFFSET(Calc2!$O$4,,,$F$26*B812,1))+SUMPRODUCT((F829=OFFSET(Calc2!$G$4,,,$F$26*B812,1))*OFFSET(Calc2!$P$4,,,$F$26*B812,1))</f>
        <v>0</v>
      </c>
      <c r="P829" s="2"/>
      <c r="Q829" s="2"/>
      <c r="R829" s="13">
        <f t="shared" ca="1" si="151"/>
        <v>57500016061</v>
      </c>
      <c r="S829" s="134">
        <f>Tie_Break!$D$22</f>
        <v>0</v>
      </c>
      <c r="T829" s="9">
        <f ca="1">RANK(R829,R814:R833)+(9-S829)/10000+(F829="")*1000</f>
        <v>5.0008999999999997</v>
      </c>
      <c r="U829" s="2"/>
      <c r="V829" s="134">
        <f ca="1">IF($K$24=0,"",IF(VLOOKUP(B829,C814:E833,3,0)=MAX(V$4:V828),VLOOKUP(B829,C814:E833,3,0),B829))</f>
        <v>16</v>
      </c>
      <c r="W829" s="4" t="str">
        <f ca="1">IF($K$24=0,Calc2!$C$19,VLOOKUP(B829,C814:N833,4,0))</f>
        <v>FC St. Pauli</v>
      </c>
      <c r="X829" s="1">
        <f ca="1">INDEX(V787:V806,MATCH(W829,W787:W806,0))</f>
        <v>16</v>
      </c>
      <c r="Y829" s="1">
        <f t="shared" ca="1" si="154"/>
        <v>0</v>
      </c>
    </row>
    <row r="830" spans="2:25" x14ac:dyDescent="0.2">
      <c r="B830" s="1">
        <v>17</v>
      </c>
      <c r="C830" s="9">
        <f ca="1">RANK(D830,D814:D833,1)</f>
        <v>4</v>
      </c>
      <c r="D830" s="134">
        <f t="shared" ca="1" si="152"/>
        <v>4.83</v>
      </c>
      <c r="E830" s="134">
        <f ca="1">RANK(T830,T814:T833,1)</f>
        <v>4</v>
      </c>
      <c r="F830" s="187" t="str">
        <f>Calc2!$C$20</f>
        <v>VfB Stuttgart</v>
      </c>
      <c r="G830" s="1">
        <f ca="1">SUMIFS(OFFSET(Calc2!$H$4,,,$F$26*B812,1),OFFSET(Calc2!$F$4,,,$F$26*B812,1),F830)+SUMIFS(OFFSET(Calc2!$I$4,,,$F$26*B812,1),OFFSET(Calc2!$G$4,,,$F$26*B812,1),F830)</f>
        <v>63</v>
      </c>
      <c r="H830" s="1">
        <f ca="1">SUMIFS(OFFSET(Calc2!$I$4,,,$F$26*B812,1),OFFSET(Calc2!$F$4,,,$F$26*B812,1),F830)+SUMIFS(OFFSET(Calc2!$H$4,,,$F$26*B812,1),OFFSET(Calc2!$G$4,,,$F$26*B812,1),F830)</f>
        <v>43</v>
      </c>
      <c r="I830" s="134">
        <f t="shared" ca="1" si="150"/>
        <v>20</v>
      </c>
      <c r="J830" s="12">
        <f ca="1">L830*Settings!$C$3+M830+O830</f>
        <v>57</v>
      </c>
      <c r="K830" s="1">
        <f t="shared" ca="1" si="153"/>
        <v>31</v>
      </c>
      <c r="L830" s="1">
        <f t="array" aca="1" ref="L830" ca="1">SUMPRODUCT((OFFSET(Calc2!$F$4,,,$F$26*B812,1)=F830)*(OFFSET(Calc2!$H$4,,,$F$26*B812,1)&gt;OFFSET(Calc2!$I$4,,,$F$26*B812,1)))+SUMPRODUCT((OFFSET(Calc2!$G$4,,,$F$26*B812,1)=F830)*(OFFSET(Calc2!$H$4,,,$F$26*B812,1)&lt;OFFSET(Calc2!$I$4,,,$F$26*B812,1)))</f>
        <v>17</v>
      </c>
      <c r="M830" s="1">
        <f t="array" aca="1" ref="M830" ca="1">SUMPRODUCT((OFFSET(Calc2!$F$4,,,$F$26*B812,2)=F830)*(OFFSET(Calc2!$H$4,,,$F$26*B812,1)=OFFSET(Calc2!$I$4,,,$F$26*B812,1))*(OFFSET(Calc2!$H$4,,,$F$26*B812,1)&lt;&gt;"")*(OFFSET(Calc2!$I$4,,,$F$26*B812,1)&lt;&gt;""))</f>
        <v>6</v>
      </c>
      <c r="N830" s="1">
        <f t="array" aca="1" ref="N830" ca="1">SUMPRODUCT((OFFSET(Calc2!$F$4,,,$F$26*B812,1)=F830)*(OFFSET(Calc2!$H$4,,,$F$26*B812,1)&lt;OFFSET(Calc2!$I$4,,,$F$26*B812,1)))+SUMPRODUCT((OFFSET(Calc2!$G$4,,,$F$26*B812,1)=F830)*(OFFSET(Calc2!$H$4,,,$F$26*B812,1)&gt;OFFSET(Calc2!$I$4,,,$F$26*B812,1)))</f>
        <v>8</v>
      </c>
      <c r="O830" s="132">
        <f ca="1">SUMPRODUCT((F830=OFFSET(Calc2!$F$4,,,$F$26*B812,1))*OFFSET(Calc2!$O$4,,,$F$26*B812,1))+SUMPRODUCT((F830=OFFSET(Calc2!$G$4,,,$F$26*B812,1))*OFFSET(Calc2!$P$4,,,$F$26*B812,1))</f>
        <v>0</v>
      </c>
      <c r="P830" s="2"/>
      <c r="Q830" s="2"/>
      <c r="R830" s="13">
        <f t="shared" ca="1" si="151"/>
        <v>57500020063</v>
      </c>
      <c r="S830" s="134">
        <f>Tie_Break!$D$23</f>
        <v>0</v>
      </c>
      <c r="T830" s="9">
        <f ca="1">RANK(R830,R814:R833)+(9-S830)/10000+(F830="")*1000</f>
        <v>4.0008999999999997</v>
      </c>
      <c r="U830" s="2"/>
      <c r="V830" s="134">
        <f ca="1">IF($K$24=0,"",IF(VLOOKUP(B830,C814:E833,3,0)=MAX(V$4:V829),VLOOKUP(B830,C814:E833,3,0),B830))</f>
        <v>17</v>
      </c>
      <c r="W830" s="4" t="str">
        <f ca="1">IF($K$24=0,Calc2!$C$20,VLOOKUP(B830,C814:N833,4,0))</f>
        <v>VfL Wolfsburg</v>
      </c>
      <c r="X830" s="1">
        <f ca="1">INDEX(V787:V806,MATCH(W830,W787:W806,0))</f>
        <v>17</v>
      </c>
      <c r="Y830" s="1">
        <f t="shared" ca="1" si="154"/>
        <v>0</v>
      </c>
    </row>
    <row r="831" spans="2:25" x14ac:dyDescent="0.2">
      <c r="B831" s="1">
        <v>18</v>
      </c>
      <c r="C831" s="9">
        <f ca="1">RANK(D831,D814:D833,1)</f>
        <v>17</v>
      </c>
      <c r="D831" s="134">
        <f t="shared" ca="1" si="152"/>
        <v>17.831</v>
      </c>
      <c r="E831" s="134">
        <f ca="1">RANK(T831,T814:T833,1)</f>
        <v>17</v>
      </c>
      <c r="F831" s="187" t="str">
        <f>Calc2!$C$21</f>
        <v>VfL Wolfsburg</v>
      </c>
      <c r="G831" s="1">
        <f ca="1">SUMIFS(OFFSET(Calc2!$H$4,,,$F$26*B812,1),OFFSET(Calc2!$F$4,,,$F$26*B812,1),F831)+SUMIFS(OFFSET(Calc2!$I$4,,,$F$26*B812,1),OFFSET(Calc2!$G$4,,,$F$26*B812,1),F831)</f>
        <v>41</v>
      </c>
      <c r="H831" s="1">
        <f ca="1">SUMIFS(OFFSET(Calc2!$I$4,,,$F$26*B812,1),OFFSET(Calc2!$F$4,,,$F$26*B812,1),F831)+SUMIFS(OFFSET(Calc2!$H$4,,,$F$26*B812,1),OFFSET(Calc2!$G$4,,,$F$26*B812,1),F831)</f>
        <v>66</v>
      </c>
      <c r="I831" s="134">
        <f t="shared" ca="1" si="150"/>
        <v>-25</v>
      </c>
      <c r="J831" s="12">
        <f ca="1">L831*Settings!$C$3+M831+O831</f>
        <v>25</v>
      </c>
      <c r="K831" s="1">
        <f t="shared" ca="1" si="153"/>
        <v>31</v>
      </c>
      <c r="L831" s="1">
        <f t="array" aca="1" ref="L831" ca="1">SUMPRODUCT((OFFSET(Calc2!$F$4,,,$F$26*B812,1)=F831)*(OFFSET(Calc2!$H$4,,,$F$26*B812,1)&gt;OFFSET(Calc2!$I$4,,,$F$26*B812,1)))+SUMPRODUCT((OFFSET(Calc2!$G$4,,,$F$26*B812,1)=F831)*(OFFSET(Calc2!$H$4,,,$F$26*B812,1)&lt;OFFSET(Calc2!$I$4,,,$F$26*B812,1)))</f>
        <v>6</v>
      </c>
      <c r="M831" s="1">
        <f t="array" aca="1" ref="M831" ca="1">SUMPRODUCT((OFFSET(Calc2!$F$4,,,$F$26*B812,2)=F831)*(OFFSET(Calc2!$H$4,,,$F$26*B812,1)=OFFSET(Calc2!$I$4,,,$F$26*B812,1))*(OFFSET(Calc2!$H$4,,,$F$26*B812,1)&lt;&gt;"")*(OFFSET(Calc2!$I$4,,,$F$26*B812,1)&lt;&gt;""))</f>
        <v>7</v>
      </c>
      <c r="N831" s="1">
        <f t="array" aca="1" ref="N831" ca="1">SUMPRODUCT((OFFSET(Calc2!$F$4,,,$F$26*B812,1)=F831)*(OFFSET(Calc2!$H$4,,,$F$26*B812,1)&lt;OFFSET(Calc2!$I$4,,,$F$26*B812,1)))+SUMPRODUCT((OFFSET(Calc2!$G$4,,,$F$26*B812,1)=F831)*(OFFSET(Calc2!$H$4,,,$F$26*B812,1)&gt;OFFSET(Calc2!$I$4,,,$F$26*B812,1)))</f>
        <v>18</v>
      </c>
      <c r="O831" s="132">
        <f ca="1">SUMPRODUCT((F831=OFFSET(Calc2!$F$4,,,$F$26*B812,1))*OFFSET(Calc2!$O$4,,,$F$26*B812,1))+SUMPRODUCT((F831=OFFSET(Calc2!$G$4,,,$F$26*B812,1))*OFFSET(Calc2!$P$4,,,$F$26*B812,1))</f>
        <v>0</v>
      </c>
      <c r="P831" s="2"/>
      <c r="Q831" s="2"/>
      <c r="R831" s="13">
        <f t="shared" ca="1" si="151"/>
        <v>25499975041</v>
      </c>
      <c r="S831" s="134">
        <f>Tie_Break!$D$24</f>
        <v>0</v>
      </c>
      <c r="T831" s="9">
        <f ca="1">RANK(R831,R814:R833)+(9-S831)/10000+(F831="")*1000</f>
        <v>17.000900000000001</v>
      </c>
      <c r="U831" s="2"/>
      <c r="V831" s="134">
        <f ca="1">IF($K$24=0,"",IF(VLOOKUP(B831,C814:E833,3,0)=MAX(V$4:V830),VLOOKUP(B831,C814:E833,3,0),B831))</f>
        <v>18</v>
      </c>
      <c r="W831" s="4" t="str">
        <f ca="1">IF($K$24=0,Calc2!$C$21,VLOOKUP(B831,C814:N833,4,0))</f>
        <v>1. FC Heidenheim 1846</v>
      </c>
      <c r="X831" s="1">
        <f ca="1">INDEX(V787:V806,MATCH(W831,W787:W806,0))</f>
        <v>18</v>
      </c>
      <c r="Y831" s="1">
        <f t="shared" ca="1" si="154"/>
        <v>0</v>
      </c>
    </row>
    <row r="832" spans="2:25" x14ac:dyDescent="0.2">
      <c r="B832" s="1">
        <v>19</v>
      </c>
      <c r="C832" s="9">
        <f ca="1">RANK(D832,D814:D833,1)</f>
        <v>19</v>
      </c>
      <c r="D832" s="134">
        <f t="shared" ca="1" si="152"/>
        <v>19.832000000000001</v>
      </c>
      <c r="E832" s="134">
        <f ca="1">RANK(T832,T814:T833,1)</f>
        <v>19</v>
      </c>
      <c r="F832" s="187" t="str">
        <f>Calc2!$C$22</f>
        <v/>
      </c>
      <c r="G832" s="1">
        <f ca="1">SUMIFS(OFFSET(Calc2!$H$4,,,$F$26*B812,1),OFFSET(Calc2!$F$4,,,$F$26*B812,1),F832)+SUMIFS(OFFSET(Calc2!$I$4,,,$F$26*B812,1),OFFSET(Calc2!$G$4,,,$F$26*B812,1),F832)</f>
        <v>0</v>
      </c>
      <c r="H832" s="1">
        <f ca="1">SUMIFS(OFFSET(Calc2!$I$4,,,$F$26*B812,1),OFFSET(Calc2!$F$4,,,$F$26*B812,1),F832)+SUMIFS(OFFSET(Calc2!$H$4,,,$F$26*B812,1),OFFSET(Calc2!$G$4,,,$F$26*B812,1),F832)</f>
        <v>0</v>
      </c>
      <c r="I832" s="134">
        <f t="shared" ca="1" si="150"/>
        <v>0</v>
      </c>
      <c r="J832" s="12">
        <f ca="1">L832*Settings!$C$3+M832+O832</f>
        <v>0</v>
      </c>
      <c r="K832" s="1">
        <f t="shared" ca="1" si="153"/>
        <v>0</v>
      </c>
      <c r="L832" s="1">
        <f t="array" aca="1" ref="L832" ca="1">SUMPRODUCT((OFFSET(Calc2!$F$4,,,$F$26*B812,1)=F832)*(OFFSET(Calc2!$H$4,,,$F$26*B812,1)&gt;OFFSET(Calc2!$I$4,,,$F$26*B812,1)))+SUMPRODUCT((OFFSET(Calc2!$G$4,,,$F$26*B812,1)=F832)*(OFFSET(Calc2!$H$4,,,$F$26*B812,1)&lt;OFFSET(Calc2!$I$4,,,$F$26*B812,1)))</f>
        <v>0</v>
      </c>
      <c r="M832" s="1">
        <f t="array" aca="1" ref="M832" ca="1">SUMPRODUCT((OFFSET(Calc2!$F$4,,,$F$26*B812,2)=F832)*(OFFSET(Calc2!$H$4,,,$F$26*B812,1)=OFFSET(Calc2!$I$4,,,$F$26*B812,1))*(OFFSET(Calc2!$H$4,,,$F$26*B812,1)&lt;&gt;"")*(OFFSET(Calc2!$I$4,,,$F$26*B812,1)&lt;&gt;""))</f>
        <v>0</v>
      </c>
      <c r="N832" s="1">
        <f t="array" aca="1" ref="N832" ca="1">SUMPRODUCT((OFFSET(Calc2!$F$4,,,$F$26*B812,1)=F832)*(OFFSET(Calc2!$H$4,,,$F$26*B812,1)&lt;OFFSET(Calc2!$I$4,,,$F$26*B812,1)))+SUMPRODUCT((OFFSET(Calc2!$G$4,,,$F$26*B812,1)=F832)*(OFFSET(Calc2!$H$4,,,$F$26*B812,1)&gt;OFFSET(Calc2!$I$4,,,$F$26*B812,1)))</f>
        <v>0</v>
      </c>
      <c r="O832" s="132">
        <f ca="1">SUMPRODUCT((F832=OFFSET(Calc2!$F$4,,,$F$26*B812,1))*OFFSET(Calc2!$O$4,,,$F$26*B812,1))+SUMPRODUCT((F832=OFFSET(Calc2!$G$4,,,$F$26*B812,1))*OFFSET(Calc2!$P$4,,,$F$26*B812,1))</f>
        <v>0</v>
      </c>
      <c r="P832" s="2"/>
      <c r="Q832" s="2"/>
      <c r="R832" s="13">
        <f t="shared" ca="1" si="151"/>
        <v>500000000</v>
      </c>
      <c r="S832" s="134">
        <f>Tie_Break!$D$25</f>
        <v>0</v>
      </c>
      <c r="T832" s="9">
        <f ca="1">RANK(R832,R814:R833)+(9-S832)/10000+(F832="")*1000</f>
        <v>1019.0009</v>
      </c>
      <c r="U832" s="2"/>
      <c r="V832" s="134">
        <f ca="1">IF($K$24=0,"",IF(VLOOKUP(B832,C814:E833,3,0)=MAX(V$4:V831),VLOOKUP(B832,C814:E833,3,0),B832))</f>
        <v>19</v>
      </c>
      <c r="W832" s="4" t="str">
        <f ca="1">IF($K$24=0,Calc2!$C$22,VLOOKUP(B832,C814:N833,4,0))</f>
        <v/>
      </c>
      <c r="X832" s="1">
        <f ca="1">INDEX(V787:V806,MATCH(W832,W787:W806,0))</f>
        <v>19</v>
      </c>
      <c r="Y832" s="1">
        <f t="shared" ca="1" si="154"/>
        <v>0</v>
      </c>
    </row>
    <row r="833" spans="2:25" ht="12.75" thickBot="1" x14ac:dyDescent="0.25">
      <c r="B833" s="1">
        <v>20</v>
      </c>
      <c r="C833" s="10">
        <f ca="1">RANK(D833,D814:D833,1)</f>
        <v>20</v>
      </c>
      <c r="D833" s="134">
        <f t="shared" ca="1" si="152"/>
        <v>19.832999999999998</v>
      </c>
      <c r="E833" s="134">
        <f ca="1">RANK(T833,T814:T833,1)</f>
        <v>19</v>
      </c>
      <c r="F833" s="187" t="str">
        <f>Calc2!$C$23</f>
        <v/>
      </c>
      <c r="G833" s="1">
        <f ca="1">SUMIFS(OFFSET(Calc2!$H$4,,,$F$26*B812,1),OFFSET(Calc2!$F$4,,,$F$26*B812,1),F833)+SUMIFS(OFFSET(Calc2!$I$4,,,$F$26*B812,1),OFFSET(Calc2!$G$4,,,$F$26*B812,1),F833)</f>
        <v>0</v>
      </c>
      <c r="H833" s="1">
        <f ca="1">SUMIFS(OFFSET(Calc2!$I$4,,,$F$26*B812,1),OFFSET(Calc2!$F$4,,,$F$26*B812,1),F833)+SUMIFS(OFFSET(Calc2!$H$4,,,$F$26*B812,1),OFFSET(Calc2!$G$4,,,$F$26*B812,1),F833)</f>
        <v>0</v>
      </c>
      <c r="I833" s="134">
        <f t="shared" ca="1" si="150"/>
        <v>0</v>
      </c>
      <c r="J833" s="12">
        <f ca="1">L833*Settings!$C$3+M833+O833</f>
        <v>0</v>
      </c>
      <c r="K833" s="1">
        <f t="shared" ca="1" si="153"/>
        <v>0</v>
      </c>
      <c r="L833" s="1">
        <f t="array" aca="1" ref="L833" ca="1">SUMPRODUCT((OFFSET(Calc2!$F$4,,,$F$26*B812,1)=F833)*(OFFSET(Calc2!$H$4,,,$F$26*B812,1)&gt;OFFSET(Calc2!$I$4,,,$F$26*B812,1)))+SUMPRODUCT((OFFSET(Calc2!$G$4,,,$F$26*B812,1)=F833)*(OFFSET(Calc2!$H$4,,,$F$26*B812,1)&lt;OFFSET(Calc2!$I$4,,,$F$26*B812,1)))</f>
        <v>0</v>
      </c>
      <c r="M833" s="1">
        <f t="array" aca="1" ref="M833" ca="1">SUMPRODUCT((OFFSET(Calc2!$F$4,,,$F$26*B812,2)=F833)*(OFFSET(Calc2!$H$4,,,$F$26*B812,1)=OFFSET(Calc2!$I$4,,,$F$26*B812,1))*(OFFSET(Calc2!$H$4,,,$F$26*B812,1)&lt;&gt;"")*(OFFSET(Calc2!$I$4,,,$F$26*B812,1)&lt;&gt;""))</f>
        <v>0</v>
      </c>
      <c r="N833" s="1">
        <f t="array" aca="1" ref="N833" ca="1">SUMPRODUCT((OFFSET(Calc2!$F$4,,,$F$26*B812,1)=F833)*(OFFSET(Calc2!$H$4,,,$F$26*B812,1)&lt;OFFSET(Calc2!$I$4,,,$F$26*B812,1)))+SUMPRODUCT((OFFSET(Calc2!$G$4,,,$F$26*B812,1)=F833)*(OFFSET(Calc2!$H$4,,,$F$26*B812,1)&gt;OFFSET(Calc2!$I$4,,,$F$26*B812,1)))</f>
        <v>0</v>
      </c>
      <c r="O833" s="132">
        <f ca="1">SUMPRODUCT((F833=OFFSET(Calc2!$F$4,,,$F$26*B812,1))*OFFSET(Calc2!$O$4,,,$F$26*B812,1))+SUMPRODUCT((F833=OFFSET(Calc2!$G$4,,,$F$26*B812,1))*OFFSET(Calc2!$P$4,,,$F$26*B812,1))</f>
        <v>0</v>
      </c>
      <c r="P833" s="2"/>
      <c r="Q833" s="2"/>
      <c r="R833" s="13">
        <f t="shared" ca="1" si="151"/>
        <v>500000000</v>
      </c>
      <c r="S833" s="134">
        <f>Tie_Break!$D$26</f>
        <v>0</v>
      </c>
      <c r="T833" s="10">
        <f ca="1">RANK(R833,R814:R833)+(9-S833)/10000+(F833="")*1000</f>
        <v>1019.0009</v>
      </c>
      <c r="U833" s="2"/>
      <c r="V833" s="134">
        <f ca="1">IF($K$24=0,"",IF(VLOOKUP(B833,C814:E833,3,0)=MAX(V$4:V832),VLOOKUP(B833,C814:E833,3,0),B833))</f>
        <v>19</v>
      </c>
      <c r="W833" s="4" t="str">
        <f ca="1">IF($K$24=0,Calc2!$C$23,VLOOKUP(B833,C814:N833,4,0))</f>
        <v/>
      </c>
      <c r="X833" s="1">
        <f ca="1">INDEX(V787:V806,MATCH(W833,W787:W806,0))</f>
        <v>19</v>
      </c>
      <c r="Y833" s="1">
        <f t="shared" ca="1" si="154"/>
        <v>0</v>
      </c>
    </row>
    <row r="834" spans="2:25" ht="12.75" thickTop="1" x14ac:dyDescent="0.2"/>
    <row r="838" spans="2:25" ht="12.75" thickBot="1" x14ac:dyDescent="0.25"/>
    <row r="839" spans="2:25" ht="12.75" thickBot="1" x14ac:dyDescent="0.25">
      <c r="B839" s="410">
        <v>32</v>
      </c>
      <c r="C839" s="134"/>
      <c r="D839" s="134"/>
      <c r="E839" s="134"/>
      <c r="F839" s="187"/>
      <c r="G839" s="1"/>
      <c r="H839" s="1"/>
      <c r="I839" s="1"/>
      <c r="J839" s="1"/>
      <c r="K839" s="1"/>
      <c r="L839" s="1"/>
      <c r="M839" s="1"/>
      <c r="N839" s="134"/>
      <c r="O839" s="1"/>
      <c r="P839" s="1"/>
      <c r="Q839" s="1"/>
      <c r="R839" s="2"/>
      <c r="S839" s="2"/>
      <c r="T839" s="2"/>
      <c r="U839" s="2"/>
      <c r="V839" s="2"/>
      <c r="W839" s="2"/>
    </row>
    <row r="840" spans="2:25" ht="15.75" thickBot="1" x14ac:dyDescent="0.25">
      <c r="B840" s="1"/>
      <c r="C840" s="134"/>
      <c r="D840" s="134"/>
      <c r="E840" s="134"/>
      <c r="F840" s="11" t="s">
        <v>90</v>
      </c>
      <c r="G840" s="42" t="s">
        <v>95</v>
      </c>
      <c r="H840" s="42" t="s">
        <v>96</v>
      </c>
      <c r="I840" s="11" t="s">
        <v>97</v>
      </c>
      <c r="J840" s="11" t="s">
        <v>98</v>
      </c>
      <c r="K840" s="11" t="s">
        <v>91</v>
      </c>
      <c r="L840" s="12" t="s">
        <v>92</v>
      </c>
      <c r="M840" s="12" t="s">
        <v>93</v>
      </c>
      <c r="N840" s="12" t="s">
        <v>94</v>
      </c>
      <c r="O840" s="12" t="s">
        <v>534</v>
      </c>
      <c r="P840" s="2"/>
      <c r="Q840" s="11"/>
      <c r="R840" s="133" t="s">
        <v>99</v>
      </c>
      <c r="S840" s="6" t="s">
        <v>483</v>
      </c>
      <c r="T840" s="120" t="s">
        <v>146</v>
      </c>
      <c r="U840" s="134"/>
      <c r="V840" s="134"/>
      <c r="W840" s="132"/>
      <c r="X840" s="120" t="s">
        <v>575</v>
      </c>
      <c r="Y840" s="1"/>
    </row>
    <row r="841" spans="2:25" ht="12.75" thickTop="1" x14ac:dyDescent="0.2">
      <c r="B841" s="1">
        <v>1</v>
      </c>
      <c r="C841" s="8">
        <f ca="1">RANK(D841,D841:D860,1)</f>
        <v>18</v>
      </c>
      <c r="D841" s="134">
        <f ca="1">E841+ROW()/1000</f>
        <v>18.841000000000001</v>
      </c>
      <c r="E841" s="134">
        <f ca="1">RANK(T841,T841:T860,1)</f>
        <v>18</v>
      </c>
      <c r="F841" s="187" t="str">
        <f>Calc2!$C$4</f>
        <v>1. FC Heidenheim 1846</v>
      </c>
      <c r="G841" s="1">
        <f ca="1">SUMIFS(OFFSET(Calc2!$H$4,,,$F$26*B839,1),OFFSET(Calc2!$F$4,,,$F$26*B839,1),F841)+SUMIFS(OFFSET(Calc2!$I$4,,,$F$26*B839,1),OFFSET(Calc2!$G$4,,,$F$26*B839,1),F841)</f>
        <v>38</v>
      </c>
      <c r="H841" s="1">
        <f ca="1">SUMIFS(OFFSET(Calc2!$I$4,,,$F$26*B839,1),OFFSET(Calc2!$F$4,,,$F$26*B839,1),F841)+SUMIFS(OFFSET(Calc2!$H$4,,,$F$26*B839,1),OFFSET(Calc2!$G$4,,,$F$26*B839,1),F841)</f>
        <v>69</v>
      </c>
      <c r="I841" s="134">
        <f t="shared" ref="I841:I860" ca="1" si="155">G841-H841</f>
        <v>-31</v>
      </c>
      <c r="J841" s="12">
        <f ca="1">L841*Settings!$C$3+M841+O841</f>
        <v>23</v>
      </c>
      <c r="K841" s="1">
        <f ca="1">L841+M841+N841</f>
        <v>32</v>
      </c>
      <c r="L841" s="1">
        <f t="array" aca="1" ref="L841" ca="1">SUMPRODUCT((OFFSET(Calc2!$F$4,,,$F$26*B839,1)=F841)*(OFFSET(Calc2!$H$4,,,$F$26*B839,1)&gt;OFFSET(Calc2!$I$4,,,$F$26*B839,1)))+SUMPRODUCT((OFFSET(Calc2!$G$4,,,$F$26*B839,1)=F841)*(OFFSET(Calc2!$H$4,,,$F$26*B839,1)&lt;OFFSET(Calc2!$I$4,,,$F$26*B839,1)))</f>
        <v>5</v>
      </c>
      <c r="M841" s="1">
        <f t="array" aca="1" ref="M841" ca="1">SUMPRODUCT((OFFSET(Calc2!$F$4,,,$F$26*B839,2)=F841)*(OFFSET(Calc2!$H$4,,,$F$26*B839,1)=OFFSET(Calc2!$I$4,,,$F$26*B839,1))*(OFFSET(Calc2!$H$4,,,$F$26*B839,1)&lt;&gt;"")*(OFFSET(Calc2!$I$4,,,$F$26*B839,1)&lt;&gt;""))</f>
        <v>8</v>
      </c>
      <c r="N841" s="1">
        <f t="array" aca="1" ref="N841" ca="1">SUMPRODUCT((OFFSET(Calc2!$F$4,,,$F$26*B839,1)=F841)*(OFFSET(Calc2!$H$4,,,$F$26*B839,1)&lt;OFFSET(Calc2!$I$4,,,$F$26*B839,1)))+SUMPRODUCT((OFFSET(Calc2!$G$4,,,$F$26*B839,1)=F841)*(OFFSET(Calc2!$H$4,,,$F$26*B839,1)&gt;OFFSET(Calc2!$I$4,,,$F$26*B839,1)))</f>
        <v>19</v>
      </c>
      <c r="O841" s="132">
        <f ca="1">SUMPRODUCT((F841=OFFSET(Calc2!$F$4,,,$F$26*B839,1))*OFFSET(Calc2!$O$4,,,$F$26*B839,1))+SUMPRODUCT((F841=OFFSET(Calc2!$G$4,,,$F$26*B839,1))*OFFSET(Calc2!$P$4,,,$F$26*B839,1))</f>
        <v>0</v>
      </c>
      <c r="P841" s="2"/>
      <c r="Q841" s="2"/>
      <c r="R841" s="13">
        <f t="shared" ref="R841:R860" ca="1" si="156">J841*FactorPts+(I841+GDzero)*FactorGD+G841*FactorGF</f>
        <v>23499969038</v>
      </c>
      <c r="S841" s="134">
        <f>Tie_Break!$D$7</f>
        <v>0</v>
      </c>
      <c r="T841" s="8">
        <f ca="1">RANK(R841,R841:R860)+(9-S841)/10000+(F841="")*1000</f>
        <v>18.000900000000001</v>
      </c>
      <c r="U841" s="134"/>
      <c r="V841" s="134">
        <f ca="1">IF($K$24=0,"",1)</f>
        <v>1</v>
      </c>
      <c r="W841" s="4" t="str">
        <f ca="1">IF($K$24=0,Calc2!$C$4,VLOOKUP(B841,C841:N860,4,0))</f>
        <v>FC Bayern München</v>
      </c>
      <c r="X841" s="1">
        <f ca="1">INDEX(V814:V833,MATCH(W841,W814:W833,0))</f>
        <v>1</v>
      </c>
      <c r="Y841" s="1">
        <f ca="1">IF(X841&gt;V841,1,IF(X841&lt;V841,-1,0))</f>
        <v>0</v>
      </c>
    </row>
    <row r="842" spans="2:25" x14ac:dyDescent="0.2">
      <c r="B842" s="1">
        <v>2</v>
      </c>
      <c r="C842" s="9">
        <f ca="1">RANK(D842,D841:D860,1)</f>
        <v>14</v>
      </c>
      <c r="D842" s="134">
        <f t="shared" ref="D842:D860" ca="1" si="157">E842+ROW()/1000</f>
        <v>14.842000000000001</v>
      </c>
      <c r="E842" s="134">
        <f ca="1">RANK(T842,T841:T860,1)</f>
        <v>14</v>
      </c>
      <c r="F842" s="187" t="str">
        <f>Calc2!$C$5</f>
        <v>1. FC Köln</v>
      </c>
      <c r="G842" s="1">
        <f ca="1">SUMIFS(OFFSET(Calc2!$H$4,,,$F$26*B839,1),OFFSET(Calc2!$F$4,,,$F$26*B839,1),F842)+SUMIFS(OFFSET(Calc2!$I$4,,,$F$26*B839,1),OFFSET(Calc2!$G$4,,,$F$26*B839,1),F842)</f>
        <v>47</v>
      </c>
      <c r="H842" s="1">
        <f ca="1">SUMIFS(OFFSET(Calc2!$I$4,,,$F$26*B839,1),OFFSET(Calc2!$F$4,,,$F$26*B839,1),F842)+SUMIFS(OFFSET(Calc2!$H$4,,,$F$26*B839,1),OFFSET(Calc2!$G$4,,,$F$26*B839,1),F842)</f>
        <v>55</v>
      </c>
      <c r="I842" s="134">
        <f t="shared" ca="1" si="155"/>
        <v>-8</v>
      </c>
      <c r="J842" s="12">
        <f ca="1">L842*Settings!$C$3+M842+O842</f>
        <v>32</v>
      </c>
      <c r="K842" s="1">
        <f t="shared" ref="K842:K860" ca="1" si="158">L842+M842+N842</f>
        <v>32</v>
      </c>
      <c r="L842" s="1">
        <f t="array" aca="1" ref="L842" ca="1">SUMPRODUCT((OFFSET(Calc2!$F$4,,,$F$26*B839,1)=F842)*(OFFSET(Calc2!$H$4,,,$F$26*B839,1)&gt;OFFSET(Calc2!$I$4,,,$F$26*B839,1)))+SUMPRODUCT((OFFSET(Calc2!$G$4,,,$F$26*B839,1)=F842)*(OFFSET(Calc2!$H$4,,,$F$26*B839,1)&lt;OFFSET(Calc2!$I$4,,,$F$26*B839,1)))</f>
        <v>7</v>
      </c>
      <c r="M842" s="1">
        <f t="array" aca="1" ref="M842" ca="1">SUMPRODUCT((OFFSET(Calc2!$F$4,,,$F$26*B839,2)=F842)*(OFFSET(Calc2!$H$4,,,$F$26*B839,1)=OFFSET(Calc2!$I$4,,,$F$26*B839,1))*(OFFSET(Calc2!$H$4,,,$F$26*B839,1)&lt;&gt;"")*(OFFSET(Calc2!$I$4,,,$F$26*B839,1)&lt;&gt;""))</f>
        <v>11</v>
      </c>
      <c r="N842" s="1">
        <f t="array" aca="1" ref="N842" ca="1">SUMPRODUCT((OFFSET(Calc2!$F$4,,,$F$26*B839,1)=F842)*(OFFSET(Calc2!$H$4,,,$F$26*B839,1)&lt;OFFSET(Calc2!$I$4,,,$F$26*B839,1)))+SUMPRODUCT((OFFSET(Calc2!$G$4,,,$F$26*B839,1)=F842)*(OFFSET(Calc2!$H$4,,,$F$26*B839,1)&gt;OFFSET(Calc2!$I$4,,,$F$26*B839,1)))</f>
        <v>14</v>
      </c>
      <c r="O842" s="132">
        <f ca="1">SUMPRODUCT((F842=OFFSET(Calc2!$F$4,,,$F$26*B839,1))*OFFSET(Calc2!$O$4,,,$F$26*B839,1))+SUMPRODUCT((F842=OFFSET(Calc2!$G$4,,,$F$26*B839,1))*OFFSET(Calc2!$P$4,,,$F$26*B839,1))</f>
        <v>0</v>
      </c>
      <c r="P842" s="2"/>
      <c r="Q842" s="2"/>
      <c r="R842" s="13">
        <f t="shared" ca="1" si="156"/>
        <v>32499992047</v>
      </c>
      <c r="S842" s="134">
        <f>Tie_Break!$D$8</f>
        <v>0</v>
      </c>
      <c r="T842" s="9">
        <f ca="1">RANK(R842,R841:R860)+(9-S842)/10000+(F842="")*1000</f>
        <v>14.0009</v>
      </c>
      <c r="U842" s="134"/>
      <c r="V842" s="134">
        <f ca="1">IF($K$24=0,"",IF(VLOOKUP(B842,C841:E860,3,0)=MAX(V$4:V841),VLOOKUP(B842,C841:E860,3,0),B842))</f>
        <v>2</v>
      </c>
      <c r="W842" s="4" t="str">
        <f ca="1">IF($K$24=0,Calc2!$C$5,VLOOKUP(B842,C841:N860,4,0))</f>
        <v>Borussia Dortmund</v>
      </c>
      <c r="X842" s="1">
        <f ca="1">INDEX(V814:V833,MATCH(W842,W814:W833,0))</f>
        <v>2</v>
      </c>
      <c r="Y842" s="1">
        <f t="shared" ref="Y842:Y860" ca="1" si="159">IF(X842&gt;V842,1,IF(X842&lt;V842,-1,0))</f>
        <v>0</v>
      </c>
    </row>
    <row r="843" spans="2:25" x14ac:dyDescent="0.2">
      <c r="B843" s="1">
        <v>3</v>
      </c>
      <c r="C843" s="9">
        <f ca="1">RANK(D843,D841:D860,1)</f>
        <v>13</v>
      </c>
      <c r="D843" s="134">
        <f t="shared" ca="1" si="157"/>
        <v>13.843</v>
      </c>
      <c r="E843" s="134">
        <f ca="1">RANK(T843,T841:T860,1)</f>
        <v>13</v>
      </c>
      <c r="F843" s="187" t="str">
        <f>Calc2!$C$6</f>
        <v>1. FC Union Berlin</v>
      </c>
      <c r="G843" s="1">
        <f ca="1">SUMIFS(OFFSET(Calc2!$H$4,,,$F$26*B839,1),OFFSET(Calc2!$F$4,,,$F$26*B839,1),F843)+SUMIFS(OFFSET(Calc2!$I$4,,,$F$26*B839,1),OFFSET(Calc2!$G$4,,,$F$26*B839,1),F843)</f>
        <v>37</v>
      </c>
      <c r="H843" s="1">
        <f ca="1">SUMIFS(OFFSET(Calc2!$I$4,,,$F$26*B839,1),OFFSET(Calc2!$F$4,,,$F$26*B839,1),F843)+SUMIFS(OFFSET(Calc2!$H$4,,,$F$26*B839,1),OFFSET(Calc2!$G$4,,,$F$26*B839,1),F843)</f>
        <v>57</v>
      </c>
      <c r="I843" s="134">
        <f t="shared" ca="1" si="155"/>
        <v>-20</v>
      </c>
      <c r="J843" s="12">
        <f ca="1">L843*Settings!$C$3+M843+O843</f>
        <v>33</v>
      </c>
      <c r="K843" s="1">
        <f t="shared" ca="1" si="158"/>
        <v>32</v>
      </c>
      <c r="L843" s="1">
        <f t="array" aca="1" ref="L843" ca="1">SUMPRODUCT((OFFSET(Calc2!$F$4,,,$F$26*B839,1)=F843)*(OFFSET(Calc2!$H$4,,,$F$26*B839,1)&gt;OFFSET(Calc2!$I$4,,,$F$26*B839,1)))+SUMPRODUCT((OFFSET(Calc2!$G$4,,,$F$26*B839,1)=F843)*(OFFSET(Calc2!$H$4,,,$F$26*B839,1)&lt;OFFSET(Calc2!$I$4,,,$F$26*B839,1)))</f>
        <v>8</v>
      </c>
      <c r="M843" s="1">
        <f t="array" aca="1" ref="M843" ca="1">SUMPRODUCT((OFFSET(Calc2!$F$4,,,$F$26*B839,2)=F843)*(OFFSET(Calc2!$H$4,,,$F$26*B839,1)=OFFSET(Calc2!$I$4,,,$F$26*B839,1))*(OFFSET(Calc2!$H$4,,,$F$26*B839,1)&lt;&gt;"")*(OFFSET(Calc2!$I$4,,,$F$26*B839,1)&lt;&gt;""))</f>
        <v>9</v>
      </c>
      <c r="N843" s="1">
        <f t="array" aca="1" ref="N843" ca="1">SUMPRODUCT((OFFSET(Calc2!$F$4,,,$F$26*B839,1)=F843)*(OFFSET(Calc2!$H$4,,,$F$26*B839,1)&lt;OFFSET(Calc2!$I$4,,,$F$26*B839,1)))+SUMPRODUCT((OFFSET(Calc2!$G$4,,,$F$26*B839,1)=F843)*(OFFSET(Calc2!$H$4,,,$F$26*B839,1)&gt;OFFSET(Calc2!$I$4,,,$F$26*B839,1)))</f>
        <v>15</v>
      </c>
      <c r="O843" s="132">
        <f ca="1">SUMPRODUCT((F843=OFFSET(Calc2!$F$4,,,$F$26*B839,1))*OFFSET(Calc2!$O$4,,,$F$26*B839,1))+SUMPRODUCT((F843=OFFSET(Calc2!$G$4,,,$F$26*B839,1))*OFFSET(Calc2!$P$4,,,$F$26*B839,1))</f>
        <v>0</v>
      </c>
      <c r="P843" s="2"/>
      <c r="Q843" s="2"/>
      <c r="R843" s="13">
        <f t="shared" ca="1" si="156"/>
        <v>33499980037</v>
      </c>
      <c r="S843" s="134">
        <f>Tie_Break!$D$9</f>
        <v>0</v>
      </c>
      <c r="T843" s="9">
        <f ca="1">RANK(R843,R841:R860)+(9-S843)/10000+(F843="")*1000</f>
        <v>13.0009</v>
      </c>
      <c r="U843" s="134"/>
      <c r="V843" s="134">
        <f ca="1">IF($K$24=0,"",IF(VLOOKUP(B843,C841:E860,3,0)=MAX(V$4:V842),VLOOKUP(B843,C841:E860,3,0),B843))</f>
        <v>3</v>
      </c>
      <c r="W843" s="4" t="str">
        <f ca="1">IF($K$24=0,Calc2!$C$6,VLOOKUP(B843,C841:N860,4,0))</f>
        <v>RB Leipzig</v>
      </c>
      <c r="X843" s="1">
        <f ca="1">INDEX(V814:V833,MATCH(W843,W814:W833,0))</f>
        <v>3</v>
      </c>
      <c r="Y843" s="1">
        <f t="shared" ca="1" si="159"/>
        <v>0</v>
      </c>
    </row>
    <row r="844" spans="2:25" x14ac:dyDescent="0.2">
      <c r="B844" s="1">
        <v>4</v>
      </c>
      <c r="C844" s="9">
        <f ca="1">RANK(D844,D841:D860,1)</f>
        <v>10</v>
      </c>
      <c r="D844" s="134">
        <f t="shared" ca="1" si="157"/>
        <v>10.843999999999999</v>
      </c>
      <c r="E844" s="134">
        <f ca="1">RANK(T844,T841:T860,1)</f>
        <v>10</v>
      </c>
      <c r="F844" s="187" t="str">
        <f>Calc2!$C$7</f>
        <v>1. FSV Mainz 05</v>
      </c>
      <c r="G844" s="1">
        <f ca="1">SUMIFS(OFFSET(Calc2!$H$4,,,$F$26*B839,1),OFFSET(Calc2!$F$4,,,$F$26*B839,1),F844)+SUMIFS(OFFSET(Calc2!$I$4,,,$F$26*B839,1),OFFSET(Calc2!$G$4,,,$F$26*B839,1),F844)</f>
        <v>41</v>
      </c>
      <c r="H844" s="1">
        <f ca="1">SUMIFS(OFFSET(Calc2!$I$4,,,$F$26*B839,1),OFFSET(Calc2!$F$4,,,$F$26*B839,1),F844)+SUMIFS(OFFSET(Calc2!$H$4,,,$F$26*B839,1),OFFSET(Calc2!$G$4,,,$F$26*B839,1),F844)</f>
        <v>50</v>
      </c>
      <c r="I844" s="134">
        <f t="shared" ca="1" si="155"/>
        <v>-9</v>
      </c>
      <c r="J844" s="12">
        <f ca="1">L844*Settings!$C$3+M844+O844</f>
        <v>37</v>
      </c>
      <c r="K844" s="1">
        <f t="shared" ca="1" si="158"/>
        <v>32</v>
      </c>
      <c r="L844" s="1">
        <f t="array" aca="1" ref="L844" ca="1">SUMPRODUCT((OFFSET(Calc2!$F$4,,,$F$26*B839,1)=F844)*(OFFSET(Calc2!$H$4,,,$F$26*B839,1)&gt;OFFSET(Calc2!$I$4,,,$F$26*B839,1)))+SUMPRODUCT((OFFSET(Calc2!$G$4,,,$F$26*B839,1)=F844)*(OFFSET(Calc2!$H$4,,,$F$26*B839,1)&lt;OFFSET(Calc2!$I$4,,,$F$26*B839,1)))</f>
        <v>9</v>
      </c>
      <c r="M844" s="1">
        <f t="array" aca="1" ref="M844" ca="1">SUMPRODUCT((OFFSET(Calc2!$F$4,,,$F$26*B839,2)=F844)*(OFFSET(Calc2!$H$4,,,$F$26*B839,1)=OFFSET(Calc2!$I$4,,,$F$26*B839,1))*(OFFSET(Calc2!$H$4,,,$F$26*B839,1)&lt;&gt;"")*(OFFSET(Calc2!$I$4,,,$F$26*B839,1)&lt;&gt;""))</f>
        <v>10</v>
      </c>
      <c r="N844" s="1">
        <f t="array" aca="1" ref="N844" ca="1">SUMPRODUCT((OFFSET(Calc2!$F$4,,,$F$26*B839,1)=F844)*(OFFSET(Calc2!$H$4,,,$F$26*B839,1)&lt;OFFSET(Calc2!$I$4,,,$F$26*B839,1)))+SUMPRODUCT((OFFSET(Calc2!$G$4,,,$F$26*B839,1)=F844)*(OFFSET(Calc2!$H$4,,,$F$26*B839,1)&gt;OFFSET(Calc2!$I$4,,,$F$26*B839,1)))</f>
        <v>13</v>
      </c>
      <c r="O844" s="132">
        <f ca="1">SUMPRODUCT((F844=OFFSET(Calc2!$F$4,,,$F$26*B839,1))*OFFSET(Calc2!$O$4,,,$F$26*B839,1))+SUMPRODUCT((F844=OFFSET(Calc2!$G$4,,,$F$26*B839,1))*OFFSET(Calc2!$P$4,,,$F$26*B839,1))</f>
        <v>0</v>
      </c>
      <c r="P844" s="2"/>
      <c r="Q844" s="2"/>
      <c r="R844" s="13">
        <f t="shared" ca="1" si="156"/>
        <v>37499991041</v>
      </c>
      <c r="S844" s="134">
        <f>Tie_Break!$D$10</f>
        <v>0</v>
      </c>
      <c r="T844" s="9">
        <f ca="1">RANK(R844,R841:R860)+(9-S844)/10000+(F844="")*1000</f>
        <v>10.0009</v>
      </c>
      <c r="U844" s="134"/>
      <c r="V844" s="134">
        <f ca="1">IF($K$24=0,"",IF(VLOOKUP(B844,C841:E860,3,0)=MAX(V$4:V843),VLOOKUP(B844,C841:E860,3,0),B844))</f>
        <v>4</v>
      </c>
      <c r="W844" s="4" t="str">
        <f ca="1">IF($K$24=0,Calc2!$C$7,VLOOKUP(B844,C841:N860,4,0))</f>
        <v>Bayer 04 Leverkusen</v>
      </c>
      <c r="X844" s="1">
        <f ca="1">INDEX(V814:V833,MATCH(W844,W814:W833,0))</f>
        <v>6</v>
      </c>
      <c r="Y844" s="1">
        <f t="shared" ca="1" si="159"/>
        <v>1</v>
      </c>
    </row>
    <row r="845" spans="2:25" x14ac:dyDescent="0.2">
      <c r="B845" s="1">
        <v>5</v>
      </c>
      <c r="C845" s="9">
        <f ca="1">RANK(D845,D841:D860,1)</f>
        <v>4</v>
      </c>
      <c r="D845" s="134">
        <f t="shared" ca="1" si="157"/>
        <v>4.8449999999999998</v>
      </c>
      <c r="E845" s="134">
        <f ca="1">RANK(T845,T841:T860,1)</f>
        <v>4</v>
      </c>
      <c r="F845" s="187" t="str">
        <f>Calc2!$C$8</f>
        <v>Bayer 04 Leverkusen</v>
      </c>
      <c r="G845" s="1">
        <f ca="1">SUMIFS(OFFSET(Calc2!$H$4,,,$F$26*B839,1),OFFSET(Calc2!$F$4,,,$F$26*B839,1),F845)+SUMIFS(OFFSET(Calc2!$I$4,,,$F$26*B839,1),OFFSET(Calc2!$G$4,,,$F$26*B839,1),F845)</f>
        <v>66</v>
      </c>
      <c r="H845" s="1">
        <f ca="1">SUMIFS(OFFSET(Calc2!$I$4,,,$F$26*B839,1),OFFSET(Calc2!$F$4,,,$F$26*B839,1),F845)+SUMIFS(OFFSET(Calc2!$H$4,,,$F$26*B839,1),OFFSET(Calc2!$G$4,,,$F$26*B839,1),F845)</f>
        <v>43</v>
      </c>
      <c r="I845" s="134">
        <f t="shared" ca="1" si="155"/>
        <v>23</v>
      </c>
      <c r="J845" s="12">
        <f ca="1">L845*Settings!$C$3+M845+O845</f>
        <v>58</v>
      </c>
      <c r="K845" s="1">
        <f t="shared" ca="1" si="158"/>
        <v>32</v>
      </c>
      <c r="L845" s="1">
        <f t="array" aca="1" ref="L845" ca="1">SUMPRODUCT((OFFSET(Calc2!$F$4,,,$F$26*B839,1)=F845)*(OFFSET(Calc2!$H$4,,,$F$26*B839,1)&gt;OFFSET(Calc2!$I$4,,,$F$26*B839,1)))+SUMPRODUCT((OFFSET(Calc2!$G$4,,,$F$26*B839,1)=F845)*(OFFSET(Calc2!$H$4,,,$F$26*B839,1)&lt;OFFSET(Calc2!$I$4,,,$F$26*B839,1)))</f>
        <v>17</v>
      </c>
      <c r="M845" s="1">
        <f t="array" aca="1" ref="M845" ca="1">SUMPRODUCT((OFFSET(Calc2!$F$4,,,$F$26*B839,2)=F845)*(OFFSET(Calc2!$H$4,,,$F$26*B839,1)=OFFSET(Calc2!$I$4,,,$F$26*B839,1))*(OFFSET(Calc2!$H$4,,,$F$26*B839,1)&lt;&gt;"")*(OFFSET(Calc2!$I$4,,,$F$26*B839,1)&lt;&gt;""))</f>
        <v>7</v>
      </c>
      <c r="N845" s="1">
        <f t="array" aca="1" ref="N845" ca="1">SUMPRODUCT((OFFSET(Calc2!$F$4,,,$F$26*B839,1)=F845)*(OFFSET(Calc2!$H$4,,,$F$26*B839,1)&lt;OFFSET(Calc2!$I$4,,,$F$26*B839,1)))+SUMPRODUCT((OFFSET(Calc2!$G$4,,,$F$26*B839,1)=F845)*(OFFSET(Calc2!$H$4,,,$F$26*B839,1)&gt;OFFSET(Calc2!$I$4,,,$F$26*B839,1)))</f>
        <v>8</v>
      </c>
      <c r="O845" s="132">
        <f ca="1">SUMPRODUCT((F845=OFFSET(Calc2!$F$4,,,$F$26*B839,1))*OFFSET(Calc2!$O$4,,,$F$26*B839,1))+SUMPRODUCT((F845=OFFSET(Calc2!$G$4,,,$F$26*B839,1))*OFFSET(Calc2!$P$4,,,$F$26*B839,1))</f>
        <v>0</v>
      </c>
      <c r="P845" s="2"/>
      <c r="Q845" s="2"/>
      <c r="R845" s="13">
        <f t="shared" ca="1" si="156"/>
        <v>58500023066</v>
      </c>
      <c r="S845" s="134">
        <f>Tie_Break!$D$11</f>
        <v>0</v>
      </c>
      <c r="T845" s="9">
        <f ca="1">RANK(R845,R841:R860)+(9-S845)/10000+(F845="")*1000</f>
        <v>4.0008999999999997</v>
      </c>
      <c r="U845" s="134"/>
      <c r="V845" s="134">
        <f ca="1">IF($K$24=0,"",IF(VLOOKUP(B845,C841:E860,3,0)=MAX(V$4:V844),VLOOKUP(B845,C841:E860,3,0),B845))</f>
        <v>5</v>
      </c>
      <c r="W845" s="4" t="str">
        <f ca="1">IF($K$24=0,Calc2!$C$8,VLOOKUP(B845,C841:N860,4,0))</f>
        <v>VfB Stuttgart</v>
      </c>
      <c r="X845" s="1">
        <f ca="1">INDEX(V814:V833,MATCH(W845,W814:W833,0))</f>
        <v>4</v>
      </c>
      <c r="Y845" s="1">
        <f t="shared" ca="1" si="159"/>
        <v>-1</v>
      </c>
    </row>
    <row r="846" spans="2:25" x14ac:dyDescent="0.2">
      <c r="B846" s="1">
        <v>6</v>
      </c>
      <c r="C846" s="9">
        <f ca="1">RANK(D846,D841:D860,1)</f>
        <v>2</v>
      </c>
      <c r="D846" s="134">
        <f t="shared" ca="1" si="157"/>
        <v>2.8460000000000001</v>
      </c>
      <c r="E846" s="134">
        <f ca="1">RANK(T846,T841:T860,1)</f>
        <v>2</v>
      </c>
      <c r="F846" s="187" t="str">
        <f>Calc2!$C$9</f>
        <v>Borussia Dortmund</v>
      </c>
      <c r="G846" s="1">
        <f ca="1">SUMIFS(OFFSET(Calc2!$H$4,,,$F$26*B839,1),OFFSET(Calc2!$F$4,,,$F$26*B839,1),F846)+SUMIFS(OFFSET(Calc2!$I$4,,,$F$26*B839,1),OFFSET(Calc2!$G$4,,,$F$26*B839,1),F846)</f>
        <v>65</v>
      </c>
      <c r="H846" s="1">
        <f ca="1">SUMIFS(OFFSET(Calc2!$I$4,,,$F$26*B839,1),OFFSET(Calc2!$F$4,,,$F$26*B839,1),F846)+SUMIFS(OFFSET(Calc2!$H$4,,,$F$26*B839,1),OFFSET(Calc2!$G$4,,,$F$26*B839,1),F846)</f>
        <v>32</v>
      </c>
      <c r="I846" s="134">
        <f t="shared" ca="1" si="155"/>
        <v>33</v>
      </c>
      <c r="J846" s="12">
        <f ca="1">L846*Settings!$C$3+M846+O846</f>
        <v>67</v>
      </c>
      <c r="K846" s="1">
        <f t="shared" ca="1" si="158"/>
        <v>32</v>
      </c>
      <c r="L846" s="1">
        <f t="array" aca="1" ref="L846" ca="1">SUMPRODUCT((OFFSET(Calc2!$F$4,,,$F$26*B839,1)=F846)*(OFFSET(Calc2!$H$4,,,$F$26*B839,1)&gt;OFFSET(Calc2!$I$4,,,$F$26*B839,1)))+SUMPRODUCT((OFFSET(Calc2!$G$4,,,$F$26*B839,1)=F846)*(OFFSET(Calc2!$H$4,,,$F$26*B839,1)&lt;OFFSET(Calc2!$I$4,,,$F$26*B839,1)))</f>
        <v>20</v>
      </c>
      <c r="M846" s="1">
        <f t="array" aca="1" ref="M846" ca="1">SUMPRODUCT((OFFSET(Calc2!$F$4,,,$F$26*B839,2)=F846)*(OFFSET(Calc2!$H$4,,,$F$26*B839,1)=OFFSET(Calc2!$I$4,,,$F$26*B839,1))*(OFFSET(Calc2!$H$4,,,$F$26*B839,1)&lt;&gt;"")*(OFFSET(Calc2!$I$4,,,$F$26*B839,1)&lt;&gt;""))</f>
        <v>7</v>
      </c>
      <c r="N846" s="1">
        <f t="array" aca="1" ref="N846" ca="1">SUMPRODUCT((OFFSET(Calc2!$F$4,,,$F$26*B839,1)=F846)*(OFFSET(Calc2!$H$4,,,$F$26*B839,1)&lt;OFFSET(Calc2!$I$4,,,$F$26*B839,1)))+SUMPRODUCT((OFFSET(Calc2!$G$4,,,$F$26*B839,1)=F846)*(OFFSET(Calc2!$H$4,,,$F$26*B839,1)&gt;OFFSET(Calc2!$I$4,,,$F$26*B839,1)))</f>
        <v>5</v>
      </c>
      <c r="O846" s="132">
        <f ca="1">SUMPRODUCT((F846=OFFSET(Calc2!$F$4,,,$F$26*B839,1))*OFFSET(Calc2!$O$4,,,$F$26*B839,1))+SUMPRODUCT((F846=OFFSET(Calc2!$G$4,,,$F$26*B839,1))*OFFSET(Calc2!$P$4,,,$F$26*B839,1))</f>
        <v>0</v>
      </c>
      <c r="P846" s="2"/>
      <c r="Q846" s="2"/>
      <c r="R846" s="13">
        <f t="shared" ca="1" si="156"/>
        <v>67500033065</v>
      </c>
      <c r="S846" s="134">
        <f>Tie_Break!$D$12</f>
        <v>0</v>
      </c>
      <c r="T846" s="9">
        <f ca="1">RANK(R846,R841:R860)+(9-S846)/10000+(F846="")*1000</f>
        <v>2.0009000000000001</v>
      </c>
      <c r="U846" s="134"/>
      <c r="V846" s="134">
        <f ca="1">IF($K$24=0,"",IF(VLOOKUP(B846,C841:E860,3,0)=MAX(V$4:V845),VLOOKUP(B846,C841:E860,3,0),B846))</f>
        <v>6</v>
      </c>
      <c r="W846" s="4" t="str">
        <f ca="1">IF($K$24=0,Calc2!$C$9,VLOOKUP(B846,C841:N860,4,0))</f>
        <v>TSG Hoffenheim</v>
      </c>
      <c r="X846" s="1">
        <f ca="1">INDEX(V814:V833,MATCH(W846,W814:W833,0))</f>
        <v>5</v>
      </c>
      <c r="Y846" s="1">
        <f t="shared" ca="1" si="159"/>
        <v>-1</v>
      </c>
    </row>
    <row r="847" spans="2:25" x14ac:dyDescent="0.2">
      <c r="B847" s="1">
        <v>7</v>
      </c>
      <c r="C847" s="9">
        <f ca="1">RANK(D847,D841:D860,1)</f>
        <v>11</v>
      </c>
      <c r="D847" s="134">
        <f t="shared" ca="1" si="157"/>
        <v>11.847</v>
      </c>
      <c r="E847" s="134">
        <f ca="1">RANK(T847,T841:T860,1)</f>
        <v>11</v>
      </c>
      <c r="F847" s="187" t="str">
        <f>Calc2!$C$10</f>
        <v>Borussia Mönchengladbach</v>
      </c>
      <c r="G847" s="1">
        <f ca="1">SUMIFS(OFFSET(Calc2!$H$4,,,$F$26*B839,1),OFFSET(Calc2!$F$4,,,$F$26*B839,1),F847)+SUMIFS(OFFSET(Calc2!$I$4,,,$F$26*B839,1),OFFSET(Calc2!$G$4,,,$F$26*B839,1),F847)</f>
        <v>37</v>
      </c>
      <c r="H847" s="1">
        <f ca="1">SUMIFS(OFFSET(Calc2!$I$4,,,$F$26*B839,1),OFFSET(Calc2!$F$4,,,$F$26*B839,1),F847)+SUMIFS(OFFSET(Calc2!$H$4,,,$F$26*B839,1),OFFSET(Calc2!$G$4,,,$F$26*B839,1),F847)</f>
        <v>50</v>
      </c>
      <c r="I847" s="134">
        <f t="shared" ca="1" si="155"/>
        <v>-13</v>
      </c>
      <c r="J847" s="12">
        <f ca="1">L847*Settings!$C$3+M847+O847</f>
        <v>35</v>
      </c>
      <c r="K847" s="1">
        <f t="shared" ca="1" si="158"/>
        <v>32</v>
      </c>
      <c r="L847" s="1">
        <f t="array" aca="1" ref="L847" ca="1">SUMPRODUCT((OFFSET(Calc2!$F$4,,,$F$26*B839,1)=F847)*(OFFSET(Calc2!$H$4,,,$F$26*B839,1)&gt;OFFSET(Calc2!$I$4,,,$F$26*B839,1)))+SUMPRODUCT((OFFSET(Calc2!$G$4,,,$F$26*B839,1)=F847)*(OFFSET(Calc2!$H$4,,,$F$26*B839,1)&lt;OFFSET(Calc2!$I$4,,,$F$26*B839,1)))</f>
        <v>8</v>
      </c>
      <c r="M847" s="1">
        <f t="array" aca="1" ref="M847" ca="1">SUMPRODUCT((OFFSET(Calc2!$F$4,,,$F$26*B839,2)=F847)*(OFFSET(Calc2!$H$4,,,$F$26*B839,1)=OFFSET(Calc2!$I$4,,,$F$26*B839,1))*(OFFSET(Calc2!$H$4,,,$F$26*B839,1)&lt;&gt;"")*(OFFSET(Calc2!$I$4,,,$F$26*B839,1)&lt;&gt;""))</f>
        <v>11</v>
      </c>
      <c r="N847" s="1">
        <f t="array" aca="1" ref="N847" ca="1">SUMPRODUCT((OFFSET(Calc2!$F$4,,,$F$26*B839,1)=F847)*(OFFSET(Calc2!$H$4,,,$F$26*B839,1)&lt;OFFSET(Calc2!$I$4,,,$F$26*B839,1)))+SUMPRODUCT((OFFSET(Calc2!$G$4,,,$F$26*B839,1)=F847)*(OFFSET(Calc2!$H$4,,,$F$26*B839,1)&gt;OFFSET(Calc2!$I$4,,,$F$26*B839,1)))</f>
        <v>13</v>
      </c>
      <c r="O847" s="132">
        <f ca="1">SUMPRODUCT((F847=OFFSET(Calc2!$F$4,,,$F$26*B839,1))*OFFSET(Calc2!$O$4,,,$F$26*B839,1))+SUMPRODUCT((F847=OFFSET(Calc2!$G$4,,,$F$26*B839,1))*OFFSET(Calc2!$P$4,,,$F$26*B839,1))</f>
        <v>0</v>
      </c>
      <c r="P847" s="2"/>
      <c r="Q847" s="2"/>
      <c r="R847" s="13">
        <f t="shared" ca="1" si="156"/>
        <v>35499987037</v>
      </c>
      <c r="S847" s="134">
        <f>Tie_Break!$D$13</f>
        <v>0</v>
      </c>
      <c r="T847" s="9">
        <f ca="1">RANK(R847,R841:R860)+(9-S847)/10000+(F847="")*1000</f>
        <v>11.0009</v>
      </c>
      <c r="U847" s="134"/>
      <c r="V847" s="134">
        <f ca="1">IF($K$24=0,"",IF(VLOOKUP(B847,C841:E860,3,0)=MAX(V$4:V846),VLOOKUP(B847,C841:E860,3,0),B847))</f>
        <v>7</v>
      </c>
      <c r="W847" s="4" t="str">
        <f ca="1">IF($K$24=0,Calc2!$C$10,VLOOKUP(B847,C841:N860,4,0))</f>
        <v>SC Freiburg</v>
      </c>
      <c r="X847" s="1">
        <f ca="1">INDEX(V814:V833,MATCH(W847,W814:W833,0))</f>
        <v>8</v>
      </c>
      <c r="Y847" s="1">
        <f t="shared" ca="1" si="159"/>
        <v>1</v>
      </c>
    </row>
    <row r="848" spans="2:25" x14ac:dyDescent="0.2">
      <c r="B848" s="1">
        <v>8</v>
      </c>
      <c r="C848" s="9">
        <f ca="1">RANK(D848,D841:D860,1)</f>
        <v>8</v>
      </c>
      <c r="D848" s="134">
        <f t="shared" ca="1" si="157"/>
        <v>8.8480000000000008</v>
      </c>
      <c r="E848" s="134">
        <f ca="1">RANK(T848,T841:T860,1)</f>
        <v>8</v>
      </c>
      <c r="F848" s="187" t="str">
        <f>Calc2!$C$11</f>
        <v>Eintracht Frankfurt</v>
      </c>
      <c r="G848" s="1">
        <f ca="1">SUMIFS(OFFSET(Calc2!$H$4,,,$F$26*B839,1),OFFSET(Calc2!$F$4,,,$F$26*B839,1),F848)+SUMIFS(OFFSET(Calc2!$I$4,,,$F$26*B839,1),OFFSET(Calc2!$G$4,,,$F$26*B839,1),F848)</f>
        <v>57</v>
      </c>
      <c r="H848" s="1">
        <f ca="1">SUMIFS(OFFSET(Calc2!$I$4,,,$F$26*B839,1),OFFSET(Calc2!$F$4,,,$F$26*B839,1),F848)+SUMIFS(OFFSET(Calc2!$H$4,,,$F$26*B839,1),OFFSET(Calc2!$G$4,,,$F$26*B839,1),F848)</f>
        <v>60</v>
      </c>
      <c r="I848" s="134">
        <f t="shared" ca="1" si="155"/>
        <v>-3</v>
      </c>
      <c r="J848" s="12">
        <f ca="1">L848*Settings!$C$3+M848+O848</f>
        <v>43</v>
      </c>
      <c r="K848" s="1">
        <f t="shared" ca="1" si="158"/>
        <v>32</v>
      </c>
      <c r="L848" s="1">
        <f t="array" aca="1" ref="L848" ca="1">SUMPRODUCT((OFFSET(Calc2!$F$4,,,$F$26*B839,1)=F848)*(OFFSET(Calc2!$H$4,,,$F$26*B839,1)&gt;OFFSET(Calc2!$I$4,,,$F$26*B839,1)))+SUMPRODUCT((OFFSET(Calc2!$G$4,,,$F$26*B839,1)=F848)*(OFFSET(Calc2!$H$4,,,$F$26*B839,1)&lt;OFFSET(Calc2!$I$4,,,$F$26*B839,1)))</f>
        <v>11</v>
      </c>
      <c r="M848" s="1">
        <f t="array" aca="1" ref="M848" ca="1">SUMPRODUCT((OFFSET(Calc2!$F$4,,,$F$26*B839,2)=F848)*(OFFSET(Calc2!$H$4,,,$F$26*B839,1)=OFFSET(Calc2!$I$4,,,$F$26*B839,1))*(OFFSET(Calc2!$H$4,,,$F$26*B839,1)&lt;&gt;"")*(OFFSET(Calc2!$I$4,,,$F$26*B839,1)&lt;&gt;""))</f>
        <v>10</v>
      </c>
      <c r="N848" s="1">
        <f t="array" aca="1" ref="N848" ca="1">SUMPRODUCT((OFFSET(Calc2!$F$4,,,$F$26*B839,1)=F848)*(OFFSET(Calc2!$H$4,,,$F$26*B839,1)&lt;OFFSET(Calc2!$I$4,,,$F$26*B839,1)))+SUMPRODUCT((OFFSET(Calc2!$G$4,,,$F$26*B839,1)=F848)*(OFFSET(Calc2!$H$4,,,$F$26*B839,1)&gt;OFFSET(Calc2!$I$4,,,$F$26*B839,1)))</f>
        <v>11</v>
      </c>
      <c r="O848" s="132">
        <f ca="1">SUMPRODUCT((F848=OFFSET(Calc2!$F$4,,,$F$26*B839,1))*OFFSET(Calc2!$O$4,,,$F$26*B839,1))+SUMPRODUCT((F848=OFFSET(Calc2!$G$4,,,$F$26*B839,1))*OFFSET(Calc2!$P$4,,,$F$26*B839,1))</f>
        <v>0</v>
      </c>
      <c r="P848" s="2"/>
      <c r="Q848" s="2"/>
      <c r="R848" s="13">
        <f t="shared" ca="1" si="156"/>
        <v>43499997057</v>
      </c>
      <c r="S848" s="134">
        <f>Tie_Break!$D$14</f>
        <v>0</v>
      </c>
      <c r="T848" s="9">
        <f ca="1">RANK(R848,R841:R860)+(9-S848)/10000+(F848="")*1000</f>
        <v>8.0008999999999997</v>
      </c>
      <c r="U848" s="134"/>
      <c r="V848" s="134">
        <f ca="1">IF($K$24=0,"",IF(VLOOKUP(B848,C841:E860,3,0)=MAX(V$4:V847),VLOOKUP(B848,C841:E860,3,0),B848))</f>
        <v>8</v>
      </c>
      <c r="W848" s="4" t="str">
        <f ca="1">IF($K$24=0,Calc2!$C$11,VLOOKUP(B848,C841:N860,4,0))</f>
        <v>Eintracht Frankfurt</v>
      </c>
      <c r="X848" s="1">
        <f ca="1">INDEX(V814:V833,MATCH(W848,W814:W833,0))</f>
        <v>7</v>
      </c>
      <c r="Y848" s="1">
        <f t="shared" ca="1" si="159"/>
        <v>-1</v>
      </c>
    </row>
    <row r="849" spans="2:25" x14ac:dyDescent="0.2">
      <c r="B849" s="1">
        <v>9</v>
      </c>
      <c r="C849" s="9">
        <f ca="1">RANK(D849,D841:D860,1)</f>
        <v>9</v>
      </c>
      <c r="D849" s="134">
        <f t="shared" ca="1" si="157"/>
        <v>9.8490000000000002</v>
      </c>
      <c r="E849" s="134">
        <f ca="1">RANK(T849,T841:T860,1)</f>
        <v>9</v>
      </c>
      <c r="F849" s="187" t="str">
        <f>Calc2!$C$12</f>
        <v>FC Augsburg</v>
      </c>
      <c r="G849" s="1">
        <f ca="1">SUMIFS(OFFSET(Calc2!$H$4,,,$F$26*B839,1),OFFSET(Calc2!$F$4,,,$F$26*B839,1),F849)+SUMIFS(OFFSET(Calc2!$I$4,,,$F$26*B839,1),OFFSET(Calc2!$G$4,,,$F$26*B839,1),F849)</f>
        <v>42</v>
      </c>
      <c r="H849" s="1">
        <f ca="1">SUMIFS(OFFSET(Calc2!$I$4,,,$F$26*B839,1),OFFSET(Calc2!$F$4,,,$F$26*B839,1),F849)+SUMIFS(OFFSET(Calc2!$H$4,,,$F$26*B839,1),OFFSET(Calc2!$G$4,,,$F$26*B839,1),F849)</f>
        <v>56</v>
      </c>
      <c r="I849" s="134">
        <f t="shared" ca="1" si="155"/>
        <v>-14</v>
      </c>
      <c r="J849" s="12">
        <f ca="1">L849*Settings!$C$3+M849+O849</f>
        <v>40</v>
      </c>
      <c r="K849" s="1">
        <f t="shared" ca="1" si="158"/>
        <v>32</v>
      </c>
      <c r="L849" s="1">
        <f t="array" aca="1" ref="L849" ca="1">SUMPRODUCT((OFFSET(Calc2!$F$4,,,$F$26*B839,1)=F849)*(OFFSET(Calc2!$H$4,,,$F$26*B839,1)&gt;OFFSET(Calc2!$I$4,,,$F$26*B839,1)))+SUMPRODUCT((OFFSET(Calc2!$G$4,,,$F$26*B839,1)=F849)*(OFFSET(Calc2!$H$4,,,$F$26*B839,1)&lt;OFFSET(Calc2!$I$4,,,$F$26*B839,1)))</f>
        <v>11</v>
      </c>
      <c r="M849" s="1">
        <f t="array" aca="1" ref="M849" ca="1">SUMPRODUCT((OFFSET(Calc2!$F$4,,,$F$26*B839,2)=F849)*(OFFSET(Calc2!$H$4,,,$F$26*B839,1)=OFFSET(Calc2!$I$4,,,$F$26*B839,1))*(OFFSET(Calc2!$H$4,,,$F$26*B839,1)&lt;&gt;"")*(OFFSET(Calc2!$I$4,,,$F$26*B839,1)&lt;&gt;""))</f>
        <v>7</v>
      </c>
      <c r="N849" s="1">
        <f t="array" aca="1" ref="N849" ca="1">SUMPRODUCT((OFFSET(Calc2!$F$4,,,$F$26*B839,1)=F849)*(OFFSET(Calc2!$H$4,,,$F$26*B839,1)&lt;OFFSET(Calc2!$I$4,,,$F$26*B839,1)))+SUMPRODUCT((OFFSET(Calc2!$G$4,,,$F$26*B839,1)=F849)*(OFFSET(Calc2!$H$4,,,$F$26*B839,1)&gt;OFFSET(Calc2!$I$4,,,$F$26*B839,1)))</f>
        <v>14</v>
      </c>
      <c r="O849" s="132">
        <f ca="1">SUMPRODUCT((F849=OFFSET(Calc2!$F$4,,,$F$26*B839,1))*OFFSET(Calc2!$O$4,,,$F$26*B839,1))+SUMPRODUCT((F849=OFFSET(Calc2!$G$4,,,$F$26*B839,1))*OFFSET(Calc2!$P$4,,,$F$26*B839,1))</f>
        <v>0</v>
      </c>
      <c r="P849" s="2"/>
      <c r="Q849" s="2"/>
      <c r="R849" s="13">
        <f t="shared" ca="1" si="156"/>
        <v>40499986042</v>
      </c>
      <c r="S849" s="134">
        <f>Tie_Break!$D$15</f>
        <v>0</v>
      </c>
      <c r="T849" s="9">
        <f ca="1">RANK(R849,R841:R860)+(9-S849)/10000+(F849="")*1000</f>
        <v>9.0008999999999997</v>
      </c>
      <c r="U849" s="134"/>
      <c r="V849" s="134">
        <f ca="1">IF($K$24=0,"",IF(VLOOKUP(B849,C841:E860,3,0)=MAX(V$4:V848),VLOOKUP(B849,C841:E860,3,0),B849))</f>
        <v>9</v>
      </c>
      <c r="W849" s="4" t="str">
        <f ca="1">IF($K$24=0,Calc2!$C$12,VLOOKUP(B849,C841:N860,4,0))</f>
        <v>FC Augsburg</v>
      </c>
      <c r="X849" s="1">
        <f ca="1">INDEX(V814:V833,MATCH(W849,W814:W833,0))</f>
        <v>9</v>
      </c>
      <c r="Y849" s="1">
        <f t="shared" ca="1" si="159"/>
        <v>0</v>
      </c>
    </row>
    <row r="850" spans="2:25" x14ac:dyDescent="0.2">
      <c r="B850" s="1">
        <v>10</v>
      </c>
      <c r="C850" s="9">
        <f ca="1">RANK(D850,D841:D860,1)</f>
        <v>1</v>
      </c>
      <c r="D850" s="134">
        <f t="shared" ca="1" si="157"/>
        <v>1.85</v>
      </c>
      <c r="E850" s="134">
        <f ca="1">RANK(T850,T841:T860,1)</f>
        <v>1</v>
      </c>
      <c r="F850" s="187" t="str">
        <f>Calc2!$C$13</f>
        <v>FC Bayern München</v>
      </c>
      <c r="G850" s="1">
        <f ca="1">SUMIFS(OFFSET(Calc2!$H$4,,,$F$26*B839,1),OFFSET(Calc2!$F$4,,,$F$26*B839,1),F850)+SUMIFS(OFFSET(Calc2!$I$4,,,$F$26*B839,1),OFFSET(Calc2!$G$4,,,$F$26*B839,1),F850)</f>
        <v>116</v>
      </c>
      <c r="H850" s="1">
        <f ca="1">SUMIFS(OFFSET(Calc2!$I$4,,,$F$26*B839,1),OFFSET(Calc2!$F$4,,,$F$26*B839,1),F850)+SUMIFS(OFFSET(Calc2!$H$4,,,$F$26*B839,1),OFFSET(Calc2!$G$4,,,$F$26*B839,1),F850)</f>
        <v>35</v>
      </c>
      <c r="I850" s="134">
        <f t="shared" ca="1" si="155"/>
        <v>81</v>
      </c>
      <c r="J850" s="12">
        <f ca="1">L850*Settings!$C$3+M850+O850</f>
        <v>83</v>
      </c>
      <c r="K850" s="1">
        <f t="shared" ca="1" si="158"/>
        <v>32</v>
      </c>
      <c r="L850" s="1">
        <f t="array" aca="1" ref="L850" ca="1">SUMPRODUCT((OFFSET(Calc2!$F$4,,,$F$26*B839,1)=F850)*(OFFSET(Calc2!$H$4,,,$F$26*B839,1)&gt;OFFSET(Calc2!$I$4,,,$F$26*B839,1)))+SUMPRODUCT((OFFSET(Calc2!$G$4,,,$F$26*B839,1)=F850)*(OFFSET(Calc2!$H$4,,,$F$26*B839,1)&lt;OFFSET(Calc2!$I$4,,,$F$26*B839,1)))</f>
        <v>26</v>
      </c>
      <c r="M850" s="1">
        <f t="array" aca="1" ref="M850" ca="1">SUMPRODUCT((OFFSET(Calc2!$F$4,,,$F$26*B839,2)=F850)*(OFFSET(Calc2!$H$4,,,$F$26*B839,1)=OFFSET(Calc2!$I$4,,,$F$26*B839,1))*(OFFSET(Calc2!$H$4,,,$F$26*B839,1)&lt;&gt;"")*(OFFSET(Calc2!$I$4,,,$F$26*B839,1)&lt;&gt;""))</f>
        <v>5</v>
      </c>
      <c r="N850" s="1">
        <f t="array" aca="1" ref="N850" ca="1">SUMPRODUCT((OFFSET(Calc2!$F$4,,,$F$26*B839,1)=F850)*(OFFSET(Calc2!$H$4,,,$F$26*B839,1)&lt;OFFSET(Calc2!$I$4,,,$F$26*B839,1)))+SUMPRODUCT((OFFSET(Calc2!$G$4,,,$F$26*B839,1)=F850)*(OFFSET(Calc2!$H$4,,,$F$26*B839,1)&gt;OFFSET(Calc2!$I$4,,,$F$26*B839,1)))</f>
        <v>1</v>
      </c>
      <c r="O850" s="132">
        <f ca="1">SUMPRODUCT((F850=OFFSET(Calc2!$F$4,,,$F$26*B839,1))*OFFSET(Calc2!$O$4,,,$F$26*B839,1))+SUMPRODUCT((F850=OFFSET(Calc2!$G$4,,,$F$26*B839,1))*OFFSET(Calc2!$P$4,,,$F$26*B839,1))</f>
        <v>0</v>
      </c>
      <c r="P850" s="2"/>
      <c r="Q850" s="2"/>
      <c r="R850" s="13">
        <f t="shared" ca="1" si="156"/>
        <v>83500081116</v>
      </c>
      <c r="S850" s="134">
        <f>Tie_Break!$D$16</f>
        <v>0</v>
      </c>
      <c r="T850" s="9">
        <f ca="1">RANK(R850,R841:R860)+(9-S850)/10000+(F850="")*1000</f>
        <v>1.0008999999999999</v>
      </c>
      <c r="U850" s="2"/>
      <c r="V850" s="134">
        <f ca="1">IF($K$24=0,"",IF(VLOOKUP(B850,C841:E860,3,0)=MAX(V$4:V849),VLOOKUP(B850,C841:E860,3,0),B850))</f>
        <v>10</v>
      </c>
      <c r="W850" s="4" t="str">
        <f ca="1">IF($K$24=0,Calc2!$C$13,VLOOKUP(B850,C841:N860,4,0))</f>
        <v>1. FSV Mainz 05</v>
      </c>
      <c r="X850" s="1">
        <f ca="1">INDEX(V814:V833,MATCH(W850,W814:W833,0))</f>
        <v>10</v>
      </c>
      <c r="Y850" s="1">
        <f t="shared" ca="1" si="159"/>
        <v>0</v>
      </c>
    </row>
    <row r="851" spans="2:25" x14ac:dyDescent="0.2">
      <c r="B851" s="1">
        <v>11</v>
      </c>
      <c r="C851" s="9">
        <f ca="1">RANK(D851,D841:D860,1)</f>
        <v>17</v>
      </c>
      <c r="D851" s="134">
        <f t="shared" ca="1" si="157"/>
        <v>17.850999999999999</v>
      </c>
      <c r="E851" s="134">
        <f ca="1">RANK(T851,T841:T860,1)</f>
        <v>17</v>
      </c>
      <c r="F851" s="187" t="str">
        <f>Calc2!$C$14</f>
        <v>FC St. Pauli</v>
      </c>
      <c r="G851" s="1">
        <f ca="1">SUMIFS(OFFSET(Calc2!$H$4,,,$F$26*B839,1),OFFSET(Calc2!$F$4,,,$F$26*B839,1),F851)+SUMIFS(OFFSET(Calc2!$I$4,,,$F$26*B839,1),OFFSET(Calc2!$G$4,,,$F$26*B839,1),F851)</f>
        <v>27</v>
      </c>
      <c r="H851" s="1">
        <f ca="1">SUMIFS(OFFSET(Calc2!$I$4,,,$F$26*B839,1),OFFSET(Calc2!$F$4,,,$F$26*B839,1),F851)+SUMIFS(OFFSET(Calc2!$H$4,,,$F$26*B839,1),OFFSET(Calc2!$G$4,,,$F$26*B839,1),F851)</f>
        <v>55</v>
      </c>
      <c r="I851" s="134">
        <f t="shared" ca="1" si="155"/>
        <v>-28</v>
      </c>
      <c r="J851" s="12">
        <f ca="1">L851*Settings!$C$3+M851+O851</f>
        <v>26</v>
      </c>
      <c r="K851" s="1">
        <f t="shared" ca="1" si="158"/>
        <v>32</v>
      </c>
      <c r="L851" s="1">
        <f t="array" aca="1" ref="L851" ca="1">SUMPRODUCT((OFFSET(Calc2!$F$4,,,$F$26*B839,1)=F851)*(OFFSET(Calc2!$H$4,,,$F$26*B839,1)&gt;OFFSET(Calc2!$I$4,,,$F$26*B839,1)))+SUMPRODUCT((OFFSET(Calc2!$G$4,,,$F$26*B839,1)=F851)*(OFFSET(Calc2!$H$4,,,$F$26*B839,1)&lt;OFFSET(Calc2!$I$4,,,$F$26*B839,1)))</f>
        <v>6</v>
      </c>
      <c r="M851" s="1">
        <f t="array" aca="1" ref="M851" ca="1">SUMPRODUCT((OFFSET(Calc2!$F$4,,,$F$26*B839,2)=F851)*(OFFSET(Calc2!$H$4,,,$F$26*B839,1)=OFFSET(Calc2!$I$4,,,$F$26*B839,1))*(OFFSET(Calc2!$H$4,,,$F$26*B839,1)&lt;&gt;"")*(OFFSET(Calc2!$I$4,,,$F$26*B839,1)&lt;&gt;""))</f>
        <v>8</v>
      </c>
      <c r="N851" s="1">
        <f t="array" aca="1" ref="N851" ca="1">SUMPRODUCT((OFFSET(Calc2!$F$4,,,$F$26*B839,1)=F851)*(OFFSET(Calc2!$H$4,,,$F$26*B839,1)&lt;OFFSET(Calc2!$I$4,,,$F$26*B839,1)))+SUMPRODUCT((OFFSET(Calc2!$G$4,,,$F$26*B839,1)=F851)*(OFFSET(Calc2!$H$4,,,$F$26*B839,1)&gt;OFFSET(Calc2!$I$4,,,$F$26*B839,1)))</f>
        <v>18</v>
      </c>
      <c r="O851" s="132">
        <f ca="1">SUMPRODUCT((F851=OFFSET(Calc2!$F$4,,,$F$26*B839,1))*OFFSET(Calc2!$O$4,,,$F$26*B839,1))+SUMPRODUCT((F851=OFFSET(Calc2!$G$4,,,$F$26*B839,1))*OFFSET(Calc2!$P$4,,,$F$26*B839,1))</f>
        <v>0</v>
      </c>
      <c r="P851" s="2"/>
      <c r="Q851" s="2"/>
      <c r="R851" s="13">
        <f t="shared" ca="1" si="156"/>
        <v>26499972027</v>
      </c>
      <c r="S851" s="134">
        <f>Tie_Break!$D$17</f>
        <v>0</v>
      </c>
      <c r="T851" s="9">
        <f ca="1">RANK(R851,R841:R860)+(9-S851)/10000+(F851="")*1000</f>
        <v>17.000900000000001</v>
      </c>
      <c r="U851" s="2"/>
      <c r="V851" s="134">
        <f ca="1">IF($K$24=0,"",IF(VLOOKUP(B851,C841:E860,3,0)=MAX(V$4:V850),VLOOKUP(B851,C841:E860,3,0),B851))</f>
        <v>11</v>
      </c>
      <c r="W851" s="4" t="str">
        <f ca="1">IF($K$24=0,Calc2!$C$14,VLOOKUP(B851,C841:N860,4,0))</f>
        <v>Borussia Mönchengladbach</v>
      </c>
      <c r="X851" s="1">
        <f ca="1">INDEX(V814:V833,MATCH(W851,W814:W833,0))</f>
        <v>11</v>
      </c>
      <c r="Y851" s="1">
        <f t="shared" ca="1" si="159"/>
        <v>0</v>
      </c>
    </row>
    <row r="852" spans="2:25" x14ac:dyDescent="0.2">
      <c r="B852" s="1">
        <v>12</v>
      </c>
      <c r="C852" s="9">
        <f ca="1">RANK(D852,D841:D860,1)</f>
        <v>12</v>
      </c>
      <c r="D852" s="134">
        <f t="shared" ca="1" si="157"/>
        <v>12.852</v>
      </c>
      <c r="E852" s="134">
        <f ca="1">RANK(T852,T841:T860,1)</f>
        <v>12</v>
      </c>
      <c r="F852" s="187" t="str">
        <f>Calc2!$C$15</f>
        <v>Hamburger SV</v>
      </c>
      <c r="G852" s="1">
        <f ca="1">SUMIFS(OFFSET(Calc2!$H$4,,,$F$26*B839,1),OFFSET(Calc2!$F$4,,,$F$26*B839,1),F852)+SUMIFS(OFFSET(Calc2!$I$4,,,$F$26*B839,1),OFFSET(Calc2!$G$4,,,$F$26*B839,1),F852)</f>
        <v>36</v>
      </c>
      <c r="H852" s="1">
        <f ca="1">SUMIFS(OFFSET(Calc2!$I$4,,,$F$26*B839,1),OFFSET(Calc2!$F$4,,,$F$26*B839,1),F852)+SUMIFS(OFFSET(Calc2!$H$4,,,$F$26*B839,1),OFFSET(Calc2!$G$4,,,$F$26*B839,1),F852)</f>
        <v>51</v>
      </c>
      <c r="I852" s="134">
        <f t="shared" ca="1" si="155"/>
        <v>-15</v>
      </c>
      <c r="J852" s="12">
        <f ca="1">L852*Settings!$C$3+M852+O852</f>
        <v>34</v>
      </c>
      <c r="K852" s="1">
        <f t="shared" ca="1" si="158"/>
        <v>32</v>
      </c>
      <c r="L852" s="1">
        <f t="array" aca="1" ref="L852" ca="1">SUMPRODUCT((OFFSET(Calc2!$F$4,,,$F$26*B839,1)=F852)*(OFFSET(Calc2!$H$4,,,$F$26*B839,1)&gt;OFFSET(Calc2!$I$4,,,$F$26*B839,1)))+SUMPRODUCT((OFFSET(Calc2!$G$4,,,$F$26*B839,1)=F852)*(OFFSET(Calc2!$H$4,,,$F$26*B839,1)&lt;OFFSET(Calc2!$I$4,,,$F$26*B839,1)))</f>
        <v>8</v>
      </c>
      <c r="M852" s="1">
        <f t="array" aca="1" ref="M852" ca="1">SUMPRODUCT((OFFSET(Calc2!$F$4,,,$F$26*B839,2)=F852)*(OFFSET(Calc2!$H$4,,,$F$26*B839,1)=OFFSET(Calc2!$I$4,,,$F$26*B839,1))*(OFFSET(Calc2!$H$4,,,$F$26*B839,1)&lt;&gt;"")*(OFFSET(Calc2!$I$4,,,$F$26*B839,1)&lt;&gt;""))</f>
        <v>10</v>
      </c>
      <c r="N852" s="1">
        <f t="array" aca="1" ref="N852" ca="1">SUMPRODUCT((OFFSET(Calc2!$F$4,,,$F$26*B839,1)=F852)*(OFFSET(Calc2!$H$4,,,$F$26*B839,1)&lt;OFFSET(Calc2!$I$4,,,$F$26*B839,1)))+SUMPRODUCT((OFFSET(Calc2!$G$4,,,$F$26*B839,1)=F852)*(OFFSET(Calc2!$H$4,,,$F$26*B839,1)&gt;OFFSET(Calc2!$I$4,,,$F$26*B839,1)))</f>
        <v>14</v>
      </c>
      <c r="O852" s="132">
        <f ca="1">SUMPRODUCT((F852=OFFSET(Calc2!$F$4,,,$F$26*B839,1))*OFFSET(Calc2!$O$4,,,$F$26*B839,1))+SUMPRODUCT((F852=OFFSET(Calc2!$G$4,,,$F$26*B839,1))*OFFSET(Calc2!$P$4,,,$F$26*B839,1))</f>
        <v>0</v>
      </c>
      <c r="P852" s="2"/>
      <c r="Q852" s="2"/>
      <c r="R852" s="13">
        <f t="shared" ca="1" si="156"/>
        <v>34499985036</v>
      </c>
      <c r="S852" s="134">
        <f>Tie_Break!$D$18</f>
        <v>0</v>
      </c>
      <c r="T852" s="9">
        <f ca="1">RANK(R852,R841:R860)+(9-S852)/10000+(F852="")*1000</f>
        <v>12.0009</v>
      </c>
      <c r="U852" s="2"/>
      <c r="V852" s="134">
        <f ca="1">IF($K$24=0,"",IF(VLOOKUP(B852,C841:E860,3,0)=MAX(V$4:V851),VLOOKUP(B852,C841:E860,3,0),B852))</f>
        <v>12</v>
      </c>
      <c r="W852" s="4" t="str">
        <f ca="1">IF($K$24=0,Calc2!$C$15,VLOOKUP(B852,C841:N860,4,0))</f>
        <v>Hamburger SV</v>
      </c>
      <c r="X852" s="1">
        <f ca="1">INDEX(V814:V833,MATCH(W852,W814:W833,0))</f>
        <v>15</v>
      </c>
      <c r="Y852" s="1">
        <f t="shared" ca="1" si="159"/>
        <v>1</v>
      </c>
    </row>
    <row r="853" spans="2:25" x14ac:dyDescent="0.2">
      <c r="B853" s="1">
        <v>13</v>
      </c>
      <c r="C853" s="9">
        <f ca="1">RANK(D853,D841:D860,1)</f>
        <v>3</v>
      </c>
      <c r="D853" s="134">
        <f t="shared" ca="1" si="157"/>
        <v>3.8529999999999998</v>
      </c>
      <c r="E853" s="134">
        <f ca="1">RANK(T853,T841:T860,1)</f>
        <v>3</v>
      </c>
      <c r="F853" s="187" t="str">
        <f>Calc2!$C$16</f>
        <v>RB Leipzig</v>
      </c>
      <c r="G853" s="1">
        <f ca="1">SUMIFS(OFFSET(Calc2!$H$4,,,$F$26*B839,1),OFFSET(Calc2!$F$4,,,$F$26*B839,1),F853)+SUMIFS(OFFSET(Calc2!$I$4,,,$F$26*B839,1),OFFSET(Calc2!$G$4,,,$F$26*B839,1),F853)</f>
        <v>63</v>
      </c>
      <c r="H853" s="1">
        <f ca="1">SUMIFS(OFFSET(Calc2!$I$4,,,$F$26*B839,1),OFFSET(Calc2!$F$4,,,$F$26*B839,1),F853)+SUMIFS(OFFSET(Calc2!$H$4,,,$F$26*B839,1),OFFSET(Calc2!$G$4,,,$F$26*B839,1),F853)</f>
        <v>42</v>
      </c>
      <c r="I853" s="134">
        <f t="shared" ca="1" si="155"/>
        <v>21</v>
      </c>
      <c r="J853" s="12">
        <f ca="1">L853*Settings!$C$3+M853+O853</f>
        <v>62</v>
      </c>
      <c r="K853" s="1">
        <f t="shared" ca="1" si="158"/>
        <v>32</v>
      </c>
      <c r="L853" s="1">
        <f t="array" aca="1" ref="L853" ca="1">SUMPRODUCT((OFFSET(Calc2!$F$4,,,$F$26*B839,1)=F853)*(OFFSET(Calc2!$H$4,,,$F$26*B839,1)&gt;OFFSET(Calc2!$I$4,,,$F$26*B839,1)))+SUMPRODUCT((OFFSET(Calc2!$G$4,,,$F$26*B839,1)=F853)*(OFFSET(Calc2!$H$4,,,$F$26*B839,1)&lt;OFFSET(Calc2!$I$4,,,$F$26*B839,1)))</f>
        <v>19</v>
      </c>
      <c r="M853" s="1">
        <f t="array" aca="1" ref="M853" ca="1">SUMPRODUCT((OFFSET(Calc2!$F$4,,,$F$26*B839,2)=F853)*(OFFSET(Calc2!$H$4,,,$F$26*B839,1)=OFFSET(Calc2!$I$4,,,$F$26*B839,1))*(OFFSET(Calc2!$H$4,,,$F$26*B839,1)&lt;&gt;"")*(OFFSET(Calc2!$I$4,,,$F$26*B839,1)&lt;&gt;""))</f>
        <v>5</v>
      </c>
      <c r="N853" s="1">
        <f t="array" aca="1" ref="N853" ca="1">SUMPRODUCT((OFFSET(Calc2!$F$4,,,$F$26*B839,1)=F853)*(OFFSET(Calc2!$H$4,,,$F$26*B839,1)&lt;OFFSET(Calc2!$I$4,,,$F$26*B839,1)))+SUMPRODUCT((OFFSET(Calc2!$G$4,,,$F$26*B839,1)=F853)*(OFFSET(Calc2!$H$4,,,$F$26*B839,1)&gt;OFFSET(Calc2!$I$4,,,$F$26*B839,1)))</f>
        <v>8</v>
      </c>
      <c r="O853" s="132">
        <f ca="1">SUMPRODUCT((F853=OFFSET(Calc2!$F$4,,,$F$26*B839,1))*OFFSET(Calc2!$O$4,,,$F$26*B839,1))+SUMPRODUCT((F853=OFFSET(Calc2!$G$4,,,$F$26*B839,1))*OFFSET(Calc2!$P$4,,,$F$26*B839,1))</f>
        <v>0</v>
      </c>
      <c r="P853" s="2"/>
      <c r="Q853" s="2"/>
      <c r="R853" s="13">
        <f t="shared" ca="1" si="156"/>
        <v>62500021063</v>
      </c>
      <c r="S853" s="134">
        <f>Tie_Break!$D$19</f>
        <v>0</v>
      </c>
      <c r="T853" s="9">
        <f ca="1">RANK(R853,R841:R860)+(9-S853)/10000+(F853="")*1000</f>
        <v>3.0009000000000001</v>
      </c>
      <c r="U853" s="1"/>
      <c r="V853" s="134">
        <f ca="1">IF($K$24=0,"",IF(VLOOKUP(B853,C841:E860,3,0)=MAX(V$4:V852),VLOOKUP(B853,C841:E860,3,0),B853))</f>
        <v>13</v>
      </c>
      <c r="W853" s="4" t="str">
        <f ca="1">IF($K$24=0,Calc2!$C$16,VLOOKUP(B853,C841:N860,4,0))</f>
        <v>1. FC Union Berlin</v>
      </c>
      <c r="X853" s="1">
        <f ca="1">INDEX(V814:V833,MATCH(W853,W814:W833,0))</f>
        <v>13</v>
      </c>
      <c r="Y853" s="1">
        <f t="shared" ca="1" si="159"/>
        <v>0</v>
      </c>
    </row>
    <row r="854" spans="2:25" x14ac:dyDescent="0.2">
      <c r="B854" s="1">
        <v>14</v>
      </c>
      <c r="C854" s="9">
        <f ca="1">RANK(D854,D841:D860,1)</f>
        <v>7</v>
      </c>
      <c r="D854" s="134">
        <f t="shared" ca="1" si="157"/>
        <v>7.8540000000000001</v>
      </c>
      <c r="E854" s="134">
        <f ca="1">RANK(T854,T841:T860,1)</f>
        <v>7</v>
      </c>
      <c r="F854" s="187" t="str">
        <f>Calc2!$C$17</f>
        <v>SC Freiburg</v>
      </c>
      <c r="G854" s="1">
        <f ca="1">SUMIFS(OFFSET(Calc2!$H$4,,,$F$26*B839,1),OFFSET(Calc2!$F$4,,,$F$26*B839,1),F854)+SUMIFS(OFFSET(Calc2!$I$4,,,$F$26*B839,1),OFFSET(Calc2!$G$4,,,$F$26*B839,1),F854)</f>
        <v>45</v>
      </c>
      <c r="H854" s="1">
        <f ca="1">SUMIFS(OFFSET(Calc2!$I$4,,,$F$26*B839,1),OFFSET(Calc2!$F$4,,,$F$26*B839,1),F854)+SUMIFS(OFFSET(Calc2!$H$4,,,$F$26*B839,1),OFFSET(Calc2!$G$4,,,$F$26*B839,1),F854)</f>
        <v>53</v>
      </c>
      <c r="I854" s="134">
        <f t="shared" ca="1" si="155"/>
        <v>-8</v>
      </c>
      <c r="J854" s="12">
        <f ca="1">L854*Settings!$C$3+M854+O854</f>
        <v>44</v>
      </c>
      <c r="K854" s="1">
        <f t="shared" ca="1" si="158"/>
        <v>32</v>
      </c>
      <c r="L854" s="1">
        <f t="array" aca="1" ref="L854" ca="1">SUMPRODUCT((OFFSET(Calc2!$F$4,,,$F$26*B839,1)=F854)*(OFFSET(Calc2!$H$4,,,$F$26*B839,1)&gt;OFFSET(Calc2!$I$4,,,$F$26*B839,1)))+SUMPRODUCT((OFFSET(Calc2!$G$4,,,$F$26*B839,1)=F854)*(OFFSET(Calc2!$H$4,,,$F$26*B839,1)&lt;OFFSET(Calc2!$I$4,,,$F$26*B839,1)))</f>
        <v>12</v>
      </c>
      <c r="M854" s="1">
        <f t="array" aca="1" ref="M854" ca="1">SUMPRODUCT((OFFSET(Calc2!$F$4,,,$F$26*B839,2)=F854)*(OFFSET(Calc2!$H$4,,,$F$26*B839,1)=OFFSET(Calc2!$I$4,,,$F$26*B839,1))*(OFFSET(Calc2!$H$4,,,$F$26*B839,1)&lt;&gt;"")*(OFFSET(Calc2!$I$4,,,$F$26*B839,1)&lt;&gt;""))</f>
        <v>8</v>
      </c>
      <c r="N854" s="1">
        <f t="array" aca="1" ref="N854" ca="1">SUMPRODUCT((OFFSET(Calc2!$F$4,,,$F$26*B839,1)=F854)*(OFFSET(Calc2!$H$4,,,$F$26*B839,1)&lt;OFFSET(Calc2!$I$4,,,$F$26*B839,1)))+SUMPRODUCT((OFFSET(Calc2!$G$4,,,$F$26*B839,1)=F854)*(OFFSET(Calc2!$H$4,,,$F$26*B839,1)&gt;OFFSET(Calc2!$I$4,,,$F$26*B839,1)))</f>
        <v>12</v>
      </c>
      <c r="O854" s="132">
        <f ca="1">SUMPRODUCT((F854=OFFSET(Calc2!$F$4,,,$F$26*B839,1))*OFFSET(Calc2!$O$4,,,$F$26*B839,1))+SUMPRODUCT((F854=OFFSET(Calc2!$G$4,,,$F$26*B839,1))*OFFSET(Calc2!$P$4,,,$F$26*B839,1))</f>
        <v>0</v>
      </c>
      <c r="P854" s="2"/>
      <c r="Q854" s="2"/>
      <c r="R854" s="13">
        <f t="shared" ca="1" si="156"/>
        <v>44499992045</v>
      </c>
      <c r="S854" s="134">
        <f>Tie_Break!$D$20</f>
        <v>0</v>
      </c>
      <c r="T854" s="9">
        <f ca="1">RANK(R854,R841:R860)+(9-S854)/10000+(F854="")*1000</f>
        <v>7.0008999999999997</v>
      </c>
      <c r="U854" s="2"/>
      <c r="V854" s="134">
        <f ca="1">IF($K$24=0,"",IF(VLOOKUP(B854,C841:E860,3,0)=MAX(V$4:V853),VLOOKUP(B854,C841:E860,3,0),B854))</f>
        <v>14</v>
      </c>
      <c r="W854" s="4" t="str">
        <f ca="1">IF($K$24=0,Calc2!$C$17,VLOOKUP(B854,C841:N860,4,0))</f>
        <v>1. FC Köln</v>
      </c>
      <c r="X854" s="1">
        <f ca="1">INDEX(V814:V833,MATCH(W854,W814:W833,0))</f>
        <v>14</v>
      </c>
      <c r="Y854" s="1">
        <f t="shared" ca="1" si="159"/>
        <v>0</v>
      </c>
    </row>
    <row r="855" spans="2:25" x14ac:dyDescent="0.2">
      <c r="B855" s="1">
        <v>15</v>
      </c>
      <c r="C855" s="9">
        <f ca="1">RANK(D855,D841:D860,1)</f>
        <v>15</v>
      </c>
      <c r="D855" s="134">
        <f t="shared" ca="1" si="157"/>
        <v>15.855</v>
      </c>
      <c r="E855" s="134">
        <f ca="1">RANK(T855,T841:T860,1)</f>
        <v>15</v>
      </c>
      <c r="F855" s="187" t="str">
        <f>Calc2!$C$18</f>
        <v>SV Werder Bremen</v>
      </c>
      <c r="G855" s="1">
        <f ca="1">SUMIFS(OFFSET(Calc2!$H$4,,,$F$26*B839,1),OFFSET(Calc2!$F$4,,,$F$26*B839,1),F855)+SUMIFS(OFFSET(Calc2!$I$4,,,$F$26*B839,1),OFFSET(Calc2!$G$4,,,$F$26*B839,1),F855)</f>
        <v>37</v>
      </c>
      <c r="H855" s="1">
        <f ca="1">SUMIFS(OFFSET(Calc2!$I$4,,,$F$26*B839,1),OFFSET(Calc2!$F$4,,,$F$26*B839,1),F855)+SUMIFS(OFFSET(Calc2!$H$4,,,$F$26*B839,1),OFFSET(Calc2!$G$4,,,$F$26*B839,1),F855)</f>
        <v>57</v>
      </c>
      <c r="I855" s="134">
        <f t="shared" ca="1" si="155"/>
        <v>-20</v>
      </c>
      <c r="J855" s="12">
        <f ca="1">L855*Settings!$C$3+M855+O855</f>
        <v>32</v>
      </c>
      <c r="K855" s="1">
        <f t="shared" ca="1" si="158"/>
        <v>32</v>
      </c>
      <c r="L855" s="1">
        <f t="array" aca="1" ref="L855" ca="1">SUMPRODUCT((OFFSET(Calc2!$F$4,,,$F$26*B839,1)=F855)*(OFFSET(Calc2!$H$4,,,$F$26*B839,1)&gt;OFFSET(Calc2!$I$4,,,$F$26*B839,1)))+SUMPRODUCT((OFFSET(Calc2!$G$4,,,$F$26*B839,1)=F855)*(OFFSET(Calc2!$H$4,,,$F$26*B839,1)&lt;OFFSET(Calc2!$I$4,,,$F$26*B839,1)))</f>
        <v>8</v>
      </c>
      <c r="M855" s="1">
        <f t="array" aca="1" ref="M855" ca="1">SUMPRODUCT((OFFSET(Calc2!$F$4,,,$F$26*B839,2)=F855)*(OFFSET(Calc2!$H$4,,,$F$26*B839,1)=OFFSET(Calc2!$I$4,,,$F$26*B839,1))*(OFFSET(Calc2!$H$4,,,$F$26*B839,1)&lt;&gt;"")*(OFFSET(Calc2!$I$4,,,$F$26*B839,1)&lt;&gt;""))</f>
        <v>8</v>
      </c>
      <c r="N855" s="1">
        <f t="array" aca="1" ref="N855" ca="1">SUMPRODUCT((OFFSET(Calc2!$F$4,,,$F$26*B839,1)=F855)*(OFFSET(Calc2!$H$4,,,$F$26*B839,1)&lt;OFFSET(Calc2!$I$4,,,$F$26*B839,1)))+SUMPRODUCT((OFFSET(Calc2!$G$4,,,$F$26*B839,1)=F855)*(OFFSET(Calc2!$H$4,,,$F$26*B839,1)&gt;OFFSET(Calc2!$I$4,,,$F$26*B839,1)))</f>
        <v>16</v>
      </c>
      <c r="O855" s="132">
        <f ca="1">SUMPRODUCT((F855=OFFSET(Calc2!$F$4,,,$F$26*B839,1))*OFFSET(Calc2!$O$4,,,$F$26*B839,1))+SUMPRODUCT((F855=OFFSET(Calc2!$G$4,,,$F$26*B839,1))*OFFSET(Calc2!$P$4,,,$F$26*B839,1))</f>
        <v>0</v>
      </c>
      <c r="P855" s="2"/>
      <c r="Q855" s="2"/>
      <c r="R855" s="13">
        <f t="shared" ca="1" si="156"/>
        <v>32499980037</v>
      </c>
      <c r="S855" s="134">
        <f>Tie_Break!$D$21</f>
        <v>0</v>
      </c>
      <c r="T855" s="9">
        <f ca="1">RANK(R855,R841:R860)+(9-S855)/10000+(F855="")*1000</f>
        <v>15.0009</v>
      </c>
      <c r="U855" s="2"/>
      <c r="V855" s="134">
        <f ca="1">IF($K$24=0,"",IF(VLOOKUP(B855,C841:E860,3,0)=MAX(V$4:V854),VLOOKUP(B855,C841:E860,3,0),B855))</f>
        <v>15</v>
      </c>
      <c r="W855" s="4" t="str">
        <f ca="1">IF($K$24=0,Calc2!$C$18,VLOOKUP(B855,C841:N860,4,0))</f>
        <v>SV Werder Bremen</v>
      </c>
      <c r="X855" s="1">
        <f ca="1">INDEX(V814:V833,MATCH(W855,W814:W833,0))</f>
        <v>12</v>
      </c>
      <c r="Y855" s="1">
        <f t="shared" ca="1" si="159"/>
        <v>-1</v>
      </c>
    </row>
    <row r="856" spans="2:25" x14ac:dyDescent="0.2">
      <c r="B856" s="1">
        <v>16</v>
      </c>
      <c r="C856" s="9">
        <f ca="1">RANK(D856,D841:D860,1)</f>
        <v>6</v>
      </c>
      <c r="D856" s="134">
        <f t="shared" ca="1" si="157"/>
        <v>6.8559999999999999</v>
      </c>
      <c r="E856" s="134">
        <f ca="1">RANK(T856,T841:T860,1)</f>
        <v>6</v>
      </c>
      <c r="F856" s="187" t="str">
        <f>Calc2!$C$19</f>
        <v>TSG Hoffenheim</v>
      </c>
      <c r="G856" s="1">
        <f ca="1">SUMIFS(OFFSET(Calc2!$H$4,,,$F$26*B839,1),OFFSET(Calc2!$F$4,,,$F$26*B839,1),F856)+SUMIFS(OFFSET(Calc2!$I$4,,,$F$26*B839,1),OFFSET(Calc2!$G$4,,,$F$26*B839,1),F856)</f>
        <v>64</v>
      </c>
      <c r="H856" s="1">
        <f ca="1">SUMIFS(OFFSET(Calc2!$I$4,,,$F$26*B839,1),OFFSET(Calc2!$F$4,,,$F$26*B839,1),F856)+SUMIFS(OFFSET(Calc2!$H$4,,,$F$26*B839,1),OFFSET(Calc2!$G$4,,,$F$26*B839,1),F856)</f>
        <v>48</v>
      </c>
      <c r="I856" s="134">
        <f t="shared" ca="1" si="155"/>
        <v>16</v>
      </c>
      <c r="J856" s="12">
        <f ca="1">L856*Settings!$C$3+M856+O856</f>
        <v>58</v>
      </c>
      <c r="K856" s="1">
        <f t="shared" ca="1" si="158"/>
        <v>32</v>
      </c>
      <c r="L856" s="1">
        <f t="array" aca="1" ref="L856" ca="1">SUMPRODUCT((OFFSET(Calc2!$F$4,,,$F$26*B839,1)=F856)*(OFFSET(Calc2!$H$4,,,$F$26*B839,1)&gt;OFFSET(Calc2!$I$4,,,$F$26*B839,1)))+SUMPRODUCT((OFFSET(Calc2!$G$4,,,$F$26*B839,1)=F856)*(OFFSET(Calc2!$H$4,,,$F$26*B839,1)&lt;OFFSET(Calc2!$I$4,,,$F$26*B839,1)))</f>
        <v>17</v>
      </c>
      <c r="M856" s="1">
        <f t="array" aca="1" ref="M856" ca="1">SUMPRODUCT((OFFSET(Calc2!$F$4,,,$F$26*B839,2)=F856)*(OFFSET(Calc2!$H$4,,,$F$26*B839,1)=OFFSET(Calc2!$I$4,,,$F$26*B839,1))*(OFFSET(Calc2!$H$4,,,$F$26*B839,1)&lt;&gt;"")*(OFFSET(Calc2!$I$4,,,$F$26*B839,1)&lt;&gt;""))</f>
        <v>7</v>
      </c>
      <c r="N856" s="1">
        <f t="array" aca="1" ref="N856" ca="1">SUMPRODUCT((OFFSET(Calc2!$F$4,,,$F$26*B839,1)=F856)*(OFFSET(Calc2!$H$4,,,$F$26*B839,1)&lt;OFFSET(Calc2!$I$4,,,$F$26*B839,1)))+SUMPRODUCT((OFFSET(Calc2!$G$4,,,$F$26*B839,1)=F856)*(OFFSET(Calc2!$H$4,,,$F$26*B839,1)&gt;OFFSET(Calc2!$I$4,,,$F$26*B839,1)))</f>
        <v>8</v>
      </c>
      <c r="O856" s="132">
        <f ca="1">SUMPRODUCT((F856=OFFSET(Calc2!$F$4,,,$F$26*B839,1))*OFFSET(Calc2!$O$4,,,$F$26*B839,1))+SUMPRODUCT((F856=OFFSET(Calc2!$G$4,,,$F$26*B839,1))*OFFSET(Calc2!$P$4,,,$F$26*B839,1))</f>
        <v>0</v>
      </c>
      <c r="P856" s="2"/>
      <c r="Q856" s="2"/>
      <c r="R856" s="13">
        <f t="shared" ca="1" si="156"/>
        <v>58500016064</v>
      </c>
      <c r="S856" s="134">
        <f>Tie_Break!$D$22</f>
        <v>0</v>
      </c>
      <c r="T856" s="9">
        <f ca="1">RANK(R856,R841:R860)+(9-S856)/10000+(F856="")*1000</f>
        <v>6.0008999999999997</v>
      </c>
      <c r="U856" s="2"/>
      <c r="V856" s="134">
        <f ca="1">IF($K$24=0,"",IF(VLOOKUP(B856,C841:E860,3,0)=MAX(V$4:V855),VLOOKUP(B856,C841:E860,3,0),B856))</f>
        <v>16</v>
      </c>
      <c r="W856" s="4" t="str">
        <f ca="1">IF($K$24=0,Calc2!$C$19,VLOOKUP(B856,C841:N860,4,0))</f>
        <v>VfL Wolfsburg</v>
      </c>
      <c r="X856" s="1">
        <f ca="1">INDEX(V814:V833,MATCH(W856,W814:W833,0))</f>
        <v>17</v>
      </c>
      <c r="Y856" s="1">
        <f t="shared" ca="1" si="159"/>
        <v>1</v>
      </c>
    </row>
    <row r="857" spans="2:25" x14ac:dyDescent="0.2">
      <c r="B857" s="1">
        <v>17</v>
      </c>
      <c r="C857" s="9">
        <f ca="1">RANK(D857,D841:D860,1)</f>
        <v>5</v>
      </c>
      <c r="D857" s="134">
        <f t="shared" ca="1" si="157"/>
        <v>5.8570000000000002</v>
      </c>
      <c r="E857" s="134">
        <f ca="1">RANK(T857,T841:T860,1)</f>
        <v>5</v>
      </c>
      <c r="F857" s="187" t="str">
        <f>Calc2!$C$20</f>
        <v>VfB Stuttgart</v>
      </c>
      <c r="G857" s="1">
        <f ca="1">SUMIFS(OFFSET(Calc2!$H$4,,,$F$26*B839,1),OFFSET(Calc2!$F$4,,,$F$26*B839,1),F857)+SUMIFS(OFFSET(Calc2!$I$4,,,$F$26*B839,1),OFFSET(Calc2!$G$4,,,$F$26*B839,1),F857)</f>
        <v>66</v>
      </c>
      <c r="H857" s="1">
        <f ca="1">SUMIFS(OFFSET(Calc2!$I$4,,,$F$26*B839,1),OFFSET(Calc2!$F$4,,,$F$26*B839,1),F857)+SUMIFS(OFFSET(Calc2!$H$4,,,$F$26*B839,1),OFFSET(Calc2!$G$4,,,$F$26*B839,1),F857)</f>
        <v>46</v>
      </c>
      <c r="I857" s="134">
        <f t="shared" ca="1" si="155"/>
        <v>20</v>
      </c>
      <c r="J857" s="12">
        <f ca="1">L857*Settings!$C$3+M857+O857</f>
        <v>58</v>
      </c>
      <c r="K857" s="1">
        <f t="shared" ca="1" si="158"/>
        <v>32</v>
      </c>
      <c r="L857" s="1">
        <f t="array" aca="1" ref="L857" ca="1">SUMPRODUCT((OFFSET(Calc2!$F$4,,,$F$26*B839,1)=F857)*(OFFSET(Calc2!$H$4,,,$F$26*B839,1)&gt;OFFSET(Calc2!$I$4,,,$F$26*B839,1)))+SUMPRODUCT((OFFSET(Calc2!$G$4,,,$F$26*B839,1)=F857)*(OFFSET(Calc2!$H$4,,,$F$26*B839,1)&lt;OFFSET(Calc2!$I$4,,,$F$26*B839,1)))</f>
        <v>17</v>
      </c>
      <c r="M857" s="1">
        <f t="array" aca="1" ref="M857" ca="1">SUMPRODUCT((OFFSET(Calc2!$F$4,,,$F$26*B839,2)=F857)*(OFFSET(Calc2!$H$4,,,$F$26*B839,1)=OFFSET(Calc2!$I$4,,,$F$26*B839,1))*(OFFSET(Calc2!$H$4,,,$F$26*B839,1)&lt;&gt;"")*(OFFSET(Calc2!$I$4,,,$F$26*B839,1)&lt;&gt;""))</f>
        <v>7</v>
      </c>
      <c r="N857" s="1">
        <f t="array" aca="1" ref="N857" ca="1">SUMPRODUCT((OFFSET(Calc2!$F$4,,,$F$26*B839,1)=F857)*(OFFSET(Calc2!$H$4,,,$F$26*B839,1)&lt;OFFSET(Calc2!$I$4,,,$F$26*B839,1)))+SUMPRODUCT((OFFSET(Calc2!$G$4,,,$F$26*B839,1)=F857)*(OFFSET(Calc2!$H$4,,,$F$26*B839,1)&gt;OFFSET(Calc2!$I$4,,,$F$26*B839,1)))</f>
        <v>8</v>
      </c>
      <c r="O857" s="132">
        <f ca="1">SUMPRODUCT((F857=OFFSET(Calc2!$F$4,,,$F$26*B839,1))*OFFSET(Calc2!$O$4,,,$F$26*B839,1))+SUMPRODUCT((F857=OFFSET(Calc2!$G$4,,,$F$26*B839,1))*OFFSET(Calc2!$P$4,,,$F$26*B839,1))</f>
        <v>0</v>
      </c>
      <c r="P857" s="2"/>
      <c r="Q857" s="2"/>
      <c r="R857" s="13">
        <f t="shared" ca="1" si="156"/>
        <v>58500020066</v>
      </c>
      <c r="S857" s="134">
        <f>Tie_Break!$D$23</f>
        <v>0</v>
      </c>
      <c r="T857" s="9">
        <f ca="1">RANK(R857,R841:R860)+(9-S857)/10000+(F857="")*1000</f>
        <v>5.0008999999999997</v>
      </c>
      <c r="U857" s="2"/>
      <c r="V857" s="134">
        <f ca="1">IF($K$24=0,"",IF(VLOOKUP(B857,C841:E860,3,0)=MAX(V$4:V856),VLOOKUP(B857,C841:E860,3,0),B857))</f>
        <v>17</v>
      </c>
      <c r="W857" s="4" t="str">
        <f ca="1">IF($K$24=0,Calc2!$C$20,VLOOKUP(B857,C841:N860,4,0))</f>
        <v>FC St. Pauli</v>
      </c>
      <c r="X857" s="1">
        <f ca="1">INDEX(V814:V833,MATCH(W857,W814:W833,0))</f>
        <v>16</v>
      </c>
      <c r="Y857" s="1">
        <f t="shared" ca="1" si="159"/>
        <v>-1</v>
      </c>
    </row>
    <row r="858" spans="2:25" x14ac:dyDescent="0.2">
      <c r="B858" s="1">
        <v>18</v>
      </c>
      <c r="C858" s="9">
        <f ca="1">RANK(D858,D841:D860,1)</f>
        <v>16</v>
      </c>
      <c r="D858" s="134">
        <f t="shared" ca="1" si="157"/>
        <v>16.858000000000001</v>
      </c>
      <c r="E858" s="134">
        <f ca="1">RANK(T858,T841:T860,1)</f>
        <v>16</v>
      </c>
      <c r="F858" s="187" t="str">
        <f>Calc2!$C$21</f>
        <v>VfL Wolfsburg</v>
      </c>
      <c r="G858" s="1">
        <f ca="1">SUMIFS(OFFSET(Calc2!$H$4,,,$F$26*B839,1),OFFSET(Calc2!$F$4,,,$F$26*B839,1),F858)+SUMIFS(OFFSET(Calc2!$I$4,,,$F$26*B839,1),OFFSET(Calc2!$G$4,,,$F$26*B839,1),F858)</f>
        <v>42</v>
      </c>
      <c r="H858" s="1">
        <f ca="1">SUMIFS(OFFSET(Calc2!$I$4,,,$F$26*B839,1),OFFSET(Calc2!$F$4,,,$F$26*B839,1),F858)+SUMIFS(OFFSET(Calc2!$H$4,,,$F$26*B839,1),OFFSET(Calc2!$G$4,,,$F$26*B839,1),F858)</f>
        <v>67</v>
      </c>
      <c r="I858" s="134">
        <f t="shared" ca="1" si="155"/>
        <v>-25</v>
      </c>
      <c r="J858" s="12">
        <f ca="1">L858*Settings!$C$3+M858+O858</f>
        <v>26</v>
      </c>
      <c r="K858" s="1">
        <f t="shared" ca="1" si="158"/>
        <v>32</v>
      </c>
      <c r="L858" s="1">
        <f t="array" aca="1" ref="L858" ca="1">SUMPRODUCT((OFFSET(Calc2!$F$4,,,$F$26*B839,1)=F858)*(OFFSET(Calc2!$H$4,,,$F$26*B839,1)&gt;OFFSET(Calc2!$I$4,,,$F$26*B839,1)))+SUMPRODUCT((OFFSET(Calc2!$G$4,,,$F$26*B839,1)=F858)*(OFFSET(Calc2!$H$4,,,$F$26*B839,1)&lt;OFFSET(Calc2!$I$4,,,$F$26*B839,1)))</f>
        <v>6</v>
      </c>
      <c r="M858" s="1">
        <f t="array" aca="1" ref="M858" ca="1">SUMPRODUCT((OFFSET(Calc2!$F$4,,,$F$26*B839,2)=F858)*(OFFSET(Calc2!$H$4,,,$F$26*B839,1)=OFFSET(Calc2!$I$4,,,$F$26*B839,1))*(OFFSET(Calc2!$H$4,,,$F$26*B839,1)&lt;&gt;"")*(OFFSET(Calc2!$I$4,,,$F$26*B839,1)&lt;&gt;""))</f>
        <v>8</v>
      </c>
      <c r="N858" s="1">
        <f t="array" aca="1" ref="N858" ca="1">SUMPRODUCT((OFFSET(Calc2!$F$4,,,$F$26*B839,1)=F858)*(OFFSET(Calc2!$H$4,,,$F$26*B839,1)&lt;OFFSET(Calc2!$I$4,,,$F$26*B839,1)))+SUMPRODUCT((OFFSET(Calc2!$G$4,,,$F$26*B839,1)=F858)*(OFFSET(Calc2!$H$4,,,$F$26*B839,1)&gt;OFFSET(Calc2!$I$4,,,$F$26*B839,1)))</f>
        <v>18</v>
      </c>
      <c r="O858" s="132">
        <f ca="1">SUMPRODUCT((F858=OFFSET(Calc2!$F$4,,,$F$26*B839,1))*OFFSET(Calc2!$O$4,,,$F$26*B839,1))+SUMPRODUCT((F858=OFFSET(Calc2!$G$4,,,$F$26*B839,1))*OFFSET(Calc2!$P$4,,,$F$26*B839,1))</f>
        <v>0</v>
      </c>
      <c r="P858" s="2"/>
      <c r="Q858" s="2"/>
      <c r="R858" s="13">
        <f t="shared" ca="1" si="156"/>
        <v>26499975042</v>
      </c>
      <c r="S858" s="134">
        <f>Tie_Break!$D$24</f>
        <v>0</v>
      </c>
      <c r="T858" s="9">
        <f ca="1">RANK(R858,R841:R860)+(9-S858)/10000+(F858="")*1000</f>
        <v>16.000900000000001</v>
      </c>
      <c r="U858" s="2"/>
      <c r="V858" s="134">
        <f ca="1">IF($K$24=0,"",IF(VLOOKUP(B858,C841:E860,3,0)=MAX(V$4:V857),VLOOKUP(B858,C841:E860,3,0),B858))</f>
        <v>18</v>
      </c>
      <c r="W858" s="4" t="str">
        <f ca="1">IF($K$24=0,Calc2!$C$21,VLOOKUP(B858,C841:N860,4,0))</f>
        <v>1. FC Heidenheim 1846</v>
      </c>
      <c r="X858" s="1">
        <f ca="1">INDEX(V814:V833,MATCH(W858,W814:W833,0))</f>
        <v>18</v>
      </c>
      <c r="Y858" s="1">
        <f t="shared" ca="1" si="159"/>
        <v>0</v>
      </c>
    </row>
    <row r="859" spans="2:25" x14ac:dyDescent="0.2">
      <c r="B859" s="1">
        <v>19</v>
      </c>
      <c r="C859" s="9">
        <f ca="1">RANK(D859,D841:D860,1)</f>
        <v>19</v>
      </c>
      <c r="D859" s="134">
        <f t="shared" ca="1" si="157"/>
        <v>19.859000000000002</v>
      </c>
      <c r="E859" s="134">
        <f ca="1">RANK(T859,T841:T860,1)</f>
        <v>19</v>
      </c>
      <c r="F859" s="187" t="str">
        <f>Calc2!$C$22</f>
        <v/>
      </c>
      <c r="G859" s="1">
        <f ca="1">SUMIFS(OFFSET(Calc2!$H$4,,,$F$26*B839,1),OFFSET(Calc2!$F$4,,,$F$26*B839,1),F859)+SUMIFS(OFFSET(Calc2!$I$4,,,$F$26*B839,1),OFFSET(Calc2!$G$4,,,$F$26*B839,1),F859)</f>
        <v>0</v>
      </c>
      <c r="H859" s="1">
        <f ca="1">SUMIFS(OFFSET(Calc2!$I$4,,,$F$26*B839,1),OFFSET(Calc2!$F$4,,,$F$26*B839,1),F859)+SUMIFS(OFFSET(Calc2!$H$4,,,$F$26*B839,1),OFFSET(Calc2!$G$4,,,$F$26*B839,1),F859)</f>
        <v>0</v>
      </c>
      <c r="I859" s="134">
        <f t="shared" ca="1" si="155"/>
        <v>0</v>
      </c>
      <c r="J859" s="12">
        <f ca="1">L859*Settings!$C$3+M859+O859</f>
        <v>0</v>
      </c>
      <c r="K859" s="1">
        <f t="shared" ca="1" si="158"/>
        <v>0</v>
      </c>
      <c r="L859" s="1">
        <f t="array" aca="1" ref="L859" ca="1">SUMPRODUCT((OFFSET(Calc2!$F$4,,,$F$26*B839,1)=F859)*(OFFSET(Calc2!$H$4,,,$F$26*B839,1)&gt;OFFSET(Calc2!$I$4,,,$F$26*B839,1)))+SUMPRODUCT((OFFSET(Calc2!$G$4,,,$F$26*B839,1)=F859)*(OFFSET(Calc2!$H$4,,,$F$26*B839,1)&lt;OFFSET(Calc2!$I$4,,,$F$26*B839,1)))</f>
        <v>0</v>
      </c>
      <c r="M859" s="1">
        <f t="array" aca="1" ref="M859" ca="1">SUMPRODUCT((OFFSET(Calc2!$F$4,,,$F$26*B839,2)=F859)*(OFFSET(Calc2!$H$4,,,$F$26*B839,1)=OFFSET(Calc2!$I$4,,,$F$26*B839,1))*(OFFSET(Calc2!$H$4,,,$F$26*B839,1)&lt;&gt;"")*(OFFSET(Calc2!$I$4,,,$F$26*B839,1)&lt;&gt;""))</f>
        <v>0</v>
      </c>
      <c r="N859" s="1">
        <f t="array" aca="1" ref="N859" ca="1">SUMPRODUCT((OFFSET(Calc2!$F$4,,,$F$26*B839,1)=F859)*(OFFSET(Calc2!$H$4,,,$F$26*B839,1)&lt;OFFSET(Calc2!$I$4,,,$F$26*B839,1)))+SUMPRODUCT((OFFSET(Calc2!$G$4,,,$F$26*B839,1)=F859)*(OFFSET(Calc2!$H$4,,,$F$26*B839,1)&gt;OFFSET(Calc2!$I$4,,,$F$26*B839,1)))</f>
        <v>0</v>
      </c>
      <c r="O859" s="132">
        <f ca="1">SUMPRODUCT((F859=OFFSET(Calc2!$F$4,,,$F$26*B839,1))*OFFSET(Calc2!$O$4,,,$F$26*B839,1))+SUMPRODUCT((F859=OFFSET(Calc2!$G$4,,,$F$26*B839,1))*OFFSET(Calc2!$P$4,,,$F$26*B839,1))</f>
        <v>0</v>
      </c>
      <c r="P859" s="2"/>
      <c r="Q859" s="2"/>
      <c r="R859" s="13">
        <f t="shared" ca="1" si="156"/>
        <v>500000000</v>
      </c>
      <c r="S859" s="134">
        <f>Tie_Break!$D$25</f>
        <v>0</v>
      </c>
      <c r="T859" s="9">
        <f ca="1">RANK(R859,R841:R860)+(9-S859)/10000+(F859="")*1000</f>
        <v>1019.0009</v>
      </c>
      <c r="U859" s="2"/>
      <c r="V859" s="134">
        <f ca="1">IF($K$24=0,"",IF(VLOOKUP(B859,C841:E860,3,0)=MAX(V$4:V858),VLOOKUP(B859,C841:E860,3,0),B859))</f>
        <v>19</v>
      </c>
      <c r="W859" s="4" t="str">
        <f ca="1">IF($K$24=0,Calc2!$C$22,VLOOKUP(B859,C841:N860,4,0))</f>
        <v/>
      </c>
      <c r="X859" s="1">
        <f ca="1">INDEX(V814:V833,MATCH(W859,W814:W833,0))</f>
        <v>19</v>
      </c>
      <c r="Y859" s="1">
        <f t="shared" ca="1" si="159"/>
        <v>0</v>
      </c>
    </row>
    <row r="860" spans="2:25" ht="12.75" thickBot="1" x14ac:dyDescent="0.25">
      <c r="B860" s="1">
        <v>20</v>
      </c>
      <c r="C860" s="10">
        <f ca="1">RANK(D860,D841:D860,1)</f>
        <v>20</v>
      </c>
      <c r="D860" s="134">
        <f t="shared" ca="1" si="157"/>
        <v>19.86</v>
      </c>
      <c r="E860" s="134">
        <f ca="1">RANK(T860,T841:T860,1)</f>
        <v>19</v>
      </c>
      <c r="F860" s="187" t="str">
        <f>Calc2!$C$23</f>
        <v/>
      </c>
      <c r="G860" s="1">
        <f ca="1">SUMIFS(OFFSET(Calc2!$H$4,,,$F$26*B839,1),OFFSET(Calc2!$F$4,,,$F$26*B839,1),F860)+SUMIFS(OFFSET(Calc2!$I$4,,,$F$26*B839,1),OFFSET(Calc2!$G$4,,,$F$26*B839,1),F860)</f>
        <v>0</v>
      </c>
      <c r="H860" s="1">
        <f ca="1">SUMIFS(OFFSET(Calc2!$I$4,,,$F$26*B839,1),OFFSET(Calc2!$F$4,,,$F$26*B839,1),F860)+SUMIFS(OFFSET(Calc2!$H$4,,,$F$26*B839,1),OFFSET(Calc2!$G$4,,,$F$26*B839,1),F860)</f>
        <v>0</v>
      </c>
      <c r="I860" s="134">
        <f t="shared" ca="1" si="155"/>
        <v>0</v>
      </c>
      <c r="J860" s="12">
        <f ca="1">L860*Settings!$C$3+M860+O860</f>
        <v>0</v>
      </c>
      <c r="K860" s="1">
        <f t="shared" ca="1" si="158"/>
        <v>0</v>
      </c>
      <c r="L860" s="1">
        <f t="array" aca="1" ref="L860" ca="1">SUMPRODUCT((OFFSET(Calc2!$F$4,,,$F$26*B839,1)=F860)*(OFFSET(Calc2!$H$4,,,$F$26*B839,1)&gt;OFFSET(Calc2!$I$4,,,$F$26*B839,1)))+SUMPRODUCT((OFFSET(Calc2!$G$4,,,$F$26*B839,1)=F860)*(OFFSET(Calc2!$H$4,,,$F$26*B839,1)&lt;OFFSET(Calc2!$I$4,,,$F$26*B839,1)))</f>
        <v>0</v>
      </c>
      <c r="M860" s="1">
        <f t="array" aca="1" ref="M860" ca="1">SUMPRODUCT((OFFSET(Calc2!$F$4,,,$F$26*B839,2)=F860)*(OFFSET(Calc2!$H$4,,,$F$26*B839,1)=OFFSET(Calc2!$I$4,,,$F$26*B839,1))*(OFFSET(Calc2!$H$4,,,$F$26*B839,1)&lt;&gt;"")*(OFFSET(Calc2!$I$4,,,$F$26*B839,1)&lt;&gt;""))</f>
        <v>0</v>
      </c>
      <c r="N860" s="1">
        <f t="array" aca="1" ref="N860" ca="1">SUMPRODUCT((OFFSET(Calc2!$F$4,,,$F$26*B839,1)=F860)*(OFFSET(Calc2!$H$4,,,$F$26*B839,1)&lt;OFFSET(Calc2!$I$4,,,$F$26*B839,1)))+SUMPRODUCT((OFFSET(Calc2!$G$4,,,$F$26*B839,1)=F860)*(OFFSET(Calc2!$H$4,,,$F$26*B839,1)&gt;OFFSET(Calc2!$I$4,,,$F$26*B839,1)))</f>
        <v>0</v>
      </c>
      <c r="O860" s="132">
        <f ca="1">SUMPRODUCT((F860=OFFSET(Calc2!$F$4,,,$F$26*B839,1))*OFFSET(Calc2!$O$4,,,$F$26*B839,1))+SUMPRODUCT((F860=OFFSET(Calc2!$G$4,,,$F$26*B839,1))*OFFSET(Calc2!$P$4,,,$F$26*B839,1))</f>
        <v>0</v>
      </c>
      <c r="P860" s="2"/>
      <c r="Q860" s="2"/>
      <c r="R860" s="13">
        <f t="shared" ca="1" si="156"/>
        <v>500000000</v>
      </c>
      <c r="S860" s="134">
        <f>Tie_Break!$D$26</f>
        <v>0</v>
      </c>
      <c r="T860" s="10">
        <f ca="1">RANK(R860,R841:R860)+(9-S860)/10000+(F860="")*1000</f>
        <v>1019.0009</v>
      </c>
      <c r="U860" s="2"/>
      <c r="V860" s="134">
        <f ca="1">IF($K$24=0,"",IF(VLOOKUP(B860,C841:E860,3,0)=MAX(V$4:V859),VLOOKUP(B860,C841:E860,3,0),B860))</f>
        <v>19</v>
      </c>
      <c r="W860" s="4" t="str">
        <f ca="1">IF($K$24=0,Calc2!$C$23,VLOOKUP(B860,C841:N860,4,0))</f>
        <v/>
      </c>
      <c r="X860" s="1">
        <f ca="1">INDEX(V814:V833,MATCH(W860,W814:W833,0))</f>
        <v>19</v>
      </c>
      <c r="Y860" s="1">
        <f t="shared" ca="1" si="159"/>
        <v>0</v>
      </c>
    </row>
    <row r="861" spans="2:25" ht="12.75" thickTop="1" x14ac:dyDescent="0.2">
      <c r="X861" s="1"/>
      <c r="Y861" s="1"/>
    </row>
    <row r="862" spans="2:25" x14ac:dyDescent="0.2">
      <c r="X862" s="1"/>
      <c r="Y862" s="1"/>
    </row>
    <row r="863" spans="2:25" x14ac:dyDescent="0.2">
      <c r="X863" s="1"/>
      <c r="Y863" s="1"/>
    </row>
    <row r="864" spans="2:25" x14ac:dyDescent="0.2">
      <c r="X864" s="1"/>
      <c r="Y864" s="1"/>
    </row>
    <row r="865" spans="2:25" ht="12.75" thickBot="1" x14ac:dyDescent="0.25">
      <c r="X865" s="1"/>
      <c r="Y865" s="1"/>
    </row>
    <row r="866" spans="2:25" ht="12.75" thickBot="1" x14ac:dyDescent="0.25">
      <c r="B866" s="410">
        <v>33</v>
      </c>
      <c r="C866" s="134"/>
      <c r="D866" s="134"/>
      <c r="E866" s="134"/>
      <c r="F866" s="187"/>
      <c r="G866" s="1"/>
      <c r="H866" s="1"/>
      <c r="I866" s="1"/>
      <c r="J866" s="1"/>
      <c r="K866" s="1"/>
      <c r="L866" s="1"/>
      <c r="M866" s="1"/>
      <c r="N866" s="134"/>
      <c r="O866" s="1"/>
      <c r="P866" s="1"/>
      <c r="Q866" s="1"/>
      <c r="R866" s="2"/>
      <c r="S866" s="2"/>
      <c r="T866" s="2"/>
      <c r="U866" s="2"/>
      <c r="V866" s="2"/>
      <c r="W866" s="2"/>
      <c r="X866" s="1"/>
      <c r="Y866" s="1"/>
    </row>
    <row r="867" spans="2:25" ht="15.75" thickBot="1" x14ac:dyDescent="0.25">
      <c r="B867" s="1"/>
      <c r="C867" s="134"/>
      <c r="D867" s="134"/>
      <c r="E867" s="134"/>
      <c r="F867" s="11" t="s">
        <v>90</v>
      </c>
      <c r="G867" s="42" t="s">
        <v>95</v>
      </c>
      <c r="H867" s="42" t="s">
        <v>96</v>
      </c>
      <c r="I867" s="11" t="s">
        <v>97</v>
      </c>
      <c r="J867" s="11" t="s">
        <v>98</v>
      </c>
      <c r="K867" s="11" t="s">
        <v>91</v>
      </c>
      <c r="L867" s="12" t="s">
        <v>92</v>
      </c>
      <c r="M867" s="12" t="s">
        <v>93</v>
      </c>
      <c r="N867" s="12" t="s">
        <v>94</v>
      </c>
      <c r="O867" s="12" t="s">
        <v>534</v>
      </c>
      <c r="P867" s="2"/>
      <c r="Q867" s="11"/>
      <c r="R867" s="133" t="s">
        <v>99</v>
      </c>
      <c r="S867" s="6" t="s">
        <v>483</v>
      </c>
      <c r="T867" s="120" t="s">
        <v>146</v>
      </c>
      <c r="U867" s="134"/>
      <c r="V867" s="134"/>
      <c r="W867" s="132"/>
      <c r="X867" s="120" t="s">
        <v>575</v>
      </c>
      <c r="Y867" s="1"/>
    </row>
    <row r="868" spans="2:25" ht="12.75" thickTop="1" x14ac:dyDescent="0.2">
      <c r="B868" s="1">
        <v>1</v>
      </c>
      <c r="C868" s="8">
        <f ca="1">RANK(D868,D868:D887,1)</f>
        <v>17</v>
      </c>
      <c r="D868" s="134">
        <f ca="1">E868+ROW()/1000</f>
        <v>17.867999999999999</v>
      </c>
      <c r="E868" s="134">
        <f ca="1">RANK(T868,T868:T887,1)</f>
        <v>17</v>
      </c>
      <c r="F868" s="187" t="str">
        <f>Calc2!$C$4</f>
        <v>1. FC Heidenheim 1846</v>
      </c>
      <c r="G868" s="1">
        <f ca="1">SUMIFS(OFFSET(Calc2!$H$4,,,$F$26*B866,1),OFFSET(Calc2!$F$4,,,$F$26*B866,1),F868)+SUMIFS(OFFSET(Calc2!$I$4,,,$F$26*B866,1),OFFSET(Calc2!$G$4,,,$F$26*B866,1),F868)</f>
        <v>41</v>
      </c>
      <c r="H868" s="1">
        <f ca="1">SUMIFS(OFFSET(Calc2!$I$4,,,$F$26*B866,1),OFFSET(Calc2!$F$4,,,$F$26*B866,1),F868)+SUMIFS(OFFSET(Calc2!$H$4,,,$F$26*B866,1),OFFSET(Calc2!$G$4,,,$F$26*B866,1),F868)</f>
        <v>70</v>
      </c>
      <c r="I868" s="134">
        <f t="shared" ref="I868:I887" ca="1" si="160">G868-H868</f>
        <v>-29</v>
      </c>
      <c r="J868" s="12">
        <f ca="1">L868*Settings!$C$3+M868+O868</f>
        <v>26</v>
      </c>
      <c r="K868" s="1">
        <f ca="1">L868+M868+N868</f>
        <v>33</v>
      </c>
      <c r="L868" s="1">
        <f t="array" aca="1" ref="L868" ca="1">SUMPRODUCT((OFFSET(Calc2!$F$4,,,$F$26*B866,1)=F868)*(OFFSET(Calc2!$H$4,,,$F$26*B866,1)&gt;OFFSET(Calc2!$I$4,,,$F$26*B866,1)))+SUMPRODUCT((OFFSET(Calc2!$G$4,,,$F$26*B866,1)=F868)*(OFFSET(Calc2!$H$4,,,$F$26*B866,1)&lt;OFFSET(Calc2!$I$4,,,$F$26*B866,1)))</f>
        <v>6</v>
      </c>
      <c r="M868" s="1">
        <f t="array" aca="1" ref="M868" ca="1">SUMPRODUCT((OFFSET(Calc2!$F$4,,,$F$26*B866,2)=F868)*(OFFSET(Calc2!$H$4,,,$F$26*B866,1)=OFFSET(Calc2!$I$4,,,$F$26*B866,1))*(OFFSET(Calc2!$H$4,,,$F$26*B866,1)&lt;&gt;"")*(OFFSET(Calc2!$I$4,,,$F$26*B866,1)&lt;&gt;""))</f>
        <v>8</v>
      </c>
      <c r="N868" s="1">
        <f t="array" aca="1" ref="N868" ca="1">SUMPRODUCT((OFFSET(Calc2!$F$4,,,$F$26*B866,1)=F868)*(OFFSET(Calc2!$H$4,,,$F$26*B866,1)&lt;OFFSET(Calc2!$I$4,,,$F$26*B866,1)))+SUMPRODUCT((OFFSET(Calc2!$G$4,,,$F$26*B866,1)=F868)*(OFFSET(Calc2!$H$4,,,$F$26*B866,1)&gt;OFFSET(Calc2!$I$4,,,$F$26*B866,1)))</f>
        <v>19</v>
      </c>
      <c r="O868" s="132">
        <f ca="1">SUMPRODUCT((F868=OFFSET(Calc2!$F$4,,,$F$26*B866,1))*OFFSET(Calc2!$O$4,,,$F$26*B866,1))+SUMPRODUCT((F868=OFFSET(Calc2!$G$4,,,$F$26*B866,1))*OFFSET(Calc2!$P$4,,,$F$26*B866,1))</f>
        <v>0</v>
      </c>
      <c r="P868" s="2"/>
      <c r="Q868" s="2"/>
      <c r="R868" s="13">
        <f t="shared" ref="R868:R887" ca="1" si="161">J868*FactorPts+(I868+GDzero)*FactorGD+G868*FactorGF</f>
        <v>26499971041</v>
      </c>
      <c r="S868" s="134">
        <f>Tie_Break!$D$7</f>
        <v>0</v>
      </c>
      <c r="T868" s="8">
        <f ca="1">RANK(R868,R868:R887)+(9-S868)/10000+(F868="")*1000</f>
        <v>17.000900000000001</v>
      </c>
      <c r="U868" s="134"/>
      <c r="V868" s="134">
        <f ca="1">IF($K$24=0,"",1)</f>
        <v>1</v>
      </c>
      <c r="W868" s="4" t="str">
        <f ca="1">IF($K$24=0,Calc2!$C$4,VLOOKUP(B868,C868:N887,4,0))</f>
        <v>FC Bayern München</v>
      </c>
      <c r="X868" s="1">
        <f ca="1">INDEX(V841:V860,MATCH(W868,W841:W860,0))</f>
        <v>1</v>
      </c>
      <c r="Y868" s="1">
        <f ca="1">IF(X868&gt;V868,1,IF(X868&lt;V868,-1,0))</f>
        <v>0</v>
      </c>
    </row>
    <row r="869" spans="2:25" x14ac:dyDescent="0.2">
      <c r="B869" s="1">
        <v>2</v>
      </c>
      <c r="C869" s="9">
        <f ca="1">RANK(D869,D868:D887,1)</f>
        <v>14</v>
      </c>
      <c r="D869" s="134">
        <f t="shared" ref="D869:D887" ca="1" si="162">E869+ROW()/1000</f>
        <v>14.869</v>
      </c>
      <c r="E869" s="134">
        <f ca="1">RANK(T869,T868:T887,1)</f>
        <v>14</v>
      </c>
      <c r="F869" s="187" t="str">
        <f>Calc2!$C$5</f>
        <v>1. FC Köln</v>
      </c>
      <c r="G869" s="1">
        <f ca="1">SUMIFS(OFFSET(Calc2!$H$4,,,$F$26*B866,1),OFFSET(Calc2!$F$4,,,$F$26*B866,1),F869)+SUMIFS(OFFSET(Calc2!$I$4,,,$F$26*B866,1),OFFSET(Calc2!$G$4,,,$F$26*B866,1),F869)</f>
        <v>48</v>
      </c>
      <c r="H869" s="1">
        <f ca="1">SUMIFS(OFFSET(Calc2!$I$4,,,$F$26*B866,1),OFFSET(Calc2!$F$4,,,$F$26*B866,1),F869)+SUMIFS(OFFSET(Calc2!$H$4,,,$F$26*B866,1),OFFSET(Calc2!$G$4,,,$F$26*B866,1),F869)</f>
        <v>58</v>
      </c>
      <c r="I869" s="134">
        <f t="shared" ca="1" si="160"/>
        <v>-10</v>
      </c>
      <c r="J869" s="12">
        <f ca="1">L869*Settings!$C$3+M869+O869</f>
        <v>32</v>
      </c>
      <c r="K869" s="1">
        <f t="shared" ref="K869:K887" ca="1" si="163">L869+M869+N869</f>
        <v>33</v>
      </c>
      <c r="L869" s="1">
        <f t="array" aca="1" ref="L869" ca="1">SUMPRODUCT((OFFSET(Calc2!$F$4,,,$F$26*B866,1)=F869)*(OFFSET(Calc2!$H$4,,,$F$26*B866,1)&gt;OFFSET(Calc2!$I$4,,,$F$26*B866,1)))+SUMPRODUCT((OFFSET(Calc2!$G$4,,,$F$26*B866,1)=F869)*(OFFSET(Calc2!$H$4,,,$F$26*B866,1)&lt;OFFSET(Calc2!$I$4,,,$F$26*B866,1)))</f>
        <v>7</v>
      </c>
      <c r="M869" s="1">
        <f t="array" aca="1" ref="M869" ca="1">SUMPRODUCT((OFFSET(Calc2!$F$4,,,$F$26*B866,2)=F869)*(OFFSET(Calc2!$H$4,,,$F$26*B866,1)=OFFSET(Calc2!$I$4,,,$F$26*B866,1))*(OFFSET(Calc2!$H$4,,,$F$26*B866,1)&lt;&gt;"")*(OFFSET(Calc2!$I$4,,,$F$26*B866,1)&lt;&gt;""))</f>
        <v>11</v>
      </c>
      <c r="N869" s="1">
        <f t="array" aca="1" ref="N869" ca="1">SUMPRODUCT((OFFSET(Calc2!$F$4,,,$F$26*B866,1)=F869)*(OFFSET(Calc2!$H$4,,,$F$26*B866,1)&lt;OFFSET(Calc2!$I$4,,,$F$26*B866,1)))+SUMPRODUCT((OFFSET(Calc2!$G$4,,,$F$26*B866,1)=F869)*(OFFSET(Calc2!$H$4,,,$F$26*B866,1)&gt;OFFSET(Calc2!$I$4,,,$F$26*B866,1)))</f>
        <v>15</v>
      </c>
      <c r="O869" s="132">
        <f ca="1">SUMPRODUCT((F869=OFFSET(Calc2!$F$4,,,$F$26*B866,1))*OFFSET(Calc2!$O$4,,,$F$26*B866,1))+SUMPRODUCT((F869=OFFSET(Calc2!$G$4,,,$F$26*B866,1))*OFFSET(Calc2!$P$4,,,$F$26*B866,1))</f>
        <v>0</v>
      </c>
      <c r="P869" s="2"/>
      <c r="Q869" s="2"/>
      <c r="R869" s="13">
        <f t="shared" ca="1" si="161"/>
        <v>32499990048</v>
      </c>
      <c r="S869" s="134">
        <f>Tie_Break!$D$8</f>
        <v>0</v>
      </c>
      <c r="T869" s="9">
        <f ca="1">RANK(R869,R868:R887)+(9-S869)/10000+(F869="")*1000</f>
        <v>14.0009</v>
      </c>
      <c r="U869" s="134"/>
      <c r="V869" s="134">
        <f ca="1">IF($K$24=0,"",IF(VLOOKUP(B869,C868:E887,3,0)=MAX(V$4:V868),VLOOKUP(B869,C868:E887,3,0),B869))</f>
        <v>2</v>
      </c>
      <c r="W869" s="4" t="str">
        <f ca="1">IF($K$24=0,Calc2!$C$5,VLOOKUP(B869,C868:N887,4,0))</f>
        <v>Borussia Dortmund</v>
      </c>
      <c r="X869" s="1">
        <f ca="1">INDEX(V841:V860,MATCH(W869,W841:W860,0))</f>
        <v>2</v>
      </c>
      <c r="Y869" s="1">
        <f t="shared" ref="Y869:Y887" ca="1" si="164">IF(X869&gt;V869,1,IF(X869&lt;V869,-1,0))</f>
        <v>0</v>
      </c>
    </row>
    <row r="870" spans="2:25" x14ac:dyDescent="0.2">
      <c r="B870" s="1">
        <v>3</v>
      </c>
      <c r="C870" s="9">
        <f ca="1">RANK(D870,D868:D887,1)</f>
        <v>12</v>
      </c>
      <c r="D870" s="134">
        <f t="shared" ca="1" si="162"/>
        <v>12.87</v>
      </c>
      <c r="E870" s="134">
        <f ca="1">RANK(T870,T868:T887,1)</f>
        <v>12</v>
      </c>
      <c r="F870" s="187" t="str">
        <f>Calc2!$C$6</f>
        <v>1. FC Union Berlin</v>
      </c>
      <c r="G870" s="1">
        <f ca="1">SUMIFS(OFFSET(Calc2!$H$4,,,$F$26*B866,1),OFFSET(Calc2!$F$4,,,$F$26*B866,1),F870)+SUMIFS(OFFSET(Calc2!$I$4,,,$F$26*B866,1),OFFSET(Calc2!$G$4,,,$F$26*B866,1),F870)</f>
        <v>38</v>
      </c>
      <c r="H870" s="1">
        <f ca="1">SUMIFS(OFFSET(Calc2!$I$4,,,$F$26*B866,1),OFFSET(Calc2!$F$4,,,$F$26*B866,1),F870)+SUMIFS(OFFSET(Calc2!$H$4,,,$F$26*B866,1),OFFSET(Calc2!$G$4,,,$F$26*B866,1),F870)</f>
        <v>57</v>
      </c>
      <c r="I870" s="134">
        <f t="shared" ca="1" si="160"/>
        <v>-19</v>
      </c>
      <c r="J870" s="12">
        <f ca="1">L870*Settings!$C$3+M870+O870</f>
        <v>36</v>
      </c>
      <c r="K870" s="1">
        <f t="shared" ca="1" si="163"/>
        <v>33</v>
      </c>
      <c r="L870" s="1">
        <f t="array" aca="1" ref="L870" ca="1">SUMPRODUCT((OFFSET(Calc2!$F$4,,,$F$26*B866,1)=F870)*(OFFSET(Calc2!$H$4,,,$F$26*B866,1)&gt;OFFSET(Calc2!$I$4,,,$F$26*B866,1)))+SUMPRODUCT((OFFSET(Calc2!$G$4,,,$F$26*B866,1)=F870)*(OFFSET(Calc2!$H$4,,,$F$26*B866,1)&lt;OFFSET(Calc2!$I$4,,,$F$26*B866,1)))</f>
        <v>9</v>
      </c>
      <c r="M870" s="1">
        <f t="array" aca="1" ref="M870" ca="1">SUMPRODUCT((OFFSET(Calc2!$F$4,,,$F$26*B866,2)=F870)*(OFFSET(Calc2!$H$4,,,$F$26*B866,1)=OFFSET(Calc2!$I$4,,,$F$26*B866,1))*(OFFSET(Calc2!$H$4,,,$F$26*B866,1)&lt;&gt;"")*(OFFSET(Calc2!$I$4,,,$F$26*B866,1)&lt;&gt;""))</f>
        <v>9</v>
      </c>
      <c r="N870" s="1">
        <f t="array" aca="1" ref="N870" ca="1">SUMPRODUCT((OFFSET(Calc2!$F$4,,,$F$26*B866,1)=F870)*(OFFSET(Calc2!$H$4,,,$F$26*B866,1)&lt;OFFSET(Calc2!$I$4,,,$F$26*B866,1)))+SUMPRODUCT((OFFSET(Calc2!$G$4,,,$F$26*B866,1)=F870)*(OFFSET(Calc2!$H$4,,,$F$26*B866,1)&gt;OFFSET(Calc2!$I$4,,,$F$26*B866,1)))</f>
        <v>15</v>
      </c>
      <c r="O870" s="132">
        <f ca="1">SUMPRODUCT((F870=OFFSET(Calc2!$F$4,,,$F$26*B866,1))*OFFSET(Calc2!$O$4,,,$F$26*B866,1))+SUMPRODUCT((F870=OFFSET(Calc2!$G$4,,,$F$26*B866,1))*OFFSET(Calc2!$P$4,,,$F$26*B866,1))</f>
        <v>0</v>
      </c>
      <c r="P870" s="2"/>
      <c r="Q870" s="2"/>
      <c r="R870" s="13">
        <f t="shared" ca="1" si="161"/>
        <v>36499981038</v>
      </c>
      <c r="S870" s="134">
        <f>Tie_Break!$D$9</f>
        <v>0</v>
      </c>
      <c r="T870" s="9">
        <f ca="1">RANK(R870,R868:R887)+(9-S870)/10000+(F870="")*1000</f>
        <v>12.0009</v>
      </c>
      <c r="U870" s="134"/>
      <c r="V870" s="134">
        <f ca="1">IF($K$24=0,"",IF(VLOOKUP(B870,C868:E887,3,0)=MAX(V$4:V869),VLOOKUP(B870,C868:E887,3,0),B870))</f>
        <v>3</v>
      </c>
      <c r="W870" s="4" t="str">
        <f ca="1">IF($K$24=0,Calc2!$C$6,VLOOKUP(B870,C868:N887,4,0))</f>
        <v>RB Leipzig</v>
      </c>
      <c r="X870" s="1">
        <f ca="1">INDEX(V841:V860,MATCH(W870,W841:W860,0))</f>
        <v>3</v>
      </c>
      <c r="Y870" s="1">
        <f t="shared" ca="1" si="164"/>
        <v>0</v>
      </c>
    </row>
    <row r="871" spans="2:25" x14ac:dyDescent="0.2">
      <c r="B871" s="1">
        <v>4</v>
      </c>
      <c r="C871" s="9">
        <f ca="1">RANK(D871,D868:D887,1)</f>
        <v>10</v>
      </c>
      <c r="D871" s="134">
        <f t="shared" ca="1" si="162"/>
        <v>10.871</v>
      </c>
      <c r="E871" s="134">
        <f ca="1">RANK(T871,T868:T887,1)</f>
        <v>10</v>
      </c>
      <c r="F871" s="187" t="str">
        <f>Calc2!$C$7</f>
        <v>1. FSV Mainz 05</v>
      </c>
      <c r="G871" s="1">
        <f ca="1">SUMIFS(OFFSET(Calc2!$H$4,,,$F$26*B866,1),OFFSET(Calc2!$F$4,,,$F$26*B866,1),F871)+SUMIFS(OFFSET(Calc2!$I$4,,,$F$26*B866,1),OFFSET(Calc2!$G$4,,,$F$26*B866,1),F871)</f>
        <v>41</v>
      </c>
      <c r="H871" s="1">
        <f ca="1">SUMIFS(OFFSET(Calc2!$I$4,,,$F$26*B866,1),OFFSET(Calc2!$F$4,,,$F$26*B866,1),F871)+SUMIFS(OFFSET(Calc2!$H$4,,,$F$26*B866,1),OFFSET(Calc2!$G$4,,,$F$26*B866,1),F871)</f>
        <v>51</v>
      </c>
      <c r="I871" s="134">
        <f t="shared" ca="1" si="160"/>
        <v>-10</v>
      </c>
      <c r="J871" s="12">
        <f ca="1">L871*Settings!$C$3+M871+O871</f>
        <v>37</v>
      </c>
      <c r="K871" s="1">
        <f t="shared" ca="1" si="163"/>
        <v>33</v>
      </c>
      <c r="L871" s="1">
        <f t="array" aca="1" ref="L871" ca="1">SUMPRODUCT((OFFSET(Calc2!$F$4,,,$F$26*B866,1)=F871)*(OFFSET(Calc2!$H$4,,,$F$26*B866,1)&gt;OFFSET(Calc2!$I$4,,,$F$26*B866,1)))+SUMPRODUCT((OFFSET(Calc2!$G$4,,,$F$26*B866,1)=F871)*(OFFSET(Calc2!$H$4,,,$F$26*B866,1)&lt;OFFSET(Calc2!$I$4,,,$F$26*B866,1)))</f>
        <v>9</v>
      </c>
      <c r="M871" s="1">
        <f t="array" aca="1" ref="M871" ca="1">SUMPRODUCT((OFFSET(Calc2!$F$4,,,$F$26*B866,2)=F871)*(OFFSET(Calc2!$H$4,,,$F$26*B866,1)=OFFSET(Calc2!$I$4,,,$F$26*B866,1))*(OFFSET(Calc2!$H$4,,,$F$26*B866,1)&lt;&gt;"")*(OFFSET(Calc2!$I$4,,,$F$26*B866,1)&lt;&gt;""))</f>
        <v>10</v>
      </c>
      <c r="N871" s="1">
        <f t="array" aca="1" ref="N871" ca="1">SUMPRODUCT((OFFSET(Calc2!$F$4,,,$F$26*B866,1)=F871)*(OFFSET(Calc2!$H$4,,,$F$26*B866,1)&lt;OFFSET(Calc2!$I$4,,,$F$26*B866,1)))+SUMPRODUCT((OFFSET(Calc2!$G$4,,,$F$26*B866,1)=F871)*(OFFSET(Calc2!$H$4,,,$F$26*B866,1)&gt;OFFSET(Calc2!$I$4,,,$F$26*B866,1)))</f>
        <v>14</v>
      </c>
      <c r="O871" s="132">
        <f ca="1">SUMPRODUCT((F871=OFFSET(Calc2!$F$4,,,$F$26*B866,1))*OFFSET(Calc2!$O$4,,,$F$26*B866,1))+SUMPRODUCT((F871=OFFSET(Calc2!$G$4,,,$F$26*B866,1))*OFFSET(Calc2!$P$4,,,$F$26*B866,1))</f>
        <v>0</v>
      </c>
      <c r="P871" s="2"/>
      <c r="Q871" s="2"/>
      <c r="R871" s="13">
        <f t="shared" ca="1" si="161"/>
        <v>37499990041</v>
      </c>
      <c r="S871" s="134">
        <f>Tie_Break!$D$10</f>
        <v>0</v>
      </c>
      <c r="T871" s="9">
        <f ca="1">RANK(R871,R868:R887)+(9-S871)/10000+(F871="")*1000</f>
        <v>10.0009</v>
      </c>
      <c r="U871" s="134"/>
      <c r="V871" s="134">
        <f ca="1">IF($K$24=0,"",IF(VLOOKUP(B871,C868:E887,3,0)=MAX(V$4:V870),VLOOKUP(B871,C868:E887,3,0),B871))</f>
        <v>4</v>
      </c>
      <c r="W871" s="4" t="str">
        <f ca="1">IF($K$24=0,Calc2!$C$7,VLOOKUP(B871,C868:N887,4,0))</f>
        <v>VfB Stuttgart</v>
      </c>
      <c r="X871" s="1">
        <f ca="1">INDEX(V841:V860,MATCH(W871,W841:W860,0))</f>
        <v>5</v>
      </c>
      <c r="Y871" s="1">
        <f t="shared" ca="1" si="164"/>
        <v>1</v>
      </c>
    </row>
    <row r="872" spans="2:25" x14ac:dyDescent="0.2">
      <c r="B872" s="1">
        <v>5</v>
      </c>
      <c r="C872" s="9">
        <f ca="1">RANK(D872,D868:D887,1)</f>
        <v>6</v>
      </c>
      <c r="D872" s="134">
        <f t="shared" ca="1" si="162"/>
        <v>6.8719999999999999</v>
      </c>
      <c r="E872" s="134">
        <f ca="1">RANK(T872,T868:T887,1)</f>
        <v>6</v>
      </c>
      <c r="F872" s="187" t="str">
        <f>Calc2!$C$8</f>
        <v>Bayer 04 Leverkusen</v>
      </c>
      <c r="G872" s="1">
        <f ca="1">SUMIFS(OFFSET(Calc2!$H$4,,,$F$26*B866,1),OFFSET(Calc2!$F$4,,,$F$26*B866,1),F872)+SUMIFS(OFFSET(Calc2!$I$4,,,$F$26*B866,1),OFFSET(Calc2!$G$4,,,$F$26*B866,1),F872)</f>
        <v>67</v>
      </c>
      <c r="H872" s="1">
        <f ca="1">SUMIFS(OFFSET(Calc2!$I$4,,,$F$26*B866,1),OFFSET(Calc2!$F$4,,,$F$26*B866,1),F872)+SUMIFS(OFFSET(Calc2!$H$4,,,$F$26*B866,1),OFFSET(Calc2!$G$4,,,$F$26*B866,1),F872)</f>
        <v>46</v>
      </c>
      <c r="I872" s="134">
        <f t="shared" ca="1" si="160"/>
        <v>21</v>
      </c>
      <c r="J872" s="12">
        <f ca="1">L872*Settings!$C$3+M872+O872</f>
        <v>58</v>
      </c>
      <c r="K872" s="1">
        <f t="shared" ca="1" si="163"/>
        <v>33</v>
      </c>
      <c r="L872" s="1">
        <f t="array" aca="1" ref="L872" ca="1">SUMPRODUCT((OFFSET(Calc2!$F$4,,,$F$26*B866,1)=F872)*(OFFSET(Calc2!$H$4,,,$F$26*B866,1)&gt;OFFSET(Calc2!$I$4,,,$F$26*B866,1)))+SUMPRODUCT((OFFSET(Calc2!$G$4,,,$F$26*B866,1)=F872)*(OFFSET(Calc2!$H$4,,,$F$26*B866,1)&lt;OFFSET(Calc2!$I$4,,,$F$26*B866,1)))</f>
        <v>17</v>
      </c>
      <c r="M872" s="1">
        <f t="array" aca="1" ref="M872" ca="1">SUMPRODUCT((OFFSET(Calc2!$F$4,,,$F$26*B866,2)=F872)*(OFFSET(Calc2!$H$4,,,$F$26*B866,1)=OFFSET(Calc2!$I$4,,,$F$26*B866,1))*(OFFSET(Calc2!$H$4,,,$F$26*B866,1)&lt;&gt;"")*(OFFSET(Calc2!$I$4,,,$F$26*B866,1)&lt;&gt;""))</f>
        <v>7</v>
      </c>
      <c r="N872" s="1">
        <f t="array" aca="1" ref="N872" ca="1">SUMPRODUCT((OFFSET(Calc2!$F$4,,,$F$26*B866,1)=F872)*(OFFSET(Calc2!$H$4,,,$F$26*B866,1)&lt;OFFSET(Calc2!$I$4,,,$F$26*B866,1)))+SUMPRODUCT((OFFSET(Calc2!$G$4,,,$F$26*B866,1)=F872)*(OFFSET(Calc2!$H$4,,,$F$26*B866,1)&gt;OFFSET(Calc2!$I$4,,,$F$26*B866,1)))</f>
        <v>9</v>
      </c>
      <c r="O872" s="132">
        <f ca="1">SUMPRODUCT((F872=OFFSET(Calc2!$F$4,,,$F$26*B866,1))*OFFSET(Calc2!$O$4,,,$F$26*B866,1))+SUMPRODUCT((F872=OFFSET(Calc2!$G$4,,,$F$26*B866,1))*OFFSET(Calc2!$P$4,,,$F$26*B866,1))</f>
        <v>0</v>
      </c>
      <c r="P872" s="2"/>
      <c r="Q872" s="2"/>
      <c r="R872" s="13">
        <f t="shared" ca="1" si="161"/>
        <v>58500021067</v>
      </c>
      <c r="S872" s="134">
        <f>Tie_Break!$D$11</f>
        <v>0</v>
      </c>
      <c r="T872" s="9">
        <f ca="1">RANK(R872,R868:R887)+(9-S872)/10000+(F872="")*1000</f>
        <v>6.0008999999999997</v>
      </c>
      <c r="U872" s="134"/>
      <c r="V872" s="134">
        <f ca="1">IF($K$24=0,"",IF(VLOOKUP(B872,C868:E887,3,0)=MAX(V$4:V871),VLOOKUP(B872,C868:E887,3,0),B872))</f>
        <v>5</v>
      </c>
      <c r="W872" s="4" t="str">
        <f ca="1">IF($K$24=0,Calc2!$C$8,VLOOKUP(B872,C868:N887,4,0))</f>
        <v>TSG Hoffenheim</v>
      </c>
      <c r="X872" s="1">
        <f ca="1">INDEX(V841:V860,MATCH(W872,W841:W860,0))</f>
        <v>6</v>
      </c>
      <c r="Y872" s="1">
        <f t="shared" ca="1" si="164"/>
        <v>1</v>
      </c>
    </row>
    <row r="873" spans="2:25" x14ac:dyDescent="0.2">
      <c r="B873" s="1">
        <v>6</v>
      </c>
      <c r="C873" s="9">
        <f ca="1">RANK(D873,D868:D887,1)</f>
        <v>2</v>
      </c>
      <c r="D873" s="134">
        <f t="shared" ca="1" si="162"/>
        <v>2.8730000000000002</v>
      </c>
      <c r="E873" s="134">
        <f ca="1">RANK(T873,T868:T887,1)</f>
        <v>2</v>
      </c>
      <c r="F873" s="187" t="str">
        <f>Calc2!$C$9</f>
        <v>Borussia Dortmund</v>
      </c>
      <c r="G873" s="1">
        <f ca="1">SUMIFS(OFFSET(Calc2!$H$4,,,$F$26*B866,1),OFFSET(Calc2!$F$4,,,$F$26*B866,1),F873)+SUMIFS(OFFSET(Calc2!$I$4,,,$F$26*B866,1),OFFSET(Calc2!$G$4,,,$F$26*B866,1),F873)</f>
        <v>68</v>
      </c>
      <c r="H873" s="1">
        <f ca="1">SUMIFS(OFFSET(Calc2!$I$4,,,$F$26*B866,1),OFFSET(Calc2!$F$4,,,$F$26*B866,1),F873)+SUMIFS(OFFSET(Calc2!$H$4,,,$F$26*B866,1),OFFSET(Calc2!$G$4,,,$F$26*B866,1),F873)</f>
        <v>34</v>
      </c>
      <c r="I873" s="134">
        <f t="shared" ca="1" si="160"/>
        <v>34</v>
      </c>
      <c r="J873" s="12">
        <f ca="1">L873*Settings!$C$3+M873+O873</f>
        <v>70</v>
      </c>
      <c r="K873" s="1">
        <f t="shared" ca="1" si="163"/>
        <v>33</v>
      </c>
      <c r="L873" s="1">
        <f t="array" aca="1" ref="L873" ca="1">SUMPRODUCT((OFFSET(Calc2!$F$4,,,$F$26*B866,1)=F873)*(OFFSET(Calc2!$H$4,,,$F$26*B866,1)&gt;OFFSET(Calc2!$I$4,,,$F$26*B866,1)))+SUMPRODUCT((OFFSET(Calc2!$G$4,,,$F$26*B866,1)=F873)*(OFFSET(Calc2!$H$4,,,$F$26*B866,1)&lt;OFFSET(Calc2!$I$4,,,$F$26*B866,1)))</f>
        <v>21</v>
      </c>
      <c r="M873" s="1">
        <f t="array" aca="1" ref="M873" ca="1">SUMPRODUCT((OFFSET(Calc2!$F$4,,,$F$26*B866,2)=F873)*(OFFSET(Calc2!$H$4,,,$F$26*B866,1)=OFFSET(Calc2!$I$4,,,$F$26*B866,1))*(OFFSET(Calc2!$H$4,,,$F$26*B866,1)&lt;&gt;"")*(OFFSET(Calc2!$I$4,,,$F$26*B866,1)&lt;&gt;""))</f>
        <v>7</v>
      </c>
      <c r="N873" s="1">
        <f t="array" aca="1" ref="N873" ca="1">SUMPRODUCT((OFFSET(Calc2!$F$4,,,$F$26*B866,1)=F873)*(OFFSET(Calc2!$H$4,,,$F$26*B866,1)&lt;OFFSET(Calc2!$I$4,,,$F$26*B866,1)))+SUMPRODUCT((OFFSET(Calc2!$G$4,,,$F$26*B866,1)=F873)*(OFFSET(Calc2!$H$4,,,$F$26*B866,1)&gt;OFFSET(Calc2!$I$4,,,$F$26*B866,1)))</f>
        <v>5</v>
      </c>
      <c r="O873" s="132">
        <f ca="1">SUMPRODUCT((F873=OFFSET(Calc2!$F$4,,,$F$26*B866,1))*OFFSET(Calc2!$O$4,,,$F$26*B866,1))+SUMPRODUCT((F873=OFFSET(Calc2!$G$4,,,$F$26*B866,1))*OFFSET(Calc2!$P$4,,,$F$26*B866,1))</f>
        <v>0</v>
      </c>
      <c r="P873" s="2"/>
      <c r="Q873" s="2"/>
      <c r="R873" s="13">
        <f t="shared" ca="1" si="161"/>
        <v>70500034068</v>
      </c>
      <c r="S873" s="134">
        <f>Tie_Break!$D$12</f>
        <v>0</v>
      </c>
      <c r="T873" s="9">
        <f ca="1">RANK(R873,R868:R887)+(9-S873)/10000+(F873="")*1000</f>
        <v>2.0009000000000001</v>
      </c>
      <c r="U873" s="134"/>
      <c r="V873" s="134">
        <f ca="1">IF($K$24=0,"",IF(VLOOKUP(B873,C868:E887,3,0)=MAX(V$4:V872),VLOOKUP(B873,C868:E887,3,0),B873))</f>
        <v>6</v>
      </c>
      <c r="W873" s="4" t="str">
        <f ca="1">IF($K$24=0,Calc2!$C$9,VLOOKUP(B873,C868:N887,4,0))</f>
        <v>Bayer 04 Leverkusen</v>
      </c>
      <c r="X873" s="1">
        <f ca="1">INDEX(V841:V860,MATCH(W873,W841:W860,0))</f>
        <v>4</v>
      </c>
      <c r="Y873" s="1">
        <f t="shared" ca="1" si="164"/>
        <v>-1</v>
      </c>
    </row>
    <row r="874" spans="2:25" x14ac:dyDescent="0.2">
      <c r="B874" s="1">
        <v>7</v>
      </c>
      <c r="C874" s="9">
        <f ca="1">RANK(D874,D868:D887,1)</f>
        <v>13</v>
      </c>
      <c r="D874" s="134">
        <f t="shared" ca="1" si="162"/>
        <v>13.874000000000001</v>
      </c>
      <c r="E874" s="134">
        <f ca="1">RANK(T874,T868:T887,1)</f>
        <v>13</v>
      </c>
      <c r="F874" s="187" t="str">
        <f>Calc2!$C$10</f>
        <v>Borussia Mönchengladbach</v>
      </c>
      <c r="G874" s="1">
        <f ca="1">SUMIFS(OFFSET(Calc2!$H$4,,,$F$26*B866,1),OFFSET(Calc2!$F$4,,,$F$26*B866,1),F874)+SUMIFS(OFFSET(Calc2!$I$4,,,$F$26*B866,1),OFFSET(Calc2!$G$4,,,$F$26*B866,1),F874)</f>
        <v>38</v>
      </c>
      <c r="H874" s="1">
        <f ca="1">SUMIFS(OFFSET(Calc2!$I$4,,,$F$26*B866,1),OFFSET(Calc2!$F$4,,,$F$26*B866,1),F874)+SUMIFS(OFFSET(Calc2!$H$4,,,$F$26*B866,1),OFFSET(Calc2!$G$4,,,$F$26*B866,1),F874)</f>
        <v>53</v>
      </c>
      <c r="I874" s="134">
        <f t="shared" ca="1" si="160"/>
        <v>-15</v>
      </c>
      <c r="J874" s="12">
        <f ca="1">L874*Settings!$C$3+M874+O874</f>
        <v>35</v>
      </c>
      <c r="K874" s="1">
        <f t="shared" ca="1" si="163"/>
        <v>33</v>
      </c>
      <c r="L874" s="1">
        <f t="array" aca="1" ref="L874" ca="1">SUMPRODUCT((OFFSET(Calc2!$F$4,,,$F$26*B866,1)=F874)*(OFFSET(Calc2!$H$4,,,$F$26*B866,1)&gt;OFFSET(Calc2!$I$4,,,$F$26*B866,1)))+SUMPRODUCT((OFFSET(Calc2!$G$4,,,$F$26*B866,1)=F874)*(OFFSET(Calc2!$H$4,,,$F$26*B866,1)&lt;OFFSET(Calc2!$I$4,,,$F$26*B866,1)))</f>
        <v>8</v>
      </c>
      <c r="M874" s="1">
        <f t="array" aca="1" ref="M874" ca="1">SUMPRODUCT((OFFSET(Calc2!$F$4,,,$F$26*B866,2)=F874)*(OFFSET(Calc2!$H$4,,,$F$26*B866,1)=OFFSET(Calc2!$I$4,,,$F$26*B866,1))*(OFFSET(Calc2!$H$4,,,$F$26*B866,1)&lt;&gt;"")*(OFFSET(Calc2!$I$4,,,$F$26*B866,1)&lt;&gt;""))</f>
        <v>11</v>
      </c>
      <c r="N874" s="1">
        <f t="array" aca="1" ref="N874" ca="1">SUMPRODUCT((OFFSET(Calc2!$F$4,,,$F$26*B866,1)=F874)*(OFFSET(Calc2!$H$4,,,$F$26*B866,1)&lt;OFFSET(Calc2!$I$4,,,$F$26*B866,1)))+SUMPRODUCT((OFFSET(Calc2!$G$4,,,$F$26*B866,1)=F874)*(OFFSET(Calc2!$H$4,,,$F$26*B866,1)&gt;OFFSET(Calc2!$I$4,,,$F$26*B866,1)))</f>
        <v>14</v>
      </c>
      <c r="O874" s="132">
        <f ca="1">SUMPRODUCT((F874=OFFSET(Calc2!$F$4,,,$F$26*B866,1))*OFFSET(Calc2!$O$4,,,$F$26*B866,1))+SUMPRODUCT((F874=OFFSET(Calc2!$G$4,,,$F$26*B866,1))*OFFSET(Calc2!$P$4,,,$F$26*B866,1))</f>
        <v>0</v>
      </c>
      <c r="P874" s="2"/>
      <c r="Q874" s="2"/>
      <c r="R874" s="13">
        <f t="shared" ca="1" si="161"/>
        <v>35499985038</v>
      </c>
      <c r="S874" s="134">
        <f>Tie_Break!$D$13</f>
        <v>0</v>
      </c>
      <c r="T874" s="9">
        <f ca="1">RANK(R874,R868:R887)+(9-S874)/10000+(F874="")*1000</f>
        <v>13.0009</v>
      </c>
      <c r="U874" s="134"/>
      <c r="V874" s="134">
        <f ca="1">IF($K$24=0,"",IF(VLOOKUP(B874,C868:E887,3,0)=MAX(V$4:V873),VLOOKUP(B874,C868:E887,3,0),B874))</f>
        <v>7</v>
      </c>
      <c r="W874" s="4" t="str">
        <f ca="1">IF($K$24=0,Calc2!$C$10,VLOOKUP(B874,C868:N887,4,0))</f>
        <v>SC Freiburg</v>
      </c>
      <c r="X874" s="1">
        <f ca="1">INDEX(V841:V860,MATCH(W874,W841:W860,0))</f>
        <v>7</v>
      </c>
      <c r="Y874" s="1">
        <f t="shared" ca="1" si="164"/>
        <v>0</v>
      </c>
    </row>
    <row r="875" spans="2:25" x14ac:dyDescent="0.2">
      <c r="B875" s="1">
        <v>8</v>
      </c>
      <c r="C875" s="9">
        <f ca="1">RANK(D875,D868:D887,1)</f>
        <v>8</v>
      </c>
      <c r="D875" s="134">
        <f t="shared" ca="1" si="162"/>
        <v>8.875</v>
      </c>
      <c r="E875" s="134">
        <f ca="1">RANK(T875,T868:T887,1)</f>
        <v>8</v>
      </c>
      <c r="F875" s="187" t="str">
        <f>Calc2!$C$11</f>
        <v>Eintracht Frankfurt</v>
      </c>
      <c r="G875" s="1">
        <f ca="1">SUMIFS(OFFSET(Calc2!$H$4,,,$F$26*B866,1),OFFSET(Calc2!$F$4,,,$F$26*B866,1),F875)+SUMIFS(OFFSET(Calc2!$I$4,,,$F$26*B866,1),OFFSET(Calc2!$G$4,,,$F$26*B866,1),F875)</f>
        <v>59</v>
      </c>
      <c r="H875" s="1">
        <f ca="1">SUMIFS(OFFSET(Calc2!$I$4,,,$F$26*B866,1),OFFSET(Calc2!$F$4,,,$F$26*B866,1),F875)+SUMIFS(OFFSET(Calc2!$H$4,,,$F$26*B866,1),OFFSET(Calc2!$G$4,,,$F$26*B866,1),F875)</f>
        <v>63</v>
      </c>
      <c r="I875" s="134">
        <f t="shared" ca="1" si="160"/>
        <v>-4</v>
      </c>
      <c r="J875" s="12">
        <f ca="1">L875*Settings!$C$3+M875+O875</f>
        <v>43</v>
      </c>
      <c r="K875" s="1">
        <f t="shared" ca="1" si="163"/>
        <v>33</v>
      </c>
      <c r="L875" s="1">
        <f t="array" aca="1" ref="L875" ca="1">SUMPRODUCT((OFFSET(Calc2!$F$4,,,$F$26*B866,1)=F875)*(OFFSET(Calc2!$H$4,,,$F$26*B866,1)&gt;OFFSET(Calc2!$I$4,,,$F$26*B866,1)))+SUMPRODUCT((OFFSET(Calc2!$G$4,,,$F$26*B866,1)=F875)*(OFFSET(Calc2!$H$4,,,$F$26*B866,1)&lt;OFFSET(Calc2!$I$4,,,$F$26*B866,1)))</f>
        <v>11</v>
      </c>
      <c r="M875" s="1">
        <f t="array" aca="1" ref="M875" ca="1">SUMPRODUCT((OFFSET(Calc2!$F$4,,,$F$26*B866,2)=F875)*(OFFSET(Calc2!$H$4,,,$F$26*B866,1)=OFFSET(Calc2!$I$4,,,$F$26*B866,1))*(OFFSET(Calc2!$H$4,,,$F$26*B866,1)&lt;&gt;"")*(OFFSET(Calc2!$I$4,,,$F$26*B866,1)&lt;&gt;""))</f>
        <v>10</v>
      </c>
      <c r="N875" s="1">
        <f t="array" aca="1" ref="N875" ca="1">SUMPRODUCT((OFFSET(Calc2!$F$4,,,$F$26*B866,1)=F875)*(OFFSET(Calc2!$H$4,,,$F$26*B866,1)&lt;OFFSET(Calc2!$I$4,,,$F$26*B866,1)))+SUMPRODUCT((OFFSET(Calc2!$G$4,,,$F$26*B866,1)=F875)*(OFFSET(Calc2!$H$4,,,$F$26*B866,1)&gt;OFFSET(Calc2!$I$4,,,$F$26*B866,1)))</f>
        <v>12</v>
      </c>
      <c r="O875" s="132">
        <f ca="1">SUMPRODUCT((F875=OFFSET(Calc2!$F$4,,,$F$26*B866,1))*OFFSET(Calc2!$O$4,,,$F$26*B866,1))+SUMPRODUCT((F875=OFFSET(Calc2!$G$4,,,$F$26*B866,1))*OFFSET(Calc2!$P$4,,,$F$26*B866,1))</f>
        <v>0</v>
      </c>
      <c r="P875" s="2"/>
      <c r="Q875" s="2"/>
      <c r="R875" s="13">
        <f t="shared" ca="1" si="161"/>
        <v>43499996059</v>
      </c>
      <c r="S875" s="134">
        <f>Tie_Break!$D$14</f>
        <v>0</v>
      </c>
      <c r="T875" s="9">
        <f ca="1">RANK(R875,R868:R887)+(9-S875)/10000+(F875="")*1000</f>
        <v>8.0008999999999997</v>
      </c>
      <c r="U875" s="134"/>
      <c r="V875" s="134">
        <f ca="1">IF($K$24=0,"",IF(VLOOKUP(B875,C868:E887,3,0)=MAX(V$4:V874),VLOOKUP(B875,C868:E887,3,0),B875))</f>
        <v>8</v>
      </c>
      <c r="W875" s="4" t="str">
        <f ca="1">IF($K$24=0,Calc2!$C$11,VLOOKUP(B875,C868:N887,4,0))</f>
        <v>Eintracht Frankfurt</v>
      </c>
      <c r="X875" s="1">
        <f ca="1">INDEX(V841:V860,MATCH(W875,W841:W860,0))</f>
        <v>8</v>
      </c>
      <c r="Y875" s="1">
        <f t="shared" ca="1" si="164"/>
        <v>0</v>
      </c>
    </row>
    <row r="876" spans="2:25" x14ac:dyDescent="0.2">
      <c r="B876" s="1">
        <v>9</v>
      </c>
      <c r="C876" s="9">
        <f ca="1">RANK(D876,D868:D887,1)</f>
        <v>9</v>
      </c>
      <c r="D876" s="134">
        <f t="shared" ca="1" si="162"/>
        <v>9.8759999999999994</v>
      </c>
      <c r="E876" s="134">
        <f ca="1">RANK(T876,T868:T887,1)</f>
        <v>9</v>
      </c>
      <c r="F876" s="187" t="str">
        <f>Calc2!$C$12</f>
        <v>FC Augsburg</v>
      </c>
      <c r="G876" s="1">
        <f ca="1">SUMIFS(OFFSET(Calc2!$H$4,,,$F$26*B866,1),OFFSET(Calc2!$F$4,,,$F$26*B866,1),F876)+SUMIFS(OFFSET(Calc2!$I$4,,,$F$26*B866,1),OFFSET(Calc2!$G$4,,,$F$26*B866,1),F876)</f>
        <v>45</v>
      </c>
      <c r="H876" s="1">
        <f ca="1">SUMIFS(OFFSET(Calc2!$I$4,,,$F$26*B866,1),OFFSET(Calc2!$F$4,,,$F$26*B866,1),F876)+SUMIFS(OFFSET(Calc2!$H$4,,,$F$26*B866,1),OFFSET(Calc2!$G$4,,,$F$26*B866,1),F876)</f>
        <v>57</v>
      </c>
      <c r="I876" s="134">
        <f t="shared" ca="1" si="160"/>
        <v>-12</v>
      </c>
      <c r="J876" s="12">
        <f ca="1">L876*Settings!$C$3+M876+O876</f>
        <v>43</v>
      </c>
      <c r="K876" s="1">
        <f t="shared" ca="1" si="163"/>
        <v>33</v>
      </c>
      <c r="L876" s="1">
        <f t="array" aca="1" ref="L876" ca="1">SUMPRODUCT((OFFSET(Calc2!$F$4,,,$F$26*B866,1)=F876)*(OFFSET(Calc2!$H$4,,,$F$26*B866,1)&gt;OFFSET(Calc2!$I$4,,,$F$26*B866,1)))+SUMPRODUCT((OFFSET(Calc2!$G$4,,,$F$26*B866,1)=F876)*(OFFSET(Calc2!$H$4,,,$F$26*B866,1)&lt;OFFSET(Calc2!$I$4,,,$F$26*B866,1)))</f>
        <v>12</v>
      </c>
      <c r="M876" s="1">
        <f t="array" aca="1" ref="M876" ca="1">SUMPRODUCT((OFFSET(Calc2!$F$4,,,$F$26*B866,2)=F876)*(OFFSET(Calc2!$H$4,,,$F$26*B866,1)=OFFSET(Calc2!$I$4,,,$F$26*B866,1))*(OFFSET(Calc2!$H$4,,,$F$26*B866,1)&lt;&gt;"")*(OFFSET(Calc2!$I$4,,,$F$26*B866,1)&lt;&gt;""))</f>
        <v>7</v>
      </c>
      <c r="N876" s="1">
        <f t="array" aca="1" ref="N876" ca="1">SUMPRODUCT((OFFSET(Calc2!$F$4,,,$F$26*B866,1)=F876)*(OFFSET(Calc2!$H$4,,,$F$26*B866,1)&lt;OFFSET(Calc2!$I$4,,,$F$26*B866,1)))+SUMPRODUCT((OFFSET(Calc2!$G$4,,,$F$26*B866,1)=F876)*(OFFSET(Calc2!$H$4,,,$F$26*B866,1)&gt;OFFSET(Calc2!$I$4,,,$F$26*B866,1)))</f>
        <v>14</v>
      </c>
      <c r="O876" s="132">
        <f ca="1">SUMPRODUCT((F876=OFFSET(Calc2!$F$4,,,$F$26*B866,1))*OFFSET(Calc2!$O$4,,,$F$26*B866,1))+SUMPRODUCT((F876=OFFSET(Calc2!$G$4,,,$F$26*B866,1))*OFFSET(Calc2!$P$4,,,$F$26*B866,1))</f>
        <v>0</v>
      </c>
      <c r="P876" s="2"/>
      <c r="Q876" s="2"/>
      <c r="R876" s="13">
        <f t="shared" ca="1" si="161"/>
        <v>43499988045</v>
      </c>
      <c r="S876" s="134">
        <f>Tie_Break!$D$15</f>
        <v>0</v>
      </c>
      <c r="T876" s="9">
        <f ca="1">RANK(R876,R868:R887)+(9-S876)/10000+(F876="")*1000</f>
        <v>9.0008999999999997</v>
      </c>
      <c r="U876" s="134"/>
      <c r="V876" s="134">
        <f ca="1">IF($K$24=0,"",IF(VLOOKUP(B876,C868:E887,3,0)=MAX(V$4:V875),VLOOKUP(B876,C868:E887,3,0),B876))</f>
        <v>9</v>
      </c>
      <c r="W876" s="4" t="str">
        <f ca="1">IF($K$24=0,Calc2!$C$12,VLOOKUP(B876,C868:N887,4,0))</f>
        <v>FC Augsburg</v>
      </c>
      <c r="X876" s="1">
        <f ca="1">INDEX(V841:V860,MATCH(W876,W841:W860,0))</f>
        <v>9</v>
      </c>
      <c r="Y876" s="1">
        <f t="shared" ca="1" si="164"/>
        <v>0</v>
      </c>
    </row>
    <row r="877" spans="2:25" x14ac:dyDescent="0.2">
      <c r="B877" s="1">
        <v>10</v>
      </c>
      <c r="C877" s="9">
        <f ca="1">RANK(D877,D868:D887,1)</f>
        <v>1</v>
      </c>
      <c r="D877" s="134">
        <f t="shared" ca="1" si="162"/>
        <v>1.877</v>
      </c>
      <c r="E877" s="134">
        <f ca="1">RANK(T877,T868:T887,1)</f>
        <v>1</v>
      </c>
      <c r="F877" s="187" t="str">
        <f>Calc2!$C$13</f>
        <v>FC Bayern München</v>
      </c>
      <c r="G877" s="1">
        <f ca="1">SUMIFS(OFFSET(Calc2!$H$4,,,$F$26*B866,1),OFFSET(Calc2!$F$4,,,$F$26*B866,1),F877)+SUMIFS(OFFSET(Calc2!$I$4,,,$F$26*B866,1),OFFSET(Calc2!$G$4,,,$F$26*B866,1),F877)</f>
        <v>117</v>
      </c>
      <c r="H877" s="1">
        <f ca="1">SUMIFS(OFFSET(Calc2!$I$4,,,$F$26*B866,1),OFFSET(Calc2!$F$4,,,$F$26*B866,1),F877)+SUMIFS(OFFSET(Calc2!$H$4,,,$F$26*B866,1),OFFSET(Calc2!$G$4,,,$F$26*B866,1),F877)</f>
        <v>35</v>
      </c>
      <c r="I877" s="134">
        <f t="shared" ca="1" si="160"/>
        <v>82</v>
      </c>
      <c r="J877" s="12">
        <f ca="1">L877*Settings!$C$3+M877+O877</f>
        <v>86</v>
      </c>
      <c r="K877" s="1">
        <f t="shared" ca="1" si="163"/>
        <v>33</v>
      </c>
      <c r="L877" s="1">
        <f t="array" aca="1" ref="L877" ca="1">SUMPRODUCT((OFFSET(Calc2!$F$4,,,$F$26*B866,1)=F877)*(OFFSET(Calc2!$H$4,,,$F$26*B866,1)&gt;OFFSET(Calc2!$I$4,,,$F$26*B866,1)))+SUMPRODUCT((OFFSET(Calc2!$G$4,,,$F$26*B866,1)=F877)*(OFFSET(Calc2!$H$4,,,$F$26*B866,1)&lt;OFFSET(Calc2!$I$4,,,$F$26*B866,1)))</f>
        <v>27</v>
      </c>
      <c r="M877" s="1">
        <f t="array" aca="1" ref="M877" ca="1">SUMPRODUCT((OFFSET(Calc2!$F$4,,,$F$26*B866,2)=F877)*(OFFSET(Calc2!$H$4,,,$F$26*B866,1)=OFFSET(Calc2!$I$4,,,$F$26*B866,1))*(OFFSET(Calc2!$H$4,,,$F$26*B866,1)&lt;&gt;"")*(OFFSET(Calc2!$I$4,,,$F$26*B866,1)&lt;&gt;""))</f>
        <v>5</v>
      </c>
      <c r="N877" s="1">
        <f t="array" aca="1" ref="N877" ca="1">SUMPRODUCT((OFFSET(Calc2!$F$4,,,$F$26*B866,1)=F877)*(OFFSET(Calc2!$H$4,,,$F$26*B866,1)&lt;OFFSET(Calc2!$I$4,,,$F$26*B866,1)))+SUMPRODUCT((OFFSET(Calc2!$G$4,,,$F$26*B866,1)=F877)*(OFFSET(Calc2!$H$4,,,$F$26*B866,1)&gt;OFFSET(Calc2!$I$4,,,$F$26*B866,1)))</f>
        <v>1</v>
      </c>
      <c r="O877" s="132">
        <f ca="1">SUMPRODUCT((F877=OFFSET(Calc2!$F$4,,,$F$26*B866,1))*OFFSET(Calc2!$O$4,,,$F$26*B866,1))+SUMPRODUCT((F877=OFFSET(Calc2!$G$4,,,$F$26*B866,1))*OFFSET(Calc2!$P$4,,,$F$26*B866,1))</f>
        <v>0</v>
      </c>
      <c r="P877" s="2"/>
      <c r="Q877" s="2"/>
      <c r="R877" s="13">
        <f t="shared" ca="1" si="161"/>
        <v>86500082117</v>
      </c>
      <c r="S877" s="134">
        <f>Tie_Break!$D$16</f>
        <v>0</v>
      </c>
      <c r="T877" s="9">
        <f ca="1">RANK(R877,R868:R887)+(9-S877)/10000+(F877="")*1000</f>
        <v>1.0008999999999999</v>
      </c>
      <c r="U877" s="2"/>
      <c r="V877" s="134">
        <f ca="1">IF($K$24=0,"",IF(VLOOKUP(B877,C868:E887,3,0)=MAX(V$4:V876),VLOOKUP(B877,C868:E887,3,0),B877))</f>
        <v>10</v>
      </c>
      <c r="W877" s="4" t="str">
        <f ca="1">IF($K$24=0,Calc2!$C$13,VLOOKUP(B877,C868:N887,4,0))</f>
        <v>1. FSV Mainz 05</v>
      </c>
      <c r="X877" s="1">
        <f ca="1">INDEX(V841:V860,MATCH(W877,W841:W860,0))</f>
        <v>10</v>
      </c>
      <c r="Y877" s="1">
        <f t="shared" ca="1" si="164"/>
        <v>0</v>
      </c>
    </row>
    <row r="878" spans="2:25" x14ac:dyDescent="0.2">
      <c r="B878" s="1">
        <v>11</v>
      </c>
      <c r="C878" s="9">
        <f ca="1">RANK(D878,D868:D887,1)</f>
        <v>18</v>
      </c>
      <c r="D878" s="134">
        <f t="shared" ca="1" si="162"/>
        <v>18.878</v>
      </c>
      <c r="E878" s="134">
        <f ca="1">RANK(T878,T868:T887,1)</f>
        <v>18</v>
      </c>
      <c r="F878" s="187" t="str">
        <f>Calc2!$C$14</f>
        <v>FC St. Pauli</v>
      </c>
      <c r="G878" s="1">
        <f ca="1">SUMIFS(OFFSET(Calc2!$H$4,,,$F$26*B866,1),OFFSET(Calc2!$F$4,,,$F$26*B866,1),F878)+SUMIFS(OFFSET(Calc2!$I$4,,,$F$26*B866,1),OFFSET(Calc2!$G$4,,,$F$26*B866,1),F878)</f>
        <v>28</v>
      </c>
      <c r="H878" s="1">
        <f ca="1">SUMIFS(OFFSET(Calc2!$I$4,,,$F$26*B866,1),OFFSET(Calc2!$F$4,,,$F$26*B866,1),F878)+SUMIFS(OFFSET(Calc2!$H$4,,,$F$26*B866,1),OFFSET(Calc2!$G$4,,,$F$26*B866,1),F878)</f>
        <v>57</v>
      </c>
      <c r="I878" s="134">
        <f t="shared" ca="1" si="160"/>
        <v>-29</v>
      </c>
      <c r="J878" s="12">
        <f ca="1">L878*Settings!$C$3+M878+O878</f>
        <v>26</v>
      </c>
      <c r="K878" s="1">
        <f t="shared" ca="1" si="163"/>
        <v>33</v>
      </c>
      <c r="L878" s="1">
        <f t="array" aca="1" ref="L878" ca="1">SUMPRODUCT((OFFSET(Calc2!$F$4,,,$F$26*B866,1)=F878)*(OFFSET(Calc2!$H$4,,,$F$26*B866,1)&gt;OFFSET(Calc2!$I$4,,,$F$26*B866,1)))+SUMPRODUCT((OFFSET(Calc2!$G$4,,,$F$26*B866,1)=F878)*(OFFSET(Calc2!$H$4,,,$F$26*B866,1)&lt;OFFSET(Calc2!$I$4,,,$F$26*B866,1)))</f>
        <v>6</v>
      </c>
      <c r="M878" s="1">
        <f t="array" aca="1" ref="M878" ca="1">SUMPRODUCT((OFFSET(Calc2!$F$4,,,$F$26*B866,2)=F878)*(OFFSET(Calc2!$H$4,,,$F$26*B866,1)=OFFSET(Calc2!$I$4,,,$F$26*B866,1))*(OFFSET(Calc2!$H$4,,,$F$26*B866,1)&lt;&gt;"")*(OFFSET(Calc2!$I$4,,,$F$26*B866,1)&lt;&gt;""))</f>
        <v>8</v>
      </c>
      <c r="N878" s="1">
        <f t="array" aca="1" ref="N878" ca="1">SUMPRODUCT((OFFSET(Calc2!$F$4,,,$F$26*B866,1)=F878)*(OFFSET(Calc2!$H$4,,,$F$26*B866,1)&lt;OFFSET(Calc2!$I$4,,,$F$26*B866,1)))+SUMPRODUCT((OFFSET(Calc2!$G$4,,,$F$26*B866,1)=F878)*(OFFSET(Calc2!$H$4,,,$F$26*B866,1)&gt;OFFSET(Calc2!$I$4,,,$F$26*B866,1)))</f>
        <v>19</v>
      </c>
      <c r="O878" s="132">
        <f ca="1">SUMPRODUCT((F878=OFFSET(Calc2!$F$4,,,$F$26*B866,1))*OFFSET(Calc2!$O$4,,,$F$26*B866,1))+SUMPRODUCT((F878=OFFSET(Calc2!$G$4,,,$F$26*B866,1))*OFFSET(Calc2!$P$4,,,$F$26*B866,1))</f>
        <v>0</v>
      </c>
      <c r="P878" s="2"/>
      <c r="Q878" s="2"/>
      <c r="R878" s="13">
        <f t="shared" ca="1" si="161"/>
        <v>26499971028</v>
      </c>
      <c r="S878" s="134">
        <f>Tie_Break!$D$17</f>
        <v>0</v>
      </c>
      <c r="T878" s="9">
        <f ca="1">RANK(R878,R868:R887)+(9-S878)/10000+(F878="")*1000</f>
        <v>18.000900000000001</v>
      </c>
      <c r="U878" s="2"/>
      <c r="V878" s="134">
        <f ca="1">IF($K$24=0,"",IF(VLOOKUP(B878,C868:E887,3,0)=MAX(V$4:V877),VLOOKUP(B878,C868:E887,3,0),B878))</f>
        <v>11</v>
      </c>
      <c r="W878" s="4" t="str">
        <f ca="1">IF($K$24=0,Calc2!$C$14,VLOOKUP(B878,C868:N887,4,0))</f>
        <v>Hamburger SV</v>
      </c>
      <c r="X878" s="1">
        <f ca="1">INDEX(V841:V860,MATCH(W878,W841:W860,0))</f>
        <v>12</v>
      </c>
      <c r="Y878" s="1">
        <f t="shared" ca="1" si="164"/>
        <v>1</v>
      </c>
    </row>
    <row r="879" spans="2:25" x14ac:dyDescent="0.2">
      <c r="B879" s="1">
        <v>12</v>
      </c>
      <c r="C879" s="9">
        <f ca="1">RANK(D879,D868:D887,1)</f>
        <v>11</v>
      </c>
      <c r="D879" s="134">
        <f t="shared" ca="1" si="162"/>
        <v>11.879</v>
      </c>
      <c r="E879" s="134">
        <f ca="1">RANK(T879,T868:T887,1)</f>
        <v>11</v>
      </c>
      <c r="F879" s="187" t="str">
        <f>Calc2!$C$15</f>
        <v>Hamburger SV</v>
      </c>
      <c r="G879" s="1">
        <f ca="1">SUMIFS(OFFSET(Calc2!$H$4,,,$F$26*B866,1),OFFSET(Calc2!$F$4,,,$F$26*B866,1),F879)+SUMIFS(OFFSET(Calc2!$I$4,,,$F$26*B866,1),OFFSET(Calc2!$G$4,,,$F$26*B866,1),F879)</f>
        <v>39</v>
      </c>
      <c r="H879" s="1">
        <f ca="1">SUMIFS(OFFSET(Calc2!$I$4,,,$F$26*B866,1),OFFSET(Calc2!$F$4,,,$F$26*B866,1),F879)+SUMIFS(OFFSET(Calc2!$H$4,,,$F$26*B866,1),OFFSET(Calc2!$G$4,,,$F$26*B866,1),F879)</f>
        <v>53</v>
      </c>
      <c r="I879" s="134">
        <f t="shared" ca="1" si="160"/>
        <v>-14</v>
      </c>
      <c r="J879" s="12">
        <f ca="1">L879*Settings!$C$3+M879+O879</f>
        <v>37</v>
      </c>
      <c r="K879" s="1">
        <f t="shared" ca="1" si="163"/>
        <v>33</v>
      </c>
      <c r="L879" s="1">
        <f t="array" aca="1" ref="L879" ca="1">SUMPRODUCT((OFFSET(Calc2!$F$4,,,$F$26*B866,1)=F879)*(OFFSET(Calc2!$H$4,,,$F$26*B866,1)&gt;OFFSET(Calc2!$I$4,,,$F$26*B866,1)))+SUMPRODUCT((OFFSET(Calc2!$G$4,,,$F$26*B866,1)=F879)*(OFFSET(Calc2!$H$4,,,$F$26*B866,1)&lt;OFFSET(Calc2!$I$4,,,$F$26*B866,1)))</f>
        <v>9</v>
      </c>
      <c r="M879" s="1">
        <f t="array" aca="1" ref="M879" ca="1">SUMPRODUCT((OFFSET(Calc2!$F$4,,,$F$26*B866,2)=F879)*(OFFSET(Calc2!$H$4,,,$F$26*B866,1)=OFFSET(Calc2!$I$4,,,$F$26*B866,1))*(OFFSET(Calc2!$H$4,,,$F$26*B866,1)&lt;&gt;"")*(OFFSET(Calc2!$I$4,,,$F$26*B866,1)&lt;&gt;""))</f>
        <v>10</v>
      </c>
      <c r="N879" s="1">
        <f t="array" aca="1" ref="N879" ca="1">SUMPRODUCT((OFFSET(Calc2!$F$4,,,$F$26*B866,1)=F879)*(OFFSET(Calc2!$H$4,,,$F$26*B866,1)&lt;OFFSET(Calc2!$I$4,,,$F$26*B866,1)))+SUMPRODUCT((OFFSET(Calc2!$G$4,,,$F$26*B866,1)=F879)*(OFFSET(Calc2!$H$4,,,$F$26*B866,1)&gt;OFFSET(Calc2!$I$4,,,$F$26*B866,1)))</f>
        <v>14</v>
      </c>
      <c r="O879" s="132">
        <f ca="1">SUMPRODUCT((F879=OFFSET(Calc2!$F$4,,,$F$26*B866,1))*OFFSET(Calc2!$O$4,,,$F$26*B866,1))+SUMPRODUCT((F879=OFFSET(Calc2!$G$4,,,$F$26*B866,1))*OFFSET(Calc2!$P$4,,,$F$26*B866,1))</f>
        <v>0</v>
      </c>
      <c r="P879" s="2"/>
      <c r="Q879" s="2"/>
      <c r="R879" s="13">
        <f t="shared" ca="1" si="161"/>
        <v>37499986039</v>
      </c>
      <c r="S879" s="134">
        <f>Tie_Break!$D$18</f>
        <v>0</v>
      </c>
      <c r="T879" s="9">
        <f ca="1">RANK(R879,R868:R887)+(9-S879)/10000+(F879="")*1000</f>
        <v>11.0009</v>
      </c>
      <c r="U879" s="2"/>
      <c r="V879" s="134">
        <f ca="1">IF($K$24=0,"",IF(VLOOKUP(B879,C868:E887,3,0)=MAX(V$4:V878),VLOOKUP(B879,C868:E887,3,0),B879))</f>
        <v>12</v>
      </c>
      <c r="W879" s="4" t="str">
        <f ca="1">IF($K$24=0,Calc2!$C$15,VLOOKUP(B879,C868:N887,4,0))</f>
        <v>1. FC Union Berlin</v>
      </c>
      <c r="X879" s="1">
        <f ca="1">INDEX(V841:V860,MATCH(W879,W841:W860,0))</f>
        <v>13</v>
      </c>
      <c r="Y879" s="1">
        <f t="shared" ca="1" si="164"/>
        <v>1</v>
      </c>
    </row>
    <row r="880" spans="2:25" x14ac:dyDescent="0.2">
      <c r="B880" s="1">
        <v>13</v>
      </c>
      <c r="C880" s="9">
        <f ca="1">RANK(D880,D868:D887,1)</f>
        <v>3</v>
      </c>
      <c r="D880" s="134">
        <f t="shared" ca="1" si="162"/>
        <v>3.88</v>
      </c>
      <c r="E880" s="134">
        <f ca="1">RANK(T880,T868:T887,1)</f>
        <v>3</v>
      </c>
      <c r="F880" s="187" t="str">
        <f>Calc2!$C$16</f>
        <v>RB Leipzig</v>
      </c>
      <c r="G880" s="1">
        <f ca="1">SUMIFS(OFFSET(Calc2!$H$4,,,$F$26*B866,1),OFFSET(Calc2!$F$4,,,$F$26*B866,1),F880)+SUMIFS(OFFSET(Calc2!$I$4,,,$F$26*B866,1),OFFSET(Calc2!$G$4,,,$F$26*B866,1),F880)</f>
        <v>65</v>
      </c>
      <c r="H880" s="1">
        <f ca="1">SUMIFS(OFFSET(Calc2!$I$4,,,$F$26*B866,1),OFFSET(Calc2!$F$4,,,$F$26*B866,1),F880)+SUMIFS(OFFSET(Calc2!$H$4,,,$F$26*B866,1),OFFSET(Calc2!$G$4,,,$F$26*B866,1),F880)</f>
        <v>43</v>
      </c>
      <c r="I880" s="134">
        <f t="shared" ca="1" si="160"/>
        <v>22</v>
      </c>
      <c r="J880" s="12">
        <f ca="1">L880*Settings!$C$3+M880+O880</f>
        <v>65</v>
      </c>
      <c r="K880" s="1">
        <f t="shared" ca="1" si="163"/>
        <v>33</v>
      </c>
      <c r="L880" s="1">
        <f t="array" aca="1" ref="L880" ca="1">SUMPRODUCT((OFFSET(Calc2!$F$4,,,$F$26*B866,1)=F880)*(OFFSET(Calc2!$H$4,,,$F$26*B866,1)&gt;OFFSET(Calc2!$I$4,,,$F$26*B866,1)))+SUMPRODUCT((OFFSET(Calc2!$G$4,,,$F$26*B866,1)=F880)*(OFFSET(Calc2!$H$4,,,$F$26*B866,1)&lt;OFFSET(Calc2!$I$4,,,$F$26*B866,1)))</f>
        <v>20</v>
      </c>
      <c r="M880" s="1">
        <f t="array" aca="1" ref="M880" ca="1">SUMPRODUCT((OFFSET(Calc2!$F$4,,,$F$26*B866,2)=F880)*(OFFSET(Calc2!$H$4,,,$F$26*B866,1)=OFFSET(Calc2!$I$4,,,$F$26*B866,1))*(OFFSET(Calc2!$H$4,,,$F$26*B866,1)&lt;&gt;"")*(OFFSET(Calc2!$I$4,,,$F$26*B866,1)&lt;&gt;""))</f>
        <v>5</v>
      </c>
      <c r="N880" s="1">
        <f t="array" aca="1" ref="N880" ca="1">SUMPRODUCT((OFFSET(Calc2!$F$4,,,$F$26*B866,1)=F880)*(OFFSET(Calc2!$H$4,,,$F$26*B866,1)&lt;OFFSET(Calc2!$I$4,,,$F$26*B866,1)))+SUMPRODUCT((OFFSET(Calc2!$G$4,,,$F$26*B866,1)=F880)*(OFFSET(Calc2!$H$4,,,$F$26*B866,1)&gt;OFFSET(Calc2!$I$4,,,$F$26*B866,1)))</f>
        <v>8</v>
      </c>
      <c r="O880" s="132">
        <f ca="1">SUMPRODUCT((F880=OFFSET(Calc2!$F$4,,,$F$26*B866,1))*OFFSET(Calc2!$O$4,,,$F$26*B866,1))+SUMPRODUCT((F880=OFFSET(Calc2!$G$4,,,$F$26*B866,1))*OFFSET(Calc2!$P$4,,,$F$26*B866,1))</f>
        <v>0</v>
      </c>
      <c r="P880" s="2"/>
      <c r="Q880" s="2"/>
      <c r="R880" s="13">
        <f t="shared" ca="1" si="161"/>
        <v>65500022065</v>
      </c>
      <c r="S880" s="134">
        <f>Tie_Break!$D$19</f>
        <v>0</v>
      </c>
      <c r="T880" s="9">
        <f ca="1">RANK(R880,R868:R887)+(9-S880)/10000+(F880="")*1000</f>
        <v>3.0009000000000001</v>
      </c>
      <c r="U880" s="1"/>
      <c r="V880" s="134">
        <f ca="1">IF($K$24=0,"",IF(VLOOKUP(B880,C868:E887,3,0)=MAX(V$4:V879),VLOOKUP(B880,C868:E887,3,0),B880))</f>
        <v>13</v>
      </c>
      <c r="W880" s="4" t="str">
        <f ca="1">IF($K$24=0,Calc2!$C$16,VLOOKUP(B880,C868:N887,4,0))</f>
        <v>Borussia Mönchengladbach</v>
      </c>
      <c r="X880" s="1">
        <f ca="1">INDEX(V841:V860,MATCH(W880,W841:W860,0))</f>
        <v>11</v>
      </c>
      <c r="Y880" s="1">
        <f t="shared" ca="1" si="164"/>
        <v>-1</v>
      </c>
    </row>
    <row r="881" spans="2:25" x14ac:dyDescent="0.2">
      <c r="B881" s="1">
        <v>14</v>
      </c>
      <c r="C881" s="9">
        <f ca="1">RANK(D881,D868:D887,1)</f>
        <v>7</v>
      </c>
      <c r="D881" s="134">
        <f t="shared" ca="1" si="162"/>
        <v>7.8810000000000002</v>
      </c>
      <c r="E881" s="134">
        <f ca="1">RANK(T881,T868:T887,1)</f>
        <v>7</v>
      </c>
      <c r="F881" s="187" t="str">
        <f>Calc2!$C$17</f>
        <v>SC Freiburg</v>
      </c>
      <c r="G881" s="1">
        <f ca="1">SUMIFS(OFFSET(Calc2!$H$4,,,$F$26*B866,1),OFFSET(Calc2!$F$4,,,$F$26*B866,1),F881)+SUMIFS(OFFSET(Calc2!$I$4,,,$F$26*B866,1),OFFSET(Calc2!$G$4,,,$F$26*B866,1),F881)</f>
        <v>47</v>
      </c>
      <c r="H881" s="1">
        <f ca="1">SUMIFS(OFFSET(Calc2!$I$4,,,$F$26*B866,1),OFFSET(Calc2!$F$4,,,$F$26*B866,1),F881)+SUMIFS(OFFSET(Calc2!$H$4,,,$F$26*B866,1),OFFSET(Calc2!$G$4,,,$F$26*B866,1),F881)</f>
        <v>56</v>
      </c>
      <c r="I881" s="134">
        <f t="shared" ca="1" si="160"/>
        <v>-9</v>
      </c>
      <c r="J881" s="12">
        <f ca="1">L881*Settings!$C$3+M881+O881</f>
        <v>44</v>
      </c>
      <c r="K881" s="1">
        <f t="shared" ca="1" si="163"/>
        <v>33</v>
      </c>
      <c r="L881" s="1">
        <f t="array" aca="1" ref="L881" ca="1">SUMPRODUCT((OFFSET(Calc2!$F$4,,,$F$26*B866,1)=F881)*(OFFSET(Calc2!$H$4,,,$F$26*B866,1)&gt;OFFSET(Calc2!$I$4,,,$F$26*B866,1)))+SUMPRODUCT((OFFSET(Calc2!$G$4,,,$F$26*B866,1)=F881)*(OFFSET(Calc2!$H$4,,,$F$26*B866,1)&lt;OFFSET(Calc2!$I$4,,,$F$26*B866,1)))</f>
        <v>12</v>
      </c>
      <c r="M881" s="1">
        <f t="array" aca="1" ref="M881" ca="1">SUMPRODUCT((OFFSET(Calc2!$F$4,,,$F$26*B866,2)=F881)*(OFFSET(Calc2!$H$4,,,$F$26*B866,1)=OFFSET(Calc2!$I$4,,,$F$26*B866,1))*(OFFSET(Calc2!$H$4,,,$F$26*B866,1)&lt;&gt;"")*(OFFSET(Calc2!$I$4,,,$F$26*B866,1)&lt;&gt;""))</f>
        <v>8</v>
      </c>
      <c r="N881" s="1">
        <f t="array" aca="1" ref="N881" ca="1">SUMPRODUCT((OFFSET(Calc2!$F$4,,,$F$26*B866,1)=F881)*(OFFSET(Calc2!$H$4,,,$F$26*B866,1)&lt;OFFSET(Calc2!$I$4,,,$F$26*B866,1)))+SUMPRODUCT((OFFSET(Calc2!$G$4,,,$F$26*B866,1)=F881)*(OFFSET(Calc2!$H$4,,,$F$26*B866,1)&gt;OFFSET(Calc2!$I$4,,,$F$26*B866,1)))</f>
        <v>13</v>
      </c>
      <c r="O881" s="132">
        <f ca="1">SUMPRODUCT((F881=OFFSET(Calc2!$F$4,,,$F$26*B866,1))*OFFSET(Calc2!$O$4,,,$F$26*B866,1))+SUMPRODUCT((F881=OFFSET(Calc2!$G$4,,,$F$26*B866,1))*OFFSET(Calc2!$P$4,,,$F$26*B866,1))</f>
        <v>0</v>
      </c>
      <c r="P881" s="2"/>
      <c r="Q881" s="2"/>
      <c r="R881" s="13">
        <f t="shared" ca="1" si="161"/>
        <v>44499991047</v>
      </c>
      <c r="S881" s="134">
        <f>Tie_Break!$D$20</f>
        <v>0</v>
      </c>
      <c r="T881" s="9">
        <f ca="1">RANK(R881,R868:R887)+(9-S881)/10000+(F881="")*1000</f>
        <v>7.0008999999999997</v>
      </c>
      <c r="U881" s="2"/>
      <c r="V881" s="134">
        <f ca="1">IF($K$24=0,"",IF(VLOOKUP(B881,C868:E887,3,0)=MAX(V$4:V880),VLOOKUP(B881,C868:E887,3,0),B881))</f>
        <v>14</v>
      </c>
      <c r="W881" s="4" t="str">
        <f ca="1">IF($K$24=0,Calc2!$C$17,VLOOKUP(B881,C868:N887,4,0))</f>
        <v>1. FC Köln</v>
      </c>
      <c r="X881" s="1">
        <f ca="1">INDEX(V841:V860,MATCH(W881,W841:W860,0))</f>
        <v>14</v>
      </c>
      <c r="Y881" s="1">
        <f t="shared" ca="1" si="164"/>
        <v>0</v>
      </c>
    </row>
    <row r="882" spans="2:25" x14ac:dyDescent="0.2">
      <c r="B882" s="1">
        <v>15</v>
      </c>
      <c r="C882" s="9">
        <f ca="1">RANK(D882,D868:D887,1)</f>
        <v>15</v>
      </c>
      <c r="D882" s="134">
        <f t="shared" ca="1" si="162"/>
        <v>15.882</v>
      </c>
      <c r="E882" s="134">
        <f ca="1">RANK(T882,T868:T887,1)</f>
        <v>15</v>
      </c>
      <c r="F882" s="187" t="str">
        <f>Calc2!$C$18</f>
        <v>SV Werder Bremen</v>
      </c>
      <c r="G882" s="1">
        <f ca="1">SUMIFS(OFFSET(Calc2!$H$4,,,$F$26*B866,1),OFFSET(Calc2!$F$4,,,$F$26*B866,1),F882)+SUMIFS(OFFSET(Calc2!$I$4,,,$F$26*B866,1),OFFSET(Calc2!$G$4,,,$F$26*B866,1),F882)</f>
        <v>37</v>
      </c>
      <c r="H882" s="1">
        <f ca="1">SUMIFS(OFFSET(Calc2!$I$4,,,$F$26*B866,1),OFFSET(Calc2!$F$4,,,$F$26*B866,1),F882)+SUMIFS(OFFSET(Calc2!$H$4,,,$F$26*B866,1),OFFSET(Calc2!$G$4,,,$F$26*B866,1),F882)</f>
        <v>58</v>
      </c>
      <c r="I882" s="134">
        <f t="shared" ca="1" si="160"/>
        <v>-21</v>
      </c>
      <c r="J882" s="12">
        <f ca="1">L882*Settings!$C$3+M882+O882</f>
        <v>32</v>
      </c>
      <c r="K882" s="1">
        <f t="shared" ca="1" si="163"/>
        <v>33</v>
      </c>
      <c r="L882" s="1">
        <f t="array" aca="1" ref="L882" ca="1">SUMPRODUCT((OFFSET(Calc2!$F$4,,,$F$26*B866,1)=F882)*(OFFSET(Calc2!$H$4,,,$F$26*B866,1)&gt;OFFSET(Calc2!$I$4,,,$F$26*B866,1)))+SUMPRODUCT((OFFSET(Calc2!$G$4,,,$F$26*B866,1)=F882)*(OFFSET(Calc2!$H$4,,,$F$26*B866,1)&lt;OFFSET(Calc2!$I$4,,,$F$26*B866,1)))</f>
        <v>8</v>
      </c>
      <c r="M882" s="1">
        <f t="array" aca="1" ref="M882" ca="1">SUMPRODUCT((OFFSET(Calc2!$F$4,,,$F$26*B866,2)=F882)*(OFFSET(Calc2!$H$4,,,$F$26*B866,1)=OFFSET(Calc2!$I$4,,,$F$26*B866,1))*(OFFSET(Calc2!$H$4,,,$F$26*B866,1)&lt;&gt;"")*(OFFSET(Calc2!$I$4,,,$F$26*B866,1)&lt;&gt;""))</f>
        <v>8</v>
      </c>
      <c r="N882" s="1">
        <f t="array" aca="1" ref="N882" ca="1">SUMPRODUCT((OFFSET(Calc2!$F$4,,,$F$26*B866,1)=F882)*(OFFSET(Calc2!$H$4,,,$F$26*B866,1)&lt;OFFSET(Calc2!$I$4,,,$F$26*B866,1)))+SUMPRODUCT((OFFSET(Calc2!$G$4,,,$F$26*B866,1)=F882)*(OFFSET(Calc2!$H$4,,,$F$26*B866,1)&gt;OFFSET(Calc2!$I$4,,,$F$26*B866,1)))</f>
        <v>17</v>
      </c>
      <c r="O882" s="132">
        <f ca="1">SUMPRODUCT((F882=OFFSET(Calc2!$F$4,,,$F$26*B866,1))*OFFSET(Calc2!$O$4,,,$F$26*B866,1))+SUMPRODUCT((F882=OFFSET(Calc2!$G$4,,,$F$26*B866,1))*OFFSET(Calc2!$P$4,,,$F$26*B866,1))</f>
        <v>0</v>
      </c>
      <c r="P882" s="2"/>
      <c r="Q882" s="2"/>
      <c r="R882" s="13">
        <f t="shared" ca="1" si="161"/>
        <v>32499979037</v>
      </c>
      <c r="S882" s="134">
        <f>Tie_Break!$D$21</f>
        <v>0</v>
      </c>
      <c r="T882" s="9">
        <f ca="1">RANK(R882,R868:R887)+(9-S882)/10000+(F882="")*1000</f>
        <v>15.0009</v>
      </c>
      <c r="U882" s="2"/>
      <c r="V882" s="134">
        <f ca="1">IF($K$24=0,"",IF(VLOOKUP(B882,C868:E887,3,0)=MAX(V$4:V881),VLOOKUP(B882,C868:E887,3,0),B882))</f>
        <v>15</v>
      </c>
      <c r="W882" s="4" t="str">
        <f ca="1">IF($K$24=0,Calc2!$C$18,VLOOKUP(B882,C868:N887,4,0))</f>
        <v>SV Werder Bremen</v>
      </c>
      <c r="X882" s="1">
        <f ca="1">INDEX(V841:V860,MATCH(W882,W841:W860,0))</f>
        <v>15</v>
      </c>
      <c r="Y882" s="1">
        <f t="shared" ca="1" si="164"/>
        <v>0</v>
      </c>
    </row>
    <row r="883" spans="2:25" x14ac:dyDescent="0.2">
      <c r="B883" s="1">
        <v>16</v>
      </c>
      <c r="C883" s="9">
        <f ca="1">RANK(D883,D868:D887,1)</f>
        <v>5</v>
      </c>
      <c r="D883" s="134">
        <f t="shared" ca="1" si="162"/>
        <v>5.883</v>
      </c>
      <c r="E883" s="134">
        <f ca="1">RANK(T883,T868:T887,1)</f>
        <v>5</v>
      </c>
      <c r="F883" s="187" t="str">
        <f>Calc2!$C$19</f>
        <v>TSG Hoffenheim</v>
      </c>
      <c r="G883" s="1">
        <f ca="1">SUMIFS(OFFSET(Calc2!$H$4,,,$F$26*B866,1),OFFSET(Calc2!$F$4,,,$F$26*B866,1),F883)+SUMIFS(OFFSET(Calc2!$I$4,,,$F$26*B866,1),OFFSET(Calc2!$G$4,,,$F$26*B866,1),F883)</f>
        <v>65</v>
      </c>
      <c r="H883" s="1">
        <f ca="1">SUMIFS(OFFSET(Calc2!$I$4,,,$F$26*B866,1),OFFSET(Calc2!$F$4,,,$F$26*B866,1),F883)+SUMIFS(OFFSET(Calc2!$H$4,,,$F$26*B866,1),OFFSET(Calc2!$G$4,,,$F$26*B866,1),F883)</f>
        <v>48</v>
      </c>
      <c r="I883" s="134">
        <f t="shared" ca="1" si="160"/>
        <v>17</v>
      </c>
      <c r="J883" s="12">
        <f ca="1">L883*Settings!$C$3+M883+O883</f>
        <v>61</v>
      </c>
      <c r="K883" s="1">
        <f t="shared" ca="1" si="163"/>
        <v>33</v>
      </c>
      <c r="L883" s="1">
        <f t="array" aca="1" ref="L883" ca="1">SUMPRODUCT((OFFSET(Calc2!$F$4,,,$F$26*B866,1)=F883)*(OFFSET(Calc2!$H$4,,,$F$26*B866,1)&gt;OFFSET(Calc2!$I$4,,,$F$26*B866,1)))+SUMPRODUCT((OFFSET(Calc2!$G$4,,,$F$26*B866,1)=F883)*(OFFSET(Calc2!$H$4,,,$F$26*B866,1)&lt;OFFSET(Calc2!$I$4,,,$F$26*B866,1)))</f>
        <v>18</v>
      </c>
      <c r="M883" s="1">
        <f t="array" aca="1" ref="M883" ca="1">SUMPRODUCT((OFFSET(Calc2!$F$4,,,$F$26*B866,2)=F883)*(OFFSET(Calc2!$H$4,,,$F$26*B866,1)=OFFSET(Calc2!$I$4,,,$F$26*B866,1))*(OFFSET(Calc2!$H$4,,,$F$26*B866,1)&lt;&gt;"")*(OFFSET(Calc2!$I$4,,,$F$26*B866,1)&lt;&gt;""))</f>
        <v>7</v>
      </c>
      <c r="N883" s="1">
        <f t="array" aca="1" ref="N883" ca="1">SUMPRODUCT((OFFSET(Calc2!$F$4,,,$F$26*B866,1)=F883)*(OFFSET(Calc2!$H$4,,,$F$26*B866,1)&lt;OFFSET(Calc2!$I$4,,,$F$26*B866,1)))+SUMPRODUCT((OFFSET(Calc2!$G$4,,,$F$26*B866,1)=F883)*(OFFSET(Calc2!$H$4,,,$F$26*B866,1)&gt;OFFSET(Calc2!$I$4,,,$F$26*B866,1)))</f>
        <v>8</v>
      </c>
      <c r="O883" s="132">
        <f ca="1">SUMPRODUCT((F883=OFFSET(Calc2!$F$4,,,$F$26*B866,1))*OFFSET(Calc2!$O$4,,,$F$26*B866,1))+SUMPRODUCT((F883=OFFSET(Calc2!$G$4,,,$F$26*B866,1))*OFFSET(Calc2!$P$4,,,$F$26*B866,1))</f>
        <v>0</v>
      </c>
      <c r="P883" s="2"/>
      <c r="Q883" s="2"/>
      <c r="R883" s="13">
        <f t="shared" ca="1" si="161"/>
        <v>61500017065</v>
      </c>
      <c r="S883" s="134">
        <f>Tie_Break!$D$22</f>
        <v>0</v>
      </c>
      <c r="T883" s="9">
        <f ca="1">RANK(R883,R868:R887)+(9-S883)/10000+(F883="")*1000</f>
        <v>5.0008999999999997</v>
      </c>
      <c r="U883" s="2"/>
      <c r="V883" s="134">
        <f ca="1">IF($K$24=0,"",IF(VLOOKUP(B883,C868:E887,3,0)=MAX(V$4:V882),VLOOKUP(B883,C868:E887,3,0),B883))</f>
        <v>16</v>
      </c>
      <c r="W883" s="4" t="str">
        <f ca="1">IF($K$24=0,Calc2!$C$19,VLOOKUP(B883,C868:N887,4,0))</f>
        <v>VfL Wolfsburg</v>
      </c>
      <c r="X883" s="1">
        <f ca="1">INDEX(V841:V860,MATCH(W883,W841:W860,0))</f>
        <v>16</v>
      </c>
      <c r="Y883" s="1">
        <f t="shared" ca="1" si="164"/>
        <v>0</v>
      </c>
    </row>
    <row r="884" spans="2:25" x14ac:dyDescent="0.2">
      <c r="B884" s="1">
        <v>17</v>
      </c>
      <c r="C884" s="9">
        <f ca="1">RANK(D884,D868:D887,1)</f>
        <v>4</v>
      </c>
      <c r="D884" s="134">
        <f t="shared" ca="1" si="162"/>
        <v>4.8840000000000003</v>
      </c>
      <c r="E884" s="134">
        <f ca="1">RANK(T884,T868:T887,1)</f>
        <v>4</v>
      </c>
      <c r="F884" s="187" t="str">
        <f>Calc2!$C$20</f>
        <v>VfB Stuttgart</v>
      </c>
      <c r="G884" s="1">
        <f ca="1">SUMIFS(OFFSET(Calc2!$H$4,,,$F$26*B866,1),OFFSET(Calc2!$F$4,,,$F$26*B866,1),F884)+SUMIFS(OFFSET(Calc2!$I$4,,,$F$26*B866,1),OFFSET(Calc2!$G$4,,,$F$26*B866,1),F884)</f>
        <v>69</v>
      </c>
      <c r="H884" s="1">
        <f ca="1">SUMIFS(OFFSET(Calc2!$I$4,,,$F$26*B866,1),OFFSET(Calc2!$F$4,,,$F$26*B866,1),F884)+SUMIFS(OFFSET(Calc2!$H$4,,,$F$26*B866,1),OFFSET(Calc2!$G$4,,,$F$26*B866,1),F884)</f>
        <v>47</v>
      </c>
      <c r="I884" s="134">
        <f t="shared" ca="1" si="160"/>
        <v>22</v>
      </c>
      <c r="J884" s="12">
        <f ca="1">L884*Settings!$C$3+M884+O884</f>
        <v>61</v>
      </c>
      <c r="K884" s="1">
        <f t="shared" ca="1" si="163"/>
        <v>33</v>
      </c>
      <c r="L884" s="1">
        <f t="array" aca="1" ref="L884" ca="1">SUMPRODUCT((OFFSET(Calc2!$F$4,,,$F$26*B866,1)=F884)*(OFFSET(Calc2!$H$4,,,$F$26*B866,1)&gt;OFFSET(Calc2!$I$4,,,$F$26*B866,1)))+SUMPRODUCT((OFFSET(Calc2!$G$4,,,$F$26*B866,1)=F884)*(OFFSET(Calc2!$H$4,,,$F$26*B866,1)&lt;OFFSET(Calc2!$I$4,,,$F$26*B866,1)))</f>
        <v>18</v>
      </c>
      <c r="M884" s="1">
        <f t="array" aca="1" ref="M884" ca="1">SUMPRODUCT((OFFSET(Calc2!$F$4,,,$F$26*B866,2)=F884)*(OFFSET(Calc2!$H$4,,,$F$26*B866,1)=OFFSET(Calc2!$I$4,,,$F$26*B866,1))*(OFFSET(Calc2!$H$4,,,$F$26*B866,1)&lt;&gt;"")*(OFFSET(Calc2!$I$4,,,$F$26*B866,1)&lt;&gt;""))</f>
        <v>7</v>
      </c>
      <c r="N884" s="1">
        <f t="array" aca="1" ref="N884" ca="1">SUMPRODUCT((OFFSET(Calc2!$F$4,,,$F$26*B866,1)=F884)*(OFFSET(Calc2!$H$4,,,$F$26*B866,1)&lt;OFFSET(Calc2!$I$4,,,$F$26*B866,1)))+SUMPRODUCT((OFFSET(Calc2!$G$4,,,$F$26*B866,1)=F884)*(OFFSET(Calc2!$H$4,,,$F$26*B866,1)&gt;OFFSET(Calc2!$I$4,,,$F$26*B866,1)))</f>
        <v>8</v>
      </c>
      <c r="O884" s="132">
        <f ca="1">SUMPRODUCT((F884=OFFSET(Calc2!$F$4,,,$F$26*B866,1))*OFFSET(Calc2!$O$4,,,$F$26*B866,1))+SUMPRODUCT((F884=OFFSET(Calc2!$G$4,,,$F$26*B866,1))*OFFSET(Calc2!$P$4,,,$F$26*B866,1))</f>
        <v>0</v>
      </c>
      <c r="P884" s="2"/>
      <c r="Q884" s="2"/>
      <c r="R884" s="13">
        <f t="shared" ca="1" si="161"/>
        <v>61500022069</v>
      </c>
      <c r="S884" s="134">
        <f>Tie_Break!$D$23</f>
        <v>0</v>
      </c>
      <c r="T884" s="9">
        <f ca="1">RANK(R884,R868:R887)+(9-S884)/10000+(F884="")*1000</f>
        <v>4.0008999999999997</v>
      </c>
      <c r="U884" s="2"/>
      <c r="V884" s="134">
        <f ca="1">IF($K$24=0,"",IF(VLOOKUP(B884,C868:E887,3,0)=MAX(V$4:V883),VLOOKUP(B884,C868:E887,3,0),B884))</f>
        <v>17</v>
      </c>
      <c r="W884" s="4" t="str">
        <f ca="1">IF($K$24=0,Calc2!$C$20,VLOOKUP(B884,C868:N887,4,0))</f>
        <v>1. FC Heidenheim 1846</v>
      </c>
      <c r="X884" s="1">
        <f ca="1">INDEX(V841:V860,MATCH(W884,W841:W860,0))</f>
        <v>18</v>
      </c>
      <c r="Y884" s="1">
        <f t="shared" ca="1" si="164"/>
        <v>1</v>
      </c>
    </row>
    <row r="885" spans="2:25" x14ac:dyDescent="0.2">
      <c r="B885" s="1">
        <v>18</v>
      </c>
      <c r="C885" s="9">
        <f ca="1">RANK(D885,D868:D887,1)</f>
        <v>16</v>
      </c>
      <c r="D885" s="134">
        <f t="shared" ca="1" si="162"/>
        <v>16.885000000000002</v>
      </c>
      <c r="E885" s="134">
        <f ca="1">RANK(T885,T868:T887,1)</f>
        <v>16</v>
      </c>
      <c r="F885" s="187" t="str">
        <f>Calc2!$C$21</f>
        <v>VfL Wolfsburg</v>
      </c>
      <c r="G885" s="1">
        <f ca="1">SUMIFS(OFFSET(Calc2!$H$4,,,$F$26*B866,1),OFFSET(Calc2!$F$4,,,$F$26*B866,1),F885)+SUMIFS(OFFSET(Calc2!$I$4,,,$F$26*B866,1),OFFSET(Calc2!$G$4,,,$F$26*B866,1),F885)</f>
        <v>42</v>
      </c>
      <c r="H885" s="1">
        <f ca="1">SUMIFS(OFFSET(Calc2!$I$4,,,$F$26*B866,1),OFFSET(Calc2!$F$4,,,$F$26*B866,1),F885)+SUMIFS(OFFSET(Calc2!$H$4,,,$F$26*B866,1),OFFSET(Calc2!$G$4,,,$F$26*B866,1),F885)</f>
        <v>68</v>
      </c>
      <c r="I885" s="134">
        <f t="shared" ca="1" si="160"/>
        <v>-26</v>
      </c>
      <c r="J885" s="12">
        <f ca="1">L885*Settings!$C$3+M885+O885</f>
        <v>26</v>
      </c>
      <c r="K885" s="1">
        <f t="shared" ca="1" si="163"/>
        <v>33</v>
      </c>
      <c r="L885" s="1">
        <f t="array" aca="1" ref="L885" ca="1">SUMPRODUCT((OFFSET(Calc2!$F$4,,,$F$26*B866,1)=F885)*(OFFSET(Calc2!$H$4,,,$F$26*B866,1)&gt;OFFSET(Calc2!$I$4,,,$F$26*B866,1)))+SUMPRODUCT((OFFSET(Calc2!$G$4,,,$F$26*B866,1)=F885)*(OFFSET(Calc2!$H$4,,,$F$26*B866,1)&lt;OFFSET(Calc2!$I$4,,,$F$26*B866,1)))</f>
        <v>6</v>
      </c>
      <c r="M885" s="1">
        <f t="array" aca="1" ref="M885" ca="1">SUMPRODUCT((OFFSET(Calc2!$F$4,,,$F$26*B866,2)=F885)*(OFFSET(Calc2!$H$4,,,$F$26*B866,1)=OFFSET(Calc2!$I$4,,,$F$26*B866,1))*(OFFSET(Calc2!$H$4,,,$F$26*B866,1)&lt;&gt;"")*(OFFSET(Calc2!$I$4,,,$F$26*B866,1)&lt;&gt;""))</f>
        <v>8</v>
      </c>
      <c r="N885" s="1">
        <f t="array" aca="1" ref="N885" ca="1">SUMPRODUCT((OFFSET(Calc2!$F$4,,,$F$26*B866,1)=F885)*(OFFSET(Calc2!$H$4,,,$F$26*B866,1)&lt;OFFSET(Calc2!$I$4,,,$F$26*B866,1)))+SUMPRODUCT((OFFSET(Calc2!$G$4,,,$F$26*B866,1)=F885)*(OFFSET(Calc2!$H$4,,,$F$26*B866,1)&gt;OFFSET(Calc2!$I$4,,,$F$26*B866,1)))</f>
        <v>19</v>
      </c>
      <c r="O885" s="132">
        <f ca="1">SUMPRODUCT((F885=OFFSET(Calc2!$F$4,,,$F$26*B866,1))*OFFSET(Calc2!$O$4,,,$F$26*B866,1))+SUMPRODUCT((F885=OFFSET(Calc2!$G$4,,,$F$26*B866,1))*OFFSET(Calc2!$P$4,,,$F$26*B866,1))</f>
        <v>0</v>
      </c>
      <c r="P885" s="2"/>
      <c r="Q885" s="2"/>
      <c r="R885" s="13">
        <f t="shared" ca="1" si="161"/>
        <v>26499974042</v>
      </c>
      <c r="S885" s="134">
        <f>Tie_Break!$D$24</f>
        <v>0</v>
      </c>
      <c r="T885" s="9">
        <f ca="1">RANK(R885,R868:R887)+(9-S885)/10000+(F885="")*1000</f>
        <v>16.000900000000001</v>
      </c>
      <c r="U885" s="2"/>
      <c r="V885" s="134">
        <f ca="1">IF($K$24=0,"",IF(VLOOKUP(B885,C868:E887,3,0)=MAX(V$4:V884),VLOOKUP(B885,C868:E887,3,0),B885))</f>
        <v>18</v>
      </c>
      <c r="W885" s="4" t="str">
        <f ca="1">IF($K$24=0,Calc2!$C$21,VLOOKUP(B885,C868:N887,4,0))</f>
        <v>FC St. Pauli</v>
      </c>
      <c r="X885" s="1">
        <f ca="1">INDEX(V841:V860,MATCH(W885,W841:W860,0))</f>
        <v>17</v>
      </c>
      <c r="Y885" s="1">
        <f t="shared" ca="1" si="164"/>
        <v>-1</v>
      </c>
    </row>
    <row r="886" spans="2:25" x14ac:dyDescent="0.2">
      <c r="B886" s="1">
        <v>19</v>
      </c>
      <c r="C886" s="9">
        <f ca="1">RANK(D886,D868:D887,1)</f>
        <v>19</v>
      </c>
      <c r="D886" s="134">
        <f t="shared" ca="1" si="162"/>
        <v>19.885999999999999</v>
      </c>
      <c r="E886" s="134">
        <f ca="1">RANK(T886,T868:T887,1)</f>
        <v>19</v>
      </c>
      <c r="F886" s="187" t="str">
        <f>Calc2!$C$22</f>
        <v/>
      </c>
      <c r="G886" s="1">
        <f ca="1">SUMIFS(OFFSET(Calc2!$H$4,,,$F$26*B866,1),OFFSET(Calc2!$F$4,,,$F$26*B866,1),F886)+SUMIFS(OFFSET(Calc2!$I$4,,,$F$26*B866,1),OFFSET(Calc2!$G$4,,,$F$26*B866,1),F886)</f>
        <v>0</v>
      </c>
      <c r="H886" s="1">
        <f ca="1">SUMIFS(OFFSET(Calc2!$I$4,,,$F$26*B866,1),OFFSET(Calc2!$F$4,,,$F$26*B866,1),F886)+SUMIFS(OFFSET(Calc2!$H$4,,,$F$26*B866,1),OFFSET(Calc2!$G$4,,,$F$26*B866,1),F886)</f>
        <v>0</v>
      </c>
      <c r="I886" s="134">
        <f t="shared" ca="1" si="160"/>
        <v>0</v>
      </c>
      <c r="J886" s="12">
        <f ca="1">L886*Settings!$C$3+M886+O886</f>
        <v>0</v>
      </c>
      <c r="K886" s="1">
        <f t="shared" ca="1" si="163"/>
        <v>0</v>
      </c>
      <c r="L886" s="1">
        <f t="array" aca="1" ref="L886" ca="1">SUMPRODUCT((OFFSET(Calc2!$F$4,,,$F$26*B866,1)=F886)*(OFFSET(Calc2!$H$4,,,$F$26*B866,1)&gt;OFFSET(Calc2!$I$4,,,$F$26*B866,1)))+SUMPRODUCT((OFFSET(Calc2!$G$4,,,$F$26*B866,1)=F886)*(OFFSET(Calc2!$H$4,,,$F$26*B866,1)&lt;OFFSET(Calc2!$I$4,,,$F$26*B866,1)))</f>
        <v>0</v>
      </c>
      <c r="M886" s="1">
        <f t="array" aca="1" ref="M886" ca="1">SUMPRODUCT((OFFSET(Calc2!$F$4,,,$F$26*B866,2)=F886)*(OFFSET(Calc2!$H$4,,,$F$26*B866,1)=OFFSET(Calc2!$I$4,,,$F$26*B866,1))*(OFFSET(Calc2!$H$4,,,$F$26*B866,1)&lt;&gt;"")*(OFFSET(Calc2!$I$4,,,$F$26*B866,1)&lt;&gt;""))</f>
        <v>0</v>
      </c>
      <c r="N886" s="1">
        <f t="array" aca="1" ref="N886" ca="1">SUMPRODUCT((OFFSET(Calc2!$F$4,,,$F$26*B866,1)=F886)*(OFFSET(Calc2!$H$4,,,$F$26*B866,1)&lt;OFFSET(Calc2!$I$4,,,$F$26*B866,1)))+SUMPRODUCT((OFFSET(Calc2!$G$4,,,$F$26*B866,1)=F886)*(OFFSET(Calc2!$H$4,,,$F$26*B866,1)&gt;OFFSET(Calc2!$I$4,,,$F$26*B866,1)))</f>
        <v>0</v>
      </c>
      <c r="O886" s="132">
        <f ca="1">SUMPRODUCT((F886=OFFSET(Calc2!$F$4,,,$F$26*B866,1))*OFFSET(Calc2!$O$4,,,$F$26*B866,1))+SUMPRODUCT((F886=OFFSET(Calc2!$G$4,,,$F$26*B866,1))*OFFSET(Calc2!$P$4,,,$F$26*B866,1))</f>
        <v>0</v>
      </c>
      <c r="P886" s="2"/>
      <c r="Q886" s="2"/>
      <c r="R886" s="13">
        <f t="shared" ca="1" si="161"/>
        <v>500000000</v>
      </c>
      <c r="S886" s="134">
        <f>Tie_Break!$D$25</f>
        <v>0</v>
      </c>
      <c r="T886" s="9">
        <f ca="1">RANK(R886,R868:R887)+(9-S886)/10000+(F886="")*1000</f>
        <v>1019.0009</v>
      </c>
      <c r="U886" s="2"/>
      <c r="V886" s="134">
        <f ca="1">IF($K$24=0,"",IF(VLOOKUP(B886,C868:E887,3,0)=MAX(V$4:V885),VLOOKUP(B886,C868:E887,3,0),B886))</f>
        <v>19</v>
      </c>
      <c r="W886" s="4" t="str">
        <f ca="1">IF($K$24=0,Calc2!$C$22,VLOOKUP(B886,C868:N887,4,0))</f>
        <v/>
      </c>
      <c r="X886" s="1">
        <f ca="1">INDEX(V841:V860,MATCH(W886,W841:W860,0))</f>
        <v>19</v>
      </c>
      <c r="Y886" s="1">
        <f t="shared" ca="1" si="164"/>
        <v>0</v>
      </c>
    </row>
    <row r="887" spans="2:25" ht="12.75" thickBot="1" x14ac:dyDescent="0.25">
      <c r="B887" s="1">
        <v>20</v>
      </c>
      <c r="C887" s="10">
        <f ca="1">RANK(D887,D868:D887,1)</f>
        <v>20</v>
      </c>
      <c r="D887" s="134">
        <f t="shared" ca="1" si="162"/>
        <v>19.887</v>
      </c>
      <c r="E887" s="134">
        <f ca="1">RANK(T887,T868:T887,1)</f>
        <v>19</v>
      </c>
      <c r="F887" s="187" t="str">
        <f>Calc2!$C$23</f>
        <v/>
      </c>
      <c r="G887" s="1">
        <f ca="1">SUMIFS(OFFSET(Calc2!$H$4,,,$F$26*B866,1),OFFSET(Calc2!$F$4,,,$F$26*B866,1),F887)+SUMIFS(OFFSET(Calc2!$I$4,,,$F$26*B866,1),OFFSET(Calc2!$G$4,,,$F$26*B866,1),F887)</f>
        <v>0</v>
      </c>
      <c r="H887" s="1">
        <f ca="1">SUMIFS(OFFSET(Calc2!$I$4,,,$F$26*B866,1),OFFSET(Calc2!$F$4,,,$F$26*B866,1),F887)+SUMIFS(OFFSET(Calc2!$H$4,,,$F$26*B866,1),OFFSET(Calc2!$G$4,,,$F$26*B866,1),F887)</f>
        <v>0</v>
      </c>
      <c r="I887" s="134">
        <f t="shared" ca="1" si="160"/>
        <v>0</v>
      </c>
      <c r="J887" s="12">
        <f ca="1">L887*Settings!$C$3+M887+O887</f>
        <v>0</v>
      </c>
      <c r="K887" s="1">
        <f t="shared" ca="1" si="163"/>
        <v>0</v>
      </c>
      <c r="L887" s="1">
        <f t="array" aca="1" ref="L887" ca="1">SUMPRODUCT((OFFSET(Calc2!$F$4,,,$F$26*B866,1)=F887)*(OFFSET(Calc2!$H$4,,,$F$26*B866,1)&gt;OFFSET(Calc2!$I$4,,,$F$26*B866,1)))+SUMPRODUCT((OFFSET(Calc2!$G$4,,,$F$26*B866,1)=F887)*(OFFSET(Calc2!$H$4,,,$F$26*B866,1)&lt;OFFSET(Calc2!$I$4,,,$F$26*B866,1)))</f>
        <v>0</v>
      </c>
      <c r="M887" s="1">
        <f t="array" aca="1" ref="M887" ca="1">SUMPRODUCT((OFFSET(Calc2!$F$4,,,$F$26*B866,2)=F887)*(OFFSET(Calc2!$H$4,,,$F$26*B866,1)=OFFSET(Calc2!$I$4,,,$F$26*B866,1))*(OFFSET(Calc2!$H$4,,,$F$26*B866,1)&lt;&gt;"")*(OFFSET(Calc2!$I$4,,,$F$26*B866,1)&lt;&gt;""))</f>
        <v>0</v>
      </c>
      <c r="N887" s="1">
        <f t="array" aca="1" ref="N887" ca="1">SUMPRODUCT((OFFSET(Calc2!$F$4,,,$F$26*B866,1)=F887)*(OFFSET(Calc2!$H$4,,,$F$26*B866,1)&lt;OFFSET(Calc2!$I$4,,,$F$26*B866,1)))+SUMPRODUCT((OFFSET(Calc2!$G$4,,,$F$26*B866,1)=F887)*(OFFSET(Calc2!$H$4,,,$F$26*B866,1)&gt;OFFSET(Calc2!$I$4,,,$F$26*B866,1)))</f>
        <v>0</v>
      </c>
      <c r="O887" s="132">
        <f ca="1">SUMPRODUCT((F887=OFFSET(Calc2!$F$4,,,$F$26*B866,1))*OFFSET(Calc2!$O$4,,,$F$26*B866,1))+SUMPRODUCT((F887=OFFSET(Calc2!$G$4,,,$F$26*B866,1))*OFFSET(Calc2!$P$4,,,$F$26*B866,1))</f>
        <v>0</v>
      </c>
      <c r="P887" s="2"/>
      <c r="Q887" s="2"/>
      <c r="R887" s="13">
        <f t="shared" ca="1" si="161"/>
        <v>500000000</v>
      </c>
      <c r="S887" s="134">
        <f>Tie_Break!$D$26</f>
        <v>0</v>
      </c>
      <c r="T887" s="10">
        <f ca="1">RANK(R887,R868:R887)+(9-S887)/10000+(F887="")*1000</f>
        <v>1019.0009</v>
      </c>
      <c r="U887" s="2"/>
      <c r="V887" s="134">
        <f ca="1">IF($K$24=0,"",IF(VLOOKUP(B887,C868:E887,3,0)=MAX(V$4:V886),VLOOKUP(B887,C868:E887,3,0),B887))</f>
        <v>19</v>
      </c>
      <c r="W887" s="4" t="str">
        <f ca="1">IF($K$24=0,Calc2!$C$23,VLOOKUP(B887,C868:N887,4,0))</f>
        <v/>
      </c>
      <c r="X887" s="1">
        <f ca="1">INDEX(V841:V860,MATCH(W887,W841:W860,0))</f>
        <v>19</v>
      </c>
      <c r="Y887" s="1">
        <f t="shared" ca="1" si="164"/>
        <v>0</v>
      </c>
    </row>
    <row r="888" spans="2:25" ht="12.75" thickTop="1" x14ac:dyDescent="0.2">
      <c r="X888" s="1"/>
      <c r="Y888" s="1"/>
    </row>
    <row r="889" spans="2:25" x14ac:dyDescent="0.2">
      <c r="X889" s="1"/>
      <c r="Y889" s="1"/>
    </row>
    <row r="890" spans="2:25" x14ac:dyDescent="0.2">
      <c r="X890" s="1"/>
      <c r="Y890" s="1"/>
    </row>
    <row r="891" spans="2:25" x14ac:dyDescent="0.2">
      <c r="X891" s="1"/>
      <c r="Y891" s="1"/>
    </row>
    <row r="892" spans="2:25" ht="12.75" thickBot="1" x14ac:dyDescent="0.25">
      <c r="X892" s="1"/>
      <c r="Y892" s="1"/>
    </row>
    <row r="893" spans="2:25" ht="12.75" thickBot="1" x14ac:dyDescent="0.25">
      <c r="B893" s="410">
        <v>34</v>
      </c>
      <c r="C893" s="134"/>
      <c r="D893" s="134"/>
      <c r="E893" s="134"/>
      <c r="F893" s="187"/>
      <c r="G893" s="1"/>
      <c r="H893" s="1"/>
      <c r="I893" s="1"/>
      <c r="J893" s="1"/>
      <c r="K893" s="1"/>
      <c r="L893" s="1"/>
      <c r="M893" s="1"/>
      <c r="N893" s="134"/>
      <c r="O893" s="1"/>
      <c r="P893" s="1"/>
      <c r="Q893" s="1"/>
      <c r="R893" s="2"/>
      <c r="S893" s="2"/>
      <c r="T893" s="2"/>
      <c r="U893" s="2"/>
      <c r="V893" s="2"/>
      <c r="W893" s="2"/>
      <c r="X893" s="1"/>
      <c r="Y893" s="1"/>
    </row>
    <row r="894" spans="2:25" ht="15.75" thickBot="1" x14ac:dyDescent="0.25">
      <c r="B894" s="1"/>
      <c r="C894" s="134"/>
      <c r="D894" s="134"/>
      <c r="E894" s="134"/>
      <c r="F894" s="11" t="s">
        <v>90</v>
      </c>
      <c r="G894" s="42" t="s">
        <v>95</v>
      </c>
      <c r="H894" s="42" t="s">
        <v>96</v>
      </c>
      <c r="I894" s="11" t="s">
        <v>97</v>
      </c>
      <c r="J894" s="11" t="s">
        <v>98</v>
      </c>
      <c r="K894" s="11" t="s">
        <v>91</v>
      </c>
      <c r="L894" s="12" t="s">
        <v>92</v>
      </c>
      <c r="M894" s="12" t="s">
        <v>93</v>
      </c>
      <c r="N894" s="12" t="s">
        <v>94</v>
      </c>
      <c r="O894" s="12" t="s">
        <v>534</v>
      </c>
      <c r="P894" s="2"/>
      <c r="Q894" s="11"/>
      <c r="R894" s="133" t="s">
        <v>99</v>
      </c>
      <c r="S894" s="6" t="s">
        <v>483</v>
      </c>
      <c r="T894" s="120" t="s">
        <v>146</v>
      </c>
      <c r="U894" s="134"/>
      <c r="V894" s="134"/>
      <c r="W894" s="132"/>
      <c r="X894" s="120" t="s">
        <v>575</v>
      </c>
      <c r="Y894" s="1"/>
    </row>
    <row r="895" spans="2:25" ht="12.75" thickTop="1" x14ac:dyDescent="0.2">
      <c r="B895" s="1">
        <v>1</v>
      </c>
      <c r="C895" s="8">
        <f ca="1">RANK(D895,D895:D914,1)</f>
        <v>17</v>
      </c>
      <c r="D895" s="134">
        <f ca="1">E895+ROW()/1000</f>
        <v>17.895</v>
      </c>
      <c r="E895" s="134">
        <f ca="1">RANK(T895,T895:T914,1)</f>
        <v>17</v>
      </c>
      <c r="F895" s="187" t="str">
        <f>Calc2!$C$4</f>
        <v>1. FC Heidenheim 1846</v>
      </c>
      <c r="G895" s="1">
        <f ca="1">SUMIFS(OFFSET(Calc2!$H$4,,,$F$26*B893,1),OFFSET(Calc2!$F$4,,,$F$26*B893,1),F895)+SUMIFS(OFFSET(Calc2!$I$4,,,$F$26*B893,1),OFFSET(Calc2!$G$4,,,$F$26*B893,1),F895)</f>
        <v>41</v>
      </c>
      <c r="H895" s="1">
        <f ca="1">SUMIFS(OFFSET(Calc2!$I$4,,,$F$26*B893,1),OFFSET(Calc2!$F$4,,,$F$26*B893,1),F895)+SUMIFS(OFFSET(Calc2!$H$4,,,$F$26*B893,1),OFFSET(Calc2!$G$4,,,$F$26*B893,1),F895)</f>
        <v>72</v>
      </c>
      <c r="I895" s="134">
        <f t="shared" ref="I895:I914" ca="1" si="165">G895-H895</f>
        <v>-31</v>
      </c>
      <c r="J895" s="12">
        <f ca="1">L895*Settings!$C$3+M895+O895</f>
        <v>26</v>
      </c>
      <c r="K895" s="1">
        <f ca="1">L895+M895+N895</f>
        <v>34</v>
      </c>
      <c r="L895" s="1">
        <f t="array" aca="1" ref="L895" ca="1">SUMPRODUCT((OFFSET(Calc2!$F$4,,,$F$26*B893,1)=F895)*(OFFSET(Calc2!$H$4,,,$F$26*B893,1)&gt;OFFSET(Calc2!$I$4,,,$F$26*B893,1)))+SUMPRODUCT((OFFSET(Calc2!$G$4,,,$F$26*B893,1)=F895)*(OFFSET(Calc2!$H$4,,,$F$26*B893,1)&lt;OFFSET(Calc2!$I$4,,,$F$26*B893,1)))</f>
        <v>6</v>
      </c>
      <c r="M895" s="1">
        <f t="array" aca="1" ref="M895" ca="1">SUMPRODUCT((OFFSET(Calc2!$F$4,,,$F$26*B893,2)=F895)*(OFFSET(Calc2!$H$4,,,$F$26*B893,1)=OFFSET(Calc2!$I$4,,,$F$26*B893,1))*(OFFSET(Calc2!$H$4,,,$F$26*B893,1)&lt;&gt;"")*(OFFSET(Calc2!$I$4,,,$F$26*B893,1)&lt;&gt;""))</f>
        <v>8</v>
      </c>
      <c r="N895" s="1">
        <f t="array" aca="1" ref="N895" ca="1">SUMPRODUCT((OFFSET(Calc2!$F$4,,,$F$26*B893,1)=F895)*(OFFSET(Calc2!$H$4,,,$F$26*B893,1)&lt;OFFSET(Calc2!$I$4,,,$F$26*B893,1)))+SUMPRODUCT((OFFSET(Calc2!$G$4,,,$F$26*B893,1)=F895)*(OFFSET(Calc2!$H$4,,,$F$26*B893,1)&gt;OFFSET(Calc2!$I$4,,,$F$26*B893,1)))</f>
        <v>20</v>
      </c>
      <c r="O895" s="132">
        <f ca="1">SUMPRODUCT((F895=OFFSET(Calc2!$F$4,,,$F$26*B893,1))*OFFSET(Calc2!$O$4,,,$F$26*B893,1))+SUMPRODUCT((F895=OFFSET(Calc2!$G$4,,,$F$26*B893,1))*OFFSET(Calc2!$P$4,,,$F$26*B893,1))</f>
        <v>0</v>
      </c>
      <c r="P895" s="2"/>
      <c r="Q895" s="2"/>
      <c r="R895" s="13">
        <f t="shared" ref="R895:R914" ca="1" si="166">J895*FactorPts+(I895+GDzero)*FactorGD+G895*FactorGF</f>
        <v>26499969041</v>
      </c>
      <c r="S895" s="134">
        <f>Tie_Break!$D$7</f>
        <v>0</v>
      </c>
      <c r="T895" s="8">
        <f ca="1">RANK(R895,R895:R914)+(9-S895)/10000+(F895="")*1000</f>
        <v>17.000900000000001</v>
      </c>
      <c r="U895" s="134"/>
      <c r="V895" s="134">
        <f ca="1">IF($K$24=0,"",1)</f>
        <v>1</v>
      </c>
      <c r="W895" s="4" t="str">
        <f ca="1">IF($K$24=0,Calc2!$C$4,VLOOKUP(B895,C895:N914,4,0))</f>
        <v>FC Bayern München</v>
      </c>
      <c r="X895" s="1">
        <f ca="1">INDEX(V868:V887,MATCH(W895,W868:W887,0))</f>
        <v>1</v>
      </c>
      <c r="Y895" s="1">
        <f ca="1">IF(X895&gt;V895,1,IF(X895&lt;V895,-1,0))</f>
        <v>0</v>
      </c>
    </row>
    <row r="896" spans="2:25" x14ac:dyDescent="0.2">
      <c r="B896" s="1">
        <v>2</v>
      </c>
      <c r="C896" s="9">
        <f ca="1">RANK(D896,D895:D914,1)</f>
        <v>14</v>
      </c>
      <c r="D896" s="134">
        <f t="shared" ref="D896:D914" ca="1" si="167">E896+ROW()/1000</f>
        <v>14.896000000000001</v>
      </c>
      <c r="E896" s="134">
        <f ca="1">RANK(T896,T895:T914,1)</f>
        <v>14</v>
      </c>
      <c r="F896" s="187" t="str">
        <f>Calc2!$C$5</f>
        <v>1. FC Köln</v>
      </c>
      <c r="G896" s="1">
        <f ca="1">SUMIFS(OFFSET(Calc2!$H$4,,,$F$26*B893,1),OFFSET(Calc2!$F$4,,,$F$26*B893,1),F896)+SUMIFS(OFFSET(Calc2!$I$4,,,$F$26*B893,1),OFFSET(Calc2!$G$4,,,$F$26*B893,1),F896)</f>
        <v>49</v>
      </c>
      <c r="H896" s="1">
        <f ca="1">SUMIFS(OFFSET(Calc2!$I$4,,,$F$26*B893,1),OFFSET(Calc2!$F$4,,,$F$26*B893,1),F896)+SUMIFS(OFFSET(Calc2!$H$4,,,$F$26*B893,1),OFFSET(Calc2!$G$4,,,$F$26*B893,1),F896)</f>
        <v>63</v>
      </c>
      <c r="I896" s="134">
        <f t="shared" ca="1" si="165"/>
        <v>-14</v>
      </c>
      <c r="J896" s="12">
        <f ca="1">L896*Settings!$C$3+M896+O896</f>
        <v>32</v>
      </c>
      <c r="K896" s="1">
        <f t="shared" ref="K896:K914" ca="1" si="168">L896+M896+N896</f>
        <v>34</v>
      </c>
      <c r="L896" s="1">
        <f t="array" aca="1" ref="L896" ca="1">SUMPRODUCT((OFFSET(Calc2!$F$4,,,$F$26*B893,1)=F896)*(OFFSET(Calc2!$H$4,,,$F$26*B893,1)&gt;OFFSET(Calc2!$I$4,,,$F$26*B893,1)))+SUMPRODUCT((OFFSET(Calc2!$G$4,,,$F$26*B893,1)=F896)*(OFFSET(Calc2!$H$4,,,$F$26*B893,1)&lt;OFFSET(Calc2!$I$4,,,$F$26*B893,1)))</f>
        <v>7</v>
      </c>
      <c r="M896" s="1">
        <f t="array" aca="1" ref="M896" ca="1">SUMPRODUCT((OFFSET(Calc2!$F$4,,,$F$26*B893,2)=F896)*(OFFSET(Calc2!$H$4,,,$F$26*B893,1)=OFFSET(Calc2!$I$4,,,$F$26*B893,1))*(OFFSET(Calc2!$H$4,,,$F$26*B893,1)&lt;&gt;"")*(OFFSET(Calc2!$I$4,,,$F$26*B893,1)&lt;&gt;""))</f>
        <v>11</v>
      </c>
      <c r="N896" s="1">
        <f t="array" aca="1" ref="N896" ca="1">SUMPRODUCT((OFFSET(Calc2!$F$4,,,$F$26*B893,1)=F896)*(OFFSET(Calc2!$H$4,,,$F$26*B893,1)&lt;OFFSET(Calc2!$I$4,,,$F$26*B893,1)))+SUMPRODUCT((OFFSET(Calc2!$G$4,,,$F$26*B893,1)=F896)*(OFFSET(Calc2!$H$4,,,$F$26*B893,1)&gt;OFFSET(Calc2!$I$4,,,$F$26*B893,1)))</f>
        <v>16</v>
      </c>
      <c r="O896" s="132">
        <f ca="1">SUMPRODUCT((F896=OFFSET(Calc2!$F$4,,,$F$26*B893,1))*OFFSET(Calc2!$O$4,,,$F$26*B893,1))+SUMPRODUCT((F896=OFFSET(Calc2!$G$4,,,$F$26*B893,1))*OFFSET(Calc2!$P$4,,,$F$26*B893,1))</f>
        <v>0</v>
      </c>
      <c r="P896" s="2"/>
      <c r="Q896" s="2"/>
      <c r="R896" s="13">
        <f t="shared" ca="1" si="166"/>
        <v>32499986049</v>
      </c>
      <c r="S896" s="134">
        <f>Tie_Break!$D$8</f>
        <v>0</v>
      </c>
      <c r="T896" s="9">
        <f ca="1">RANK(R896,R895:R914)+(9-S896)/10000+(F896="")*1000</f>
        <v>14.0009</v>
      </c>
      <c r="U896" s="134"/>
      <c r="V896" s="134">
        <f ca="1">IF($K$24=0,"",IF(VLOOKUP(B896,C895:E914,3,0)=MAX(V$4:V895),VLOOKUP(B896,C895:E914,3,0),B896))</f>
        <v>2</v>
      </c>
      <c r="W896" s="4" t="str">
        <f ca="1">IF($K$24=0,Calc2!$C$5,VLOOKUP(B896,C895:N914,4,0))</f>
        <v>Borussia Dortmund</v>
      </c>
      <c r="X896" s="1">
        <f ca="1">INDEX(V868:V887,MATCH(W896,W868:W887,0))</f>
        <v>2</v>
      </c>
      <c r="Y896" s="1">
        <f t="shared" ref="Y896:Y914" ca="1" si="169">IF(X896&gt;V896,1,IF(X896&lt;V896,-1,0))</f>
        <v>0</v>
      </c>
    </row>
    <row r="897" spans="2:25" x14ac:dyDescent="0.2">
      <c r="B897" s="1">
        <v>3</v>
      </c>
      <c r="C897" s="9">
        <f ca="1">RANK(D897,D895:D914,1)</f>
        <v>11</v>
      </c>
      <c r="D897" s="134">
        <f t="shared" ca="1" si="167"/>
        <v>11.897</v>
      </c>
      <c r="E897" s="134">
        <f ca="1">RANK(T897,T895:T914,1)</f>
        <v>11</v>
      </c>
      <c r="F897" s="187" t="str">
        <f>Calc2!$C$6</f>
        <v>1. FC Union Berlin</v>
      </c>
      <c r="G897" s="1">
        <f ca="1">SUMIFS(OFFSET(Calc2!$H$4,,,$F$26*B893,1),OFFSET(Calc2!$F$4,,,$F$26*B893,1),F897)+SUMIFS(OFFSET(Calc2!$I$4,,,$F$26*B893,1),OFFSET(Calc2!$G$4,,,$F$26*B893,1),F897)</f>
        <v>42</v>
      </c>
      <c r="H897" s="1">
        <f ca="1">SUMIFS(OFFSET(Calc2!$I$4,,,$F$26*B893,1),OFFSET(Calc2!$F$4,,,$F$26*B893,1),F897)+SUMIFS(OFFSET(Calc2!$H$4,,,$F$26*B893,1),OFFSET(Calc2!$G$4,,,$F$26*B893,1),F897)</f>
        <v>57</v>
      </c>
      <c r="I897" s="134">
        <f t="shared" ca="1" si="165"/>
        <v>-15</v>
      </c>
      <c r="J897" s="12">
        <f ca="1">L897*Settings!$C$3+M897+O897</f>
        <v>39</v>
      </c>
      <c r="K897" s="1">
        <f t="shared" ca="1" si="168"/>
        <v>34</v>
      </c>
      <c r="L897" s="1">
        <f t="array" aca="1" ref="L897" ca="1">SUMPRODUCT((OFFSET(Calc2!$F$4,,,$F$26*B893,1)=F897)*(OFFSET(Calc2!$H$4,,,$F$26*B893,1)&gt;OFFSET(Calc2!$I$4,,,$F$26*B893,1)))+SUMPRODUCT((OFFSET(Calc2!$G$4,,,$F$26*B893,1)=F897)*(OFFSET(Calc2!$H$4,,,$F$26*B893,1)&lt;OFFSET(Calc2!$I$4,,,$F$26*B893,1)))</f>
        <v>10</v>
      </c>
      <c r="M897" s="1">
        <f t="array" aca="1" ref="M897" ca="1">SUMPRODUCT((OFFSET(Calc2!$F$4,,,$F$26*B893,2)=F897)*(OFFSET(Calc2!$H$4,,,$F$26*B893,1)=OFFSET(Calc2!$I$4,,,$F$26*B893,1))*(OFFSET(Calc2!$H$4,,,$F$26*B893,1)&lt;&gt;"")*(OFFSET(Calc2!$I$4,,,$F$26*B893,1)&lt;&gt;""))</f>
        <v>9</v>
      </c>
      <c r="N897" s="1">
        <f t="array" aca="1" ref="N897" ca="1">SUMPRODUCT((OFFSET(Calc2!$F$4,,,$F$26*B893,1)=F897)*(OFFSET(Calc2!$H$4,,,$F$26*B893,1)&lt;OFFSET(Calc2!$I$4,,,$F$26*B893,1)))+SUMPRODUCT((OFFSET(Calc2!$G$4,,,$F$26*B893,1)=F897)*(OFFSET(Calc2!$H$4,,,$F$26*B893,1)&gt;OFFSET(Calc2!$I$4,,,$F$26*B893,1)))</f>
        <v>15</v>
      </c>
      <c r="O897" s="132">
        <f ca="1">SUMPRODUCT((F897=OFFSET(Calc2!$F$4,,,$F$26*B893,1))*OFFSET(Calc2!$O$4,,,$F$26*B893,1))+SUMPRODUCT((F897=OFFSET(Calc2!$G$4,,,$F$26*B893,1))*OFFSET(Calc2!$P$4,,,$F$26*B893,1))</f>
        <v>0</v>
      </c>
      <c r="P897" s="2"/>
      <c r="Q897" s="2"/>
      <c r="R897" s="13">
        <f t="shared" ca="1" si="166"/>
        <v>39499985042</v>
      </c>
      <c r="S897" s="134">
        <f>Tie_Break!$D$9</f>
        <v>0</v>
      </c>
      <c r="T897" s="9">
        <f ca="1">RANK(R897,R895:R914)+(9-S897)/10000+(F897="")*1000</f>
        <v>11.0009</v>
      </c>
      <c r="U897" s="134"/>
      <c r="V897" s="134">
        <f ca="1">IF($K$24=0,"",IF(VLOOKUP(B897,C895:E914,3,0)=MAX(V$4:V896),VLOOKUP(B897,C895:E914,3,0),B897))</f>
        <v>3</v>
      </c>
      <c r="W897" s="4" t="str">
        <f ca="1">IF($K$24=0,Calc2!$C$6,VLOOKUP(B897,C895:N914,4,0))</f>
        <v>RB Leipzig</v>
      </c>
      <c r="X897" s="1">
        <f ca="1">INDEX(V868:V887,MATCH(W897,W868:W887,0))</f>
        <v>3</v>
      </c>
      <c r="Y897" s="1">
        <f t="shared" ca="1" si="169"/>
        <v>0</v>
      </c>
    </row>
    <row r="898" spans="2:25" x14ac:dyDescent="0.2">
      <c r="B898" s="1">
        <v>4</v>
      </c>
      <c r="C898" s="9">
        <f ca="1">RANK(D898,D895:D914,1)</f>
        <v>10</v>
      </c>
      <c r="D898" s="134">
        <f t="shared" ca="1" si="167"/>
        <v>10.898</v>
      </c>
      <c r="E898" s="134">
        <f ca="1">RANK(T898,T895:T914,1)</f>
        <v>10</v>
      </c>
      <c r="F898" s="187" t="str">
        <f>Calc2!$C$7</f>
        <v>1. FSV Mainz 05</v>
      </c>
      <c r="G898" s="1">
        <f ca="1">SUMIFS(OFFSET(Calc2!$H$4,,,$F$26*B893,1),OFFSET(Calc2!$F$4,,,$F$26*B893,1),F898)+SUMIFS(OFFSET(Calc2!$I$4,,,$F$26*B893,1),OFFSET(Calc2!$G$4,,,$F$26*B893,1),F898)</f>
        <v>43</v>
      </c>
      <c r="H898" s="1">
        <f ca="1">SUMIFS(OFFSET(Calc2!$I$4,,,$F$26*B893,1),OFFSET(Calc2!$F$4,,,$F$26*B893,1),F898)+SUMIFS(OFFSET(Calc2!$H$4,,,$F$26*B893,1),OFFSET(Calc2!$G$4,,,$F$26*B893,1),F898)</f>
        <v>51</v>
      </c>
      <c r="I898" s="134">
        <f t="shared" ca="1" si="165"/>
        <v>-8</v>
      </c>
      <c r="J898" s="12">
        <f ca="1">L898*Settings!$C$3+M898+O898</f>
        <v>40</v>
      </c>
      <c r="K898" s="1">
        <f t="shared" ca="1" si="168"/>
        <v>34</v>
      </c>
      <c r="L898" s="1">
        <f t="array" aca="1" ref="L898" ca="1">SUMPRODUCT((OFFSET(Calc2!$F$4,,,$F$26*B893,1)=F898)*(OFFSET(Calc2!$H$4,,,$F$26*B893,1)&gt;OFFSET(Calc2!$I$4,,,$F$26*B893,1)))+SUMPRODUCT((OFFSET(Calc2!$G$4,,,$F$26*B893,1)=F898)*(OFFSET(Calc2!$H$4,,,$F$26*B893,1)&lt;OFFSET(Calc2!$I$4,,,$F$26*B893,1)))</f>
        <v>10</v>
      </c>
      <c r="M898" s="1">
        <f t="array" aca="1" ref="M898" ca="1">SUMPRODUCT((OFFSET(Calc2!$F$4,,,$F$26*B893,2)=F898)*(OFFSET(Calc2!$H$4,,,$F$26*B893,1)=OFFSET(Calc2!$I$4,,,$F$26*B893,1))*(OFFSET(Calc2!$H$4,,,$F$26*B893,1)&lt;&gt;"")*(OFFSET(Calc2!$I$4,,,$F$26*B893,1)&lt;&gt;""))</f>
        <v>10</v>
      </c>
      <c r="N898" s="1">
        <f t="array" aca="1" ref="N898" ca="1">SUMPRODUCT((OFFSET(Calc2!$F$4,,,$F$26*B893,1)=F898)*(OFFSET(Calc2!$H$4,,,$F$26*B893,1)&lt;OFFSET(Calc2!$I$4,,,$F$26*B893,1)))+SUMPRODUCT((OFFSET(Calc2!$G$4,,,$F$26*B893,1)=F898)*(OFFSET(Calc2!$H$4,,,$F$26*B893,1)&gt;OFFSET(Calc2!$I$4,,,$F$26*B893,1)))</f>
        <v>14</v>
      </c>
      <c r="O898" s="132">
        <f ca="1">SUMPRODUCT((F898=OFFSET(Calc2!$F$4,,,$F$26*B893,1))*OFFSET(Calc2!$O$4,,,$F$26*B893,1))+SUMPRODUCT((F898=OFFSET(Calc2!$G$4,,,$F$26*B893,1))*OFFSET(Calc2!$P$4,,,$F$26*B893,1))</f>
        <v>0</v>
      </c>
      <c r="P898" s="2"/>
      <c r="Q898" s="2"/>
      <c r="R898" s="13">
        <f t="shared" ca="1" si="166"/>
        <v>40499992043</v>
      </c>
      <c r="S898" s="134">
        <f>Tie_Break!$D$10</f>
        <v>0</v>
      </c>
      <c r="T898" s="9">
        <f ca="1">RANK(R898,R895:R914)+(9-S898)/10000+(F898="")*1000</f>
        <v>10.0009</v>
      </c>
      <c r="U898" s="134"/>
      <c r="V898" s="134">
        <f ca="1">IF($K$24=0,"",IF(VLOOKUP(B898,C895:E914,3,0)=MAX(V$4:V897),VLOOKUP(B898,C895:E914,3,0),B898))</f>
        <v>4</v>
      </c>
      <c r="W898" s="4" t="str">
        <f ca="1">IF($K$24=0,Calc2!$C$7,VLOOKUP(B898,C895:N914,4,0))</f>
        <v>VfB Stuttgart</v>
      </c>
      <c r="X898" s="1">
        <f ca="1">INDEX(V868:V887,MATCH(W898,W868:W887,0))</f>
        <v>4</v>
      </c>
      <c r="Y898" s="1">
        <f t="shared" ca="1" si="169"/>
        <v>0</v>
      </c>
    </row>
    <row r="899" spans="2:25" x14ac:dyDescent="0.2">
      <c r="B899" s="1">
        <v>5</v>
      </c>
      <c r="C899" s="9">
        <f ca="1">RANK(D899,D895:D914,1)</f>
        <v>6</v>
      </c>
      <c r="D899" s="134">
        <f t="shared" ca="1" si="167"/>
        <v>6.899</v>
      </c>
      <c r="E899" s="134">
        <f ca="1">RANK(T899,T895:T914,1)</f>
        <v>6</v>
      </c>
      <c r="F899" s="187" t="str">
        <f>Calc2!$C$8</f>
        <v>Bayer 04 Leverkusen</v>
      </c>
      <c r="G899" s="1">
        <f ca="1">SUMIFS(OFFSET(Calc2!$H$4,,,$F$26*B893,1),OFFSET(Calc2!$F$4,,,$F$26*B893,1),F899)+SUMIFS(OFFSET(Calc2!$I$4,,,$F$26*B893,1),OFFSET(Calc2!$G$4,,,$F$26*B893,1),F899)</f>
        <v>68</v>
      </c>
      <c r="H899" s="1">
        <f ca="1">SUMIFS(OFFSET(Calc2!$I$4,,,$F$26*B893,1),OFFSET(Calc2!$F$4,,,$F$26*B893,1),F899)+SUMIFS(OFFSET(Calc2!$H$4,,,$F$26*B893,1),OFFSET(Calc2!$G$4,,,$F$26*B893,1),F899)</f>
        <v>47</v>
      </c>
      <c r="I899" s="134">
        <f t="shared" ca="1" si="165"/>
        <v>21</v>
      </c>
      <c r="J899" s="12">
        <f ca="1">L899*Settings!$C$3+M899+O899</f>
        <v>59</v>
      </c>
      <c r="K899" s="1">
        <f t="shared" ca="1" si="168"/>
        <v>34</v>
      </c>
      <c r="L899" s="1">
        <f t="array" aca="1" ref="L899" ca="1">SUMPRODUCT((OFFSET(Calc2!$F$4,,,$F$26*B893,1)=F899)*(OFFSET(Calc2!$H$4,,,$F$26*B893,1)&gt;OFFSET(Calc2!$I$4,,,$F$26*B893,1)))+SUMPRODUCT((OFFSET(Calc2!$G$4,,,$F$26*B893,1)=F899)*(OFFSET(Calc2!$H$4,,,$F$26*B893,1)&lt;OFFSET(Calc2!$I$4,,,$F$26*B893,1)))</f>
        <v>17</v>
      </c>
      <c r="M899" s="1">
        <f t="array" aca="1" ref="M899" ca="1">SUMPRODUCT((OFFSET(Calc2!$F$4,,,$F$26*B893,2)=F899)*(OFFSET(Calc2!$H$4,,,$F$26*B893,1)=OFFSET(Calc2!$I$4,,,$F$26*B893,1))*(OFFSET(Calc2!$H$4,,,$F$26*B893,1)&lt;&gt;"")*(OFFSET(Calc2!$I$4,,,$F$26*B893,1)&lt;&gt;""))</f>
        <v>8</v>
      </c>
      <c r="N899" s="1">
        <f t="array" aca="1" ref="N899" ca="1">SUMPRODUCT((OFFSET(Calc2!$F$4,,,$F$26*B893,1)=F899)*(OFFSET(Calc2!$H$4,,,$F$26*B893,1)&lt;OFFSET(Calc2!$I$4,,,$F$26*B893,1)))+SUMPRODUCT((OFFSET(Calc2!$G$4,,,$F$26*B893,1)=F899)*(OFFSET(Calc2!$H$4,,,$F$26*B893,1)&gt;OFFSET(Calc2!$I$4,,,$F$26*B893,1)))</f>
        <v>9</v>
      </c>
      <c r="O899" s="132">
        <f ca="1">SUMPRODUCT((F899=OFFSET(Calc2!$F$4,,,$F$26*B893,1))*OFFSET(Calc2!$O$4,,,$F$26*B893,1))+SUMPRODUCT((F899=OFFSET(Calc2!$G$4,,,$F$26*B893,1))*OFFSET(Calc2!$P$4,,,$F$26*B893,1))</f>
        <v>0</v>
      </c>
      <c r="P899" s="2"/>
      <c r="Q899" s="2"/>
      <c r="R899" s="13">
        <f t="shared" ca="1" si="166"/>
        <v>59500021068</v>
      </c>
      <c r="S899" s="134">
        <f>Tie_Break!$D$11</f>
        <v>0</v>
      </c>
      <c r="T899" s="9">
        <f ca="1">RANK(R899,R895:R914)+(9-S899)/10000+(F899="")*1000</f>
        <v>6.0008999999999997</v>
      </c>
      <c r="U899" s="134"/>
      <c r="V899" s="134">
        <f ca="1">IF($K$24=0,"",IF(VLOOKUP(B899,C895:E914,3,0)=MAX(V$4:V898),VLOOKUP(B899,C895:E914,3,0),B899))</f>
        <v>5</v>
      </c>
      <c r="W899" s="4" t="str">
        <f ca="1">IF($K$24=0,Calc2!$C$8,VLOOKUP(B899,C895:N914,4,0))</f>
        <v>TSG Hoffenheim</v>
      </c>
      <c r="X899" s="1">
        <f ca="1">INDEX(V868:V887,MATCH(W899,W868:W887,0))</f>
        <v>5</v>
      </c>
      <c r="Y899" s="1">
        <f t="shared" ca="1" si="169"/>
        <v>0</v>
      </c>
    </row>
    <row r="900" spans="2:25" x14ac:dyDescent="0.2">
      <c r="B900" s="1">
        <v>6</v>
      </c>
      <c r="C900" s="9">
        <f ca="1">RANK(D900,D895:D914,1)</f>
        <v>2</v>
      </c>
      <c r="D900" s="134">
        <f t="shared" ca="1" si="167"/>
        <v>2.9</v>
      </c>
      <c r="E900" s="134">
        <f ca="1">RANK(T900,T895:T914,1)</f>
        <v>2</v>
      </c>
      <c r="F900" s="187" t="str">
        <f>Calc2!$C$9</f>
        <v>Borussia Dortmund</v>
      </c>
      <c r="G900" s="1">
        <f ca="1">SUMIFS(OFFSET(Calc2!$H$4,,,$F$26*B893,1),OFFSET(Calc2!$F$4,,,$F$26*B893,1),F900)+SUMIFS(OFFSET(Calc2!$I$4,,,$F$26*B893,1),OFFSET(Calc2!$G$4,,,$F$26*B893,1),F900)</f>
        <v>70</v>
      </c>
      <c r="H900" s="1">
        <f ca="1">SUMIFS(OFFSET(Calc2!$I$4,,,$F$26*B893,1),OFFSET(Calc2!$F$4,,,$F$26*B893,1),F900)+SUMIFS(OFFSET(Calc2!$H$4,,,$F$26*B893,1),OFFSET(Calc2!$G$4,,,$F$26*B893,1),F900)</f>
        <v>34</v>
      </c>
      <c r="I900" s="134">
        <f t="shared" ca="1" si="165"/>
        <v>36</v>
      </c>
      <c r="J900" s="12">
        <f ca="1">L900*Settings!$C$3+M900+O900</f>
        <v>73</v>
      </c>
      <c r="K900" s="1">
        <f t="shared" ca="1" si="168"/>
        <v>34</v>
      </c>
      <c r="L900" s="1">
        <f t="array" aca="1" ref="L900" ca="1">SUMPRODUCT((OFFSET(Calc2!$F$4,,,$F$26*B893,1)=F900)*(OFFSET(Calc2!$H$4,,,$F$26*B893,1)&gt;OFFSET(Calc2!$I$4,,,$F$26*B893,1)))+SUMPRODUCT((OFFSET(Calc2!$G$4,,,$F$26*B893,1)=F900)*(OFFSET(Calc2!$H$4,,,$F$26*B893,1)&lt;OFFSET(Calc2!$I$4,,,$F$26*B893,1)))</f>
        <v>22</v>
      </c>
      <c r="M900" s="1">
        <f t="array" aca="1" ref="M900" ca="1">SUMPRODUCT((OFFSET(Calc2!$F$4,,,$F$26*B893,2)=F900)*(OFFSET(Calc2!$H$4,,,$F$26*B893,1)=OFFSET(Calc2!$I$4,,,$F$26*B893,1))*(OFFSET(Calc2!$H$4,,,$F$26*B893,1)&lt;&gt;"")*(OFFSET(Calc2!$I$4,,,$F$26*B893,1)&lt;&gt;""))</f>
        <v>7</v>
      </c>
      <c r="N900" s="1">
        <f t="array" aca="1" ref="N900" ca="1">SUMPRODUCT((OFFSET(Calc2!$F$4,,,$F$26*B893,1)=F900)*(OFFSET(Calc2!$H$4,,,$F$26*B893,1)&lt;OFFSET(Calc2!$I$4,,,$F$26*B893,1)))+SUMPRODUCT((OFFSET(Calc2!$G$4,,,$F$26*B893,1)=F900)*(OFFSET(Calc2!$H$4,,,$F$26*B893,1)&gt;OFFSET(Calc2!$I$4,,,$F$26*B893,1)))</f>
        <v>5</v>
      </c>
      <c r="O900" s="132">
        <f ca="1">SUMPRODUCT((F900=OFFSET(Calc2!$F$4,,,$F$26*B893,1))*OFFSET(Calc2!$O$4,,,$F$26*B893,1))+SUMPRODUCT((F900=OFFSET(Calc2!$G$4,,,$F$26*B893,1))*OFFSET(Calc2!$P$4,,,$F$26*B893,1))</f>
        <v>0</v>
      </c>
      <c r="P900" s="2"/>
      <c r="Q900" s="2"/>
      <c r="R900" s="13">
        <f t="shared" ca="1" si="166"/>
        <v>73500036070</v>
      </c>
      <c r="S900" s="134">
        <f>Tie_Break!$D$12</f>
        <v>0</v>
      </c>
      <c r="T900" s="9">
        <f ca="1">RANK(R900,R895:R914)+(9-S900)/10000+(F900="")*1000</f>
        <v>2.0009000000000001</v>
      </c>
      <c r="U900" s="134"/>
      <c r="V900" s="134">
        <f ca="1">IF($K$24=0,"",IF(VLOOKUP(B900,C895:E914,3,0)=MAX(V$4:V899),VLOOKUP(B900,C895:E914,3,0),B900))</f>
        <v>6</v>
      </c>
      <c r="W900" s="4" t="str">
        <f ca="1">IF($K$24=0,Calc2!$C$9,VLOOKUP(B900,C895:N914,4,0))</f>
        <v>Bayer 04 Leverkusen</v>
      </c>
      <c r="X900" s="1">
        <f ca="1">INDEX(V868:V887,MATCH(W900,W868:W887,0))</f>
        <v>6</v>
      </c>
      <c r="Y900" s="1">
        <f t="shared" ca="1" si="169"/>
        <v>0</v>
      </c>
    </row>
    <row r="901" spans="2:25" x14ac:dyDescent="0.2">
      <c r="B901" s="1">
        <v>7</v>
      </c>
      <c r="C901" s="9">
        <f ca="1">RANK(D901,D895:D914,1)</f>
        <v>12</v>
      </c>
      <c r="D901" s="134">
        <f t="shared" ca="1" si="167"/>
        <v>12.901</v>
      </c>
      <c r="E901" s="134">
        <f ca="1">RANK(T901,T895:T914,1)</f>
        <v>12</v>
      </c>
      <c r="F901" s="187" t="str">
        <f>Calc2!$C$10</f>
        <v>Borussia Mönchengladbach</v>
      </c>
      <c r="G901" s="1">
        <f ca="1">SUMIFS(OFFSET(Calc2!$H$4,,,$F$26*B893,1),OFFSET(Calc2!$F$4,,,$F$26*B893,1),F901)+SUMIFS(OFFSET(Calc2!$I$4,,,$F$26*B893,1),OFFSET(Calc2!$G$4,,,$F$26*B893,1),F901)</f>
        <v>42</v>
      </c>
      <c r="H901" s="1">
        <f ca="1">SUMIFS(OFFSET(Calc2!$I$4,,,$F$26*B893,1),OFFSET(Calc2!$F$4,,,$F$26*B893,1),F901)+SUMIFS(OFFSET(Calc2!$H$4,,,$F$26*B893,1),OFFSET(Calc2!$G$4,,,$F$26*B893,1),F901)</f>
        <v>53</v>
      </c>
      <c r="I901" s="134">
        <f t="shared" ca="1" si="165"/>
        <v>-11</v>
      </c>
      <c r="J901" s="12">
        <f ca="1">L901*Settings!$C$3+M901+O901</f>
        <v>38</v>
      </c>
      <c r="K901" s="1">
        <f t="shared" ca="1" si="168"/>
        <v>34</v>
      </c>
      <c r="L901" s="1">
        <f t="array" aca="1" ref="L901" ca="1">SUMPRODUCT((OFFSET(Calc2!$F$4,,,$F$26*B893,1)=F901)*(OFFSET(Calc2!$H$4,,,$F$26*B893,1)&gt;OFFSET(Calc2!$I$4,,,$F$26*B893,1)))+SUMPRODUCT((OFFSET(Calc2!$G$4,,,$F$26*B893,1)=F901)*(OFFSET(Calc2!$H$4,,,$F$26*B893,1)&lt;OFFSET(Calc2!$I$4,,,$F$26*B893,1)))</f>
        <v>9</v>
      </c>
      <c r="M901" s="1">
        <f t="array" aca="1" ref="M901" ca="1">SUMPRODUCT((OFFSET(Calc2!$F$4,,,$F$26*B893,2)=F901)*(OFFSET(Calc2!$H$4,,,$F$26*B893,1)=OFFSET(Calc2!$I$4,,,$F$26*B893,1))*(OFFSET(Calc2!$H$4,,,$F$26*B893,1)&lt;&gt;"")*(OFFSET(Calc2!$I$4,,,$F$26*B893,1)&lt;&gt;""))</f>
        <v>11</v>
      </c>
      <c r="N901" s="1">
        <f t="array" aca="1" ref="N901" ca="1">SUMPRODUCT((OFFSET(Calc2!$F$4,,,$F$26*B893,1)=F901)*(OFFSET(Calc2!$H$4,,,$F$26*B893,1)&lt;OFFSET(Calc2!$I$4,,,$F$26*B893,1)))+SUMPRODUCT((OFFSET(Calc2!$G$4,,,$F$26*B893,1)=F901)*(OFFSET(Calc2!$H$4,,,$F$26*B893,1)&gt;OFFSET(Calc2!$I$4,,,$F$26*B893,1)))</f>
        <v>14</v>
      </c>
      <c r="O901" s="132">
        <f ca="1">SUMPRODUCT((F901=OFFSET(Calc2!$F$4,,,$F$26*B893,1))*OFFSET(Calc2!$O$4,,,$F$26*B893,1))+SUMPRODUCT((F901=OFFSET(Calc2!$G$4,,,$F$26*B893,1))*OFFSET(Calc2!$P$4,,,$F$26*B893,1))</f>
        <v>0</v>
      </c>
      <c r="P901" s="2"/>
      <c r="Q901" s="2"/>
      <c r="R901" s="13">
        <f t="shared" ca="1" si="166"/>
        <v>38499989042</v>
      </c>
      <c r="S901" s="134">
        <f>Tie_Break!$D$13</f>
        <v>0</v>
      </c>
      <c r="T901" s="9">
        <f ca="1">RANK(R901,R895:R914)+(9-S901)/10000+(F901="")*1000</f>
        <v>12.0009</v>
      </c>
      <c r="U901" s="134"/>
      <c r="V901" s="134">
        <f ca="1">IF($K$24=0,"",IF(VLOOKUP(B901,C895:E914,3,0)=MAX(V$4:V900),VLOOKUP(B901,C895:E914,3,0),B901))</f>
        <v>7</v>
      </c>
      <c r="W901" s="4" t="str">
        <f ca="1">IF($K$24=0,Calc2!$C$10,VLOOKUP(B901,C895:N914,4,0))</f>
        <v>SC Freiburg</v>
      </c>
      <c r="X901" s="1">
        <f ca="1">INDEX(V868:V887,MATCH(W901,W868:W887,0))</f>
        <v>7</v>
      </c>
      <c r="Y901" s="1">
        <f t="shared" ca="1" si="169"/>
        <v>0</v>
      </c>
    </row>
    <row r="902" spans="2:25" x14ac:dyDescent="0.2">
      <c r="B902" s="1">
        <v>8</v>
      </c>
      <c r="C902" s="9">
        <f ca="1">RANK(D902,D895:D914,1)</f>
        <v>8</v>
      </c>
      <c r="D902" s="134">
        <f t="shared" ca="1" si="167"/>
        <v>8.9019999999999992</v>
      </c>
      <c r="E902" s="134">
        <f ca="1">RANK(T902,T895:T914,1)</f>
        <v>8</v>
      </c>
      <c r="F902" s="187" t="str">
        <f>Calc2!$C$11</f>
        <v>Eintracht Frankfurt</v>
      </c>
      <c r="G902" s="1">
        <f ca="1">SUMIFS(OFFSET(Calc2!$H$4,,,$F$26*B893,1),OFFSET(Calc2!$F$4,,,$F$26*B893,1),F902)+SUMIFS(OFFSET(Calc2!$I$4,,,$F$26*B893,1),OFFSET(Calc2!$G$4,,,$F$26*B893,1),F902)</f>
        <v>61</v>
      </c>
      <c r="H902" s="1">
        <f ca="1">SUMIFS(OFFSET(Calc2!$I$4,,,$F$26*B893,1),OFFSET(Calc2!$F$4,,,$F$26*B893,1),F902)+SUMIFS(OFFSET(Calc2!$H$4,,,$F$26*B893,1),OFFSET(Calc2!$G$4,,,$F$26*B893,1),F902)</f>
        <v>65</v>
      </c>
      <c r="I902" s="134">
        <f t="shared" ca="1" si="165"/>
        <v>-4</v>
      </c>
      <c r="J902" s="12">
        <f ca="1">L902*Settings!$C$3+M902+O902</f>
        <v>44</v>
      </c>
      <c r="K902" s="1">
        <f t="shared" ca="1" si="168"/>
        <v>34</v>
      </c>
      <c r="L902" s="1">
        <f t="array" aca="1" ref="L902" ca="1">SUMPRODUCT((OFFSET(Calc2!$F$4,,,$F$26*B893,1)=F902)*(OFFSET(Calc2!$H$4,,,$F$26*B893,1)&gt;OFFSET(Calc2!$I$4,,,$F$26*B893,1)))+SUMPRODUCT((OFFSET(Calc2!$G$4,,,$F$26*B893,1)=F902)*(OFFSET(Calc2!$H$4,,,$F$26*B893,1)&lt;OFFSET(Calc2!$I$4,,,$F$26*B893,1)))</f>
        <v>11</v>
      </c>
      <c r="M902" s="1">
        <f t="array" aca="1" ref="M902" ca="1">SUMPRODUCT((OFFSET(Calc2!$F$4,,,$F$26*B893,2)=F902)*(OFFSET(Calc2!$H$4,,,$F$26*B893,1)=OFFSET(Calc2!$I$4,,,$F$26*B893,1))*(OFFSET(Calc2!$H$4,,,$F$26*B893,1)&lt;&gt;"")*(OFFSET(Calc2!$I$4,,,$F$26*B893,1)&lt;&gt;""))</f>
        <v>11</v>
      </c>
      <c r="N902" s="1">
        <f t="array" aca="1" ref="N902" ca="1">SUMPRODUCT((OFFSET(Calc2!$F$4,,,$F$26*B893,1)=F902)*(OFFSET(Calc2!$H$4,,,$F$26*B893,1)&lt;OFFSET(Calc2!$I$4,,,$F$26*B893,1)))+SUMPRODUCT((OFFSET(Calc2!$G$4,,,$F$26*B893,1)=F902)*(OFFSET(Calc2!$H$4,,,$F$26*B893,1)&gt;OFFSET(Calc2!$I$4,,,$F$26*B893,1)))</f>
        <v>12</v>
      </c>
      <c r="O902" s="132">
        <f ca="1">SUMPRODUCT((F902=OFFSET(Calc2!$F$4,,,$F$26*B893,1))*OFFSET(Calc2!$O$4,,,$F$26*B893,1))+SUMPRODUCT((F902=OFFSET(Calc2!$G$4,,,$F$26*B893,1))*OFFSET(Calc2!$P$4,,,$F$26*B893,1))</f>
        <v>0</v>
      </c>
      <c r="P902" s="2"/>
      <c r="Q902" s="2"/>
      <c r="R902" s="13">
        <f t="shared" ca="1" si="166"/>
        <v>44499996061</v>
      </c>
      <c r="S902" s="134">
        <f>Tie_Break!$D$14</f>
        <v>0</v>
      </c>
      <c r="T902" s="9">
        <f ca="1">RANK(R902,R895:R914)+(9-S902)/10000+(F902="")*1000</f>
        <v>8.0008999999999997</v>
      </c>
      <c r="U902" s="134"/>
      <c r="V902" s="134">
        <f ca="1">IF($K$24=0,"",IF(VLOOKUP(B902,C895:E914,3,0)=MAX(V$4:V901),VLOOKUP(B902,C895:E914,3,0),B902))</f>
        <v>8</v>
      </c>
      <c r="W902" s="4" t="str">
        <f ca="1">IF($K$24=0,Calc2!$C$11,VLOOKUP(B902,C895:N914,4,0))</f>
        <v>Eintracht Frankfurt</v>
      </c>
      <c r="X902" s="1">
        <f ca="1">INDEX(V868:V887,MATCH(W902,W868:W887,0))</f>
        <v>8</v>
      </c>
      <c r="Y902" s="1">
        <f t="shared" ca="1" si="169"/>
        <v>0</v>
      </c>
    </row>
    <row r="903" spans="2:25" x14ac:dyDescent="0.2">
      <c r="B903" s="1">
        <v>9</v>
      </c>
      <c r="C903" s="9">
        <f ca="1">RANK(D903,D895:D914,1)</f>
        <v>9</v>
      </c>
      <c r="D903" s="134">
        <f t="shared" ca="1" si="167"/>
        <v>9.9030000000000005</v>
      </c>
      <c r="E903" s="134">
        <f ca="1">RANK(T903,T895:T914,1)</f>
        <v>9</v>
      </c>
      <c r="F903" s="187" t="str">
        <f>Calc2!$C$12</f>
        <v>FC Augsburg</v>
      </c>
      <c r="G903" s="1">
        <f ca="1">SUMIFS(OFFSET(Calc2!$H$4,,,$F$26*B893,1),OFFSET(Calc2!$F$4,,,$F$26*B893,1),F903)+SUMIFS(OFFSET(Calc2!$I$4,,,$F$26*B893,1),OFFSET(Calc2!$G$4,,,$F$26*B893,1),F903)</f>
        <v>45</v>
      </c>
      <c r="H903" s="1">
        <f ca="1">SUMIFS(OFFSET(Calc2!$I$4,,,$F$26*B893,1),OFFSET(Calc2!$F$4,,,$F$26*B893,1),F903)+SUMIFS(OFFSET(Calc2!$H$4,,,$F$26*B893,1),OFFSET(Calc2!$G$4,,,$F$26*B893,1),F903)</f>
        <v>61</v>
      </c>
      <c r="I903" s="134">
        <f t="shared" ca="1" si="165"/>
        <v>-16</v>
      </c>
      <c r="J903" s="12">
        <f ca="1">L903*Settings!$C$3+M903+O903</f>
        <v>43</v>
      </c>
      <c r="K903" s="1">
        <f t="shared" ca="1" si="168"/>
        <v>34</v>
      </c>
      <c r="L903" s="1">
        <f t="array" aca="1" ref="L903" ca="1">SUMPRODUCT((OFFSET(Calc2!$F$4,,,$F$26*B893,1)=F903)*(OFFSET(Calc2!$H$4,,,$F$26*B893,1)&gt;OFFSET(Calc2!$I$4,,,$F$26*B893,1)))+SUMPRODUCT((OFFSET(Calc2!$G$4,,,$F$26*B893,1)=F903)*(OFFSET(Calc2!$H$4,,,$F$26*B893,1)&lt;OFFSET(Calc2!$I$4,,,$F$26*B893,1)))</f>
        <v>12</v>
      </c>
      <c r="M903" s="1">
        <f t="array" aca="1" ref="M903" ca="1">SUMPRODUCT((OFFSET(Calc2!$F$4,,,$F$26*B893,2)=F903)*(OFFSET(Calc2!$H$4,,,$F$26*B893,1)=OFFSET(Calc2!$I$4,,,$F$26*B893,1))*(OFFSET(Calc2!$H$4,,,$F$26*B893,1)&lt;&gt;"")*(OFFSET(Calc2!$I$4,,,$F$26*B893,1)&lt;&gt;""))</f>
        <v>7</v>
      </c>
      <c r="N903" s="1">
        <f t="array" aca="1" ref="N903" ca="1">SUMPRODUCT((OFFSET(Calc2!$F$4,,,$F$26*B893,1)=F903)*(OFFSET(Calc2!$H$4,,,$F$26*B893,1)&lt;OFFSET(Calc2!$I$4,,,$F$26*B893,1)))+SUMPRODUCT((OFFSET(Calc2!$G$4,,,$F$26*B893,1)=F903)*(OFFSET(Calc2!$H$4,,,$F$26*B893,1)&gt;OFFSET(Calc2!$I$4,,,$F$26*B893,1)))</f>
        <v>15</v>
      </c>
      <c r="O903" s="132">
        <f ca="1">SUMPRODUCT((F903=OFFSET(Calc2!$F$4,,,$F$26*B893,1))*OFFSET(Calc2!$O$4,,,$F$26*B893,1))+SUMPRODUCT((F903=OFFSET(Calc2!$G$4,,,$F$26*B893,1))*OFFSET(Calc2!$P$4,,,$F$26*B893,1))</f>
        <v>0</v>
      </c>
      <c r="P903" s="2"/>
      <c r="Q903" s="2"/>
      <c r="R903" s="13">
        <f t="shared" ca="1" si="166"/>
        <v>43499984045</v>
      </c>
      <c r="S903" s="134">
        <f>Tie_Break!$D$15</f>
        <v>0</v>
      </c>
      <c r="T903" s="9">
        <f ca="1">RANK(R903,R895:R914)+(9-S903)/10000+(F903="")*1000</f>
        <v>9.0008999999999997</v>
      </c>
      <c r="U903" s="134"/>
      <c r="V903" s="134">
        <f ca="1">IF($K$24=0,"",IF(VLOOKUP(B903,C895:E914,3,0)=MAX(V$4:V902),VLOOKUP(B903,C895:E914,3,0),B903))</f>
        <v>9</v>
      </c>
      <c r="W903" s="4" t="str">
        <f ca="1">IF($K$24=0,Calc2!$C$12,VLOOKUP(B903,C895:N914,4,0))</f>
        <v>FC Augsburg</v>
      </c>
      <c r="X903" s="1">
        <f ca="1">INDEX(V868:V887,MATCH(W903,W868:W887,0))</f>
        <v>9</v>
      </c>
      <c r="Y903" s="1">
        <f t="shared" ca="1" si="169"/>
        <v>0</v>
      </c>
    </row>
    <row r="904" spans="2:25" x14ac:dyDescent="0.2">
      <c r="B904" s="1">
        <v>10</v>
      </c>
      <c r="C904" s="9">
        <f ca="1">RANK(D904,D895:D914,1)</f>
        <v>1</v>
      </c>
      <c r="D904" s="134">
        <f t="shared" ca="1" si="167"/>
        <v>1.9039999999999999</v>
      </c>
      <c r="E904" s="134">
        <f ca="1">RANK(T904,T895:T914,1)</f>
        <v>1</v>
      </c>
      <c r="F904" s="187" t="str">
        <f>Calc2!$C$13</f>
        <v>FC Bayern München</v>
      </c>
      <c r="G904" s="1">
        <f ca="1">SUMIFS(OFFSET(Calc2!$H$4,,,$F$26*B893,1),OFFSET(Calc2!$F$4,,,$F$26*B893,1),F904)+SUMIFS(OFFSET(Calc2!$I$4,,,$F$26*B893,1),OFFSET(Calc2!$G$4,,,$F$26*B893,1),F904)</f>
        <v>122</v>
      </c>
      <c r="H904" s="1">
        <f ca="1">SUMIFS(OFFSET(Calc2!$I$4,,,$F$26*B893,1),OFFSET(Calc2!$F$4,,,$F$26*B893,1),F904)+SUMIFS(OFFSET(Calc2!$H$4,,,$F$26*B893,1),OFFSET(Calc2!$G$4,,,$F$26*B893,1),F904)</f>
        <v>36</v>
      </c>
      <c r="I904" s="134">
        <f t="shared" ca="1" si="165"/>
        <v>86</v>
      </c>
      <c r="J904" s="12">
        <f ca="1">L904*Settings!$C$3+M904+O904</f>
        <v>89</v>
      </c>
      <c r="K904" s="1">
        <f t="shared" ca="1" si="168"/>
        <v>34</v>
      </c>
      <c r="L904" s="1">
        <f t="array" aca="1" ref="L904" ca="1">SUMPRODUCT((OFFSET(Calc2!$F$4,,,$F$26*B893,1)=F904)*(OFFSET(Calc2!$H$4,,,$F$26*B893,1)&gt;OFFSET(Calc2!$I$4,,,$F$26*B893,1)))+SUMPRODUCT((OFFSET(Calc2!$G$4,,,$F$26*B893,1)=F904)*(OFFSET(Calc2!$H$4,,,$F$26*B893,1)&lt;OFFSET(Calc2!$I$4,,,$F$26*B893,1)))</f>
        <v>28</v>
      </c>
      <c r="M904" s="1">
        <f t="array" aca="1" ref="M904" ca="1">SUMPRODUCT((OFFSET(Calc2!$F$4,,,$F$26*B893,2)=F904)*(OFFSET(Calc2!$H$4,,,$F$26*B893,1)=OFFSET(Calc2!$I$4,,,$F$26*B893,1))*(OFFSET(Calc2!$H$4,,,$F$26*B893,1)&lt;&gt;"")*(OFFSET(Calc2!$I$4,,,$F$26*B893,1)&lt;&gt;""))</f>
        <v>5</v>
      </c>
      <c r="N904" s="1">
        <f t="array" aca="1" ref="N904" ca="1">SUMPRODUCT((OFFSET(Calc2!$F$4,,,$F$26*B893,1)=F904)*(OFFSET(Calc2!$H$4,,,$F$26*B893,1)&lt;OFFSET(Calc2!$I$4,,,$F$26*B893,1)))+SUMPRODUCT((OFFSET(Calc2!$G$4,,,$F$26*B893,1)=F904)*(OFFSET(Calc2!$H$4,,,$F$26*B893,1)&gt;OFFSET(Calc2!$I$4,,,$F$26*B893,1)))</f>
        <v>1</v>
      </c>
      <c r="O904" s="132">
        <f ca="1">SUMPRODUCT((F904=OFFSET(Calc2!$F$4,,,$F$26*B893,1))*OFFSET(Calc2!$O$4,,,$F$26*B893,1))+SUMPRODUCT((F904=OFFSET(Calc2!$G$4,,,$F$26*B893,1))*OFFSET(Calc2!$P$4,,,$F$26*B893,1))</f>
        <v>0</v>
      </c>
      <c r="P904" s="2"/>
      <c r="Q904" s="2"/>
      <c r="R904" s="13">
        <f t="shared" ca="1" si="166"/>
        <v>89500086122</v>
      </c>
      <c r="S904" s="134">
        <f>Tie_Break!$D$16</f>
        <v>0</v>
      </c>
      <c r="T904" s="9">
        <f ca="1">RANK(R904,R895:R914)+(9-S904)/10000+(F904="")*1000</f>
        <v>1.0008999999999999</v>
      </c>
      <c r="U904" s="2"/>
      <c r="V904" s="134">
        <f ca="1">IF($K$24=0,"",IF(VLOOKUP(B904,C895:E914,3,0)=MAX(V$4:V903),VLOOKUP(B904,C895:E914,3,0),B904))</f>
        <v>10</v>
      </c>
      <c r="W904" s="4" t="str">
        <f ca="1">IF($K$24=0,Calc2!$C$13,VLOOKUP(B904,C895:N914,4,0))</f>
        <v>1. FSV Mainz 05</v>
      </c>
      <c r="X904" s="1">
        <f ca="1">INDEX(V868:V887,MATCH(W904,W868:W887,0))</f>
        <v>10</v>
      </c>
      <c r="Y904" s="1">
        <f t="shared" ca="1" si="169"/>
        <v>0</v>
      </c>
    </row>
    <row r="905" spans="2:25" x14ac:dyDescent="0.2">
      <c r="B905" s="1">
        <v>11</v>
      </c>
      <c r="C905" s="9">
        <f ca="1">RANK(D905,D895:D914,1)</f>
        <v>18</v>
      </c>
      <c r="D905" s="134">
        <f t="shared" ca="1" si="167"/>
        <v>18.905000000000001</v>
      </c>
      <c r="E905" s="134">
        <f ca="1">RANK(T905,T895:T914,1)</f>
        <v>18</v>
      </c>
      <c r="F905" s="187" t="str">
        <f>Calc2!$C$14</f>
        <v>FC St. Pauli</v>
      </c>
      <c r="G905" s="1">
        <f ca="1">SUMIFS(OFFSET(Calc2!$H$4,,,$F$26*B893,1),OFFSET(Calc2!$F$4,,,$F$26*B893,1),F905)+SUMIFS(OFFSET(Calc2!$I$4,,,$F$26*B893,1),OFFSET(Calc2!$G$4,,,$F$26*B893,1),F905)</f>
        <v>29</v>
      </c>
      <c r="H905" s="1">
        <f ca="1">SUMIFS(OFFSET(Calc2!$I$4,,,$F$26*B893,1),OFFSET(Calc2!$F$4,,,$F$26*B893,1),F905)+SUMIFS(OFFSET(Calc2!$H$4,,,$F$26*B893,1),OFFSET(Calc2!$G$4,,,$F$26*B893,1),F905)</f>
        <v>60</v>
      </c>
      <c r="I905" s="134">
        <f t="shared" ca="1" si="165"/>
        <v>-31</v>
      </c>
      <c r="J905" s="12">
        <f ca="1">L905*Settings!$C$3+M905+O905</f>
        <v>26</v>
      </c>
      <c r="K905" s="1">
        <f t="shared" ca="1" si="168"/>
        <v>34</v>
      </c>
      <c r="L905" s="1">
        <f t="array" aca="1" ref="L905" ca="1">SUMPRODUCT((OFFSET(Calc2!$F$4,,,$F$26*B893,1)=F905)*(OFFSET(Calc2!$H$4,,,$F$26*B893,1)&gt;OFFSET(Calc2!$I$4,,,$F$26*B893,1)))+SUMPRODUCT((OFFSET(Calc2!$G$4,,,$F$26*B893,1)=F905)*(OFFSET(Calc2!$H$4,,,$F$26*B893,1)&lt;OFFSET(Calc2!$I$4,,,$F$26*B893,1)))</f>
        <v>6</v>
      </c>
      <c r="M905" s="1">
        <f t="array" aca="1" ref="M905" ca="1">SUMPRODUCT((OFFSET(Calc2!$F$4,,,$F$26*B893,2)=F905)*(OFFSET(Calc2!$H$4,,,$F$26*B893,1)=OFFSET(Calc2!$I$4,,,$F$26*B893,1))*(OFFSET(Calc2!$H$4,,,$F$26*B893,1)&lt;&gt;"")*(OFFSET(Calc2!$I$4,,,$F$26*B893,1)&lt;&gt;""))</f>
        <v>8</v>
      </c>
      <c r="N905" s="1">
        <f t="array" aca="1" ref="N905" ca="1">SUMPRODUCT((OFFSET(Calc2!$F$4,,,$F$26*B893,1)=F905)*(OFFSET(Calc2!$H$4,,,$F$26*B893,1)&lt;OFFSET(Calc2!$I$4,,,$F$26*B893,1)))+SUMPRODUCT((OFFSET(Calc2!$G$4,,,$F$26*B893,1)=F905)*(OFFSET(Calc2!$H$4,,,$F$26*B893,1)&gt;OFFSET(Calc2!$I$4,,,$F$26*B893,1)))</f>
        <v>20</v>
      </c>
      <c r="O905" s="132">
        <f ca="1">SUMPRODUCT((F905=OFFSET(Calc2!$F$4,,,$F$26*B893,1))*OFFSET(Calc2!$O$4,,,$F$26*B893,1))+SUMPRODUCT((F905=OFFSET(Calc2!$G$4,,,$F$26*B893,1))*OFFSET(Calc2!$P$4,,,$F$26*B893,1))</f>
        <v>0</v>
      </c>
      <c r="P905" s="2"/>
      <c r="Q905" s="2"/>
      <c r="R905" s="13">
        <f t="shared" ca="1" si="166"/>
        <v>26499969029</v>
      </c>
      <c r="S905" s="134">
        <f>Tie_Break!$D$17</f>
        <v>0</v>
      </c>
      <c r="T905" s="9">
        <f ca="1">RANK(R905,R895:R914)+(9-S905)/10000+(F905="")*1000</f>
        <v>18.000900000000001</v>
      </c>
      <c r="U905" s="2"/>
      <c r="V905" s="134">
        <f ca="1">IF($K$24=0,"",IF(VLOOKUP(B905,C895:E914,3,0)=MAX(V$4:V904),VLOOKUP(B905,C895:E914,3,0),B905))</f>
        <v>11</v>
      </c>
      <c r="W905" s="4" t="str">
        <f ca="1">IF($K$24=0,Calc2!$C$14,VLOOKUP(B905,C895:N914,4,0))</f>
        <v>1. FC Union Berlin</v>
      </c>
      <c r="X905" s="1">
        <f ca="1">INDEX(V868:V887,MATCH(W905,W868:W887,0))</f>
        <v>12</v>
      </c>
      <c r="Y905" s="1">
        <f t="shared" ca="1" si="169"/>
        <v>1</v>
      </c>
    </row>
    <row r="906" spans="2:25" x14ac:dyDescent="0.2">
      <c r="B906" s="1">
        <v>12</v>
      </c>
      <c r="C906" s="9">
        <f ca="1">RANK(D906,D895:D914,1)</f>
        <v>13</v>
      </c>
      <c r="D906" s="134">
        <f t="shared" ca="1" si="167"/>
        <v>13.906000000000001</v>
      </c>
      <c r="E906" s="134">
        <f ca="1">RANK(T906,T895:T914,1)</f>
        <v>13</v>
      </c>
      <c r="F906" s="187" t="str">
        <f>Calc2!$C$15</f>
        <v>Hamburger SV</v>
      </c>
      <c r="G906" s="1">
        <f ca="1">SUMIFS(OFFSET(Calc2!$H$4,,,$F$26*B893,1),OFFSET(Calc2!$F$4,,,$F$26*B893,1),F906)+SUMIFS(OFFSET(Calc2!$I$4,,,$F$26*B893,1),OFFSET(Calc2!$G$4,,,$F$26*B893,1),F906)</f>
        <v>40</v>
      </c>
      <c r="H906" s="1">
        <f ca="1">SUMIFS(OFFSET(Calc2!$I$4,,,$F$26*B893,1),OFFSET(Calc2!$F$4,,,$F$26*B893,1),F906)+SUMIFS(OFFSET(Calc2!$H$4,,,$F$26*B893,1),OFFSET(Calc2!$G$4,,,$F$26*B893,1),F906)</f>
        <v>54</v>
      </c>
      <c r="I906" s="134">
        <f t="shared" ca="1" si="165"/>
        <v>-14</v>
      </c>
      <c r="J906" s="12">
        <f ca="1">L906*Settings!$C$3+M906+O906</f>
        <v>38</v>
      </c>
      <c r="K906" s="1">
        <f t="shared" ca="1" si="168"/>
        <v>34</v>
      </c>
      <c r="L906" s="1">
        <f t="array" aca="1" ref="L906" ca="1">SUMPRODUCT((OFFSET(Calc2!$F$4,,,$F$26*B893,1)=F906)*(OFFSET(Calc2!$H$4,,,$F$26*B893,1)&gt;OFFSET(Calc2!$I$4,,,$F$26*B893,1)))+SUMPRODUCT((OFFSET(Calc2!$G$4,,,$F$26*B893,1)=F906)*(OFFSET(Calc2!$H$4,,,$F$26*B893,1)&lt;OFFSET(Calc2!$I$4,,,$F$26*B893,1)))</f>
        <v>9</v>
      </c>
      <c r="M906" s="1">
        <f t="array" aca="1" ref="M906" ca="1">SUMPRODUCT((OFFSET(Calc2!$F$4,,,$F$26*B893,2)=F906)*(OFFSET(Calc2!$H$4,,,$F$26*B893,1)=OFFSET(Calc2!$I$4,,,$F$26*B893,1))*(OFFSET(Calc2!$H$4,,,$F$26*B893,1)&lt;&gt;"")*(OFFSET(Calc2!$I$4,,,$F$26*B893,1)&lt;&gt;""))</f>
        <v>11</v>
      </c>
      <c r="N906" s="1">
        <f t="array" aca="1" ref="N906" ca="1">SUMPRODUCT((OFFSET(Calc2!$F$4,,,$F$26*B893,1)=F906)*(OFFSET(Calc2!$H$4,,,$F$26*B893,1)&lt;OFFSET(Calc2!$I$4,,,$F$26*B893,1)))+SUMPRODUCT((OFFSET(Calc2!$G$4,,,$F$26*B893,1)=F906)*(OFFSET(Calc2!$H$4,,,$F$26*B893,1)&gt;OFFSET(Calc2!$I$4,,,$F$26*B893,1)))</f>
        <v>14</v>
      </c>
      <c r="O906" s="132">
        <f ca="1">SUMPRODUCT((F906=OFFSET(Calc2!$F$4,,,$F$26*B893,1))*OFFSET(Calc2!$O$4,,,$F$26*B893,1))+SUMPRODUCT((F906=OFFSET(Calc2!$G$4,,,$F$26*B893,1))*OFFSET(Calc2!$P$4,,,$F$26*B893,1))</f>
        <v>0</v>
      </c>
      <c r="P906" s="2"/>
      <c r="Q906" s="2"/>
      <c r="R906" s="13">
        <f t="shared" ca="1" si="166"/>
        <v>38499986040</v>
      </c>
      <c r="S906" s="134">
        <f>Tie_Break!$D$18</f>
        <v>0</v>
      </c>
      <c r="T906" s="9">
        <f ca="1">RANK(R906,R895:R914)+(9-S906)/10000+(F906="")*1000</f>
        <v>13.0009</v>
      </c>
      <c r="U906" s="2"/>
      <c r="V906" s="134">
        <f ca="1">IF($K$24=0,"",IF(VLOOKUP(B906,C895:E914,3,0)=MAX(V$4:V905),VLOOKUP(B906,C895:E914,3,0),B906))</f>
        <v>12</v>
      </c>
      <c r="W906" s="4" t="str">
        <f ca="1">IF($K$24=0,Calc2!$C$15,VLOOKUP(B906,C895:N914,4,0))</f>
        <v>Borussia Mönchengladbach</v>
      </c>
      <c r="X906" s="1">
        <f ca="1">INDEX(V868:V887,MATCH(W906,W868:W887,0))</f>
        <v>13</v>
      </c>
      <c r="Y906" s="1">
        <f t="shared" ca="1" si="169"/>
        <v>1</v>
      </c>
    </row>
    <row r="907" spans="2:25" x14ac:dyDescent="0.2">
      <c r="B907" s="1">
        <v>13</v>
      </c>
      <c r="C907" s="9">
        <f ca="1">RANK(D907,D895:D914,1)</f>
        <v>3</v>
      </c>
      <c r="D907" s="134">
        <f t="shared" ca="1" si="167"/>
        <v>3.907</v>
      </c>
      <c r="E907" s="134">
        <f ca="1">RANK(T907,T895:T914,1)</f>
        <v>3</v>
      </c>
      <c r="F907" s="187" t="str">
        <f>Calc2!$C$16</f>
        <v>RB Leipzig</v>
      </c>
      <c r="G907" s="1">
        <f ca="1">SUMIFS(OFFSET(Calc2!$H$4,,,$F$26*B893,1),OFFSET(Calc2!$F$4,,,$F$26*B893,1),F907)+SUMIFS(OFFSET(Calc2!$I$4,,,$F$26*B893,1),OFFSET(Calc2!$G$4,,,$F$26*B893,1),F907)</f>
        <v>66</v>
      </c>
      <c r="H907" s="1">
        <f ca="1">SUMIFS(OFFSET(Calc2!$I$4,,,$F$26*B893,1),OFFSET(Calc2!$F$4,,,$F$26*B893,1),F907)+SUMIFS(OFFSET(Calc2!$H$4,,,$F$26*B893,1),OFFSET(Calc2!$G$4,,,$F$26*B893,1),F907)</f>
        <v>47</v>
      </c>
      <c r="I907" s="134">
        <f t="shared" ca="1" si="165"/>
        <v>19</v>
      </c>
      <c r="J907" s="12">
        <f ca="1">L907*Settings!$C$3+M907+O907</f>
        <v>65</v>
      </c>
      <c r="K907" s="1">
        <f t="shared" ca="1" si="168"/>
        <v>34</v>
      </c>
      <c r="L907" s="1">
        <f t="array" aca="1" ref="L907" ca="1">SUMPRODUCT((OFFSET(Calc2!$F$4,,,$F$26*B893,1)=F907)*(OFFSET(Calc2!$H$4,,,$F$26*B893,1)&gt;OFFSET(Calc2!$I$4,,,$F$26*B893,1)))+SUMPRODUCT((OFFSET(Calc2!$G$4,,,$F$26*B893,1)=F907)*(OFFSET(Calc2!$H$4,,,$F$26*B893,1)&lt;OFFSET(Calc2!$I$4,,,$F$26*B893,1)))</f>
        <v>20</v>
      </c>
      <c r="M907" s="1">
        <f t="array" aca="1" ref="M907" ca="1">SUMPRODUCT((OFFSET(Calc2!$F$4,,,$F$26*B893,2)=F907)*(OFFSET(Calc2!$H$4,,,$F$26*B893,1)=OFFSET(Calc2!$I$4,,,$F$26*B893,1))*(OFFSET(Calc2!$H$4,,,$F$26*B893,1)&lt;&gt;"")*(OFFSET(Calc2!$I$4,,,$F$26*B893,1)&lt;&gt;""))</f>
        <v>5</v>
      </c>
      <c r="N907" s="1">
        <f t="array" aca="1" ref="N907" ca="1">SUMPRODUCT((OFFSET(Calc2!$F$4,,,$F$26*B893,1)=F907)*(OFFSET(Calc2!$H$4,,,$F$26*B893,1)&lt;OFFSET(Calc2!$I$4,,,$F$26*B893,1)))+SUMPRODUCT((OFFSET(Calc2!$G$4,,,$F$26*B893,1)=F907)*(OFFSET(Calc2!$H$4,,,$F$26*B893,1)&gt;OFFSET(Calc2!$I$4,,,$F$26*B893,1)))</f>
        <v>9</v>
      </c>
      <c r="O907" s="132">
        <f ca="1">SUMPRODUCT((F907=OFFSET(Calc2!$F$4,,,$F$26*B893,1))*OFFSET(Calc2!$O$4,,,$F$26*B893,1))+SUMPRODUCT((F907=OFFSET(Calc2!$G$4,,,$F$26*B893,1))*OFFSET(Calc2!$P$4,,,$F$26*B893,1))</f>
        <v>0</v>
      </c>
      <c r="P907" s="2"/>
      <c r="Q907" s="2"/>
      <c r="R907" s="13">
        <f t="shared" ca="1" si="166"/>
        <v>65500019066</v>
      </c>
      <c r="S907" s="134">
        <f>Tie_Break!$D$19</f>
        <v>0</v>
      </c>
      <c r="T907" s="9">
        <f ca="1">RANK(R907,R895:R914)+(9-S907)/10000+(F907="")*1000</f>
        <v>3.0009000000000001</v>
      </c>
      <c r="U907" s="1"/>
      <c r="V907" s="134">
        <f ca="1">IF($K$24=0,"",IF(VLOOKUP(B907,C895:E914,3,0)=MAX(V$4:V906),VLOOKUP(B907,C895:E914,3,0),B907))</f>
        <v>13</v>
      </c>
      <c r="W907" s="4" t="str">
        <f ca="1">IF($K$24=0,Calc2!$C$16,VLOOKUP(B907,C895:N914,4,0))</f>
        <v>Hamburger SV</v>
      </c>
      <c r="X907" s="1">
        <f ca="1">INDEX(V868:V887,MATCH(W907,W868:W887,0))</f>
        <v>11</v>
      </c>
      <c r="Y907" s="1">
        <f t="shared" ca="1" si="169"/>
        <v>-1</v>
      </c>
    </row>
    <row r="908" spans="2:25" x14ac:dyDescent="0.2">
      <c r="B908" s="1">
        <v>14</v>
      </c>
      <c r="C908" s="9">
        <f ca="1">RANK(D908,D895:D914,1)</f>
        <v>7</v>
      </c>
      <c r="D908" s="134">
        <f t="shared" ca="1" si="167"/>
        <v>7.9080000000000004</v>
      </c>
      <c r="E908" s="134">
        <f ca="1">RANK(T908,T895:T914,1)</f>
        <v>7</v>
      </c>
      <c r="F908" s="187" t="str">
        <f>Calc2!$C$17</f>
        <v>SC Freiburg</v>
      </c>
      <c r="G908" s="1">
        <f ca="1">SUMIFS(OFFSET(Calc2!$H$4,,,$F$26*B893,1),OFFSET(Calc2!$F$4,,,$F$26*B893,1),F908)+SUMIFS(OFFSET(Calc2!$I$4,,,$F$26*B893,1),OFFSET(Calc2!$G$4,,,$F$26*B893,1),F908)</f>
        <v>51</v>
      </c>
      <c r="H908" s="1">
        <f ca="1">SUMIFS(OFFSET(Calc2!$I$4,,,$F$26*B893,1),OFFSET(Calc2!$F$4,,,$F$26*B893,1),F908)+SUMIFS(OFFSET(Calc2!$H$4,,,$F$26*B893,1),OFFSET(Calc2!$G$4,,,$F$26*B893,1),F908)</f>
        <v>57</v>
      </c>
      <c r="I908" s="134">
        <f t="shared" ca="1" si="165"/>
        <v>-6</v>
      </c>
      <c r="J908" s="12">
        <f ca="1">L908*Settings!$C$3+M908+O908</f>
        <v>47</v>
      </c>
      <c r="K908" s="1">
        <f t="shared" ca="1" si="168"/>
        <v>34</v>
      </c>
      <c r="L908" s="1">
        <f t="array" aca="1" ref="L908" ca="1">SUMPRODUCT((OFFSET(Calc2!$F$4,,,$F$26*B893,1)=F908)*(OFFSET(Calc2!$H$4,,,$F$26*B893,1)&gt;OFFSET(Calc2!$I$4,,,$F$26*B893,1)))+SUMPRODUCT((OFFSET(Calc2!$G$4,,,$F$26*B893,1)=F908)*(OFFSET(Calc2!$H$4,,,$F$26*B893,1)&lt;OFFSET(Calc2!$I$4,,,$F$26*B893,1)))</f>
        <v>13</v>
      </c>
      <c r="M908" s="1">
        <f t="array" aca="1" ref="M908" ca="1">SUMPRODUCT((OFFSET(Calc2!$F$4,,,$F$26*B893,2)=F908)*(OFFSET(Calc2!$H$4,,,$F$26*B893,1)=OFFSET(Calc2!$I$4,,,$F$26*B893,1))*(OFFSET(Calc2!$H$4,,,$F$26*B893,1)&lt;&gt;"")*(OFFSET(Calc2!$I$4,,,$F$26*B893,1)&lt;&gt;""))</f>
        <v>8</v>
      </c>
      <c r="N908" s="1">
        <f t="array" aca="1" ref="N908" ca="1">SUMPRODUCT((OFFSET(Calc2!$F$4,,,$F$26*B893,1)=F908)*(OFFSET(Calc2!$H$4,,,$F$26*B893,1)&lt;OFFSET(Calc2!$I$4,,,$F$26*B893,1)))+SUMPRODUCT((OFFSET(Calc2!$G$4,,,$F$26*B893,1)=F908)*(OFFSET(Calc2!$H$4,,,$F$26*B893,1)&gt;OFFSET(Calc2!$I$4,,,$F$26*B893,1)))</f>
        <v>13</v>
      </c>
      <c r="O908" s="132">
        <f ca="1">SUMPRODUCT((F908=OFFSET(Calc2!$F$4,,,$F$26*B893,1))*OFFSET(Calc2!$O$4,,,$F$26*B893,1))+SUMPRODUCT((F908=OFFSET(Calc2!$G$4,,,$F$26*B893,1))*OFFSET(Calc2!$P$4,,,$F$26*B893,1))</f>
        <v>0</v>
      </c>
      <c r="P908" s="2"/>
      <c r="Q908" s="2"/>
      <c r="R908" s="13">
        <f t="shared" ca="1" si="166"/>
        <v>47499994051</v>
      </c>
      <c r="S908" s="134">
        <f>Tie_Break!$D$20</f>
        <v>0</v>
      </c>
      <c r="T908" s="9">
        <f ca="1">RANK(R908,R895:R914)+(9-S908)/10000+(F908="")*1000</f>
        <v>7.0008999999999997</v>
      </c>
      <c r="U908" s="2"/>
      <c r="V908" s="134">
        <f ca="1">IF($K$24=0,"",IF(VLOOKUP(B908,C895:E914,3,0)=MAX(V$4:V907),VLOOKUP(B908,C895:E914,3,0),B908))</f>
        <v>14</v>
      </c>
      <c r="W908" s="4" t="str">
        <f ca="1">IF($K$24=0,Calc2!$C$17,VLOOKUP(B908,C895:N914,4,0))</f>
        <v>1. FC Köln</v>
      </c>
      <c r="X908" s="1">
        <f ca="1">INDEX(V868:V887,MATCH(W908,W868:W887,0))</f>
        <v>14</v>
      </c>
      <c r="Y908" s="1">
        <f t="shared" ca="1" si="169"/>
        <v>0</v>
      </c>
    </row>
    <row r="909" spans="2:25" x14ac:dyDescent="0.2">
      <c r="B909" s="1">
        <v>15</v>
      </c>
      <c r="C909" s="9">
        <f ca="1">RANK(D909,D895:D914,1)</f>
        <v>15</v>
      </c>
      <c r="D909" s="134">
        <f t="shared" ca="1" si="167"/>
        <v>15.909000000000001</v>
      </c>
      <c r="E909" s="134">
        <f ca="1">RANK(T909,T895:T914,1)</f>
        <v>15</v>
      </c>
      <c r="F909" s="187" t="str">
        <f>Calc2!$C$18</f>
        <v>SV Werder Bremen</v>
      </c>
      <c r="G909" s="1">
        <f ca="1">SUMIFS(OFFSET(Calc2!$H$4,,,$F$26*B893,1),OFFSET(Calc2!$F$4,,,$F$26*B893,1),F909)+SUMIFS(OFFSET(Calc2!$I$4,,,$F$26*B893,1),OFFSET(Calc2!$G$4,,,$F$26*B893,1),F909)</f>
        <v>37</v>
      </c>
      <c r="H909" s="1">
        <f ca="1">SUMIFS(OFFSET(Calc2!$I$4,,,$F$26*B893,1),OFFSET(Calc2!$F$4,,,$F$26*B893,1),F909)+SUMIFS(OFFSET(Calc2!$H$4,,,$F$26*B893,1),OFFSET(Calc2!$G$4,,,$F$26*B893,1),F909)</f>
        <v>60</v>
      </c>
      <c r="I909" s="134">
        <f t="shared" ca="1" si="165"/>
        <v>-23</v>
      </c>
      <c r="J909" s="12">
        <f ca="1">L909*Settings!$C$3+M909+O909</f>
        <v>32</v>
      </c>
      <c r="K909" s="1">
        <f t="shared" ca="1" si="168"/>
        <v>34</v>
      </c>
      <c r="L909" s="1">
        <f t="array" aca="1" ref="L909" ca="1">SUMPRODUCT((OFFSET(Calc2!$F$4,,,$F$26*B893,1)=F909)*(OFFSET(Calc2!$H$4,,,$F$26*B893,1)&gt;OFFSET(Calc2!$I$4,,,$F$26*B893,1)))+SUMPRODUCT((OFFSET(Calc2!$G$4,,,$F$26*B893,1)=F909)*(OFFSET(Calc2!$H$4,,,$F$26*B893,1)&lt;OFFSET(Calc2!$I$4,,,$F$26*B893,1)))</f>
        <v>8</v>
      </c>
      <c r="M909" s="1">
        <f t="array" aca="1" ref="M909" ca="1">SUMPRODUCT((OFFSET(Calc2!$F$4,,,$F$26*B893,2)=F909)*(OFFSET(Calc2!$H$4,,,$F$26*B893,1)=OFFSET(Calc2!$I$4,,,$F$26*B893,1))*(OFFSET(Calc2!$H$4,,,$F$26*B893,1)&lt;&gt;"")*(OFFSET(Calc2!$I$4,,,$F$26*B893,1)&lt;&gt;""))</f>
        <v>8</v>
      </c>
      <c r="N909" s="1">
        <f t="array" aca="1" ref="N909" ca="1">SUMPRODUCT((OFFSET(Calc2!$F$4,,,$F$26*B893,1)=F909)*(OFFSET(Calc2!$H$4,,,$F$26*B893,1)&lt;OFFSET(Calc2!$I$4,,,$F$26*B893,1)))+SUMPRODUCT((OFFSET(Calc2!$G$4,,,$F$26*B893,1)=F909)*(OFFSET(Calc2!$H$4,,,$F$26*B893,1)&gt;OFFSET(Calc2!$I$4,,,$F$26*B893,1)))</f>
        <v>18</v>
      </c>
      <c r="O909" s="132">
        <f ca="1">SUMPRODUCT((F909=OFFSET(Calc2!$F$4,,,$F$26*B893,1))*OFFSET(Calc2!$O$4,,,$F$26*B893,1))+SUMPRODUCT((F909=OFFSET(Calc2!$G$4,,,$F$26*B893,1))*OFFSET(Calc2!$P$4,,,$F$26*B893,1))</f>
        <v>0</v>
      </c>
      <c r="P909" s="2"/>
      <c r="Q909" s="2"/>
      <c r="R909" s="13">
        <f t="shared" ca="1" si="166"/>
        <v>32499977037</v>
      </c>
      <c r="S909" s="134">
        <f>Tie_Break!$D$21</f>
        <v>0</v>
      </c>
      <c r="T909" s="9">
        <f ca="1">RANK(R909,R895:R914)+(9-S909)/10000+(F909="")*1000</f>
        <v>15.0009</v>
      </c>
      <c r="U909" s="2"/>
      <c r="V909" s="134">
        <f ca="1">IF($K$24=0,"",IF(VLOOKUP(B909,C895:E914,3,0)=MAX(V$4:V908),VLOOKUP(B909,C895:E914,3,0),B909))</f>
        <v>15</v>
      </c>
      <c r="W909" s="4" t="str">
        <f ca="1">IF($K$24=0,Calc2!$C$18,VLOOKUP(B909,C895:N914,4,0))</f>
        <v>SV Werder Bremen</v>
      </c>
      <c r="X909" s="1">
        <f ca="1">INDEX(V868:V887,MATCH(W909,W868:W887,0))</f>
        <v>15</v>
      </c>
      <c r="Y909" s="1">
        <f t="shared" ca="1" si="169"/>
        <v>0</v>
      </c>
    </row>
    <row r="910" spans="2:25" x14ac:dyDescent="0.2">
      <c r="B910" s="1">
        <v>16</v>
      </c>
      <c r="C910" s="9">
        <f ca="1">RANK(D910,D895:D914,1)</f>
        <v>5</v>
      </c>
      <c r="D910" s="134">
        <f t="shared" ca="1" si="167"/>
        <v>5.91</v>
      </c>
      <c r="E910" s="134">
        <f ca="1">RANK(T910,T895:T914,1)</f>
        <v>5</v>
      </c>
      <c r="F910" s="187" t="str">
        <f>Calc2!$C$19</f>
        <v>TSG Hoffenheim</v>
      </c>
      <c r="G910" s="1">
        <f ca="1">SUMIFS(OFFSET(Calc2!$H$4,,,$F$26*B893,1),OFFSET(Calc2!$F$4,,,$F$26*B893,1),F910)+SUMIFS(OFFSET(Calc2!$I$4,,,$F$26*B893,1),OFFSET(Calc2!$G$4,,,$F$26*B893,1),F910)</f>
        <v>65</v>
      </c>
      <c r="H910" s="1">
        <f ca="1">SUMIFS(OFFSET(Calc2!$I$4,,,$F$26*B893,1),OFFSET(Calc2!$F$4,,,$F$26*B893,1),F910)+SUMIFS(OFFSET(Calc2!$H$4,,,$F$26*B893,1),OFFSET(Calc2!$G$4,,,$F$26*B893,1),F910)</f>
        <v>52</v>
      </c>
      <c r="I910" s="134">
        <f t="shared" ca="1" si="165"/>
        <v>13</v>
      </c>
      <c r="J910" s="12">
        <f ca="1">L910*Settings!$C$3+M910+O910</f>
        <v>61</v>
      </c>
      <c r="K910" s="1">
        <f t="shared" ca="1" si="168"/>
        <v>34</v>
      </c>
      <c r="L910" s="1">
        <f t="array" aca="1" ref="L910" ca="1">SUMPRODUCT((OFFSET(Calc2!$F$4,,,$F$26*B893,1)=F910)*(OFFSET(Calc2!$H$4,,,$F$26*B893,1)&gt;OFFSET(Calc2!$I$4,,,$F$26*B893,1)))+SUMPRODUCT((OFFSET(Calc2!$G$4,,,$F$26*B893,1)=F910)*(OFFSET(Calc2!$H$4,,,$F$26*B893,1)&lt;OFFSET(Calc2!$I$4,,,$F$26*B893,1)))</f>
        <v>18</v>
      </c>
      <c r="M910" s="1">
        <f t="array" aca="1" ref="M910" ca="1">SUMPRODUCT((OFFSET(Calc2!$F$4,,,$F$26*B893,2)=F910)*(OFFSET(Calc2!$H$4,,,$F$26*B893,1)=OFFSET(Calc2!$I$4,,,$F$26*B893,1))*(OFFSET(Calc2!$H$4,,,$F$26*B893,1)&lt;&gt;"")*(OFFSET(Calc2!$I$4,,,$F$26*B893,1)&lt;&gt;""))</f>
        <v>7</v>
      </c>
      <c r="N910" s="1">
        <f t="array" aca="1" ref="N910" ca="1">SUMPRODUCT((OFFSET(Calc2!$F$4,,,$F$26*B893,1)=F910)*(OFFSET(Calc2!$H$4,,,$F$26*B893,1)&lt;OFFSET(Calc2!$I$4,,,$F$26*B893,1)))+SUMPRODUCT((OFFSET(Calc2!$G$4,,,$F$26*B893,1)=F910)*(OFFSET(Calc2!$H$4,,,$F$26*B893,1)&gt;OFFSET(Calc2!$I$4,,,$F$26*B893,1)))</f>
        <v>9</v>
      </c>
      <c r="O910" s="132">
        <f ca="1">SUMPRODUCT((F910=OFFSET(Calc2!$F$4,,,$F$26*B893,1))*OFFSET(Calc2!$O$4,,,$F$26*B893,1))+SUMPRODUCT((F910=OFFSET(Calc2!$G$4,,,$F$26*B893,1))*OFFSET(Calc2!$P$4,,,$F$26*B893,1))</f>
        <v>0</v>
      </c>
      <c r="P910" s="2"/>
      <c r="Q910" s="2"/>
      <c r="R910" s="13">
        <f t="shared" ca="1" si="166"/>
        <v>61500013065</v>
      </c>
      <c r="S910" s="134">
        <f>Tie_Break!$D$22</f>
        <v>0</v>
      </c>
      <c r="T910" s="9">
        <f ca="1">RANK(R910,R895:R914)+(9-S910)/10000+(F910="")*1000</f>
        <v>5.0008999999999997</v>
      </c>
      <c r="U910" s="2"/>
      <c r="V910" s="134">
        <f ca="1">IF($K$24=0,"",IF(VLOOKUP(B910,C895:E914,3,0)=MAX(V$4:V909),VLOOKUP(B910,C895:E914,3,0),B910))</f>
        <v>16</v>
      </c>
      <c r="W910" s="4" t="str">
        <f ca="1">IF($K$24=0,Calc2!$C$19,VLOOKUP(B910,C895:N914,4,0))</f>
        <v>VfL Wolfsburg</v>
      </c>
      <c r="X910" s="1">
        <f ca="1">INDEX(V868:V887,MATCH(W910,W868:W887,0))</f>
        <v>16</v>
      </c>
      <c r="Y910" s="1">
        <f t="shared" ca="1" si="169"/>
        <v>0</v>
      </c>
    </row>
    <row r="911" spans="2:25" x14ac:dyDescent="0.2">
      <c r="B911" s="1">
        <v>17</v>
      </c>
      <c r="C911" s="9">
        <f ca="1">RANK(D911,D895:D914,1)</f>
        <v>4</v>
      </c>
      <c r="D911" s="134">
        <f t="shared" ca="1" si="167"/>
        <v>4.9109999999999996</v>
      </c>
      <c r="E911" s="134">
        <f ca="1">RANK(T911,T895:T914,1)</f>
        <v>4</v>
      </c>
      <c r="F911" s="187" t="str">
        <f>Calc2!$C$20</f>
        <v>VfB Stuttgart</v>
      </c>
      <c r="G911" s="1">
        <f ca="1">SUMIFS(OFFSET(Calc2!$H$4,,,$F$26*B893,1),OFFSET(Calc2!$F$4,,,$F$26*B893,1),F911)+SUMIFS(OFFSET(Calc2!$I$4,,,$F$26*B893,1),OFFSET(Calc2!$G$4,,,$F$26*B893,1),F911)</f>
        <v>71</v>
      </c>
      <c r="H911" s="1">
        <f ca="1">SUMIFS(OFFSET(Calc2!$I$4,,,$F$26*B893,1),OFFSET(Calc2!$F$4,,,$F$26*B893,1),F911)+SUMIFS(OFFSET(Calc2!$H$4,,,$F$26*B893,1),OFFSET(Calc2!$G$4,,,$F$26*B893,1),F911)</f>
        <v>49</v>
      </c>
      <c r="I911" s="134">
        <f t="shared" ca="1" si="165"/>
        <v>22</v>
      </c>
      <c r="J911" s="12">
        <f ca="1">L911*Settings!$C$3+M911+O911</f>
        <v>62</v>
      </c>
      <c r="K911" s="1">
        <f t="shared" ca="1" si="168"/>
        <v>34</v>
      </c>
      <c r="L911" s="1">
        <f t="array" aca="1" ref="L911" ca="1">SUMPRODUCT((OFFSET(Calc2!$F$4,,,$F$26*B893,1)=F911)*(OFFSET(Calc2!$H$4,,,$F$26*B893,1)&gt;OFFSET(Calc2!$I$4,,,$F$26*B893,1)))+SUMPRODUCT((OFFSET(Calc2!$G$4,,,$F$26*B893,1)=F911)*(OFFSET(Calc2!$H$4,,,$F$26*B893,1)&lt;OFFSET(Calc2!$I$4,,,$F$26*B893,1)))</f>
        <v>18</v>
      </c>
      <c r="M911" s="1">
        <f t="array" aca="1" ref="M911" ca="1">SUMPRODUCT((OFFSET(Calc2!$F$4,,,$F$26*B893,2)=F911)*(OFFSET(Calc2!$H$4,,,$F$26*B893,1)=OFFSET(Calc2!$I$4,,,$F$26*B893,1))*(OFFSET(Calc2!$H$4,,,$F$26*B893,1)&lt;&gt;"")*(OFFSET(Calc2!$I$4,,,$F$26*B893,1)&lt;&gt;""))</f>
        <v>8</v>
      </c>
      <c r="N911" s="1">
        <f t="array" aca="1" ref="N911" ca="1">SUMPRODUCT((OFFSET(Calc2!$F$4,,,$F$26*B893,1)=F911)*(OFFSET(Calc2!$H$4,,,$F$26*B893,1)&lt;OFFSET(Calc2!$I$4,,,$F$26*B893,1)))+SUMPRODUCT((OFFSET(Calc2!$G$4,,,$F$26*B893,1)=F911)*(OFFSET(Calc2!$H$4,,,$F$26*B893,1)&gt;OFFSET(Calc2!$I$4,,,$F$26*B893,1)))</f>
        <v>8</v>
      </c>
      <c r="O911" s="132">
        <f ca="1">SUMPRODUCT((F911=OFFSET(Calc2!$F$4,,,$F$26*B893,1))*OFFSET(Calc2!$O$4,,,$F$26*B893,1))+SUMPRODUCT((F911=OFFSET(Calc2!$G$4,,,$F$26*B893,1))*OFFSET(Calc2!$P$4,,,$F$26*B893,1))</f>
        <v>0</v>
      </c>
      <c r="P911" s="2"/>
      <c r="Q911" s="2"/>
      <c r="R911" s="13">
        <f t="shared" ca="1" si="166"/>
        <v>62500022071</v>
      </c>
      <c r="S911" s="134">
        <f>Tie_Break!$D$23</f>
        <v>0</v>
      </c>
      <c r="T911" s="9">
        <f ca="1">RANK(R911,R895:R914)+(9-S911)/10000+(F911="")*1000</f>
        <v>4.0008999999999997</v>
      </c>
      <c r="U911" s="2"/>
      <c r="V911" s="134">
        <f ca="1">IF($K$24=0,"",IF(VLOOKUP(B911,C895:E914,3,0)=MAX(V$4:V910),VLOOKUP(B911,C895:E914,3,0),B911))</f>
        <v>17</v>
      </c>
      <c r="W911" s="4" t="str">
        <f ca="1">IF($K$24=0,Calc2!$C$20,VLOOKUP(B911,C895:N914,4,0))</f>
        <v>1. FC Heidenheim 1846</v>
      </c>
      <c r="X911" s="1">
        <f ca="1">INDEX(V868:V887,MATCH(W911,W868:W887,0))</f>
        <v>17</v>
      </c>
      <c r="Y911" s="1">
        <f t="shared" ca="1" si="169"/>
        <v>0</v>
      </c>
    </row>
    <row r="912" spans="2:25" x14ac:dyDescent="0.2">
      <c r="B912" s="1">
        <v>18</v>
      </c>
      <c r="C912" s="9">
        <f ca="1">RANK(D912,D895:D914,1)</f>
        <v>16</v>
      </c>
      <c r="D912" s="134">
        <f t="shared" ca="1" si="167"/>
        <v>16.911999999999999</v>
      </c>
      <c r="E912" s="134">
        <f ca="1">RANK(T912,T895:T914,1)</f>
        <v>16</v>
      </c>
      <c r="F912" s="187" t="str">
        <f>Calc2!$C$21</f>
        <v>VfL Wolfsburg</v>
      </c>
      <c r="G912" s="1">
        <f ca="1">SUMIFS(OFFSET(Calc2!$H$4,,,$F$26*B893,1),OFFSET(Calc2!$F$4,,,$F$26*B893,1),F912)+SUMIFS(OFFSET(Calc2!$I$4,,,$F$26*B893,1),OFFSET(Calc2!$G$4,,,$F$26*B893,1),F912)</f>
        <v>45</v>
      </c>
      <c r="H912" s="1">
        <f ca="1">SUMIFS(OFFSET(Calc2!$I$4,,,$F$26*B893,1),OFFSET(Calc2!$F$4,,,$F$26*B893,1),F912)+SUMIFS(OFFSET(Calc2!$H$4,,,$F$26*B893,1),OFFSET(Calc2!$G$4,,,$F$26*B893,1),F912)</f>
        <v>69</v>
      </c>
      <c r="I912" s="134">
        <f t="shared" ca="1" si="165"/>
        <v>-24</v>
      </c>
      <c r="J912" s="12">
        <f ca="1">L912*Settings!$C$3+M912+O912</f>
        <v>29</v>
      </c>
      <c r="K912" s="1">
        <f t="shared" ca="1" si="168"/>
        <v>34</v>
      </c>
      <c r="L912" s="1">
        <f t="array" aca="1" ref="L912" ca="1">SUMPRODUCT((OFFSET(Calc2!$F$4,,,$F$26*B893,1)=F912)*(OFFSET(Calc2!$H$4,,,$F$26*B893,1)&gt;OFFSET(Calc2!$I$4,,,$F$26*B893,1)))+SUMPRODUCT((OFFSET(Calc2!$G$4,,,$F$26*B893,1)=F912)*(OFFSET(Calc2!$H$4,,,$F$26*B893,1)&lt;OFFSET(Calc2!$I$4,,,$F$26*B893,1)))</f>
        <v>7</v>
      </c>
      <c r="M912" s="1">
        <f t="array" aca="1" ref="M912" ca="1">SUMPRODUCT((OFFSET(Calc2!$F$4,,,$F$26*B893,2)=F912)*(OFFSET(Calc2!$H$4,,,$F$26*B893,1)=OFFSET(Calc2!$I$4,,,$F$26*B893,1))*(OFFSET(Calc2!$H$4,,,$F$26*B893,1)&lt;&gt;"")*(OFFSET(Calc2!$I$4,,,$F$26*B893,1)&lt;&gt;""))</f>
        <v>8</v>
      </c>
      <c r="N912" s="1">
        <f t="array" aca="1" ref="N912" ca="1">SUMPRODUCT((OFFSET(Calc2!$F$4,,,$F$26*B893,1)=F912)*(OFFSET(Calc2!$H$4,,,$F$26*B893,1)&lt;OFFSET(Calc2!$I$4,,,$F$26*B893,1)))+SUMPRODUCT((OFFSET(Calc2!$G$4,,,$F$26*B893,1)=F912)*(OFFSET(Calc2!$H$4,,,$F$26*B893,1)&gt;OFFSET(Calc2!$I$4,,,$F$26*B893,1)))</f>
        <v>19</v>
      </c>
      <c r="O912" s="132">
        <f ca="1">SUMPRODUCT((F912=OFFSET(Calc2!$F$4,,,$F$26*B893,1))*OFFSET(Calc2!$O$4,,,$F$26*B893,1))+SUMPRODUCT((F912=OFFSET(Calc2!$G$4,,,$F$26*B893,1))*OFFSET(Calc2!$P$4,,,$F$26*B893,1))</f>
        <v>0</v>
      </c>
      <c r="P912" s="2"/>
      <c r="Q912" s="2"/>
      <c r="R912" s="13">
        <f t="shared" ca="1" si="166"/>
        <v>29499976045</v>
      </c>
      <c r="S912" s="134">
        <f>Tie_Break!$D$24</f>
        <v>0</v>
      </c>
      <c r="T912" s="9">
        <f ca="1">RANK(R912,R895:R914)+(9-S912)/10000+(F912="")*1000</f>
        <v>16.000900000000001</v>
      </c>
      <c r="U912" s="2"/>
      <c r="V912" s="134">
        <f ca="1">IF($K$24=0,"",IF(VLOOKUP(B912,C895:E914,3,0)=MAX(V$4:V911),VLOOKUP(B912,C895:E914,3,0),B912))</f>
        <v>18</v>
      </c>
      <c r="W912" s="4" t="str">
        <f ca="1">IF($K$24=0,Calc2!$C$21,VLOOKUP(B912,C895:N914,4,0))</f>
        <v>FC St. Pauli</v>
      </c>
      <c r="X912" s="1">
        <f ca="1">INDEX(V868:V887,MATCH(W912,W868:W887,0))</f>
        <v>18</v>
      </c>
      <c r="Y912" s="1">
        <f t="shared" ca="1" si="169"/>
        <v>0</v>
      </c>
    </row>
    <row r="913" spans="2:25" x14ac:dyDescent="0.2">
      <c r="B913" s="1">
        <v>19</v>
      </c>
      <c r="C913" s="9">
        <f ca="1">RANK(D913,D895:D914,1)</f>
        <v>19</v>
      </c>
      <c r="D913" s="134">
        <f t="shared" ca="1" si="167"/>
        <v>19.913</v>
      </c>
      <c r="E913" s="134">
        <f ca="1">RANK(T913,T895:T914,1)</f>
        <v>19</v>
      </c>
      <c r="F913" s="187" t="str">
        <f>Calc2!$C$22</f>
        <v/>
      </c>
      <c r="G913" s="1">
        <f ca="1">SUMIFS(OFFSET(Calc2!$H$4,,,$F$26*B893,1),OFFSET(Calc2!$F$4,,,$F$26*B893,1),F913)+SUMIFS(OFFSET(Calc2!$I$4,,,$F$26*B893,1),OFFSET(Calc2!$G$4,,,$F$26*B893,1),F913)</f>
        <v>0</v>
      </c>
      <c r="H913" s="1">
        <f ca="1">SUMIFS(OFFSET(Calc2!$I$4,,,$F$26*B893,1),OFFSET(Calc2!$F$4,,,$F$26*B893,1),F913)+SUMIFS(OFFSET(Calc2!$H$4,,,$F$26*B893,1),OFFSET(Calc2!$G$4,,,$F$26*B893,1),F913)</f>
        <v>0</v>
      </c>
      <c r="I913" s="134">
        <f t="shared" ca="1" si="165"/>
        <v>0</v>
      </c>
      <c r="J913" s="12">
        <f ca="1">L913*Settings!$C$3+M913+O913</f>
        <v>0</v>
      </c>
      <c r="K913" s="1">
        <f t="shared" ca="1" si="168"/>
        <v>0</v>
      </c>
      <c r="L913" s="1">
        <f t="array" aca="1" ref="L913" ca="1">SUMPRODUCT((OFFSET(Calc2!$F$4,,,$F$26*B893,1)=F913)*(OFFSET(Calc2!$H$4,,,$F$26*B893,1)&gt;OFFSET(Calc2!$I$4,,,$F$26*B893,1)))+SUMPRODUCT((OFFSET(Calc2!$G$4,,,$F$26*B893,1)=F913)*(OFFSET(Calc2!$H$4,,,$F$26*B893,1)&lt;OFFSET(Calc2!$I$4,,,$F$26*B893,1)))</f>
        <v>0</v>
      </c>
      <c r="M913" s="1">
        <f t="array" aca="1" ref="M913" ca="1">SUMPRODUCT((OFFSET(Calc2!$F$4,,,$F$26*B893,2)=F913)*(OFFSET(Calc2!$H$4,,,$F$26*B893,1)=OFFSET(Calc2!$I$4,,,$F$26*B893,1))*(OFFSET(Calc2!$H$4,,,$F$26*B893,1)&lt;&gt;"")*(OFFSET(Calc2!$I$4,,,$F$26*B893,1)&lt;&gt;""))</f>
        <v>0</v>
      </c>
      <c r="N913" s="1">
        <f t="array" aca="1" ref="N913" ca="1">SUMPRODUCT((OFFSET(Calc2!$F$4,,,$F$26*B893,1)=F913)*(OFFSET(Calc2!$H$4,,,$F$26*B893,1)&lt;OFFSET(Calc2!$I$4,,,$F$26*B893,1)))+SUMPRODUCT((OFFSET(Calc2!$G$4,,,$F$26*B893,1)=F913)*(OFFSET(Calc2!$H$4,,,$F$26*B893,1)&gt;OFFSET(Calc2!$I$4,,,$F$26*B893,1)))</f>
        <v>0</v>
      </c>
      <c r="O913" s="132">
        <f ca="1">SUMPRODUCT((F913=OFFSET(Calc2!$F$4,,,$F$26*B893,1))*OFFSET(Calc2!$O$4,,,$F$26*B893,1))+SUMPRODUCT((F913=OFFSET(Calc2!$G$4,,,$F$26*B893,1))*OFFSET(Calc2!$P$4,,,$F$26*B893,1))</f>
        <v>0</v>
      </c>
      <c r="P913" s="2"/>
      <c r="Q913" s="2"/>
      <c r="R913" s="13">
        <f t="shared" ca="1" si="166"/>
        <v>500000000</v>
      </c>
      <c r="S913" s="134">
        <f>Tie_Break!$D$25</f>
        <v>0</v>
      </c>
      <c r="T913" s="9">
        <f ca="1">RANK(R913,R895:R914)+(9-S913)/10000+(F913="")*1000</f>
        <v>1019.0009</v>
      </c>
      <c r="U913" s="2"/>
      <c r="V913" s="134">
        <f ca="1">IF($K$24=0,"",IF(VLOOKUP(B913,C895:E914,3,0)=MAX(V$4:V912),VLOOKUP(B913,C895:E914,3,0),B913))</f>
        <v>19</v>
      </c>
      <c r="W913" s="4" t="str">
        <f ca="1">IF($K$24=0,Calc2!$C$22,VLOOKUP(B913,C895:N914,4,0))</f>
        <v/>
      </c>
      <c r="X913" s="1">
        <f ca="1">INDEX(V868:V887,MATCH(W913,W868:W887,0))</f>
        <v>19</v>
      </c>
      <c r="Y913" s="1">
        <f t="shared" ca="1" si="169"/>
        <v>0</v>
      </c>
    </row>
    <row r="914" spans="2:25" ht="12.75" thickBot="1" x14ac:dyDescent="0.25">
      <c r="B914" s="1">
        <v>20</v>
      </c>
      <c r="C914" s="10">
        <f ca="1">RANK(D914,D895:D914,1)</f>
        <v>20</v>
      </c>
      <c r="D914" s="134">
        <f t="shared" ca="1" si="167"/>
        <v>19.914000000000001</v>
      </c>
      <c r="E914" s="134">
        <f ca="1">RANK(T914,T895:T914,1)</f>
        <v>19</v>
      </c>
      <c r="F914" s="187" t="str">
        <f>Calc2!$C$23</f>
        <v/>
      </c>
      <c r="G914" s="1">
        <f ca="1">SUMIFS(OFFSET(Calc2!$H$4,,,$F$26*B893,1),OFFSET(Calc2!$F$4,,,$F$26*B893,1),F914)+SUMIFS(OFFSET(Calc2!$I$4,,,$F$26*B893,1),OFFSET(Calc2!$G$4,,,$F$26*B893,1),F914)</f>
        <v>0</v>
      </c>
      <c r="H914" s="1">
        <f ca="1">SUMIFS(OFFSET(Calc2!$I$4,,,$F$26*B893,1),OFFSET(Calc2!$F$4,,,$F$26*B893,1),F914)+SUMIFS(OFFSET(Calc2!$H$4,,,$F$26*B893,1),OFFSET(Calc2!$G$4,,,$F$26*B893,1),F914)</f>
        <v>0</v>
      </c>
      <c r="I914" s="134">
        <f t="shared" ca="1" si="165"/>
        <v>0</v>
      </c>
      <c r="J914" s="12">
        <f ca="1">L914*Settings!$C$3+M914+O914</f>
        <v>0</v>
      </c>
      <c r="K914" s="1">
        <f t="shared" ca="1" si="168"/>
        <v>0</v>
      </c>
      <c r="L914" s="1">
        <f t="array" aca="1" ref="L914" ca="1">SUMPRODUCT((OFFSET(Calc2!$F$4,,,$F$26*B893,1)=F914)*(OFFSET(Calc2!$H$4,,,$F$26*B893,1)&gt;OFFSET(Calc2!$I$4,,,$F$26*B893,1)))+SUMPRODUCT((OFFSET(Calc2!$G$4,,,$F$26*B893,1)=F914)*(OFFSET(Calc2!$H$4,,,$F$26*B893,1)&lt;OFFSET(Calc2!$I$4,,,$F$26*B893,1)))</f>
        <v>0</v>
      </c>
      <c r="M914" s="1">
        <f t="array" aca="1" ref="M914" ca="1">SUMPRODUCT((OFFSET(Calc2!$F$4,,,$F$26*B893,2)=F914)*(OFFSET(Calc2!$H$4,,,$F$26*B893,1)=OFFSET(Calc2!$I$4,,,$F$26*B893,1))*(OFFSET(Calc2!$H$4,,,$F$26*B893,1)&lt;&gt;"")*(OFFSET(Calc2!$I$4,,,$F$26*B893,1)&lt;&gt;""))</f>
        <v>0</v>
      </c>
      <c r="N914" s="1">
        <f t="array" aca="1" ref="N914" ca="1">SUMPRODUCT((OFFSET(Calc2!$F$4,,,$F$26*B893,1)=F914)*(OFFSET(Calc2!$H$4,,,$F$26*B893,1)&lt;OFFSET(Calc2!$I$4,,,$F$26*B893,1)))+SUMPRODUCT((OFFSET(Calc2!$G$4,,,$F$26*B893,1)=F914)*(OFFSET(Calc2!$H$4,,,$F$26*B893,1)&gt;OFFSET(Calc2!$I$4,,,$F$26*B893,1)))</f>
        <v>0</v>
      </c>
      <c r="O914" s="132">
        <f ca="1">SUMPRODUCT((F914=OFFSET(Calc2!$F$4,,,$F$26*B893,1))*OFFSET(Calc2!$O$4,,,$F$26*B893,1))+SUMPRODUCT((F914=OFFSET(Calc2!$G$4,,,$F$26*B893,1))*OFFSET(Calc2!$P$4,,,$F$26*B893,1))</f>
        <v>0</v>
      </c>
      <c r="P914" s="2"/>
      <c r="Q914" s="2"/>
      <c r="R914" s="13">
        <f t="shared" ca="1" si="166"/>
        <v>500000000</v>
      </c>
      <c r="S914" s="134">
        <f>Tie_Break!$D$26</f>
        <v>0</v>
      </c>
      <c r="T914" s="10">
        <f ca="1">RANK(R914,R895:R914)+(9-S914)/10000+(F914="")*1000</f>
        <v>1019.0009</v>
      </c>
      <c r="U914" s="2"/>
      <c r="V914" s="134">
        <f ca="1">IF($K$24=0,"",IF(VLOOKUP(B914,C895:E914,3,0)=MAX(V$4:V913),VLOOKUP(B914,C895:E914,3,0),B914))</f>
        <v>19</v>
      </c>
      <c r="W914" s="4" t="str">
        <f ca="1">IF($K$24=0,Calc2!$C$23,VLOOKUP(B914,C895:N914,4,0))</f>
        <v/>
      </c>
      <c r="X914" s="1">
        <f ca="1">INDEX(V868:V887,MATCH(W914,W868:W887,0))</f>
        <v>19</v>
      </c>
      <c r="Y914" s="1">
        <f t="shared" ca="1" si="169"/>
        <v>0</v>
      </c>
    </row>
    <row r="915" spans="2:25" ht="12.75" thickTop="1" x14ac:dyDescent="0.2"/>
    <row r="919" spans="2:25" ht="12.75" thickBot="1" x14ac:dyDescent="0.25"/>
    <row r="920" spans="2:25" ht="12.75" thickBot="1" x14ac:dyDescent="0.25">
      <c r="B920" s="410">
        <v>35</v>
      </c>
      <c r="C920" s="134"/>
      <c r="D920" s="134"/>
      <c r="E920" s="134"/>
      <c r="F920" s="187"/>
      <c r="G920" s="1"/>
      <c r="H920" s="1"/>
      <c r="I920" s="1"/>
      <c r="J920" s="1"/>
      <c r="K920" s="1"/>
      <c r="L920" s="1"/>
      <c r="M920" s="1"/>
      <c r="N920" s="134"/>
      <c r="O920" s="1"/>
      <c r="P920" s="1"/>
      <c r="Q920" s="1"/>
      <c r="R920" s="2"/>
      <c r="S920" s="2"/>
      <c r="T920" s="2"/>
      <c r="U920" s="2"/>
      <c r="V920" s="2"/>
      <c r="W920" s="2"/>
    </row>
    <row r="921" spans="2:25" ht="15.75" thickBot="1" x14ac:dyDescent="0.25">
      <c r="B921" s="1"/>
      <c r="C921" s="134"/>
      <c r="D921" s="134"/>
      <c r="E921" s="134"/>
      <c r="F921" s="11" t="s">
        <v>90</v>
      </c>
      <c r="G921" s="42" t="s">
        <v>95</v>
      </c>
      <c r="H921" s="42" t="s">
        <v>96</v>
      </c>
      <c r="I921" s="11" t="s">
        <v>97</v>
      </c>
      <c r="J921" s="11" t="s">
        <v>98</v>
      </c>
      <c r="K921" s="11" t="s">
        <v>91</v>
      </c>
      <c r="L921" s="12" t="s">
        <v>92</v>
      </c>
      <c r="M921" s="12" t="s">
        <v>93</v>
      </c>
      <c r="N921" s="12" t="s">
        <v>94</v>
      </c>
      <c r="O921" s="12" t="s">
        <v>534</v>
      </c>
      <c r="P921" s="2"/>
      <c r="Q921" s="11"/>
      <c r="R921" s="133" t="s">
        <v>99</v>
      </c>
      <c r="S921" s="6" t="s">
        <v>483</v>
      </c>
      <c r="T921" s="120" t="s">
        <v>146</v>
      </c>
      <c r="U921" s="134"/>
      <c r="V921" s="134"/>
      <c r="W921" s="132"/>
      <c r="X921" s="120" t="s">
        <v>575</v>
      </c>
      <c r="Y921" s="1"/>
    </row>
    <row r="922" spans="2:25" ht="12.75" thickTop="1" x14ac:dyDescent="0.2">
      <c r="B922" s="1">
        <v>1</v>
      </c>
      <c r="C922" s="8">
        <f ca="1">RANK(D922,D922:D941,1)</f>
        <v>17</v>
      </c>
      <c r="D922" s="134">
        <f ca="1">E922+ROW()/1000</f>
        <v>17.922000000000001</v>
      </c>
      <c r="E922" s="134">
        <f ca="1">RANK(T922,T922:T941,1)</f>
        <v>17</v>
      </c>
      <c r="F922" s="187" t="str">
        <f>Calc2!$C$4</f>
        <v>1. FC Heidenheim 1846</v>
      </c>
      <c r="G922" s="1">
        <f ca="1">SUMIFS(OFFSET(Calc2!$H$4,,,$F$26*B920,1),OFFSET(Calc2!$F$4,,,$F$26*B920,1),F922)+SUMIFS(OFFSET(Calc2!$I$4,,,$F$26*B920,1),OFFSET(Calc2!$G$4,,,$F$26*B920,1),F922)</f>
        <v>41</v>
      </c>
      <c r="H922" s="1">
        <f ca="1">SUMIFS(OFFSET(Calc2!$I$4,,,$F$26*B920,1),OFFSET(Calc2!$F$4,,,$F$26*B920,1),F922)+SUMIFS(OFFSET(Calc2!$H$4,,,$F$26*B920,1),OFFSET(Calc2!$G$4,,,$F$26*B920,1),F922)</f>
        <v>72</v>
      </c>
      <c r="I922" s="134">
        <f t="shared" ref="I922:I941" ca="1" si="170">G922-H922</f>
        <v>-31</v>
      </c>
      <c r="J922" s="12">
        <f ca="1">L922*Settings!$C$3+M922+O922</f>
        <v>26</v>
      </c>
      <c r="K922" s="1">
        <f ca="1">L922+M922+N922</f>
        <v>34</v>
      </c>
      <c r="L922" s="1">
        <f t="array" aca="1" ref="L922" ca="1">SUMPRODUCT((OFFSET(Calc2!$F$4,,,$F$26*B920,1)=F922)*(OFFSET(Calc2!$H$4,,,$F$26*B920,1)&gt;OFFSET(Calc2!$I$4,,,$F$26*B920,1)))+SUMPRODUCT((OFFSET(Calc2!$G$4,,,$F$26*B920,1)=F922)*(OFFSET(Calc2!$H$4,,,$F$26*B920,1)&lt;OFFSET(Calc2!$I$4,,,$F$26*B920,1)))</f>
        <v>6</v>
      </c>
      <c r="M922" s="1">
        <f t="array" aca="1" ref="M922" ca="1">SUMPRODUCT((OFFSET(Calc2!$F$4,,,$F$26*B920,2)=F922)*(OFFSET(Calc2!$H$4,,,$F$26*B920,1)=OFFSET(Calc2!$I$4,,,$F$26*B920,1))*(OFFSET(Calc2!$H$4,,,$F$26*B920,1)&lt;&gt;"")*(OFFSET(Calc2!$I$4,,,$F$26*B920,1)&lt;&gt;""))</f>
        <v>8</v>
      </c>
      <c r="N922" s="1">
        <f t="array" aca="1" ref="N922" ca="1">SUMPRODUCT((OFFSET(Calc2!$F$4,,,$F$26*B920,1)=F922)*(OFFSET(Calc2!$H$4,,,$F$26*B920,1)&lt;OFFSET(Calc2!$I$4,,,$F$26*B920,1)))+SUMPRODUCT((OFFSET(Calc2!$G$4,,,$F$26*B920,1)=F922)*(OFFSET(Calc2!$H$4,,,$F$26*B920,1)&gt;OFFSET(Calc2!$I$4,,,$F$26*B920,1)))</f>
        <v>20</v>
      </c>
      <c r="O922" s="132">
        <f ca="1">SUMPRODUCT((F922=OFFSET(Calc2!$F$4,,,$F$26*B920,1))*OFFSET(Calc2!$O$4,,,$F$26*B920,1))+SUMPRODUCT((F922=OFFSET(Calc2!$G$4,,,$F$26*B920,1))*OFFSET(Calc2!$P$4,,,$F$26*B920,1))</f>
        <v>0</v>
      </c>
      <c r="P922" s="2"/>
      <c r="Q922" s="2"/>
      <c r="R922" s="13">
        <f t="shared" ref="R922:R941" ca="1" si="171">J922*FactorPts+(I922+GDzero)*FactorGD+G922*FactorGF</f>
        <v>26499969041</v>
      </c>
      <c r="S922" s="134">
        <f>Tie_Break!$D$7</f>
        <v>0</v>
      </c>
      <c r="T922" s="8">
        <f ca="1">RANK(R922,R922:R941)+(9-S922)/10000+(F922="")*1000</f>
        <v>17.000900000000001</v>
      </c>
      <c r="U922" s="134"/>
      <c r="V922" s="134">
        <f ca="1">IF($K$24=0,"",1)</f>
        <v>1</v>
      </c>
      <c r="W922" s="4" t="str">
        <f ca="1">IF($K$24=0,Calc2!$C$4,VLOOKUP(B922,C922:N941,4,0))</f>
        <v>FC Bayern München</v>
      </c>
      <c r="X922" s="1">
        <f ca="1">INDEX(V895:V914,MATCH(W922,W895:W914,0))</f>
        <v>1</v>
      </c>
      <c r="Y922" s="1">
        <f ca="1">IF(X922&gt;V922,1,IF(X922&lt;V922,-1,0))</f>
        <v>0</v>
      </c>
    </row>
    <row r="923" spans="2:25" x14ac:dyDescent="0.2">
      <c r="B923" s="1">
        <v>2</v>
      </c>
      <c r="C923" s="9">
        <f ca="1">RANK(D923,D922:D941,1)</f>
        <v>14</v>
      </c>
      <c r="D923" s="134">
        <f t="shared" ref="D923:D941" ca="1" si="172">E923+ROW()/1000</f>
        <v>14.923</v>
      </c>
      <c r="E923" s="134">
        <f ca="1">RANK(T923,T922:T941,1)</f>
        <v>14</v>
      </c>
      <c r="F923" s="187" t="str">
        <f>Calc2!$C$5</f>
        <v>1. FC Köln</v>
      </c>
      <c r="G923" s="1">
        <f ca="1">SUMIFS(OFFSET(Calc2!$H$4,,,$F$26*B920,1),OFFSET(Calc2!$F$4,,,$F$26*B920,1),F923)+SUMIFS(OFFSET(Calc2!$I$4,,,$F$26*B920,1),OFFSET(Calc2!$G$4,,,$F$26*B920,1),F923)</f>
        <v>49</v>
      </c>
      <c r="H923" s="1">
        <f ca="1">SUMIFS(OFFSET(Calc2!$I$4,,,$F$26*B920,1),OFFSET(Calc2!$F$4,,,$F$26*B920,1),F923)+SUMIFS(OFFSET(Calc2!$H$4,,,$F$26*B920,1),OFFSET(Calc2!$G$4,,,$F$26*B920,1),F923)</f>
        <v>63</v>
      </c>
      <c r="I923" s="134">
        <f t="shared" ca="1" si="170"/>
        <v>-14</v>
      </c>
      <c r="J923" s="12">
        <f ca="1">L923*Settings!$C$3+M923+O923</f>
        <v>32</v>
      </c>
      <c r="K923" s="1">
        <f t="shared" ref="K923:K941" ca="1" si="173">L923+M923+N923</f>
        <v>34</v>
      </c>
      <c r="L923" s="1">
        <f t="array" aca="1" ref="L923" ca="1">SUMPRODUCT((OFFSET(Calc2!$F$4,,,$F$26*B920,1)=F923)*(OFFSET(Calc2!$H$4,,,$F$26*B920,1)&gt;OFFSET(Calc2!$I$4,,,$F$26*B920,1)))+SUMPRODUCT((OFFSET(Calc2!$G$4,,,$F$26*B920,1)=F923)*(OFFSET(Calc2!$H$4,,,$F$26*B920,1)&lt;OFFSET(Calc2!$I$4,,,$F$26*B920,1)))</f>
        <v>7</v>
      </c>
      <c r="M923" s="1">
        <f t="array" aca="1" ref="M923" ca="1">SUMPRODUCT((OFFSET(Calc2!$F$4,,,$F$26*B920,2)=F923)*(OFFSET(Calc2!$H$4,,,$F$26*B920,1)=OFFSET(Calc2!$I$4,,,$F$26*B920,1))*(OFFSET(Calc2!$H$4,,,$F$26*B920,1)&lt;&gt;"")*(OFFSET(Calc2!$I$4,,,$F$26*B920,1)&lt;&gt;""))</f>
        <v>11</v>
      </c>
      <c r="N923" s="1">
        <f t="array" aca="1" ref="N923" ca="1">SUMPRODUCT((OFFSET(Calc2!$F$4,,,$F$26*B920,1)=F923)*(OFFSET(Calc2!$H$4,,,$F$26*B920,1)&lt;OFFSET(Calc2!$I$4,,,$F$26*B920,1)))+SUMPRODUCT((OFFSET(Calc2!$G$4,,,$F$26*B920,1)=F923)*(OFFSET(Calc2!$H$4,,,$F$26*B920,1)&gt;OFFSET(Calc2!$I$4,,,$F$26*B920,1)))</f>
        <v>16</v>
      </c>
      <c r="O923" s="132">
        <f ca="1">SUMPRODUCT((F923=OFFSET(Calc2!$F$4,,,$F$26*B920,1))*OFFSET(Calc2!$O$4,,,$F$26*B920,1))+SUMPRODUCT((F923=OFFSET(Calc2!$G$4,,,$F$26*B920,1))*OFFSET(Calc2!$P$4,,,$F$26*B920,1))</f>
        <v>0</v>
      </c>
      <c r="P923" s="2"/>
      <c r="Q923" s="2"/>
      <c r="R923" s="13">
        <f t="shared" ca="1" si="171"/>
        <v>32499986049</v>
      </c>
      <c r="S923" s="134">
        <f>Tie_Break!$D$8</f>
        <v>0</v>
      </c>
      <c r="T923" s="9">
        <f ca="1">RANK(R923,R922:R941)+(9-S923)/10000+(F923="")*1000</f>
        <v>14.0009</v>
      </c>
      <c r="U923" s="134"/>
      <c r="V923" s="134">
        <f ca="1">IF($K$24=0,"",IF(VLOOKUP(B923,C922:E941,3,0)=MAX(V$4:V922),VLOOKUP(B923,C922:E941,3,0),B923))</f>
        <v>2</v>
      </c>
      <c r="W923" s="4" t="str">
        <f ca="1">IF($K$24=0,Calc2!$C$5,VLOOKUP(B923,C922:N941,4,0))</f>
        <v>Borussia Dortmund</v>
      </c>
      <c r="X923" s="1">
        <f ca="1">INDEX(V895:V914,MATCH(W923,W895:W914,0))</f>
        <v>2</v>
      </c>
      <c r="Y923" s="1">
        <f t="shared" ref="Y923:Y941" ca="1" si="174">IF(X923&gt;V923,1,IF(X923&lt;V923,-1,0))</f>
        <v>0</v>
      </c>
    </row>
    <row r="924" spans="2:25" x14ac:dyDescent="0.2">
      <c r="B924" s="1">
        <v>3</v>
      </c>
      <c r="C924" s="9">
        <f ca="1">RANK(D924,D922:D941,1)</f>
        <v>11</v>
      </c>
      <c r="D924" s="134">
        <f t="shared" ca="1" si="172"/>
        <v>11.923999999999999</v>
      </c>
      <c r="E924" s="134">
        <f ca="1">RANK(T924,T922:T941,1)</f>
        <v>11</v>
      </c>
      <c r="F924" s="187" t="str">
        <f>Calc2!$C$6</f>
        <v>1. FC Union Berlin</v>
      </c>
      <c r="G924" s="1">
        <f ca="1">SUMIFS(OFFSET(Calc2!$H$4,,,$F$26*B920,1),OFFSET(Calc2!$F$4,,,$F$26*B920,1),F924)+SUMIFS(OFFSET(Calc2!$I$4,,,$F$26*B920,1),OFFSET(Calc2!$G$4,,,$F$26*B920,1),F924)</f>
        <v>42</v>
      </c>
      <c r="H924" s="1">
        <f ca="1">SUMIFS(OFFSET(Calc2!$I$4,,,$F$26*B920,1),OFFSET(Calc2!$F$4,,,$F$26*B920,1),F924)+SUMIFS(OFFSET(Calc2!$H$4,,,$F$26*B920,1),OFFSET(Calc2!$G$4,,,$F$26*B920,1),F924)</f>
        <v>57</v>
      </c>
      <c r="I924" s="134">
        <f t="shared" ca="1" si="170"/>
        <v>-15</v>
      </c>
      <c r="J924" s="12">
        <f ca="1">L924*Settings!$C$3+M924+O924</f>
        <v>39</v>
      </c>
      <c r="K924" s="1">
        <f t="shared" ca="1" si="173"/>
        <v>34</v>
      </c>
      <c r="L924" s="1">
        <f t="array" aca="1" ref="L924" ca="1">SUMPRODUCT((OFFSET(Calc2!$F$4,,,$F$26*B920,1)=F924)*(OFFSET(Calc2!$H$4,,,$F$26*B920,1)&gt;OFFSET(Calc2!$I$4,,,$F$26*B920,1)))+SUMPRODUCT((OFFSET(Calc2!$G$4,,,$F$26*B920,1)=F924)*(OFFSET(Calc2!$H$4,,,$F$26*B920,1)&lt;OFFSET(Calc2!$I$4,,,$F$26*B920,1)))</f>
        <v>10</v>
      </c>
      <c r="M924" s="1">
        <f t="array" aca="1" ref="M924" ca="1">SUMPRODUCT((OFFSET(Calc2!$F$4,,,$F$26*B920,2)=F924)*(OFFSET(Calc2!$H$4,,,$F$26*B920,1)=OFFSET(Calc2!$I$4,,,$F$26*B920,1))*(OFFSET(Calc2!$H$4,,,$F$26*B920,1)&lt;&gt;"")*(OFFSET(Calc2!$I$4,,,$F$26*B920,1)&lt;&gt;""))</f>
        <v>9</v>
      </c>
      <c r="N924" s="1">
        <f t="array" aca="1" ref="N924" ca="1">SUMPRODUCT((OFFSET(Calc2!$F$4,,,$F$26*B920,1)=F924)*(OFFSET(Calc2!$H$4,,,$F$26*B920,1)&lt;OFFSET(Calc2!$I$4,,,$F$26*B920,1)))+SUMPRODUCT((OFFSET(Calc2!$G$4,,,$F$26*B920,1)=F924)*(OFFSET(Calc2!$H$4,,,$F$26*B920,1)&gt;OFFSET(Calc2!$I$4,,,$F$26*B920,1)))</f>
        <v>15</v>
      </c>
      <c r="O924" s="132">
        <f ca="1">SUMPRODUCT((F924=OFFSET(Calc2!$F$4,,,$F$26*B920,1))*OFFSET(Calc2!$O$4,,,$F$26*B920,1))+SUMPRODUCT((F924=OFFSET(Calc2!$G$4,,,$F$26*B920,1))*OFFSET(Calc2!$P$4,,,$F$26*B920,1))</f>
        <v>0</v>
      </c>
      <c r="P924" s="2"/>
      <c r="Q924" s="2"/>
      <c r="R924" s="13">
        <f t="shared" ca="1" si="171"/>
        <v>39499985042</v>
      </c>
      <c r="S924" s="134">
        <f>Tie_Break!$D$9</f>
        <v>0</v>
      </c>
      <c r="T924" s="9">
        <f ca="1">RANK(R924,R922:R941)+(9-S924)/10000+(F924="")*1000</f>
        <v>11.0009</v>
      </c>
      <c r="U924" s="134"/>
      <c r="V924" s="134">
        <f ca="1">IF($K$24=0,"",IF(VLOOKUP(B924,C922:E941,3,0)=MAX(V$4:V923),VLOOKUP(B924,C922:E941,3,0),B924))</f>
        <v>3</v>
      </c>
      <c r="W924" s="4" t="str">
        <f ca="1">IF($K$24=0,Calc2!$C$6,VLOOKUP(B924,C922:N941,4,0))</f>
        <v>RB Leipzig</v>
      </c>
      <c r="X924" s="1">
        <f ca="1">INDEX(V895:V914,MATCH(W924,W895:W914,0))</f>
        <v>3</v>
      </c>
      <c r="Y924" s="1">
        <f t="shared" ca="1" si="174"/>
        <v>0</v>
      </c>
    </row>
    <row r="925" spans="2:25" x14ac:dyDescent="0.2">
      <c r="B925" s="1">
        <v>4</v>
      </c>
      <c r="C925" s="9">
        <f ca="1">RANK(D925,D922:D941,1)</f>
        <v>10</v>
      </c>
      <c r="D925" s="134">
        <f t="shared" ca="1" si="172"/>
        <v>10.925000000000001</v>
      </c>
      <c r="E925" s="134">
        <f ca="1">RANK(T925,T922:T941,1)</f>
        <v>10</v>
      </c>
      <c r="F925" s="187" t="str">
        <f>Calc2!$C$7</f>
        <v>1. FSV Mainz 05</v>
      </c>
      <c r="G925" s="1">
        <f ca="1">SUMIFS(OFFSET(Calc2!$H$4,,,$F$26*B920,1),OFFSET(Calc2!$F$4,,,$F$26*B920,1),F925)+SUMIFS(OFFSET(Calc2!$I$4,,,$F$26*B920,1),OFFSET(Calc2!$G$4,,,$F$26*B920,1),F925)</f>
        <v>43</v>
      </c>
      <c r="H925" s="1">
        <f ca="1">SUMIFS(OFFSET(Calc2!$I$4,,,$F$26*B920,1),OFFSET(Calc2!$F$4,,,$F$26*B920,1),F925)+SUMIFS(OFFSET(Calc2!$H$4,,,$F$26*B920,1),OFFSET(Calc2!$G$4,,,$F$26*B920,1),F925)</f>
        <v>51</v>
      </c>
      <c r="I925" s="134">
        <f t="shared" ca="1" si="170"/>
        <v>-8</v>
      </c>
      <c r="J925" s="12">
        <f ca="1">L925*Settings!$C$3+M925+O925</f>
        <v>40</v>
      </c>
      <c r="K925" s="1">
        <f t="shared" ca="1" si="173"/>
        <v>34</v>
      </c>
      <c r="L925" s="1">
        <f t="array" aca="1" ref="L925" ca="1">SUMPRODUCT((OFFSET(Calc2!$F$4,,,$F$26*B920,1)=F925)*(OFFSET(Calc2!$H$4,,,$F$26*B920,1)&gt;OFFSET(Calc2!$I$4,,,$F$26*B920,1)))+SUMPRODUCT((OFFSET(Calc2!$G$4,,,$F$26*B920,1)=F925)*(OFFSET(Calc2!$H$4,,,$F$26*B920,1)&lt;OFFSET(Calc2!$I$4,,,$F$26*B920,1)))</f>
        <v>10</v>
      </c>
      <c r="M925" s="1">
        <f t="array" aca="1" ref="M925" ca="1">SUMPRODUCT((OFFSET(Calc2!$F$4,,,$F$26*B920,2)=F925)*(OFFSET(Calc2!$H$4,,,$F$26*B920,1)=OFFSET(Calc2!$I$4,,,$F$26*B920,1))*(OFFSET(Calc2!$H$4,,,$F$26*B920,1)&lt;&gt;"")*(OFFSET(Calc2!$I$4,,,$F$26*B920,1)&lt;&gt;""))</f>
        <v>10</v>
      </c>
      <c r="N925" s="1">
        <f t="array" aca="1" ref="N925" ca="1">SUMPRODUCT((OFFSET(Calc2!$F$4,,,$F$26*B920,1)=F925)*(OFFSET(Calc2!$H$4,,,$F$26*B920,1)&lt;OFFSET(Calc2!$I$4,,,$F$26*B920,1)))+SUMPRODUCT((OFFSET(Calc2!$G$4,,,$F$26*B920,1)=F925)*(OFFSET(Calc2!$H$4,,,$F$26*B920,1)&gt;OFFSET(Calc2!$I$4,,,$F$26*B920,1)))</f>
        <v>14</v>
      </c>
      <c r="O925" s="132">
        <f ca="1">SUMPRODUCT((F925=OFFSET(Calc2!$F$4,,,$F$26*B920,1))*OFFSET(Calc2!$O$4,,,$F$26*B920,1))+SUMPRODUCT((F925=OFFSET(Calc2!$G$4,,,$F$26*B920,1))*OFFSET(Calc2!$P$4,,,$F$26*B920,1))</f>
        <v>0</v>
      </c>
      <c r="P925" s="2"/>
      <c r="Q925" s="2"/>
      <c r="R925" s="13">
        <f t="shared" ca="1" si="171"/>
        <v>40499992043</v>
      </c>
      <c r="S925" s="134">
        <f>Tie_Break!$D$10</f>
        <v>0</v>
      </c>
      <c r="T925" s="9">
        <f ca="1">RANK(R925,R922:R941)+(9-S925)/10000+(F925="")*1000</f>
        <v>10.0009</v>
      </c>
      <c r="U925" s="134"/>
      <c r="V925" s="134">
        <f ca="1">IF($K$24=0,"",IF(VLOOKUP(B925,C922:E941,3,0)=MAX(V$4:V924),VLOOKUP(B925,C922:E941,3,0),B925))</f>
        <v>4</v>
      </c>
      <c r="W925" s="4" t="str">
        <f ca="1">IF($K$24=0,Calc2!$C$7,VLOOKUP(B925,C922:N941,4,0))</f>
        <v>VfB Stuttgart</v>
      </c>
      <c r="X925" s="1">
        <f ca="1">INDEX(V895:V914,MATCH(W925,W895:W914,0))</f>
        <v>4</v>
      </c>
      <c r="Y925" s="1">
        <f t="shared" ca="1" si="174"/>
        <v>0</v>
      </c>
    </row>
    <row r="926" spans="2:25" x14ac:dyDescent="0.2">
      <c r="B926" s="1">
        <v>5</v>
      </c>
      <c r="C926" s="9">
        <f ca="1">RANK(D926,D922:D941,1)</f>
        <v>6</v>
      </c>
      <c r="D926" s="134">
        <f t="shared" ca="1" si="172"/>
        <v>6.9260000000000002</v>
      </c>
      <c r="E926" s="134">
        <f ca="1">RANK(T926,T922:T941,1)</f>
        <v>6</v>
      </c>
      <c r="F926" s="187" t="str">
        <f>Calc2!$C$8</f>
        <v>Bayer 04 Leverkusen</v>
      </c>
      <c r="G926" s="1">
        <f ca="1">SUMIFS(OFFSET(Calc2!$H$4,,,$F$26*B920,1),OFFSET(Calc2!$F$4,,,$F$26*B920,1),F926)+SUMIFS(OFFSET(Calc2!$I$4,,,$F$26*B920,1),OFFSET(Calc2!$G$4,,,$F$26*B920,1),F926)</f>
        <v>68</v>
      </c>
      <c r="H926" s="1">
        <f ca="1">SUMIFS(OFFSET(Calc2!$I$4,,,$F$26*B920,1),OFFSET(Calc2!$F$4,,,$F$26*B920,1),F926)+SUMIFS(OFFSET(Calc2!$H$4,,,$F$26*B920,1),OFFSET(Calc2!$G$4,,,$F$26*B920,1),F926)</f>
        <v>47</v>
      </c>
      <c r="I926" s="134">
        <f t="shared" ca="1" si="170"/>
        <v>21</v>
      </c>
      <c r="J926" s="12">
        <f ca="1">L926*Settings!$C$3+M926+O926</f>
        <v>59</v>
      </c>
      <c r="K926" s="1">
        <f t="shared" ca="1" si="173"/>
        <v>34</v>
      </c>
      <c r="L926" s="1">
        <f t="array" aca="1" ref="L926" ca="1">SUMPRODUCT((OFFSET(Calc2!$F$4,,,$F$26*B920,1)=F926)*(OFFSET(Calc2!$H$4,,,$F$26*B920,1)&gt;OFFSET(Calc2!$I$4,,,$F$26*B920,1)))+SUMPRODUCT((OFFSET(Calc2!$G$4,,,$F$26*B920,1)=F926)*(OFFSET(Calc2!$H$4,,,$F$26*B920,1)&lt;OFFSET(Calc2!$I$4,,,$F$26*B920,1)))</f>
        <v>17</v>
      </c>
      <c r="M926" s="1">
        <f t="array" aca="1" ref="M926" ca="1">SUMPRODUCT((OFFSET(Calc2!$F$4,,,$F$26*B920,2)=F926)*(OFFSET(Calc2!$H$4,,,$F$26*B920,1)=OFFSET(Calc2!$I$4,,,$F$26*B920,1))*(OFFSET(Calc2!$H$4,,,$F$26*B920,1)&lt;&gt;"")*(OFFSET(Calc2!$I$4,,,$F$26*B920,1)&lt;&gt;""))</f>
        <v>8</v>
      </c>
      <c r="N926" s="1">
        <f t="array" aca="1" ref="N926" ca="1">SUMPRODUCT((OFFSET(Calc2!$F$4,,,$F$26*B920,1)=F926)*(OFFSET(Calc2!$H$4,,,$F$26*B920,1)&lt;OFFSET(Calc2!$I$4,,,$F$26*B920,1)))+SUMPRODUCT((OFFSET(Calc2!$G$4,,,$F$26*B920,1)=F926)*(OFFSET(Calc2!$H$4,,,$F$26*B920,1)&gt;OFFSET(Calc2!$I$4,,,$F$26*B920,1)))</f>
        <v>9</v>
      </c>
      <c r="O926" s="132">
        <f ca="1">SUMPRODUCT((F926=OFFSET(Calc2!$F$4,,,$F$26*B920,1))*OFFSET(Calc2!$O$4,,,$F$26*B920,1))+SUMPRODUCT((F926=OFFSET(Calc2!$G$4,,,$F$26*B920,1))*OFFSET(Calc2!$P$4,,,$F$26*B920,1))</f>
        <v>0</v>
      </c>
      <c r="P926" s="2"/>
      <c r="Q926" s="2"/>
      <c r="R926" s="13">
        <f t="shared" ca="1" si="171"/>
        <v>59500021068</v>
      </c>
      <c r="S926" s="134">
        <f>Tie_Break!$D$11</f>
        <v>0</v>
      </c>
      <c r="T926" s="9">
        <f ca="1">RANK(R926,R922:R941)+(9-S926)/10000+(F926="")*1000</f>
        <v>6.0008999999999997</v>
      </c>
      <c r="U926" s="134"/>
      <c r="V926" s="134">
        <f ca="1">IF($K$24=0,"",IF(VLOOKUP(B926,C922:E941,3,0)=MAX(V$4:V925),VLOOKUP(B926,C922:E941,3,0),B926))</f>
        <v>5</v>
      </c>
      <c r="W926" s="4" t="str">
        <f ca="1">IF($K$24=0,Calc2!$C$8,VLOOKUP(B926,C922:N941,4,0))</f>
        <v>TSG Hoffenheim</v>
      </c>
      <c r="X926" s="1">
        <f ca="1">INDEX(V895:V914,MATCH(W926,W895:W914,0))</f>
        <v>5</v>
      </c>
      <c r="Y926" s="1">
        <f t="shared" ca="1" si="174"/>
        <v>0</v>
      </c>
    </row>
    <row r="927" spans="2:25" x14ac:dyDescent="0.2">
      <c r="B927" s="1">
        <v>6</v>
      </c>
      <c r="C927" s="9">
        <f ca="1">RANK(D927,D922:D941,1)</f>
        <v>2</v>
      </c>
      <c r="D927" s="134">
        <f t="shared" ca="1" si="172"/>
        <v>2.927</v>
      </c>
      <c r="E927" s="134">
        <f ca="1">RANK(T927,T922:T941,1)</f>
        <v>2</v>
      </c>
      <c r="F927" s="187" t="str">
        <f>Calc2!$C$9</f>
        <v>Borussia Dortmund</v>
      </c>
      <c r="G927" s="1">
        <f ca="1">SUMIFS(OFFSET(Calc2!$H$4,,,$F$26*B920,1),OFFSET(Calc2!$F$4,,,$F$26*B920,1),F927)+SUMIFS(OFFSET(Calc2!$I$4,,,$F$26*B920,1),OFFSET(Calc2!$G$4,,,$F$26*B920,1),F927)</f>
        <v>70</v>
      </c>
      <c r="H927" s="1">
        <f ca="1">SUMIFS(OFFSET(Calc2!$I$4,,,$F$26*B920,1),OFFSET(Calc2!$F$4,,,$F$26*B920,1),F927)+SUMIFS(OFFSET(Calc2!$H$4,,,$F$26*B920,1),OFFSET(Calc2!$G$4,,,$F$26*B920,1),F927)</f>
        <v>34</v>
      </c>
      <c r="I927" s="134">
        <f t="shared" ca="1" si="170"/>
        <v>36</v>
      </c>
      <c r="J927" s="12">
        <f ca="1">L927*Settings!$C$3+M927+O927</f>
        <v>73</v>
      </c>
      <c r="K927" s="1">
        <f t="shared" ca="1" si="173"/>
        <v>34</v>
      </c>
      <c r="L927" s="1">
        <f t="array" aca="1" ref="L927" ca="1">SUMPRODUCT((OFFSET(Calc2!$F$4,,,$F$26*B920,1)=F927)*(OFFSET(Calc2!$H$4,,,$F$26*B920,1)&gt;OFFSET(Calc2!$I$4,,,$F$26*B920,1)))+SUMPRODUCT((OFFSET(Calc2!$G$4,,,$F$26*B920,1)=F927)*(OFFSET(Calc2!$H$4,,,$F$26*B920,1)&lt;OFFSET(Calc2!$I$4,,,$F$26*B920,1)))</f>
        <v>22</v>
      </c>
      <c r="M927" s="1">
        <f t="array" aca="1" ref="M927" ca="1">SUMPRODUCT((OFFSET(Calc2!$F$4,,,$F$26*B920,2)=F927)*(OFFSET(Calc2!$H$4,,,$F$26*B920,1)=OFFSET(Calc2!$I$4,,,$F$26*B920,1))*(OFFSET(Calc2!$H$4,,,$F$26*B920,1)&lt;&gt;"")*(OFFSET(Calc2!$I$4,,,$F$26*B920,1)&lt;&gt;""))</f>
        <v>7</v>
      </c>
      <c r="N927" s="1">
        <f t="array" aca="1" ref="N927" ca="1">SUMPRODUCT((OFFSET(Calc2!$F$4,,,$F$26*B920,1)=F927)*(OFFSET(Calc2!$H$4,,,$F$26*B920,1)&lt;OFFSET(Calc2!$I$4,,,$F$26*B920,1)))+SUMPRODUCT((OFFSET(Calc2!$G$4,,,$F$26*B920,1)=F927)*(OFFSET(Calc2!$H$4,,,$F$26*B920,1)&gt;OFFSET(Calc2!$I$4,,,$F$26*B920,1)))</f>
        <v>5</v>
      </c>
      <c r="O927" s="132">
        <f ca="1">SUMPRODUCT((F927=OFFSET(Calc2!$F$4,,,$F$26*B920,1))*OFFSET(Calc2!$O$4,,,$F$26*B920,1))+SUMPRODUCT((F927=OFFSET(Calc2!$G$4,,,$F$26*B920,1))*OFFSET(Calc2!$P$4,,,$F$26*B920,1))</f>
        <v>0</v>
      </c>
      <c r="P927" s="2"/>
      <c r="Q927" s="2"/>
      <c r="R927" s="13">
        <f t="shared" ca="1" si="171"/>
        <v>73500036070</v>
      </c>
      <c r="S927" s="134">
        <f>Tie_Break!$D$12</f>
        <v>0</v>
      </c>
      <c r="T927" s="9">
        <f ca="1">RANK(R927,R922:R941)+(9-S927)/10000+(F927="")*1000</f>
        <v>2.0009000000000001</v>
      </c>
      <c r="U927" s="134"/>
      <c r="V927" s="134">
        <f ca="1">IF($K$24=0,"",IF(VLOOKUP(B927,C922:E941,3,0)=MAX(V$4:V926),VLOOKUP(B927,C922:E941,3,0),B927))</f>
        <v>6</v>
      </c>
      <c r="W927" s="4" t="str">
        <f ca="1">IF($K$24=0,Calc2!$C$9,VLOOKUP(B927,C922:N941,4,0))</f>
        <v>Bayer 04 Leverkusen</v>
      </c>
      <c r="X927" s="1">
        <f ca="1">INDEX(V895:V914,MATCH(W927,W895:W914,0))</f>
        <v>6</v>
      </c>
      <c r="Y927" s="1">
        <f t="shared" ca="1" si="174"/>
        <v>0</v>
      </c>
    </row>
    <row r="928" spans="2:25" x14ac:dyDescent="0.2">
      <c r="B928" s="1">
        <v>7</v>
      </c>
      <c r="C928" s="9">
        <f ca="1">RANK(D928,D922:D941,1)</f>
        <v>12</v>
      </c>
      <c r="D928" s="134">
        <f t="shared" ca="1" si="172"/>
        <v>12.928000000000001</v>
      </c>
      <c r="E928" s="134">
        <f ca="1">RANK(T928,T922:T941,1)</f>
        <v>12</v>
      </c>
      <c r="F928" s="187" t="str">
        <f>Calc2!$C$10</f>
        <v>Borussia Mönchengladbach</v>
      </c>
      <c r="G928" s="1">
        <f ca="1">SUMIFS(OFFSET(Calc2!$H$4,,,$F$26*B920,1),OFFSET(Calc2!$F$4,,,$F$26*B920,1),F928)+SUMIFS(OFFSET(Calc2!$I$4,,,$F$26*B920,1),OFFSET(Calc2!$G$4,,,$F$26*B920,1),F928)</f>
        <v>42</v>
      </c>
      <c r="H928" s="1">
        <f ca="1">SUMIFS(OFFSET(Calc2!$I$4,,,$F$26*B920,1),OFFSET(Calc2!$F$4,,,$F$26*B920,1),F928)+SUMIFS(OFFSET(Calc2!$H$4,,,$F$26*B920,1),OFFSET(Calc2!$G$4,,,$F$26*B920,1),F928)</f>
        <v>53</v>
      </c>
      <c r="I928" s="134">
        <f t="shared" ca="1" si="170"/>
        <v>-11</v>
      </c>
      <c r="J928" s="12">
        <f ca="1">L928*Settings!$C$3+M928+O928</f>
        <v>38</v>
      </c>
      <c r="K928" s="1">
        <f t="shared" ca="1" si="173"/>
        <v>34</v>
      </c>
      <c r="L928" s="1">
        <f t="array" aca="1" ref="L928" ca="1">SUMPRODUCT((OFFSET(Calc2!$F$4,,,$F$26*B920,1)=F928)*(OFFSET(Calc2!$H$4,,,$F$26*B920,1)&gt;OFFSET(Calc2!$I$4,,,$F$26*B920,1)))+SUMPRODUCT((OFFSET(Calc2!$G$4,,,$F$26*B920,1)=F928)*(OFFSET(Calc2!$H$4,,,$F$26*B920,1)&lt;OFFSET(Calc2!$I$4,,,$F$26*B920,1)))</f>
        <v>9</v>
      </c>
      <c r="M928" s="1">
        <f t="array" aca="1" ref="M928" ca="1">SUMPRODUCT((OFFSET(Calc2!$F$4,,,$F$26*B920,2)=F928)*(OFFSET(Calc2!$H$4,,,$F$26*B920,1)=OFFSET(Calc2!$I$4,,,$F$26*B920,1))*(OFFSET(Calc2!$H$4,,,$F$26*B920,1)&lt;&gt;"")*(OFFSET(Calc2!$I$4,,,$F$26*B920,1)&lt;&gt;""))</f>
        <v>11</v>
      </c>
      <c r="N928" s="1">
        <f t="array" aca="1" ref="N928" ca="1">SUMPRODUCT((OFFSET(Calc2!$F$4,,,$F$26*B920,1)=F928)*(OFFSET(Calc2!$H$4,,,$F$26*B920,1)&lt;OFFSET(Calc2!$I$4,,,$F$26*B920,1)))+SUMPRODUCT((OFFSET(Calc2!$G$4,,,$F$26*B920,1)=F928)*(OFFSET(Calc2!$H$4,,,$F$26*B920,1)&gt;OFFSET(Calc2!$I$4,,,$F$26*B920,1)))</f>
        <v>14</v>
      </c>
      <c r="O928" s="132">
        <f ca="1">SUMPRODUCT((F928=OFFSET(Calc2!$F$4,,,$F$26*B920,1))*OFFSET(Calc2!$O$4,,,$F$26*B920,1))+SUMPRODUCT((F928=OFFSET(Calc2!$G$4,,,$F$26*B920,1))*OFFSET(Calc2!$P$4,,,$F$26*B920,1))</f>
        <v>0</v>
      </c>
      <c r="P928" s="2"/>
      <c r="Q928" s="2"/>
      <c r="R928" s="13">
        <f t="shared" ca="1" si="171"/>
        <v>38499989042</v>
      </c>
      <c r="S928" s="134">
        <f>Tie_Break!$D$13</f>
        <v>0</v>
      </c>
      <c r="T928" s="9">
        <f ca="1">RANK(R928,R922:R941)+(9-S928)/10000+(F928="")*1000</f>
        <v>12.0009</v>
      </c>
      <c r="U928" s="134"/>
      <c r="V928" s="134">
        <f ca="1">IF($K$24=0,"",IF(VLOOKUP(B928,C922:E941,3,0)=MAX(V$4:V927),VLOOKUP(B928,C922:E941,3,0),B928))</f>
        <v>7</v>
      </c>
      <c r="W928" s="4" t="str">
        <f ca="1">IF($K$24=0,Calc2!$C$10,VLOOKUP(B928,C922:N941,4,0))</f>
        <v>SC Freiburg</v>
      </c>
      <c r="X928" s="1">
        <f ca="1">INDEX(V895:V914,MATCH(W928,W895:W914,0))</f>
        <v>7</v>
      </c>
      <c r="Y928" s="1">
        <f t="shared" ca="1" si="174"/>
        <v>0</v>
      </c>
    </row>
    <row r="929" spans="2:25" x14ac:dyDescent="0.2">
      <c r="B929" s="1">
        <v>8</v>
      </c>
      <c r="C929" s="9">
        <f ca="1">RANK(D929,D922:D941,1)</f>
        <v>8</v>
      </c>
      <c r="D929" s="134">
        <f t="shared" ca="1" si="172"/>
        <v>8.9290000000000003</v>
      </c>
      <c r="E929" s="134">
        <f ca="1">RANK(T929,T922:T941,1)</f>
        <v>8</v>
      </c>
      <c r="F929" s="187" t="str">
        <f>Calc2!$C$11</f>
        <v>Eintracht Frankfurt</v>
      </c>
      <c r="G929" s="1">
        <f ca="1">SUMIFS(OFFSET(Calc2!$H$4,,,$F$26*B920,1),OFFSET(Calc2!$F$4,,,$F$26*B920,1),F929)+SUMIFS(OFFSET(Calc2!$I$4,,,$F$26*B920,1),OFFSET(Calc2!$G$4,,,$F$26*B920,1),F929)</f>
        <v>61</v>
      </c>
      <c r="H929" s="1">
        <f ca="1">SUMIFS(OFFSET(Calc2!$I$4,,,$F$26*B920,1),OFFSET(Calc2!$F$4,,,$F$26*B920,1),F929)+SUMIFS(OFFSET(Calc2!$H$4,,,$F$26*B920,1),OFFSET(Calc2!$G$4,,,$F$26*B920,1),F929)</f>
        <v>65</v>
      </c>
      <c r="I929" s="134">
        <f t="shared" ca="1" si="170"/>
        <v>-4</v>
      </c>
      <c r="J929" s="12">
        <f ca="1">L929*Settings!$C$3+M929+O929</f>
        <v>44</v>
      </c>
      <c r="K929" s="1">
        <f t="shared" ca="1" si="173"/>
        <v>34</v>
      </c>
      <c r="L929" s="1">
        <f t="array" aca="1" ref="L929" ca="1">SUMPRODUCT((OFFSET(Calc2!$F$4,,,$F$26*B920,1)=F929)*(OFFSET(Calc2!$H$4,,,$F$26*B920,1)&gt;OFFSET(Calc2!$I$4,,,$F$26*B920,1)))+SUMPRODUCT((OFFSET(Calc2!$G$4,,,$F$26*B920,1)=F929)*(OFFSET(Calc2!$H$4,,,$F$26*B920,1)&lt;OFFSET(Calc2!$I$4,,,$F$26*B920,1)))</f>
        <v>11</v>
      </c>
      <c r="M929" s="1">
        <f t="array" aca="1" ref="M929" ca="1">SUMPRODUCT((OFFSET(Calc2!$F$4,,,$F$26*B920,2)=F929)*(OFFSET(Calc2!$H$4,,,$F$26*B920,1)=OFFSET(Calc2!$I$4,,,$F$26*B920,1))*(OFFSET(Calc2!$H$4,,,$F$26*B920,1)&lt;&gt;"")*(OFFSET(Calc2!$I$4,,,$F$26*B920,1)&lt;&gt;""))</f>
        <v>11</v>
      </c>
      <c r="N929" s="1">
        <f t="array" aca="1" ref="N929" ca="1">SUMPRODUCT((OFFSET(Calc2!$F$4,,,$F$26*B920,1)=F929)*(OFFSET(Calc2!$H$4,,,$F$26*B920,1)&lt;OFFSET(Calc2!$I$4,,,$F$26*B920,1)))+SUMPRODUCT((OFFSET(Calc2!$G$4,,,$F$26*B920,1)=F929)*(OFFSET(Calc2!$H$4,,,$F$26*B920,1)&gt;OFFSET(Calc2!$I$4,,,$F$26*B920,1)))</f>
        <v>12</v>
      </c>
      <c r="O929" s="132">
        <f ca="1">SUMPRODUCT((F929=OFFSET(Calc2!$F$4,,,$F$26*B920,1))*OFFSET(Calc2!$O$4,,,$F$26*B920,1))+SUMPRODUCT((F929=OFFSET(Calc2!$G$4,,,$F$26*B920,1))*OFFSET(Calc2!$P$4,,,$F$26*B920,1))</f>
        <v>0</v>
      </c>
      <c r="P929" s="2"/>
      <c r="Q929" s="2"/>
      <c r="R929" s="13">
        <f t="shared" ca="1" si="171"/>
        <v>44499996061</v>
      </c>
      <c r="S929" s="134">
        <f>Tie_Break!$D$14</f>
        <v>0</v>
      </c>
      <c r="T929" s="9">
        <f ca="1">RANK(R929,R922:R941)+(9-S929)/10000+(F929="")*1000</f>
        <v>8.0008999999999997</v>
      </c>
      <c r="U929" s="134"/>
      <c r="V929" s="134">
        <f ca="1">IF($K$24=0,"",IF(VLOOKUP(B929,C922:E941,3,0)=MAX(V$4:V928),VLOOKUP(B929,C922:E941,3,0),B929))</f>
        <v>8</v>
      </c>
      <c r="W929" s="4" t="str">
        <f ca="1">IF($K$24=0,Calc2!$C$11,VLOOKUP(B929,C922:N941,4,0))</f>
        <v>Eintracht Frankfurt</v>
      </c>
      <c r="X929" s="1">
        <f ca="1">INDEX(V895:V914,MATCH(W929,W895:W914,0))</f>
        <v>8</v>
      </c>
      <c r="Y929" s="1">
        <f t="shared" ca="1" si="174"/>
        <v>0</v>
      </c>
    </row>
    <row r="930" spans="2:25" x14ac:dyDescent="0.2">
      <c r="B930" s="1">
        <v>9</v>
      </c>
      <c r="C930" s="9">
        <f ca="1">RANK(D930,D922:D941,1)</f>
        <v>9</v>
      </c>
      <c r="D930" s="134">
        <f t="shared" ca="1" si="172"/>
        <v>9.93</v>
      </c>
      <c r="E930" s="134">
        <f ca="1">RANK(T930,T922:T941,1)</f>
        <v>9</v>
      </c>
      <c r="F930" s="187" t="str">
        <f>Calc2!$C$12</f>
        <v>FC Augsburg</v>
      </c>
      <c r="G930" s="1">
        <f ca="1">SUMIFS(OFFSET(Calc2!$H$4,,,$F$26*B920,1),OFFSET(Calc2!$F$4,,,$F$26*B920,1),F930)+SUMIFS(OFFSET(Calc2!$I$4,,,$F$26*B920,1),OFFSET(Calc2!$G$4,,,$F$26*B920,1),F930)</f>
        <v>45</v>
      </c>
      <c r="H930" s="1">
        <f ca="1">SUMIFS(OFFSET(Calc2!$I$4,,,$F$26*B920,1),OFFSET(Calc2!$F$4,,,$F$26*B920,1),F930)+SUMIFS(OFFSET(Calc2!$H$4,,,$F$26*B920,1),OFFSET(Calc2!$G$4,,,$F$26*B920,1),F930)</f>
        <v>61</v>
      </c>
      <c r="I930" s="134">
        <f t="shared" ca="1" si="170"/>
        <v>-16</v>
      </c>
      <c r="J930" s="12">
        <f ca="1">L930*Settings!$C$3+M930+O930</f>
        <v>43</v>
      </c>
      <c r="K930" s="1">
        <f t="shared" ca="1" si="173"/>
        <v>34</v>
      </c>
      <c r="L930" s="1">
        <f t="array" aca="1" ref="L930" ca="1">SUMPRODUCT((OFFSET(Calc2!$F$4,,,$F$26*B920,1)=F930)*(OFFSET(Calc2!$H$4,,,$F$26*B920,1)&gt;OFFSET(Calc2!$I$4,,,$F$26*B920,1)))+SUMPRODUCT((OFFSET(Calc2!$G$4,,,$F$26*B920,1)=F930)*(OFFSET(Calc2!$H$4,,,$F$26*B920,1)&lt;OFFSET(Calc2!$I$4,,,$F$26*B920,1)))</f>
        <v>12</v>
      </c>
      <c r="M930" s="1">
        <f t="array" aca="1" ref="M930" ca="1">SUMPRODUCT((OFFSET(Calc2!$F$4,,,$F$26*B920,2)=F930)*(OFFSET(Calc2!$H$4,,,$F$26*B920,1)=OFFSET(Calc2!$I$4,,,$F$26*B920,1))*(OFFSET(Calc2!$H$4,,,$F$26*B920,1)&lt;&gt;"")*(OFFSET(Calc2!$I$4,,,$F$26*B920,1)&lt;&gt;""))</f>
        <v>7</v>
      </c>
      <c r="N930" s="1">
        <f t="array" aca="1" ref="N930" ca="1">SUMPRODUCT((OFFSET(Calc2!$F$4,,,$F$26*B920,1)=F930)*(OFFSET(Calc2!$H$4,,,$F$26*B920,1)&lt;OFFSET(Calc2!$I$4,,,$F$26*B920,1)))+SUMPRODUCT((OFFSET(Calc2!$G$4,,,$F$26*B920,1)=F930)*(OFFSET(Calc2!$H$4,,,$F$26*B920,1)&gt;OFFSET(Calc2!$I$4,,,$F$26*B920,1)))</f>
        <v>15</v>
      </c>
      <c r="O930" s="132">
        <f ca="1">SUMPRODUCT((F930=OFFSET(Calc2!$F$4,,,$F$26*B920,1))*OFFSET(Calc2!$O$4,,,$F$26*B920,1))+SUMPRODUCT((F930=OFFSET(Calc2!$G$4,,,$F$26*B920,1))*OFFSET(Calc2!$P$4,,,$F$26*B920,1))</f>
        <v>0</v>
      </c>
      <c r="P930" s="2"/>
      <c r="Q930" s="2"/>
      <c r="R930" s="13">
        <f t="shared" ca="1" si="171"/>
        <v>43499984045</v>
      </c>
      <c r="S930" s="134">
        <f>Tie_Break!$D$15</f>
        <v>0</v>
      </c>
      <c r="T930" s="9">
        <f ca="1">RANK(R930,R922:R941)+(9-S930)/10000+(F930="")*1000</f>
        <v>9.0008999999999997</v>
      </c>
      <c r="U930" s="134"/>
      <c r="V930" s="134">
        <f ca="1">IF($K$24=0,"",IF(VLOOKUP(B930,C922:E941,3,0)=MAX(V$4:V929),VLOOKUP(B930,C922:E941,3,0),B930))</f>
        <v>9</v>
      </c>
      <c r="W930" s="4" t="str">
        <f ca="1">IF($K$24=0,Calc2!$C$12,VLOOKUP(B930,C922:N941,4,0))</f>
        <v>FC Augsburg</v>
      </c>
      <c r="X930" s="1">
        <f ca="1">INDEX(V895:V914,MATCH(W930,W895:W914,0))</f>
        <v>9</v>
      </c>
      <c r="Y930" s="1">
        <f t="shared" ca="1" si="174"/>
        <v>0</v>
      </c>
    </row>
    <row r="931" spans="2:25" x14ac:dyDescent="0.2">
      <c r="B931" s="1">
        <v>10</v>
      </c>
      <c r="C931" s="9">
        <f ca="1">RANK(D931,D922:D941,1)</f>
        <v>1</v>
      </c>
      <c r="D931" s="134">
        <f t="shared" ca="1" si="172"/>
        <v>1.931</v>
      </c>
      <c r="E931" s="134">
        <f ca="1">RANK(T931,T922:T941,1)</f>
        <v>1</v>
      </c>
      <c r="F931" s="187" t="str">
        <f>Calc2!$C$13</f>
        <v>FC Bayern München</v>
      </c>
      <c r="G931" s="1">
        <f ca="1">SUMIFS(OFFSET(Calc2!$H$4,,,$F$26*B920,1),OFFSET(Calc2!$F$4,,,$F$26*B920,1),F931)+SUMIFS(OFFSET(Calc2!$I$4,,,$F$26*B920,1),OFFSET(Calc2!$G$4,,,$F$26*B920,1),F931)</f>
        <v>122</v>
      </c>
      <c r="H931" s="1">
        <f ca="1">SUMIFS(OFFSET(Calc2!$I$4,,,$F$26*B920,1),OFFSET(Calc2!$F$4,,,$F$26*B920,1),F931)+SUMIFS(OFFSET(Calc2!$H$4,,,$F$26*B920,1),OFFSET(Calc2!$G$4,,,$F$26*B920,1),F931)</f>
        <v>36</v>
      </c>
      <c r="I931" s="134">
        <f t="shared" ca="1" si="170"/>
        <v>86</v>
      </c>
      <c r="J931" s="12">
        <f ca="1">L931*Settings!$C$3+M931+O931</f>
        <v>89</v>
      </c>
      <c r="K931" s="1">
        <f t="shared" ca="1" si="173"/>
        <v>34</v>
      </c>
      <c r="L931" s="1">
        <f t="array" aca="1" ref="L931" ca="1">SUMPRODUCT((OFFSET(Calc2!$F$4,,,$F$26*B920,1)=F931)*(OFFSET(Calc2!$H$4,,,$F$26*B920,1)&gt;OFFSET(Calc2!$I$4,,,$F$26*B920,1)))+SUMPRODUCT((OFFSET(Calc2!$G$4,,,$F$26*B920,1)=F931)*(OFFSET(Calc2!$H$4,,,$F$26*B920,1)&lt;OFFSET(Calc2!$I$4,,,$F$26*B920,1)))</f>
        <v>28</v>
      </c>
      <c r="M931" s="1">
        <f t="array" aca="1" ref="M931" ca="1">SUMPRODUCT((OFFSET(Calc2!$F$4,,,$F$26*B920,2)=F931)*(OFFSET(Calc2!$H$4,,,$F$26*B920,1)=OFFSET(Calc2!$I$4,,,$F$26*B920,1))*(OFFSET(Calc2!$H$4,,,$F$26*B920,1)&lt;&gt;"")*(OFFSET(Calc2!$I$4,,,$F$26*B920,1)&lt;&gt;""))</f>
        <v>5</v>
      </c>
      <c r="N931" s="1">
        <f t="array" aca="1" ref="N931" ca="1">SUMPRODUCT((OFFSET(Calc2!$F$4,,,$F$26*B920,1)=F931)*(OFFSET(Calc2!$H$4,,,$F$26*B920,1)&lt;OFFSET(Calc2!$I$4,,,$F$26*B920,1)))+SUMPRODUCT((OFFSET(Calc2!$G$4,,,$F$26*B920,1)=F931)*(OFFSET(Calc2!$H$4,,,$F$26*B920,1)&gt;OFFSET(Calc2!$I$4,,,$F$26*B920,1)))</f>
        <v>1</v>
      </c>
      <c r="O931" s="132">
        <f ca="1">SUMPRODUCT((F931=OFFSET(Calc2!$F$4,,,$F$26*B920,1))*OFFSET(Calc2!$O$4,,,$F$26*B920,1))+SUMPRODUCT((F931=OFFSET(Calc2!$G$4,,,$F$26*B920,1))*OFFSET(Calc2!$P$4,,,$F$26*B920,1))</f>
        <v>0</v>
      </c>
      <c r="P931" s="2"/>
      <c r="Q931" s="2"/>
      <c r="R931" s="13">
        <f t="shared" ca="1" si="171"/>
        <v>89500086122</v>
      </c>
      <c r="S931" s="134">
        <f>Tie_Break!$D$16</f>
        <v>0</v>
      </c>
      <c r="T931" s="9">
        <f ca="1">RANK(R931,R922:R941)+(9-S931)/10000+(F931="")*1000</f>
        <v>1.0008999999999999</v>
      </c>
      <c r="U931" s="2"/>
      <c r="V931" s="134">
        <f ca="1">IF($K$24=0,"",IF(VLOOKUP(B931,C922:E941,3,0)=MAX(V$4:V930),VLOOKUP(B931,C922:E941,3,0),B931))</f>
        <v>10</v>
      </c>
      <c r="W931" s="4" t="str">
        <f ca="1">IF($K$24=0,Calc2!$C$13,VLOOKUP(B931,C922:N941,4,0))</f>
        <v>1. FSV Mainz 05</v>
      </c>
      <c r="X931" s="1">
        <f ca="1">INDEX(V895:V914,MATCH(W931,W895:W914,0))</f>
        <v>10</v>
      </c>
      <c r="Y931" s="1">
        <f t="shared" ca="1" si="174"/>
        <v>0</v>
      </c>
    </row>
    <row r="932" spans="2:25" x14ac:dyDescent="0.2">
      <c r="B932" s="1">
        <v>11</v>
      </c>
      <c r="C932" s="9">
        <f ca="1">RANK(D932,D922:D941,1)</f>
        <v>18</v>
      </c>
      <c r="D932" s="134">
        <f t="shared" ca="1" si="172"/>
        <v>18.931999999999999</v>
      </c>
      <c r="E932" s="134">
        <f ca="1">RANK(T932,T922:T941,1)</f>
        <v>18</v>
      </c>
      <c r="F932" s="187" t="str">
        <f>Calc2!$C$14</f>
        <v>FC St. Pauli</v>
      </c>
      <c r="G932" s="1">
        <f ca="1">SUMIFS(OFFSET(Calc2!$H$4,,,$F$26*B920,1),OFFSET(Calc2!$F$4,,,$F$26*B920,1),F932)+SUMIFS(OFFSET(Calc2!$I$4,,,$F$26*B920,1),OFFSET(Calc2!$G$4,,,$F$26*B920,1),F932)</f>
        <v>29</v>
      </c>
      <c r="H932" s="1">
        <f ca="1">SUMIFS(OFFSET(Calc2!$I$4,,,$F$26*B920,1),OFFSET(Calc2!$F$4,,,$F$26*B920,1),F932)+SUMIFS(OFFSET(Calc2!$H$4,,,$F$26*B920,1),OFFSET(Calc2!$G$4,,,$F$26*B920,1),F932)</f>
        <v>60</v>
      </c>
      <c r="I932" s="134">
        <f t="shared" ca="1" si="170"/>
        <v>-31</v>
      </c>
      <c r="J932" s="12">
        <f ca="1">L932*Settings!$C$3+M932+O932</f>
        <v>26</v>
      </c>
      <c r="K932" s="1">
        <f t="shared" ca="1" si="173"/>
        <v>34</v>
      </c>
      <c r="L932" s="1">
        <f t="array" aca="1" ref="L932" ca="1">SUMPRODUCT((OFFSET(Calc2!$F$4,,,$F$26*B920,1)=F932)*(OFFSET(Calc2!$H$4,,,$F$26*B920,1)&gt;OFFSET(Calc2!$I$4,,,$F$26*B920,1)))+SUMPRODUCT((OFFSET(Calc2!$G$4,,,$F$26*B920,1)=F932)*(OFFSET(Calc2!$H$4,,,$F$26*B920,1)&lt;OFFSET(Calc2!$I$4,,,$F$26*B920,1)))</f>
        <v>6</v>
      </c>
      <c r="M932" s="1">
        <f t="array" aca="1" ref="M932" ca="1">SUMPRODUCT((OFFSET(Calc2!$F$4,,,$F$26*B920,2)=F932)*(OFFSET(Calc2!$H$4,,,$F$26*B920,1)=OFFSET(Calc2!$I$4,,,$F$26*B920,1))*(OFFSET(Calc2!$H$4,,,$F$26*B920,1)&lt;&gt;"")*(OFFSET(Calc2!$I$4,,,$F$26*B920,1)&lt;&gt;""))</f>
        <v>8</v>
      </c>
      <c r="N932" s="1">
        <f t="array" aca="1" ref="N932" ca="1">SUMPRODUCT((OFFSET(Calc2!$F$4,,,$F$26*B920,1)=F932)*(OFFSET(Calc2!$H$4,,,$F$26*B920,1)&lt;OFFSET(Calc2!$I$4,,,$F$26*B920,1)))+SUMPRODUCT((OFFSET(Calc2!$G$4,,,$F$26*B920,1)=F932)*(OFFSET(Calc2!$H$4,,,$F$26*B920,1)&gt;OFFSET(Calc2!$I$4,,,$F$26*B920,1)))</f>
        <v>20</v>
      </c>
      <c r="O932" s="132">
        <f ca="1">SUMPRODUCT((F932=OFFSET(Calc2!$F$4,,,$F$26*B920,1))*OFFSET(Calc2!$O$4,,,$F$26*B920,1))+SUMPRODUCT((F932=OFFSET(Calc2!$G$4,,,$F$26*B920,1))*OFFSET(Calc2!$P$4,,,$F$26*B920,1))</f>
        <v>0</v>
      </c>
      <c r="P932" s="2"/>
      <c r="Q932" s="2"/>
      <c r="R932" s="13">
        <f t="shared" ca="1" si="171"/>
        <v>26499969029</v>
      </c>
      <c r="S932" s="134">
        <f>Tie_Break!$D$17</f>
        <v>0</v>
      </c>
      <c r="T932" s="9">
        <f ca="1">RANK(R932,R922:R941)+(9-S932)/10000+(F932="")*1000</f>
        <v>18.000900000000001</v>
      </c>
      <c r="U932" s="2"/>
      <c r="V932" s="134">
        <f ca="1">IF($K$24=0,"",IF(VLOOKUP(B932,C922:E941,3,0)=MAX(V$4:V931),VLOOKUP(B932,C922:E941,3,0),B932))</f>
        <v>11</v>
      </c>
      <c r="W932" s="4" t="str">
        <f ca="1">IF($K$24=0,Calc2!$C$14,VLOOKUP(B932,C922:N941,4,0))</f>
        <v>1. FC Union Berlin</v>
      </c>
      <c r="X932" s="1">
        <f ca="1">INDEX(V895:V914,MATCH(W932,W895:W914,0))</f>
        <v>11</v>
      </c>
      <c r="Y932" s="1">
        <f t="shared" ca="1" si="174"/>
        <v>0</v>
      </c>
    </row>
    <row r="933" spans="2:25" x14ac:dyDescent="0.2">
      <c r="B933" s="1">
        <v>12</v>
      </c>
      <c r="C933" s="9">
        <f ca="1">RANK(D933,D922:D941,1)</f>
        <v>13</v>
      </c>
      <c r="D933" s="134">
        <f t="shared" ca="1" si="172"/>
        <v>13.933</v>
      </c>
      <c r="E933" s="134">
        <f ca="1">RANK(T933,T922:T941,1)</f>
        <v>13</v>
      </c>
      <c r="F933" s="187" t="str">
        <f>Calc2!$C$15</f>
        <v>Hamburger SV</v>
      </c>
      <c r="G933" s="1">
        <f ca="1">SUMIFS(OFFSET(Calc2!$H$4,,,$F$26*B920,1),OFFSET(Calc2!$F$4,,,$F$26*B920,1),F933)+SUMIFS(OFFSET(Calc2!$I$4,,,$F$26*B920,1),OFFSET(Calc2!$G$4,,,$F$26*B920,1),F933)</f>
        <v>40</v>
      </c>
      <c r="H933" s="1">
        <f ca="1">SUMIFS(OFFSET(Calc2!$I$4,,,$F$26*B920,1),OFFSET(Calc2!$F$4,,,$F$26*B920,1),F933)+SUMIFS(OFFSET(Calc2!$H$4,,,$F$26*B920,1),OFFSET(Calc2!$G$4,,,$F$26*B920,1),F933)</f>
        <v>54</v>
      </c>
      <c r="I933" s="134">
        <f t="shared" ca="1" si="170"/>
        <v>-14</v>
      </c>
      <c r="J933" s="12">
        <f ca="1">L933*Settings!$C$3+M933+O933</f>
        <v>38</v>
      </c>
      <c r="K933" s="1">
        <f t="shared" ca="1" si="173"/>
        <v>34</v>
      </c>
      <c r="L933" s="1">
        <f t="array" aca="1" ref="L933" ca="1">SUMPRODUCT((OFFSET(Calc2!$F$4,,,$F$26*B920,1)=F933)*(OFFSET(Calc2!$H$4,,,$F$26*B920,1)&gt;OFFSET(Calc2!$I$4,,,$F$26*B920,1)))+SUMPRODUCT((OFFSET(Calc2!$G$4,,,$F$26*B920,1)=F933)*(OFFSET(Calc2!$H$4,,,$F$26*B920,1)&lt;OFFSET(Calc2!$I$4,,,$F$26*B920,1)))</f>
        <v>9</v>
      </c>
      <c r="M933" s="1">
        <f t="array" aca="1" ref="M933" ca="1">SUMPRODUCT((OFFSET(Calc2!$F$4,,,$F$26*B920,2)=F933)*(OFFSET(Calc2!$H$4,,,$F$26*B920,1)=OFFSET(Calc2!$I$4,,,$F$26*B920,1))*(OFFSET(Calc2!$H$4,,,$F$26*B920,1)&lt;&gt;"")*(OFFSET(Calc2!$I$4,,,$F$26*B920,1)&lt;&gt;""))</f>
        <v>11</v>
      </c>
      <c r="N933" s="1">
        <f t="array" aca="1" ref="N933" ca="1">SUMPRODUCT((OFFSET(Calc2!$F$4,,,$F$26*B920,1)=F933)*(OFFSET(Calc2!$H$4,,,$F$26*B920,1)&lt;OFFSET(Calc2!$I$4,,,$F$26*B920,1)))+SUMPRODUCT((OFFSET(Calc2!$G$4,,,$F$26*B920,1)=F933)*(OFFSET(Calc2!$H$4,,,$F$26*B920,1)&gt;OFFSET(Calc2!$I$4,,,$F$26*B920,1)))</f>
        <v>14</v>
      </c>
      <c r="O933" s="132">
        <f ca="1">SUMPRODUCT((F933=OFFSET(Calc2!$F$4,,,$F$26*B920,1))*OFFSET(Calc2!$O$4,,,$F$26*B920,1))+SUMPRODUCT((F933=OFFSET(Calc2!$G$4,,,$F$26*B920,1))*OFFSET(Calc2!$P$4,,,$F$26*B920,1))</f>
        <v>0</v>
      </c>
      <c r="P933" s="2"/>
      <c r="Q933" s="2"/>
      <c r="R933" s="13">
        <f t="shared" ca="1" si="171"/>
        <v>38499986040</v>
      </c>
      <c r="S933" s="134">
        <f>Tie_Break!$D$18</f>
        <v>0</v>
      </c>
      <c r="T933" s="9">
        <f ca="1">RANK(R933,R922:R941)+(9-S933)/10000+(F933="")*1000</f>
        <v>13.0009</v>
      </c>
      <c r="U933" s="2"/>
      <c r="V933" s="134">
        <f ca="1">IF($K$24=0,"",IF(VLOOKUP(B933,C922:E941,3,0)=MAX(V$4:V932),VLOOKUP(B933,C922:E941,3,0),B933))</f>
        <v>12</v>
      </c>
      <c r="W933" s="4" t="str">
        <f ca="1">IF($K$24=0,Calc2!$C$15,VLOOKUP(B933,C922:N941,4,0))</f>
        <v>Borussia Mönchengladbach</v>
      </c>
      <c r="X933" s="1">
        <f ca="1">INDEX(V895:V914,MATCH(W933,W895:W914,0))</f>
        <v>12</v>
      </c>
      <c r="Y933" s="1">
        <f t="shared" ca="1" si="174"/>
        <v>0</v>
      </c>
    </row>
    <row r="934" spans="2:25" x14ac:dyDescent="0.2">
      <c r="B934" s="1">
        <v>13</v>
      </c>
      <c r="C934" s="9">
        <f ca="1">RANK(D934,D922:D941,1)</f>
        <v>3</v>
      </c>
      <c r="D934" s="134">
        <f t="shared" ca="1" si="172"/>
        <v>3.9340000000000002</v>
      </c>
      <c r="E934" s="134">
        <f ca="1">RANK(T934,T922:T941,1)</f>
        <v>3</v>
      </c>
      <c r="F934" s="187" t="str">
        <f>Calc2!$C$16</f>
        <v>RB Leipzig</v>
      </c>
      <c r="G934" s="1">
        <f ca="1">SUMIFS(OFFSET(Calc2!$H$4,,,$F$26*B920,1),OFFSET(Calc2!$F$4,,,$F$26*B920,1),F934)+SUMIFS(OFFSET(Calc2!$I$4,,,$F$26*B920,1),OFFSET(Calc2!$G$4,,,$F$26*B920,1),F934)</f>
        <v>66</v>
      </c>
      <c r="H934" s="1">
        <f ca="1">SUMIFS(OFFSET(Calc2!$I$4,,,$F$26*B920,1),OFFSET(Calc2!$F$4,,,$F$26*B920,1),F934)+SUMIFS(OFFSET(Calc2!$H$4,,,$F$26*B920,1),OFFSET(Calc2!$G$4,,,$F$26*B920,1),F934)</f>
        <v>47</v>
      </c>
      <c r="I934" s="134">
        <f t="shared" ca="1" si="170"/>
        <v>19</v>
      </c>
      <c r="J934" s="12">
        <f ca="1">L934*Settings!$C$3+M934+O934</f>
        <v>65</v>
      </c>
      <c r="K934" s="1">
        <f t="shared" ca="1" si="173"/>
        <v>34</v>
      </c>
      <c r="L934" s="1">
        <f t="array" aca="1" ref="L934" ca="1">SUMPRODUCT((OFFSET(Calc2!$F$4,,,$F$26*B920,1)=F934)*(OFFSET(Calc2!$H$4,,,$F$26*B920,1)&gt;OFFSET(Calc2!$I$4,,,$F$26*B920,1)))+SUMPRODUCT((OFFSET(Calc2!$G$4,,,$F$26*B920,1)=F934)*(OFFSET(Calc2!$H$4,,,$F$26*B920,1)&lt;OFFSET(Calc2!$I$4,,,$F$26*B920,1)))</f>
        <v>20</v>
      </c>
      <c r="M934" s="1">
        <f t="array" aca="1" ref="M934" ca="1">SUMPRODUCT((OFFSET(Calc2!$F$4,,,$F$26*B920,2)=F934)*(OFFSET(Calc2!$H$4,,,$F$26*B920,1)=OFFSET(Calc2!$I$4,,,$F$26*B920,1))*(OFFSET(Calc2!$H$4,,,$F$26*B920,1)&lt;&gt;"")*(OFFSET(Calc2!$I$4,,,$F$26*B920,1)&lt;&gt;""))</f>
        <v>5</v>
      </c>
      <c r="N934" s="1">
        <f t="array" aca="1" ref="N934" ca="1">SUMPRODUCT((OFFSET(Calc2!$F$4,,,$F$26*B920,1)=F934)*(OFFSET(Calc2!$H$4,,,$F$26*B920,1)&lt;OFFSET(Calc2!$I$4,,,$F$26*B920,1)))+SUMPRODUCT((OFFSET(Calc2!$G$4,,,$F$26*B920,1)=F934)*(OFFSET(Calc2!$H$4,,,$F$26*B920,1)&gt;OFFSET(Calc2!$I$4,,,$F$26*B920,1)))</f>
        <v>9</v>
      </c>
      <c r="O934" s="132">
        <f ca="1">SUMPRODUCT((F934=OFFSET(Calc2!$F$4,,,$F$26*B920,1))*OFFSET(Calc2!$O$4,,,$F$26*B920,1))+SUMPRODUCT((F934=OFFSET(Calc2!$G$4,,,$F$26*B920,1))*OFFSET(Calc2!$P$4,,,$F$26*B920,1))</f>
        <v>0</v>
      </c>
      <c r="P934" s="2"/>
      <c r="Q934" s="2"/>
      <c r="R934" s="13">
        <f t="shared" ca="1" si="171"/>
        <v>65500019066</v>
      </c>
      <c r="S934" s="134">
        <f>Tie_Break!$D$19</f>
        <v>0</v>
      </c>
      <c r="T934" s="9">
        <f ca="1">RANK(R934,R922:R941)+(9-S934)/10000+(F934="")*1000</f>
        <v>3.0009000000000001</v>
      </c>
      <c r="U934" s="1"/>
      <c r="V934" s="134">
        <f ca="1">IF($K$24=0,"",IF(VLOOKUP(B934,C922:E941,3,0)=MAX(V$4:V933),VLOOKUP(B934,C922:E941,3,0),B934))</f>
        <v>13</v>
      </c>
      <c r="W934" s="4" t="str">
        <f ca="1">IF($K$24=0,Calc2!$C$16,VLOOKUP(B934,C922:N941,4,0))</f>
        <v>Hamburger SV</v>
      </c>
      <c r="X934" s="1">
        <f ca="1">INDEX(V895:V914,MATCH(W934,W895:W914,0))</f>
        <v>13</v>
      </c>
      <c r="Y934" s="1">
        <f t="shared" ca="1" si="174"/>
        <v>0</v>
      </c>
    </row>
    <row r="935" spans="2:25" x14ac:dyDescent="0.2">
      <c r="B935" s="1">
        <v>14</v>
      </c>
      <c r="C935" s="9">
        <f ca="1">RANK(D935,D922:D941,1)</f>
        <v>7</v>
      </c>
      <c r="D935" s="134">
        <f t="shared" ca="1" si="172"/>
        <v>7.9350000000000005</v>
      </c>
      <c r="E935" s="134">
        <f ca="1">RANK(T935,T922:T941,1)</f>
        <v>7</v>
      </c>
      <c r="F935" s="187" t="str">
        <f>Calc2!$C$17</f>
        <v>SC Freiburg</v>
      </c>
      <c r="G935" s="1">
        <f ca="1">SUMIFS(OFFSET(Calc2!$H$4,,,$F$26*B920,1),OFFSET(Calc2!$F$4,,,$F$26*B920,1),F935)+SUMIFS(OFFSET(Calc2!$I$4,,,$F$26*B920,1),OFFSET(Calc2!$G$4,,,$F$26*B920,1),F935)</f>
        <v>51</v>
      </c>
      <c r="H935" s="1">
        <f ca="1">SUMIFS(OFFSET(Calc2!$I$4,,,$F$26*B920,1),OFFSET(Calc2!$F$4,,,$F$26*B920,1),F935)+SUMIFS(OFFSET(Calc2!$H$4,,,$F$26*B920,1),OFFSET(Calc2!$G$4,,,$F$26*B920,1),F935)</f>
        <v>57</v>
      </c>
      <c r="I935" s="134">
        <f t="shared" ca="1" si="170"/>
        <v>-6</v>
      </c>
      <c r="J935" s="12">
        <f ca="1">L935*Settings!$C$3+M935+O935</f>
        <v>47</v>
      </c>
      <c r="K935" s="1">
        <f t="shared" ca="1" si="173"/>
        <v>34</v>
      </c>
      <c r="L935" s="1">
        <f t="array" aca="1" ref="L935" ca="1">SUMPRODUCT((OFFSET(Calc2!$F$4,,,$F$26*B920,1)=F935)*(OFFSET(Calc2!$H$4,,,$F$26*B920,1)&gt;OFFSET(Calc2!$I$4,,,$F$26*B920,1)))+SUMPRODUCT((OFFSET(Calc2!$G$4,,,$F$26*B920,1)=F935)*(OFFSET(Calc2!$H$4,,,$F$26*B920,1)&lt;OFFSET(Calc2!$I$4,,,$F$26*B920,1)))</f>
        <v>13</v>
      </c>
      <c r="M935" s="1">
        <f t="array" aca="1" ref="M935" ca="1">SUMPRODUCT((OFFSET(Calc2!$F$4,,,$F$26*B920,2)=F935)*(OFFSET(Calc2!$H$4,,,$F$26*B920,1)=OFFSET(Calc2!$I$4,,,$F$26*B920,1))*(OFFSET(Calc2!$H$4,,,$F$26*B920,1)&lt;&gt;"")*(OFFSET(Calc2!$I$4,,,$F$26*B920,1)&lt;&gt;""))</f>
        <v>8</v>
      </c>
      <c r="N935" s="1">
        <f t="array" aca="1" ref="N935" ca="1">SUMPRODUCT((OFFSET(Calc2!$F$4,,,$F$26*B920,1)=F935)*(OFFSET(Calc2!$H$4,,,$F$26*B920,1)&lt;OFFSET(Calc2!$I$4,,,$F$26*B920,1)))+SUMPRODUCT((OFFSET(Calc2!$G$4,,,$F$26*B920,1)=F935)*(OFFSET(Calc2!$H$4,,,$F$26*B920,1)&gt;OFFSET(Calc2!$I$4,,,$F$26*B920,1)))</f>
        <v>13</v>
      </c>
      <c r="O935" s="132">
        <f ca="1">SUMPRODUCT((F935=OFFSET(Calc2!$F$4,,,$F$26*B920,1))*OFFSET(Calc2!$O$4,,,$F$26*B920,1))+SUMPRODUCT((F935=OFFSET(Calc2!$G$4,,,$F$26*B920,1))*OFFSET(Calc2!$P$4,,,$F$26*B920,1))</f>
        <v>0</v>
      </c>
      <c r="P935" s="2"/>
      <c r="Q935" s="2"/>
      <c r="R935" s="13">
        <f t="shared" ca="1" si="171"/>
        <v>47499994051</v>
      </c>
      <c r="S935" s="134">
        <f>Tie_Break!$D$20</f>
        <v>0</v>
      </c>
      <c r="T935" s="9">
        <f ca="1">RANK(R935,R922:R941)+(9-S935)/10000+(F935="")*1000</f>
        <v>7.0008999999999997</v>
      </c>
      <c r="U935" s="2"/>
      <c r="V935" s="134">
        <f ca="1">IF($K$24=0,"",IF(VLOOKUP(B935,C922:E941,3,0)=MAX(V$4:V934),VLOOKUP(B935,C922:E941,3,0),B935))</f>
        <v>14</v>
      </c>
      <c r="W935" s="4" t="str">
        <f ca="1">IF($K$24=0,Calc2!$C$17,VLOOKUP(B935,C922:N941,4,0))</f>
        <v>1. FC Köln</v>
      </c>
      <c r="X935" s="1">
        <f ca="1">INDEX(V895:V914,MATCH(W935,W895:W914,0))</f>
        <v>14</v>
      </c>
      <c r="Y935" s="1">
        <f t="shared" ca="1" si="174"/>
        <v>0</v>
      </c>
    </row>
    <row r="936" spans="2:25" x14ac:dyDescent="0.2">
      <c r="B936" s="1">
        <v>15</v>
      </c>
      <c r="C936" s="9">
        <f ca="1">RANK(D936,D922:D941,1)</f>
        <v>15</v>
      </c>
      <c r="D936" s="134">
        <f t="shared" ca="1" si="172"/>
        <v>15.936</v>
      </c>
      <c r="E936" s="134">
        <f ca="1">RANK(T936,T922:T941,1)</f>
        <v>15</v>
      </c>
      <c r="F936" s="187" t="str">
        <f>Calc2!$C$18</f>
        <v>SV Werder Bremen</v>
      </c>
      <c r="G936" s="1">
        <f ca="1">SUMIFS(OFFSET(Calc2!$H$4,,,$F$26*B920,1),OFFSET(Calc2!$F$4,,,$F$26*B920,1),F936)+SUMIFS(OFFSET(Calc2!$I$4,,,$F$26*B920,1),OFFSET(Calc2!$G$4,,,$F$26*B920,1),F936)</f>
        <v>37</v>
      </c>
      <c r="H936" s="1">
        <f ca="1">SUMIFS(OFFSET(Calc2!$I$4,,,$F$26*B920,1),OFFSET(Calc2!$F$4,,,$F$26*B920,1),F936)+SUMIFS(OFFSET(Calc2!$H$4,,,$F$26*B920,1),OFFSET(Calc2!$G$4,,,$F$26*B920,1),F936)</f>
        <v>60</v>
      </c>
      <c r="I936" s="134">
        <f t="shared" ca="1" si="170"/>
        <v>-23</v>
      </c>
      <c r="J936" s="12">
        <f ca="1">L936*Settings!$C$3+M936+O936</f>
        <v>32</v>
      </c>
      <c r="K936" s="1">
        <f t="shared" ca="1" si="173"/>
        <v>34</v>
      </c>
      <c r="L936" s="1">
        <f t="array" aca="1" ref="L936" ca="1">SUMPRODUCT((OFFSET(Calc2!$F$4,,,$F$26*B920,1)=F936)*(OFFSET(Calc2!$H$4,,,$F$26*B920,1)&gt;OFFSET(Calc2!$I$4,,,$F$26*B920,1)))+SUMPRODUCT((OFFSET(Calc2!$G$4,,,$F$26*B920,1)=F936)*(OFFSET(Calc2!$H$4,,,$F$26*B920,1)&lt;OFFSET(Calc2!$I$4,,,$F$26*B920,1)))</f>
        <v>8</v>
      </c>
      <c r="M936" s="1">
        <f t="array" aca="1" ref="M936" ca="1">SUMPRODUCT((OFFSET(Calc2!$F$4,,,$F$26*B920,2)=F936)*(OFFSET(Calc2!$H$4,,,$F$26*B920,1)=OFFSET(Calc2!$I$4,,,$F$26*B920,1))*(OFFSET(Calc2!$H$4,,,$F$26*B920,1)&lt;&gt;"")*(OFFSET(Calc2!$I$4,,,$F$26*B920,1)&lt;&gt;""))</f>
        <v>8</v>
      </c>
      <c r="N936" s="1">
        <f t="array" aca="1" ref="N936" ca="1">SUMPRODUCT((OFFSET(Calc2!$F$4,,,$F$26*B920,1)=F936)*(OFFSET(Calc2!$H$4,,,$F$26*B920,1)&lt;OFFSET(Calc2!$I$4,,,$F$26*B920,1)))+SUMPRODUCT((OFFSET(Calc2!$G$4,,,$F$26*B920,1)=F936)*(OFFSET(Calc2!$H$4,,,$F$26*B920,1)&gt;OFFSET(Calc2!$I$4,,,$F$26*B920,1)))</f>
        <v>18</v>
      </c>
      <c r="O936" s="132">
        <f ca="1">SUMPRODUCT((F936=OFFSET(Calc2!$F$4,,,$F$26*B920,1))*OFFSET(Calc2!$O$4,,,$F$26*B920,1))+SUMPRODUCT((F936=OFFSET(Calc2!$G$4,,,$F$26*B920,1))*OFFSET(Calc2!$P$4,,,$F$26*B920,1))</f>
        <v>0</v>
      </c>
      <c r="P936" s="2"/>
      <c r="Q936" s="2"/>
      <c r="R936" s="13">
        <f t="shared" ca="1" si="171"/>
        <v>32499977037</v>
      </c>
      <c r="S936" s="134">
        <f>Tie_Break!$D$21</f>
        <v>0</v>
      </c>
      <c r="T936" s="9">
        <f ca="1">RANK(R936,R922:R941)+(9-S936)/10000+(F936="")*1000</f>
        <v>15.0009</v>
      </c>
      <c r="U936" s="2"/>
      <c r="V936" s="134">
        <f ca="1">IF($K$24=0,"",IF(VLOOKUP(B936,C922:E941,3,0)=MAX(V$4:V935),VLOOKUP(B936,C922:E941,3,0),B936))</f>
        <v>15</v>
      </c>
      <c r="W936" s="4" t="str">
        <f ca="1">IF($K$24=0,Calc2!$C$18,VLOOKUP(B936,C922:N941,4,0))</f>
        <v>SV Werder Bremen</v>
      </c>
      <c r="X936" s="1">
        <f ca="1">INDEX(V895:V914,MATCH(W936,W895:W914,0))</f>
        <v>15</v>
      </c>
      <c r="Y936" s="1">
        <f t="shared" ca="1" si="174"/>
        <v>0</v>
      </c>
    </row>
    <row r="937" spans="2:25" x14ac:dyDescent="0.2">
      <c r="B937" s="1">
        <v>16</v>
      </c>
      <c r="C937" s="9">
        <f ca="1">RANK(D937,D922:D941,1)</f>
        <v>5</v>
      </c>
      <c r="D937" s="134">
        <f t="shared" ca="1" si="172"/>
        <v>5.9370000000000003</v>
      </c>
      <c r="E937" s="134">
        <f ca="1">RANK(T937,T922:T941,1)</f>
        <v>5</v>
      </c>
      <c r="F937" s="187" t="str">
        <f>Calc2!$C$19</f>
        <v>TSG Hoffenheim</v>
      </c>
      <c r="G937" s="1">
        <f ca="1">SUMIFS(OFFSET(Calc2!$H$4,,,$F$26*B920,1),OFFSET(Calc2!$F$4,,,$F$26*B920,1),F937)+SUMIFS(OFFSET(Calc2!$I$4,,,$F$26*B920,1),OFFSET(Calc2!$G$4,,,$F$26*B920,1),F937)</f>
        <v>65</v>
      </c>
      <c r="H937" s="1">
        <f ca="1">SUMIFS(OFFSET(Calc2!$I$4,,,$F$26*B920,1),OFFSET(Calc2!$F$4,,,$F$26*B920,1),F937)+SUMIFS(OFFSET(Calc2!$H$4,,,$F$26*B920,1),OFFSET(Calc2!$G$4,,,$F$26*B920,1),F937)</f>
        <v>52</v>
      </c>
      <c r="I937" s="134">
        <f t="shared" ca="1" si="170"/>
        <v>13</v>
      </c>
      <c r="J937" s="12">
        <f ca="1">L937*Settings!$C$3+M937+O937</f>
        <v>61</v>
      </c>
      <c r="K937" s="1">
        <f t="shared" ca="1" si="173"/>
        <v>34</v>
      </c>
      <c r="L937" s="1">
        <f t="array" aca="1" ref="L937" ca="1">SUMPRODUCT((OFFSET(Calc2!$F$4,,,$F$26*B920,1)=F937)*(OFFSET(Calc2!$H$4,,,$F$26*B920,1)&gt;OFFSET(Calc2!$I$4,,,$F$26*B920,1)))+SUMPRODUCT((OFFSET(Calc2!$G$4,,,$F$26*B920,1)=F937)*(OFFSET(Calc2!$H$4,,,$F$26*B920,1)&lt;OFFSET(Calc2!$I$4,,,$F$26*B920,1)))</f>
        <v>18</v>
      </c>
      <c r="M937" s="1">
        <f t="array" aca="1" ref="M937" ca="1">SUMPRODUCT((OFFSET(Calc2!$F$4,,,$F$26*B920,2)=F937)*(OFFSET(Calc2!$H$4,,,$F$26*B920,1)=OFFSET(Calc2!$I$4,,,$F$26*B920,1))*(OFFSET(Calc2!$H$4,,,$F$26*B920,1)&lt;&gt;"")*(OFFSET(Calc2!$I$4,,,$F$26*B920,1)&lt;&gt;""))</f>
        <v>7</v>
      </c>
      <c r="N937" s="1">
        <f t="array" aca="1" ref="N937" ca="1">SUMPRODUCT((OFFSET(Calc2!$F$4,,,$F$26*B920,1)=F937)*(OFFSET(Calc2!$H$4,,,$F$26*B920,1)&lt;OFFSET(Calc2!$I$4,,,$F$26*B920,1)))+SUMPRODUCT((OFFSET(Calc2!$G$4,,,$F$26*B920,1)=F937)*(OFFSET(Calc2!$H$4,,,$F$26*B920,1)&gt;OFFSET(Calc2!$I$4,,,$F$26*B920,1)))</f>
        <v>9</v>
      </c>
      <c r="O937" s="132">
        <f ca="1">SUMPRODUCT((F937=OFFSET(Calc2!$F$4,,,$F$26*B920,1))*OFFSET(Calc2!$O$4,,,$F$26*B920,1))+SUMPRODUCT((F937=OFFSET(Calc2!$G$4,,,$F$26*B920,1))*OFFSET(Calc2!$P$4,,,$F$26*B920,1))</f>
        <v>0</v>
      </c>
      <c r="P937" s="2"/>
      <c r="Q937" s="2"/>
      <c r="R937" s="13">
        <f t="shared" ca="1" si="171"/>
        <v>61500013065</v>
      </c>
      <c r="S937" s="134">
        <f>Tie_Break!$D$22</f>
        <v>0</v>
      </c>
      <c r="T937" s="9">
        <f ca="1">RANK(R937,R922:R941)+(9-S937)/10000+(F937="")*1000</f>
        <v>5.0008999999999997</v>
      </c>
      <c r="U937" s="2"/>
      <c r="V937" s="134">
        <f ca="1">IF($K$24=0,"",IF(VLOOKUP(B937,C922:E941,3,0)=MAX(V$4:V936),VLOOKUP(B937,C922:E941,3,0),B937))</f>
        <v>16</v>
      </c>
      <c r="W937" s="4" t="str">
        <f ca="1">IF($K$24=0,Calc2!$C$19,VLOOKUP(B937,C922:N941,4,0))</f>
        <v>VfL Wolfsburg</v>
      </c>
      <c r="X937" s="1">
        <f ca="1">INDEX(V895:V914,MATCH(W937,W895:W914,0))</f>
        <v>16</v>
      </c>
      <c r="Y937" s="1">
        <f t="shared" ca="1" si="174"/>
        <v>0</v>
      </c>
    </row>
    <row r="938" spans="2:25" x14ac:dyDescent="0.2">
      <c r="B938" s="1">
        <v>17</v>
      </c>
      <c r="C938" s="9">
        <f ca="1">RANK(D938,D922:D941,1)</f>
        <v>4</v>
      </c>
      <c r="D938" s="134">
        <f t="shared" ca="1" si="172"/>
        <v>4.9379999999999997</v>
      </c>
      <c r="E938" s="134">
        <f ca="1">RANK(T938,T922:T941,1)</f>
        <v>4</v>
      </c>
      <c r="F938" s="187" t="str">
        <f>Calc2!$C$20</f>
        <v>VfB Stuttgart</v>
      </c>
      <c r="G938" s="1">
        <f ca="1">SUMIFS(OFFSET(Calc2!$H$4,,,$F$26*B920,1),OFFSET(Calc2!$F$4,,,$F$26*B920,1),F938)+SUMIFS(OFFSET(Calc2!$I$4,,,$F$26*B920,1),OFFSET(Calc2!$G$4,,,$F$26*B920,1),F938)</f>
        <v>71</v>
      </c>
      <c r="H938" s="1">
        <f ca="1">SUMIFS(OFFSET(Calc2!$I$4,,,$F$26*B920,1),OFFSET(Calc2!$F$4,,,$F$26*B920,1),F938)+SUMIFS(OFFSET(Calc2!$H$4,,,$F$26*B920,1),OFFSET(Calc2!$G$4,,,$F$26*B920,1),F938)</f>
        <v>49</v>
      </c>
      <c r="I938" s="134">
        <f t="shared" ca="1" si="170"/>
        <v>22</v>
      </c>
      <c r="J938" s="12">
        <f ca="1">L938*Settings!$C$3+M938+O938</f>
        <v>62</v>
      </c>
      <c r="K938" s="1">
        <f t="shared" ca="1" si="173"/>
        <v>34</v>
      </c>
      <c r="L938" s="1">
        <f t="array" aca="1" ref="L938" ca="1">SUMPRODUCT((OFFSET(Calc2!$F$4,,,$F$26*B920,1)=F938)*(OFFSET(Calc2!$H$4,,,$F$26*B920,1)&gt;OFFSET(Calc2!$I$4,,,$F$26*B920,1)))+SUMPRODUCT((OFFSET(Calc2!$G$4,,,$F$26*B920,1)=F938)*(OFFSET(Calc2!$H$4,,,$F$26*B920,1)&lt;OFFSET(Calc2!$I$4,,,$F$26*B920,1)))</f>
        <v>18</v>
      </c>
      <c r="M938" s="1">
        <f t="array" aca="1" ref="M938" ca="1">SUMPRODUCT((OFFSET(Calc2!$F$4,,,$F$26*B920,2)=F938)*(OFFSET(Calc2!$H$4,,,$F$26*B920,1)=OFFSET(Calc2!$I$4,,,$F$26*B920,1))*(OFFSET(Calc2!$H$4,,,$F$26*B920,1)&lt;&gt;"")*(OFFSET(Calc2!$I$4,,,$F$26*B920,1)&lt;&gt;""))</f>
        <v>8</v>
      </c>
      <c r="N938" s="1">
        <f t="array" aca="1" ref="N938" ca="1">SUMPRODUCT((OFFSET(Calc2!$F$4,,,$F$26*B920,1)=F938)*(OFFSET(Calc2!$H$4,,,$F$26*B920,1)&lt;OFFSET(Calc2!$I$4,,,$F$26*B920,1)))+SUMPRODUCT((OFFSET(Calc2!$G$4,,,$F$26*B920,1)=F938)*(OFFSET(Calc2!$H$4,,,$F$26*B920,1)&gt;OFFSET(Calc2!$I$4,,,$F$26*B920,1)))</f>
        <v>8</v>
      </c>
      <c r="O938" s="132">
        <f ca="1">SUMPRODUCT((F938=OFFSET(Calc2!$F$4,,,$F$26*B920,1))*OFFSET(Calc2!$O$4,,,$F$26*B920,1))+SUMPRODUCT((F938=OFFSET(Calc2!$G$4,,,$F$26*B920,1))*OFFSET(Calc2!$P$4,,,$F$26*B920,1))</f>
        <v>0</v>
      </c>
      <c r="P938" s="2"/>
      <c r="Q938" s="2"/>
      <c r="R938" s="13">
        <f t="shared" ca="1" si="171"/>
        <v>62500022071</v>
      </c>
      <c r="S938" s="134">
        <f>Tie_Break!$D$23</f>
        <v>0</v>
      </c>
      <c r="T938" s="9">
        <f ca="1">RANK(R938,R922:R941)+(9-S938)/10000+(F938="")*1000</f>
        <v>4.0008999999999997</v>
      </c>
      <c r="U938" s="2"/>
      <c r="V938" s="134">
        <f ca="1">IF($K$24=0,"",IF(VLOOKUP(B938,C922:E941,3,0)=MAX(V$4:V937),VLOOKUP(B938,C922:E941,3,0),B938))</f>
        <v>17</v>
      </c>
      <c r="W938" s="4" t="str">
        <f ca="1">IF($K$24=0,Calc2!$C$20,VLOOKUP(B938,C922:N941,4,0))</f>
        <v>1. FC Heidenheim 1846</v>
      </c>
      <c r="X938" s="1">
        <f ca="1">INDEX(V895:V914,MATCH(W938,W895:W914,0))</f>
        <v>17</v>
      </c>
      <c r="Y938" s="1">
        <f t="shared" ca="1" si="174"/>
        <v>0</v>
      </c>
    </row>
    <row r="939" spans="2:25" x14ac:dyDescent="0.2">
      <c r="B939" s="1">
        <v>18</v>
      </c>
      <c r="C939" s="9">
        <f ca="1">RANK(D939,D922:D941,1)</f>
        <v>16</v>
      </c>
      <c r="D939" s="134">
        <f t="shared" ca="1" si="172"/>
        <v>16.939</v>
      </c>
      <c r="E939" s="134">
        <f ca="1">RANK(T939,T922:T941,1)</f>
        <v>16</v>
      </c>
      <c r="F939" s="187" t="str">
        <f>Calc2!$C$21</f>
        <v>VfL Wolfsburg</v>
      </c>
      <c r="G939" s="1">
        <f ca="1">SUMIFS(OFFSET(Calc2!$H$4,,,$F$26*B920,1),OFFSET(Calc2!$F$4,,,$F$26*B920,1),F939)+SUMIFS(OFFSET(Calc2!$I$4,,,$F$26*B920,1),OFFSET(Calc2!$G$4,,,$F$26*B920,1),F939)</f>
        <v>45</v>
      </c>
      <c r="H939" s="1">
        <f ca="1">SUMIFS(OFFSET(Calc2!$I$4,,,$F$26*B920,1),OFFSET(Calc2!$F$4,,,$F$26*B920,1),F939)+SUMIFS(OFFSET(Calc2!$H$4,,,$F$26*B920,1),OFFSET(Calc2!$G$4,,,$F$26*B920,1),F939)</f>
        <v>69</v>
      </c>
      <c r="I939" s="134">
        <f t="shared" ca="1" si="170"/>
        <v>-24</v>
      </c>
      <c r="J939" s="12">
        <f ca="1">L939*Settings!$C$3+M939+O939</f>
        <v>29</v>
      </c>
      <c r="K939" s="1">
        <f t="shared" ca="1" si="173"/>
        <v>34</v>
      </c>
      <c r="L939" s="1">
        <f t="array" aca="1" ref="L939" ca="1">SUMPRODUCT((OFFSET(Calc2!$F$4,,,$F$26*B920,1)=F939)*(OFFSET(Calc2!$H$4,,,$F$26*B920,1)&gt;OFFSET(Calc2!$I$4,,,$F$26*B920,1)))+SUMPRODUCT((OFFSET(Calc2!$G$4,,,$F$26*B920,1)=F939)*(OFFSET(Calc2!$H$4,,,$F$26*B920,1)&lt;OFFSET(Calc2!$I$4,,,$F$26*B920,1)))</f>
        <v>7</v>
      </c>
      <c r="M939" s="1">
        <f t="array" aca="1" ref="M939" ca="1">SUMPRODUCT((OFFSET(Calc2!$F$4,,,$F$26*B920,2)=F939)*(OFFSET(Calc2!$H$4,,,$F$26*B920,1)=OFFSET(Calc2!$I$4,,,$F$26*B920,1))*(OFFSET(Calc2!$H$4,,,$F$26*B920,1)&lt;&gt;"")*(OFFSET(Calc2!$I$4,,,$F$26*B920,1)&lt;&gt;""))</f>
        <v>8</v>
      </c>
      <c r="N939" s="1">
        <f t="array" aca="1" ref="N939" ca="1">SUMPRODUCT((OFFSET(Calc2!$F$4,,,$F$26*B920,1)=F939)*(OFFSET(Calc2!$H$4,,,$F$26*B920,1)&lt;OFFSET(Calc2!$I$4,,,$F$26*B920,1)))+SUMPRODUCT((OFFSET(Calc2!$G$4,,,$F$26*B920,1)=F939)*(OFFSET(Calc2!$H$4,,,$F$26*B920,1)&gt;OFFSET(Calc2!$I$4,,,$F$26*B920,1)))</f>
        <v>19</v>
      </c>
      <c r="O939" s="132">
        <f ca="1">SUMPRODUCT((F939=OFFSET(Calc2!$F$4,,,$F$26*B920,1))*OFFSET(Calc2!$O$4,,,$F$26*B920,1))+SUMPRODUCT((F939=OFFSET(Calc2!$G$4,,,$F$26*B920,1))*OFFSET(Calc2!$P$4,,,$F$26*B920,1))</f>
        <v>0</v>
      </c>
      <c r="P939" s="2"/>
      <c r="Q939" s="2"/>
      <c r="R939" s="13">
        <f t="shared" ca="1" si="171"/>
        <v>29499976045</v>
      </c>
      <c r="S939" s="134">
        <f>Tie_Break!$D$24</f>
        <v>0</v>
      </c>
      <c r="T939" s="9">
        <f ca="1">RANK(R939,R922:R941)+(9-S939)/10000+(F939="")*1000</f>
        <v>16.000900000000001</v>
      </c>
      <c r="U939" s="2"/>
      <c r="V939" s="134">
        <f ca="1">IF($K$24=0,"",IF(VLOOKUP(B939,C922:E941,3,0)=MAX(V$4:V938),VLOOKUP(B939,C922:E941,3,0),B939))</f>
        <v>18</v>
      </c>
      <c r="W939" s="4" t="str">
        <f ca="1">IF($K$24=0,Calc2!$C$21,VLOOKUP(B939,C922:N941,4,0))</f>
        <v>FC St. Pauli</v>
      </c>
      <c r="X939" s="1">
        <f ca="1">INDEX(V895:V914,MATCH(W939,W895:W914,0))</f>
        <v>18</v>
      </c>
      <c r="Y939" s="1">
        <f t="shared" ca="1" si="174"/>
        <v>0</v>
      </c>
    </row>
    <row r="940" spans="2:25" x14ac:dyDescent="0.2">
      <c r="B940" s="1">
        <v>19</v>
      </c>
      <c r="C940" s="9">
        <f ca="1">RANK(D940,D922:D941,1)</f>
        <v>19</v>
      </c>
      <c r="D940" s="134">
        <f t="shared" ca="1" si="172"/>
        <v>19.940000000000001</v>
      </c>
      <c r="E940" s="134">
        <f ca="1">RANK(T940,T922:T941,1)</f>
        <v>19</v>
      </c>
      <c r="F940" s="187" t="str">
        <f>Calc2!$C$22</f>
        <v/>
      </c>
      <c r="G940" s="1">
        <f ca="1">SUMIFS(OFFSET(Calc2!$H$4,,,$F$26*B920,1),OFFSET(Calc2!$F$4,,,$F$26*B920,1),F940)+SUMIFS(OFFSET(Calc2!$I$4,,,$F$26*B920,1),OFFSET(Calc2!$G$4,,,$F$26*B920,1),F940)</f>
        <v>0</v>
      </c>
      <c r="H940" s="1">
        <f ca="1">SUMIFS(OFFSET(Calc2!$I$4,,,$F$26*B920,1),OFFSET(Calc2!$F$4,,,$F$26*B920,1),F940)+SUMIFS(OFFSET(Calc2!$H$4,,,$F$26*B920,1),OFFSET(Calc2!$G$4,,,$F$26*B920,1),F940)</f>
        <v>0</v>
      </c>
      <c r="I940" s="134">
        <f t="shared" ca="1" si="170"/>
        <v>0</v>
      </c>
      <c r="J940" s="12">
        <f ca="1">L940*Settings!$C$3+M940+O940</f>
        <v>0</v>
      </c>
      <c r="K940" s="1">
        <f t="shared" ca="1" si="173"/>
        <v>0</v>
      </c>
      <c r="L940" s="1">
        <f t="array" aca="1" ref="L940" ca="1">SUMPRODUCT((OFFSET(Calc2!$F$4,,,$F$26*B920,1)=F940)*(OFFSET(Calc2!$H$4,,,$F$26*B920,1)&gt;OFFSET(Calc2!$I$4,,,$F$26*B920,1)))+SUMPRODUCT((OFFSET(Calc2!$G$4,,,$F$26*B920,1)=F940)*(OFFSET(Calc2!$H$4,,,$F$26*B920,1)&lt;OFFSET(Calc2!$I$4,,,$F$26*B920,1)))</f>
        <v>0</v>
      </c>
      <c r="M940" s="1">
        <f t="array" aca="1" ref="M940" ca="1">SUMPRODUCT((OFFSET(Calc2!$F$4,,,$F$26*B920,2)=F940)*(OFFSET(Calc2!$H$4,,,$F$26*B920,1)=OFFSET(Calc2!$I$4,,,$F$26*B920,1))*(OFFSET(Calc2!$H$4,,,$F$26*B920,1)&lt;&gt;"")*(OFFSET(Calc2!$I$4,,,$F$26*B920,1)&lt;&gt;""))</f>
        <v>0</v>
      </c>
      <c r="N940" s="1">
        <f t="array" aca="1" ref="N940" ca="1">SUMPRODUCT((OFFSET(Calc2!$F$4,,,$F$26*B920,1)=F940)*(OFFSET(Calc2!$H$4,,,$F$26*B920,1)&lt;OFFSET(Calc2!$I$4,,,$F$26*B920,1)))+SUMPRODUCT((OFFSET(Calc2!$G$4,,,$F$26*B920,1)=F940)*(OFFSET(Calc2!$H$4,,,$F$26*B920,1)&gt;OFFSET(Calc2!$I$4,,,$F$26*B920,1)))</f>
        <v>0</v>
      </c>
      <c r="O940" s="132">
        <f ca="1">SUMPRODUCT((F940=OFFSET(Calc2!$F$4,,,$F$26*B920,1))*OFFSET(Calc2!$O$4,,,$F$26*B920,1))+SUMPRODUCT((F940=OFFSET(Calc2!$G$4,,,$F$26*B920,1))*OFFSET(Calc2!$P$4,,,$F$26*B920,1))</f>
        <v>0</v>
      </c>
      <c r="P940" s="2"/>
      <c r="Q940" s="2"/>
      <c r="R940" s="13">
        <f t="shared" ca="1" si="171"/>
        <v>500000000</v>
      </c>
      <c r="S940" s="134">
        <f>Tie_Break!$D$25</f>
        <v>0</v>
      </c>
      <c r="T940" s="9">
        <f ca="1">RANK(R940,R922:R941)+(9-S940)/10000+(F940="")*1000</f>
        <v>1019.0009</v>
      </c>
      <c r="U940" s="2"/>
      <c r="V940" s="134">
        <f ca="1">IF($K$24=0,"",IF(VLOOKUP(B940,C922:E941,3,0)=MAX(V$4:V939),VLOOKUP(B940,C922:E941,3,0),B940))</f>
        <v>19</v>
      </c>
      <c r="W940" s="4" t="str">
        <f ca="1">IF($K$24=0,Calc2!$C$22,VLOOKUP(B940,C922:N941,4,0))</f>
        <v/>
      </c>
      <c r="X940" s="1">
        <f ca="1">INDEX(V895:V914,MATCH(W940,W895:W914,0))</f>
        <v>19</v>
      </c>
      <c r="Y940" s="1">
        <f t="shared" ca="1" si="174"/>
        <v>0</v>
      </c>
    </row>
    <row r="941" spans="2:25" ht="12.75" thickBot="1" x14ac:dyDescent="0.25">
      <c r="B941" s="1">
        <v>20</v>
      </c>
      <c r="C941" s="10">
        <f ca="1">RANK(D941,D922:D941,1)</f>
        <v>20</v>
      </c>
      <c r="D941" s="134">
        <f t="shared" ca="1" si="172"/>
        <v>19.940999999999999</v>
      </c>
      <c r="E941" s="134">
        <f ca="1">RANK(T941,T922:T941,1)</f>
        <v>19</v>
      </c>
      <c r="F941" s="187" t="str">
        <f>Calc2!$C$23</f>
        <v/>
      </c>
      <c r="G941" s="1">
        <f ca="1">SUMIFS(OFFSET(Calc2!$H$4,,,$F$26*B920,1),OFFSET(Calc2!$F$4,,,$F$26*B920,1),F941)+SUMIFS(OFFSET(Calc2!$I$4,,,$F$26*B920,1),OFFSET(Calc2!$G$4,,,$F$26*B920,1),F941)</f>
        <v>0</v>
      </c>
      <c r="H941" s="1">
        <f ca="1">SUMIFS(OFFSET(Calc2!$I$4,,,$F$26*B920,1),OFFSET(Calc2!$F$4,,,$F$26*B920,1),F941)+SUMIFS(OFFSET(Calc2!$H$4,,,$F$26*B920,1),OFFSET(Calc2!$G$4,,,$F$26*B920,1),F941)</f>
        <v>0</v>
      </c>
      <c r="I941" s="134">
        <f t="shared" ca="1" si="170"/>
        <v>0</v>
      </c>
      <c r="J941" s="12">
        <f ca="1">L941*Settings!$C$3+M941+O941</f>
        <v>0</v>
      </c>
      <c r="K941" s="1">
        <f t="shared" ca="1" si="173"/>
        <v>0</v>
      </c>
      <c r="L941" s="1">
        <f t="array" aca="1" ref="L941" ca="1">SUMPRODUCT((OFFSET(Calc2!$F$4,,,$F$26*B920,1)=F941)*(OFFSET(Calc2!$H$4,,,$F$26*B920,1)&gt;OFFSET(Calc2!$I$4,,,$F$26*B920,1)))+SUMPRODUCT((OFFSET(Calc2!$G$4,,,$F$26*B920,1)=F941)*(OFFSET(Calc2!$H$4,,,$F$26*B920,1)&lt;OFFSET(Calc2!$I$4,,,$F$26*B920,1)))</f>
        <v>0</v>
      </c>
      <c r="M941" s="1">
        <f t="array" aca="1" ref="M941" ca="1">SUMPRODUCT((OFFSET(Calc2!$F$4,,,$F$26*B920,2)=F941)*(OFFSET(Calc2!$H$4,,,$F$26*B920,1)=OFFSET(Calc2!$I$4,,,$F$26*B920,1))*(OFFSET(Calc2!$H$4,,,$F$26*B920,1)&lt;&gt;"")*(OFFSET(Calc2!$I$4,,,$F$26*B920,1)&lt;&gt;""))</f>
        <v>0</v>
      </c>
      <c r="N941" s="1">
        <f t="array" aca="1" ref="N941" ca="1">SUMPRODUCT((OFFSET(Calc2!$F$4,,,$F$26*B920,1)=F941)*(OFFSET(Calc2!$H$4,,,$F$26*B920,1)&lt;OFFSET(Calc2!$I$4,,,$F$26*B920,1)))+SUMPRODUCT((OFFSET(Calc2!$G$4,,,$F$26*B920,1)=F941)*(OFFSET(Calc2!$H$4,,,$F$26*B920,1)&gt;OFFSET(Calc2!$I$4,,,$F$26*B920,1)))</f>
        <v>0</v>
      </c>
      <c r="O941" s="132">
        <f ca="1">SUMPRODUCT((F941=OFFSET(Calc2!$F$4,,,$F$26*B920,1))*OFFSET(Calc2!$O$4,,,$F$26*B920,1))+SUMPRODUCT((F941=OFFSET(Calc2!$G$4,,,$F$26*B920,1))*OFFSET(Calc2!$P$4,,,$F$26*B920,1))</f>
        <v>0</v>
      </c>
      <c r="P941" s="2"/>
      <c r="Q941" s="2"/>
      <c r="R941" s="13">
        <f t="shared" ca="1" si="171"/>
        <v>500000000</v>
      </c>
      <c r="S941" s="134">
        <f>Tie_Break!$D$26</f>
        <v>0</v>
      </c>
      <c r="T941" s="10">
        <f ca="1">RANK(R941,R922:R941)+(9-S941)/10000+(F941="")*1000</f>
        <v>1019.0009</v>
      </c>
      <c r="U941" s="2"/>
      <c r="V941" s="134">
        <f ca="1">IF($K$24=0,"",IF(VLOOKUP(B941,C922:E941,3,0)=MAX(V$4:V940),VLOOKUP(B941,C922:E941,3,0),B941))</f>
        <v>19</v>
      </c>
      <c r="W941" s="4" t="str">
        <f ca="1">IF($K$24=0,Calc2!$C$23,VLOOKUP(B941,C922:N941,4,0))</f>
        <v/>
      </c>
      <c r="X941" s="1">
        <f ca="1">INDEX(V895:V914,MATCH(W941,W895:W914,0))</f>
        <v>19</v>
      </c>
      <c r="Y941" s="1">
        <f t="shared" ca="1" si="174"/>
        <v>0</v>
      </c>
    </row>
    <row r="942" spans="2:25" ht="12.75" thickTop="1" x14ac:dyDescent="0.2"/>
    <row r="946" spans="2:25" ht="12.75" thickBot="1" x14ac:dyDescent="0.25"/>
    <row r="947" spans="2:25" ht="12.75" thickBot="1" x14ac:dyDescent="0.25">
      <c r="B947" s="410">
        <v>36</v>
      </c>
      <c r="C947" s="134"/>
      <c r="D947" s="134"/>
      <c r="E947" s="134"/>
      <c r="F947" s="187"/>
      <c r="G947" s="1"/>
      <c r="H947" s="1"/>
      <c r="I947" s="1"/>
      <c r="J947" s="1"/>
      <c r="K947" s="1"/>
      <c r="L947" s="1"/>
      <c r="M947" s="1"/>
      <c r="N947" s="134"/>
      <c r="O947" s="1"/>
      <c r="P947" s="1"/>
      <c r="Q947" s="1"/>
      <c r="R947" s="2"/>
      <c r="S947" s="2"/>
      <c r="T947" s="2"/>
      <c r="U947" s="2"/>
      <c r="V947" s="2"/>
      <c r="W947" s="2"/>
    </row>
    <row r="948" spans="2:25" ht="15.75" thickBot="1" x14ac:dyDescent="0.25">
      <c r="B948" s="1"/>
      <c r="C948" s="134"/>
      <c r="D948" s="134"/>
      <c r="E948" s="134"/>
      <c r="F948" s="11" t="s">
        <v>90</v>
      </c>
      <c r="G948" s="42" t="s">
        <v>95</v>
      </c>
      <c r="H948" s="42" t="s">
        <v>96</v>
      </c>
      <c r="I948" s="11" t="s">
        <v>97</v>
      </c>
      <c r="J948" s="11" t="s">
        <v>98</v>
      </c>
      <c r="K948" s="11" t="s">
        <v>91</v>
      </c>
      <c r="L948" s="12" t="s">
        <v>92</v>
      </c>
      <c r="M948" s="12" t="s">
        <v>93</v>
      </c>
      <c r="N948" s="12" t="s">
        <v>94</v>
      </c>
      <c r="O948" s="12" t="s">
        <v>534</v>
      </c>
      <c r="P948" s="2"/>
      <c r="Q948" s="11"/>
      <c r="R948" s="133" t="s">
        <v>99</v>
      </c>
      <c r="S948" s="6" t="s">
        <v>483</v>
      </c>
      <c r="T948" s="120" t="s">
        <v>146</v>
      </c>
      <c r="U948" s="134"/>
      <c r="V948" s="134"/>
      <c r="W948" s="132"/>
      <c r="X948" s="120" t="s">
        <v>575</v>
      </c>
      <c r="Y948" s="1"/>
    </row>
    <row r="949" spans="2:25" ht="12.75" thickTop="1" x14ac:dyDescent="0.2">
      <c r="B949" s="1">
        <v>1</v>
      </c>
      <c r="C949" s="8">
        <f ca="1">RANK(D949,D949:D968,1)</f>
        <v>17</v>
      </c>
      <c r="D949" s="134">
        <f ca="1">E949+ROW()/1000</f>
        <v>17.949000000000002</v>
      </c>
      <c r="E949" s="134">
        <f ca="1">RANK(T949,T949:T968,1)</f>
        <v>17</v>
      </c>
      <c r="F949" s="187" t="str">
        <f>Calc2!$C$4</f>
        <v>1. FC Heidenheim 1846</v>
      </c>
      <c r="G949" s="1">
        <f ca="1">SUMIFS(OFFSET(Calc2!$H$4,,,$F$26*B947,1),OFFSET(Calc2!$F$4,,,$F$26*B947,1),F949)+SUMIFS(OFFSET(Calc2!$I$4,,,$F$26*B947,1),OFFSET(Calc2!$G$4,,,$F$26*B947,1),F949)</f>
        <v>41</v>
      </c>
      <c r="H949" s="1">
        <f ca="1">SUMIFS(OFFSET(Calc2!$I$4,,,$F$26*B947,1),OFFSET(Calc2!$F$4,,,$F$26*B947,1),F949)+SUMIFS(OFFSET(Calc2!$H$4,,,$F$26*B947,1),OFFSET(Calc2!$G$4,,,$F$26*B947,1),F949)</f>
        <v>72</v>
      </c>
      <c r="I949" s="134">
        <f t="shared" ref="I949:I968" ca="1" si="175">G949-H949</f>
        <v>-31</v>
      </c>
      <c r="J949" s="12">
        <f ca="1">L949*Settings!$C$3+M949+O949</f>
        <v>26</v>
      </c>
      <c r="K949" s="1">
        <f ca="1">L949+M949+N949</f>
        <v>34</v>
      </c>
      <c r="L949" s="1">
        <f t="array" aca="1" ref="L949" ca="1">SUMPRODUCT((OFFSET(Calc2!$F$4,,,$F$26*B947,1)=F949)*(OFFSET(Calc2!$H$4,,,$F$26*B947,1)&gt;OFFSET(Calc2!$I$4,,,$F$26*B947,1)))+SUMPRODUCT((OFFSET(Calc2!$G$4,,,$F$26*B947,1)=F949)*(OFFSET(Calc2!$H$4,,,$F$26*B947,1)&lt;OFFSET(Calc2!$I$4,,,$F$26*B947,1)))</f>
        <v>6</v>
      </c>
      <c r="M949" s="1">
        <f t="array" aca="1" ref="M949" ca="1">SUMPRODUCT((OFFSET(Calc2!$F$4,,,$F$26*B947,2)=F949)*(OFFSET(Calc2!$H$4,,,$F$26*B947,1)=OFFSET(Calc2!$I$4,,,$F$26*B947,1))*(OFFSET(Calc2!$H$4,,,$F$26*B947,1)&lt;&gt;"")*(OFFSET(Calc2!$I$4,,,$F$26*B947,1)&lt;&gt;""))</f>
        <v>8</v>
      </c>
      <c r="N949" s="1">
        <f t="array" aca="1" ref="N949" ca="1">SUMPRODUCT((OFFSET(Calc2!$F$4,,,$F$26*B947,1)=F949)*(OFFSET(Calc2!$H$4,,,$F$26*B947,1)&lt;OFFSET(Calc2!$I$4,,,$F$26*B947,1)))+SUMPRODUCT((OFFSET(Calc2!$G$4,,,$F$26*B947,1)=F949)*(OFFSET(Calc2!$H$4,,,$F$26*B947,1)&gt;OFFSET(Calc2!$I$4,,,$F$26*B947,1)))</f>
        <v>20</v>
      </c>
      <c r="O949" s="132">
        <f ca="1">SUMPRODUCT((F949=OFFSET(Calc2!$F$4,,,$F$26*B947,1))*OFFSET(Calc2!$O$4,,,$F$26*B947,1))+SUMPRODUCT((F949=OFFSET(Calc2!$G$4,,,$F$26*B947,1))*OFFSET(Calc2!$P$4,,,$F$26*B947,1))</f>
        <v>0</v>
      </c>
      <c r="P949" s="2"/>
      <c r="Q949" s="2"/>
      <c r="R949" s="13">
        <f t="shared" ref="R949:R968" ca="1" si="176">J949*FactorPts+(I949+GDzero)*FactorGD+G949*FactorGF</f>
        <v>26499969041</v>
      </c>
      <c r="S949" s="134">
        <f>Tie_Break!$D$7</f>
        <v>0</v>
      </c>
      <c r="T949" s="8">
        <f ca="1">RANK(R949,R949:R968)+(9-S949)/10000+(F949="")*1000</f>
        <v>17.000900000000001</v>
      </c>
      <c r="U949" s="134"/>
      <c r="V949" s="134">
        <f ca="1">IF($K$24=0,"",1)</f>
        <v>1</v>
      </c>
      <c r="W949" s="4" t="str">
        <f ca="1">IF($K$24=0,Calc2!$C$4,VLOOKUP(B949,C949:N968,4,0))</f>
        <v>FC Bayern München</v>
      </c>
      <c r="X949" s="1">
        <f ca="1">INDEX(V922:V941,MATCH(W949,W922:W941,0))</f>
        <v>1</v>
      </c>
      <c r="Y949" s="1">
        <f ca="1">IF(X949&gt;V949,1,IF(X949&lt;V949,-1,0))</f>
        <v>0</v>
      </c>
    </row>
    <row r="950" spans="2:25" x14ac:dyDescent="0.2">
      <c r="B950" s="1">
        <v>2</v>
      </c>
      <c r="C950" s="9">
        <f ca="1">RANK(D950,D949:D968,1)</f>
        <v>14</v>
      </c>
      <c r="D950" s="134">
        <f t="shared" ref="D950:D968" ca="1" si="177">E950+ROW()/1000</f>
        <v>14.95</v>
      </c>
      <c r="E950" s="134">
        <f ca="1">RANK(T950,T949:T968,1)</f>
        <v>14</v>
      </c>
      <c r="F950" s="187" t="str">
        <f>Calc2!$C$5</f>
        <v>1. FC Köln</v>
      </c>
      <c r="G950" s="1">
        <f ca="1">SUMIFS(OFFSET(Calc2!$H$4,,,$F$26*B947,1),OFFSET(Calc2!$F$4,,,$F$26*B947,1),F950)+SUMIFS(OFFSET(Calc2!$I$4,,,$F$26*B947,1),OFFSET(Calc2!$G$4,,,$F$26*B947,1),F950)</f>
        <v>49</v>
      </c>
      <c r="H950" s="1">
        <f ca="1">SUMIFS(OFFSET(Calc2!$I$4,,,$F$26*B947,1),OFFSET(Calc2!$F$4,,,$F$26*B947,1),F950)+SUMIFS(OFFSET(Calc2!$H$4,,,$F$26*B947,1),OFFSET(Calc2!$G$4,,,$F$26*B947,1),F950)</f>
        <v>63</v>
      </c>
      <c r="I950" s="134">
        <f t="shared" ca="1" si="175"/>
        <v>-14</v>
      </c>
      <c r="J950" s="12">
        <f ca="1">L950*Settings!$C$3+M950+O950</f>
        <v>32</v>
      </c>
      <c r="K950" s="1">
        <f t="shared" ref="K950:K968" ca="1" si="178">L950+M950+N950</f>
        <v>34</v>
      </c>
      <c r="L950" s="1">
        <f t="array" aca="1" ref="L950" ca="1">SUMPRODUCT((OFFSET(Calc2!$F$4,,,$F$26*B947,1)=F950)*(OFFSET(Calc2!$H$4,,,$F$26*B947,1)&gt;OFFSET(Calc2!$I$4,,,$F$26*B947,1)))+SUMPRODUCT((OFFSET(Calc2!$G$4,,,$F$26*B947,1)=F950)*(OFFSET(Calc2!$H$4,,,$F$26*B947,1)&lt;OFFSET(Calc2!$I$4,,,$F$26*B947,1)))</f>
        <v>7</v>
      </c>
      <c r="M950" s="1">
        <f t="array" aca="1" ref="M950" ca="1">SUMPRODUCT((OFFSET(Calc2!$F$4,,,$F$26*B947,2)=F950)*(OFFSET(Calc2!$H$4,,,$F$26*B947,1)=OFFSET(Calc2!$I$4,,,$F$26*B947,1))*(OFFSET(Calc2!$H$4,,,$F$26*B947,1)&lt;&gt;"")*(OFFSET(Calc2!$I$4,,,$F$26*B947,1)&lt;&gt;""))</f>
        <v>11</v>
      </c>
      <c r="N950" s="1">
        <f t="array" aca="1" ref="N950" ca="1">SUMPRODUCT((OFFSET(Calc2!$F$4,,,$F$26*B947,1)=F950)*(OFFSET(Calc2!$H$4,,,$F$26*B947,1)&lt;OFFSET(Calc2!$I$4,,,$F$26*B947,1)))+SUMPRODUCT((OFFSET(Calc2!$G$4,,,$F$26*B947,1)=F950)*(OFFSET(Calc2!$H$4,,,$F$26*B947,1)&gt;OFFSET(Calc2!$I$4,,,$F$26*B947,1)))</f>
        <v>16</v>
      </c>
      <c r="O950" s="132">
        <f ca="1">SUMPRODUCT((F950=OFFSET(Calc2!$F$4,,,$F$26*B947,1))*OFFSET(Calc2!$O$4,,,$F$26*B947,1))+SUMPRODUCT((F950=OFFSET(Calc2!$G$4,,,$F$26*B947,1))*OFFSET(Calc2!$P$4,,,$F$26*B947,1))</f>
        <v>0</v>
      </c>
      <c r="P950" s="2"/>
      <c r="Q950" s="2"/>
      <c r="R950" s="13">
        <f t="shared" ca="1" si="176"/>
        <v>32499986049</v>
      </c>
      <c r="S950" s="134">
        <f>Tie_Break!$D$8</f>
        <v>0</v>
      </c>
      <c r="T950" s="9">
        <f ca="1">RANK(R950,R949:R968)+(9-S950)/10000+(F950="")*1000</f>
        <v>14.0009</v>
      </c>
      <c r="U950" s="134"/>
      <c r="V950" s="134">
        <f ca="1">IF($K$24=0,"",IF(VLOOKUP(B950,C949:E968,3,0)=MAX(V$4:V949),VLOOKUP(B950,C949:E968,3,0),B950))</f>
        <v>2</v>
      </c>
      <c r="W950" s="4" t="str">
        <f ca="1">IF($K$24=0,Calc2!$C$5,VLOOKUP(B950,C949:N968,4,0))</f>
        <v>Borussia Dortmund</v>
      </c>
      <c r="X950" s="1">
        <f ca="1">INDEX(V922:V941,MATCH(W950,W922:W941,0))</f>
        <v>2</v>
      </c>
      <c r="Y950" s="1">
        <f t="shared" ref="Y950:Y968" ca="1" si="179">IF(X950&gt;V950,1,IF(X950&lt;V950,-1,0))</f>
        <v>0</v>
      </c>
    </row>
    <row r="951" spans="2:25" x14ac:dyDescent="0.2">
      <c r="B951" s="1">
        <v>3</v>
      </c>
      <c r="C951" s="9">
        <f ca="1">RANK(D951,D949:D968,1)</f>
        <v>11</v>
      </c>
      <c r="D951" s="134">
        <f t="shared" ca="1" si="177"/>
        <v>11.951000000000001</v>
      </c>
      <c r="E951" s="134">
        <f ca="1">RANK(T951,T949:T968,1)</f>
        <v>11</v>
      </c>
      <c r="F951" s="187" t="str">
        <f>Calc2!$C$6</f>
        <v>1. FC Union Berlin</v>
      </c>
      <c r="G951" s="1">
        <f ca="1">SUMIFS(OFFSET(Calc2!$H$4,,,$F$26*B947,1),OFFSET(Calc2!$F$4,,,$F$26*B947,1),F951)+SUMIFS(OFFSET(Calc2!$I$4,,,$F$26*B947,1),OFFSET(Calc2!$G$4,,,$F$26*B947,1),F951)</f>
        <v>42</v>
      </c>
      <c r="H951" s="1">
        <f ca="1">SUMIFS(OFFSET(Calc2!$I$4,,,$F$26*B947,1),OFFSET(Calc2!$F$4,,,$F$26*B947,1),F951)+SUMIFS(OFFSET(Calc2!$H$4,,,$F$26*B947,1),OFFSET(Calc2!$G$4,,,$F$26*B947,1),F951)</f>
        <v>57</v>
      </c>
      <c r="I951" s="134">
        <f t="shared" ca="1" si="175"/>
        <v>-15</v>
      </c>
      <c r="J951" s="12">
        <f ca="1">L951*Settings!$C$3+M951+O951</f>
        <v>39</v>
      </c>
      <c r="K951" s="1">
        <f t="shared" ca="1" si="178"/>
        <v>34</v>
      </c>
      <c r="L951" s="1">
        <f t="array" aca="1" ref="L951" ca="1">SUMPRODUCT((OFFSET(Calc2!$F$4,,,$F$26*B947,1)=F951)*(OFFSET(Calc2!$H$4,,,$F$26*B947,1)&gt;OFFSET(Calc2!$I$4,,,$F$26*B947,1)))+SUMPRODUCT((OFFSET(Calc2!$G$4,,,$F$26*B947,1)=F951)*(OFFSET(Calc2!$H$4,,,$F$26*B947,1)&lt;OFFSET(Calc2!$I$4,,,$F$26*B947,1)))</f>
        <v>10</v>
      </c>
      <c r="M951" s="1">
        <f t="array" aca="1" ref="M951" ca="1">SUMPRODUCT((OFFSET(Calc2!$F$4,,,$F$26*B947,2)=F951)*(OFFSET(Calc2!$H$4,,,$F$26*B947,1)=OFFSET(Calc2!$I$4,,,$F$26*B947,1))*(OFFSET(Calc2!$H$4,,,$F$26*B947,1)&lt;&gt;"")*(OFFSET(Calc2!$I$4,,,$F$26*B947,1)&lt;&gt;""))</f>
        <v>9</v>
      </c>
      <c r="N951" s="1">
        <f t="array" aca="1" ref="N951" ca="1">SUMPRODUCT((OFFSET(Calc2!$F$4,,,$F$26*B947,1)=F951)*(OFFSET(Calc2!$H$4,,,$F$26*B947,1)&lt;OFFSET(Calc2!$I$4,,,$F$26*B947,1)))+SUMPRODUCT((OFFSET(Calc2!$G$4,,,$F$26*B947,1)=F951)*(OFFSET(Calc2!$H$4,,,$F$26*B947,1)&gt;OFFSET(Calc2!$I$4,,,$F$26*B947,1)))</f>
        <v>15</v>
      </c>
      <c r="O951" s="132">
        <f ca="1">SUMPRODUCT((F951=OFFSET(Calc2!$F$4,,,$F$26*B947,1))*OFFSET(Calc2!$O$4,,,$F$26*B947,1))+SUMPRODUCT((F951=OFFSET(Calc2!$G$4,,,$F$26*B947,1))*OFFSET(Calc2!$P$4,,,$F$26*B947,1))</f>
        <v>0</v>
      </c>
      <c r="P951" s="2"/>
      <c r="Q951" s="2"/>
      <c r="R951" s="13">
        <f t="shared" ca="1" si="176"/>
        <v>39499985042</v>
      </c>
      <c r="S951" s="134">
        <f>Tie_Break!$D$9</f>
        <v>0</v>
      </c>
      <c r="T951" s="9">
        <f ca="1">RANK(R951,R949:R968)+(9-S951)/10000+(F951="")*1000</f>
        <v>11.0009</v>
      </c>
      <c r="U951" s="134"/>
      <c r="V951" s="134">
        <f ca="1">IF($K$24=0,"",IF(VLOOKUP(B951,C949:E968,3,0)=MAX(V$4:V950),VLOOKUP(B951,C949:E968,3,0),B951))</f>
        <v>3</v>
      </c>
      <c r="W951" s="4" t="str">
        <f ca="1">IF($K$24=0,Calc2!$C$6,VLOOKUP(B951,C949:N968,4,0))</f>
        <v>RB Leipzig</v>
      </c>
      <c r="X951" s="1">
        <f ca="1">INDEX(V922:V941,MATCH(W951,W922:W941,0))</f>
        <v>3</v>
      </c>
      <c r="Y951" s="1">
        <f t="shared" ca="1" si="179"/>
        <v>0</v>
      </c>
    </row>
    <row r="952" spans="2:25" x14ac:dyDescent="0.2">
      <c r="B952" s="1">
        <v>4</v>
      </c>
      <c r="C952" s="9">
        <f ca="1">RANK(D952,D949:D968,1)</f>
        <v>10</v>
      </c>
      <c r="D952" s="134">
        <f t="shared" ca="1" si="177"/>
        <v>10.952</v>
      </c>
      <c r="E952" s="134">
        <f ca="1">RANK(T952,T949:T968,1)</f>
        <v>10</v>
      </c>
      <c r="F952" s="187" t="str">
        <f>Calc2!$C$7</f>
        <v>1. FSV Mainz 05</v>
      </c>
      <c r="G952" s="1">
        <f ca="1">SUMIFS(OFFSET(Calc2!$H$4,,,$F$26*B947,1),OFFSET(Calc2!$F$4,,,$F$26*B947,1),F952)+SUMIFS(OFFSET(Calc2!$I$4,,,$F$26*B947,1),OFFSET(Calc2!$G$4,,,$F$26*B947,1),F952)</f>
        <v>43</v>
      </c>
      <c r="H952" s="1">
        <f ca="1">SUMIFS(OFFSET(Calc2!$I$4,,,$F$26*B947,1),OFFSET(Calc2!$F$4,,,$F$26*B947,1),F952)+SUMIFS(OFFSET(Calc2!$H$4,,,$F$26*B947,1),OFFSET(Calc2!$G$4,,,$F$26*B947,1),F952)</f>
        <v>51</v>
      </c>
      <c r="I952" s="134">
        <f t="shared" ca="1" si="175"/>
        <v>-8</v>
      </c>
      <c r="J952" s="12">
        <f ca="1">L952*Settings!$C$3+M952+O952</f>
        <v>40</v>
      </c>
      <c r="K952" s="1">
        <f t="shared" ca="1" si="178"/>
        <v>34</v>
      </c>
      <c r="L952" s="1">
        <f t="array" aca="1" ref="L952" ca="1">SUMPRODUCT((OFFSET(Calc2!$F$4,,,$F$26*B947,1)=F952)*(OFFSET(Calc2!$H$4,,,$F$26*B947,1)&gt;OFFSET(Calc2!$I$4,,,$F$26*B947,1)))+SUMPRODUCT((OFFSET(Calc2!$G$4,,,$F$26*B947,1)=F952)*(OFFSET(Calc2!$H$4,,,$F$26*B947,1)&lt;OFFSET(Calc2!$I$4,,,$F$26*B947,1)))</f>
        <v>10</v>
      </c>
      <c r="M952" s="1">
        <f t="array" aca="1" ref="M952" ca="1">SUMPRODUCT((OFFSET(Calc2!$F$4,,,$F$26*B947,2)=F952)*(OFFSET(Calc2!$H$4,,,$F$26*B947,1)=OFFSET(Calc2!$I$4,,,$F$26*B947,1))*(OFFSET(Calc2!$H$4,,,$F$26*B947,1)&lt;&gt;"")*(OFFSET(Calc2!$I$4,,,$F$26*B947,1)&lt;&gt;""))</f>
        <v>10</v>
      </c>
      <c r="N952" s="1">
        <f t="array" aca="1" ref="N952" ca="1">SUMPRODUCT((OFFSET(Calc2!$F$4,,,$F$26*B947,1)=F952)*(OFFSET(Calc2!$H$4,,,$F$26*B947,1)&lt;OFFSET(Calc2!$I$4,,,$F$26*B947,1)))+SUMPRODUCT((OFFSET(Calc2!$G$4,,,$F$26*B947,1)=F952)*(OFFSET(Calc2!$H$4,,,$F$26*B947,1)&gt;OFFSET(Calc2!$I$4,,,$F$26*B947,1)))</f>
        <v>14</v>
      </c>
      <c r="O952" s="132">
        <f ca="1">SUMPRODUCT((F952=OFFSET(Calc2!$F$4,,,$F$26*B947,1))*OFFSET(Calc2!$O$4,,,$F$26*B947,1))+SUMPRODUCT((F952=OFFSET(Calc2!$G$4,,,$F$26*B947,1))*OFFSET(Calc2!$P$4,,,$F$26*B947,1))</f>
        <v>0</v>
      </c>
      <c r="P952" s="2"/>
      <c r="Q952" s="2"/>
      <c r="R952" s="13">
        <f t="shared" ca="1" si="176"/>
        <v>40499992043</v>
      </c>
      <c r="S952" s="134">
        <f>Tie_Break!$D$10</f>
        <v>0</v>
      </c>
      <c r="T952" s="9">
        <f ca="1">RANK(R952,R949:R968)+(9-S952)/10000+(F952="")*1000</f>
        <v>10.0009</v>
      </c>
      <c r="U952" s="134"/>
      <c r="V952" s="134">
        <f ca="1">IF($K$24=0,"",IF(VLOOKUP(B952,C949:E968,3,0)=MAX(V$4:V951),VLOOKUP(B952,C949:E968,3,0),B952))</f>
        <v>4</v>
      </c>
      <c r="W952" s="4" t="str">
        <f ca="1">IF($K$24=0,Calc2!$C$7,VLOOKUP(B952,C949:N968,4,0))</f>
        <v>VfB Stuttgart</v>
      </c>
      <c r="X952" s="1">
        <f ca="1">INDEX(V922:V941,MATCH(W952,W922:W941,0))</f>
        <v>4</v>
      </c>
      <c r="Y952" s="1">
        <f t="shared" ca="1" si="179"/>
        <v>0</v>
      </c>
    </row>
    <row r="953" spans="2:25" x14ac:dyDescent="0.2">
      <c r="B953" s="1">
        <v>5</v>
      </c>
      <c r="C953" s="9">
        <f ca="1">RANK(D953,D949:D968,1)</f>
        <v>6</v>
      </c>
      <c r="D953" s="134">
        <f t="shared" ca="1" si="177"/>
        <v>6.9530000000000003</v>
      </c>
      <c r="E953" s="134">
        <f ca="1">RANK(T953,T949:T968,1)</f>
        <v>6</v>
      </c>
      <c r="F953" s="187" t="str">
        <f>Calc2!$C$8</f>
        <v>Bayer 04 Leverkusen</v>
      </c>
      <c r="G953" s="1">
        <f ca="1">SUMIFS(OFFSET(Calc2!$H$4,,,$F$26*B947,1),OFFSET(Calc2!$F$4,,,$F$26*B947,1),F953)+SUMIFS(OFFSET(Calc2!$I$4,,,$F$26*B947,1),OFFSET(Calc2!$G$4,,,$F$26*B947,1),F953)</f>
        <v>68</v>
      </c>
      <c r="H953" s="1">
        <f ca="1">SUMIFS(OFFSET(Calc2!$I$4,,,$F$26*B947,1),OFFSET(Calc2!$F$4,,,$F$26*B947,1),F953)+SUMIFS(OFFSET(Calc2!$H$4,,,$F$26*B947,1),OFFSET(Calc2!$G$4,,,$F$26*B947,1),F953)</f>
        <v>47</v>
      </c>
      <c r="I953" s="134">
        <f t="shared" ca="1" si="175"/>
        <v>21</v>
      </c>
      <c r="J953" s="12">
        <f ca="1">L953*Settings!$C$3+M953+O953</f>
        <v>59</v>
      </c>
      <c r="K953" s="1">
        <f t="shared" ca="1" si="178"/>
        <v>34</v>
      </c>
      <c r="L953" s="1">
        <f t="array" aca="1" ref="L953" ca="1">SUMPRODUCT((OFFSET(Calc2!$F$4,,,$F$26*B947,1)=F953)*(OFFSET(Calc2!$H$4,,,$F$26*B947,1)&gt;OFFSET(Calc2!$I$4,,,$F$26*B947,1)))+SUMPRODUCT((OFFSET(Calc2!$G$4,,,$F$26*B947,1)=F953)*(OFFSET(Calc2!$H$4,,,$F$26*B947,1)&lt;OFFSET(Calc2!$I$4,,,$F$26*B947,1)))</f>
        <v>17</v>
      </c>
      <c r="M953" s="1">
        <f t="array" aca="1" ref="M953" ca="1">SUMPRODUCT((OFFSET(Calc2!$F$4,,,$F$26*B947,2)=F953)*(OFFSET(Calc2!$H$4,,,$F$26*B947,1)=OFFSET(Calc2!$I$4,,,$F$26*B947,1))*(OFFSET(Calc2!$H$4,,,$F$26*B947,1)&lt;&gt;"")*(OFFSET(Calc2!$I$4,,,$F$26*B947,1)&lt;&gt;""))</f>
        <v>8</v>
      </c>
      <c r="N953" s="1">
        <f t="array" aca="1" ref="N953" ca="1">SUMPRODUCT((OFFSET(Calc2!$F$4,,,$F$26*B947,1)=F953)*(OFFSET(Calc2!$H$4,,,$F$26*B947,1)&lt;OFFSET(Calc2!$I$4,,,$F$26*B947,1)))+SUMPRODUCT((OFFSET(Calc2!$G$4,,,$F$26*B947,1)=F953)*(OFFSET(Calc2!$H$4,,,$F$26*B947,1)&gt;OFFSET(Calc2!$I$4,,,$F$26*B947,1)))</f>
        <v>9</v>
      </c>
      <c r="O953" s="132">
        <f ca="1">SUMPRODUCT((F953=OFFSET(Calc2!$F$4,,,$F$26*B947,1))*OFFSET(Calc2!$O$4,,,$F$26*B947,1))+SUMPRODUCT((F953=OFFSET(Calc2!$G$4,,,$F$26*B947,1))*OFFSET(Calc2!$P$4,,,$F$26*B947,1))</f>
        <v>0</v>
      </c>
      <c r="P953" s="2"/>
      <c r="Q953" s="2"/>
      <c r="R953" s="13">
        <f t="shared" ca="1" si="176"/>
        <v>59500021068</v>
      </c>
      <c r="S953" s="134">
        <f>Tie_Break!$D$11</f>
        <v>0</v>
      </c>
      <c r="T953" s="9">
        <f ca="1">RANK(R953,R949:R968)+(9-S953)/10000+(F953="")*1000</f>
        <v>6.0008999999999997</v>
      </c>
      <c r="U953" s="134"/>
      <c r="V953" s="134">
        <f ca="1">IF($K$24=0,"",IF(VLOOKUP(B953,C949:E968,3,0)=MAX(V$4:V952),VLOOKUP(B953,C949:E968,3,0),B953))</f>
        <v>5</v>
      </c>
      <c r="W953" s="4" t="str">
        <f ca="1">IF($K$24=0,Calc2!$C$8,VLOOKUP(B953,C949:N968,4,0))</f>
        <v>TSG Hoffenheim</v>
      </c>
      <c r="X953" s="1">
        <f ca="1">INDEX(V922:V941,MATCH(W953,W922:W941,0))</f>
        <v>5</v>
      </c>
      <c r="Y953" s="1">
        <f t="shared" ca="1" si="179"/>
        <v>0</v>
      </c>
    </row>
    <row r="954" spans="2:25" x14ac:dyDescent="0.2">
      <c r="B954" s="1">
        <v>6</v>
      </c>
      <c r="C954" s="9">
        <f ca="1">RANK(D954,D949:D968,1)</f>
        <v>2</v>
      </c>
      <c r="D954" s="134">
        <f t="shared" ca="1" si="177"/>
        <v>2.9539999999999997</v>
      </c>
      <c r="E954" s="134">
        <f ca="1">RANK(T954,T949:T968,1)</f>
        <v>2</v>
      </c>
      <c r="F954" s="187" t="str">
        <f>Calc2!$C$9</f>
        <v>Borussia Dortmund</v>
      </c>
      <c r="G954" s="1">
        <f ca="1">SUMIFS(OFFSET(Calc2!$H$4,,,$F$26*B947,1),OFFSET(Calc2!$F$4,,,$F$26*B947,1),F954)+SUMIFS(OFFSET(Calc2!$I$4,,,$F$26*B947,1),OFFSET(Calc2!$G$4,,,$F$26*B947,1),F954)</f>
        <v>70</v>
      </c>
      <c r="H954" s="1">
        <f ca="1">SUMIFS(OFFSET(Calc2!$I$4,,,$F$26*B947,1),OFFSET(Calc2!$F$4,,,$F$26*B947,1),F954)+SUMIFS(OFFSET(Calc2!$H$4,,,$F$26*B947,1),OFFSET(Calc2!$G$4,,,$F$26*B947,1),F954)</f>
        <v>34</v>
      </c>
      <c r="I954" s="134">
        <f t="shared" ca="1" si="175"/>
        <v>36</v>
      </c>
      <c r="J954" s="12">
        <f ca="1">L954*Settings!$C$3+M954+O954</f>
        <v>73</v>
      </c>
      <c r="K954" s="1">
        <f t="shared" ca="1" si="178"/>
        <v>34</v>
      </c>
      <c r="L954" s="1">
        <f t="array" aca="1" ref="L954" ca="1">SUMPRODUCT((OFFSET(Calc2!$F$4,,,$F$26*B947,1)=F954)*(OFFSET(Calc2!$H$4,,,$F$26*B947,1)&gt;OFFSET(Calc2!$I$4,,,$F$26*B947,1)))+SUMPRODUCT((OFFSET(Calc2!$G$4,,,$F$26*B947,1)=F954)*(OFFSET(Calc2!$H$4,,,$F$26*B947,1)&lt;OFFSET(Calc2!$I$4,,,$F$26*B947,1)))</f>
        <v>22</v>
      </c>
      <c r="M954" s="1">
        <f t="array" aca="1" ref="M954" ca="1">SUMPRODUCT((OFFSET(Calc2!$F$4,,,$F$26*B947,2)=F954)*(OFFSET(Calc2!$H$4,,,$F$26*B947,1)=OFFSET(Calc2!$I$4,,,$F$26*B947,1))*(OFFSET(Calc2!$H$4,,,$F$26*B947,1)&lt;&gt;"")*(OFFSET(Calc2!$I$4,,,$F$26*B947,1)&lt;&gt;""))</f>
        <v>7</v>
      </c>
      <c r="N954" s="1">
        <f t="array" aca="1" ref="N954" ca="1">SUMPRODUCT((OFFSET(Calc2!$F$4,,,$F$26*B947,1)=F954)*(OFFSET(Calc2!$H$4,,,$F$26*B947,1)&lt;OFFSET(Calc2!$I$4,,,$F$26*B947,1)))+SUMPRODUCT((OFFSET(Calc2!$G$4,,,$F$26*B947,1)=F954)*(OFFSET(Calc2!$H$4,,,$F$26*B947,1)&gt;OFFSET(Calc2!$I$4,,,$F$26*B947,1)))</f>
        <v>5</v>
      </c>
      <c r="O954" s="132">
        <f ca="1">SUMPRODUCT((F954=OFFSET(Calc2!$F$4,,,$F$26*B947,1))*OFFSET(Calc2!$O$4,,,$F$26*B947,1))+SUMPRODUCT((F954=OFFSET(Calc2!$G$4,,,$F$26*B947,1))*OFFSET(Calc2!$P$4,,,$F$26*B947,1))</f>
        <v>0</v>
      </c>
      <c r="P954" s="2"/>
      <c r="Q954" s="2"/>
      <c r="R954" s="13">
        <f t="shared" ca="1" si="176"/>
        <v>73500036070</v>
      </c>
      <c r="S954" s="134">
        <f>Tie_Break!$D$12</f>
        <v>0</v>
      </c>
      <c r="T954" s="9">
        <f ca="1">RANK(R954,R949:R968)+(9-S954)/10000+(F954="")*1000</f>
        <v>2.0009000000000001</v>
      </c>
      <c r="U954" s="134"/>
      <c r="V954" s="134">
        <f ca="1">IF($K$24=0,"",IF(VLOOKUP(B954,C949:E968,3,0)=MAX(V$4:V953),VLOOKUP(B954,C949:E968,3,0),B954))</f>
        <v>6</v>
      </c>
      <c r="W954" s="4" t="str">
        <f ca="1">IF($K$24=0,Calc2!$C$9,VLOOKUP(B954,C949:N968,4,0))</f>
        <v>Bayer 04 Leverkusen</v>
      </c>
      <c r="X954" s="1">
        <f ca="1">INDEX(V922:V941,MATCH(W954,W922:W941,0))</f>
        <v>6</v>
      </c>
      <c r="Y954" s="1">
        <f t="shared" ca="1" si="179"/>
        <v>0</v>
      </c>
    </row>
    <row r="955" spans="2:25" x14ac:dyDescent="0.2">
      <c r="B955" s="1">
        <v>7</v>
      </c>
      <c r="C955" s="9">
        <f ca="1">RANK(D955,D949:D968,1)</f>
        <v>12</v>
      </c>
      <c r="D955" s="134">
        <f t="shared" ca="1" si="177"/>
        <v>12.955</v>
      </c>
      <c r="E955" s="134">
        <f ca="1">RANK(T955,T949:T968,1)</f>
        <v>12</v>
      </c>
      <c r="F955" s="187" t="str">
        <f>Calc2!$C$10</f>
        <v>Borussia Mönchengladbach</v>
      </c>
      <c r="G955" s="1">
        <f ca="1">SUMIFS(OFFSET(Calc2!$H$4,,,$F$26*B947,1),OFFSET(Calc2!$F$4,,,$F$26*B947,1),F955)+SUMIFS(OFFSET(Calc2!$I$4,,,$F$26*B947,1),OFFSET(Calc2!$G$4,,,$F$26*B947,1),F955)</f>
        <v>42</v>
      </c>
      <c r="H955" s="1">
        <f ca="1">SUMIFS(OFFSET(Calc2!$I$4,,,$F$26*B947,1),OFFSET(Calc2!$F$4,,,$F$26*B947,1),F955)+SUMIFS(OFFSET(Calc2!$H$4,,,$F$26*B947,1),OFFSET(Calc2!$G$4,,,$F$26*B947,1),F955)</f>
        <v>53</v>
      </c>
      <c r="I955" s="134">
        <f t="shared" ca="1" si="175"/>
        <v>-11</v>
      </c>
      <c r="J955" s="12">
        <f ca="1">L955*Settings!$C$3+M955+O955</f>
        <v>38</v>
      </c>
      <c r="K955" s="1">
        <f t="shared" ca="1" si="178"/>
        <v>34</v>
      </c>
      <c r="L955" s="1">
        <f t="array" aca="1" ref="L955" ca="1">SUMPRODUCT((OFFSET(Calc2!$F$4,,,$F$26*B947,1)=F955)*(OFFSET(Calc2!$H$4,,,$F$26*B947,1)&gt;OFFSET(Calc2!$I$4,,,$F$26*B947,1)))+SUMPRODUCT((OFFSET(Calc2!$G$4,,,$F$26*B947,1)=F955)*(OFFSET(Calc2!$H$4,,,$F$26*B947,1)&lt;OFFSET(Calc2!$I$4,,,$F$26*B947,1)))</f>
        <v>9</v>
      </c>
      <c r="M955" s="1">
        <f t="array" aca="1" ref="M955" ca="1">SUMPRODUCT((OFFSET(Calc2!$F$4,,,$F$26*B947,2)=F955)*(OFFSET(Calc2!$H$4,,,$F$26*B947,1)=OFFSET(Calc2!$I$4,,,$F$26*B947,1))*(OFFSET(Calc2!$H$4,,,$F$26*B947,1)&lt;&gt;"")*(OFFSET(Calc2!$I$4,,,$F$26*B947,1)&lt;&gt;""))</f>
        <v>11</v>
      </c>
      <c r="N955" s="1">
        <f t="array" aca="1" ref="N955" ca="1">SUMPRODUCT((OFFSET(Calc2!$F$4,,,$F$26*B947,1)=F955)*(OFFSET(Calc2!$H$4,,,$F$26*B947,1)&lt;OFFSET(Calc2!$I$4,,,$F$26*B947,1)))+SUMPRODUCT((OFFSET(Calc2!$G$4,,,$F$26*B947,1)=F955)*(OFFSET(Calc2!$H$4,,,$F$26*B947,1)&gt;OFFSET(Calc2!$I$4,,,$F$26*B947,1)))</f>
        <v>14</v>
      </c>
      <c r="O955" s="132">
        <f ca="1">SUMPRODUCT((F955=OFFSET(Calc2!$F$4,,,$F$26*B947,1))*OFFSET(Calc2!$O$4,,,$F$26*B947,1))+SUMPRODUCT((F955=OFFSET(Calc2!$G$4,,,$F$26*B947,1))*OFFSET(Calc2!$P$4,,,$F$26*B947,1))</f>
        <v>0</v>
      </c>
      <c r="P955" s="2"/>
      <c r="Q955" s="2"/>
      <c r="R955" s="13">
        <f t="shared" ca="1" si="176"/>
        <v>38499989042</v>
      </c>
      <c r="S955" s="134">
        <f>Tie_Break!$D$13</f>
        <v>0</v>
      </c>
      <c r="T955" s="9">
        <f ca="1">RANK(R955,R949:R968)+(9-S955)/10000+(F955="")*1000</f>
        <v>12.0009</v>
      </c>
      <c r="U955" s="134"/>
      <c r="V955" s="134">
        <f ca="1">IF($K$24=0,"",IF(VLOOKUP(B955,C949:E968,3,0)=MAX(V$4:V954),VLOOKUP(B955,C949:E968,3,0),B955))</f>
        <v>7</v>
      </c>
      <c r="W955" s="4" t="str">
        <f ca="1">IF($K$24=0,Calc2!$C$10,VLOOKUP(B955,C949:N968,4,0))</f>
        <v>SC Freiburg</v>
      </c>
      <c r="X955" s="1">
        <f ca="1">INDEX(V922:V941,MATCH(W955,W922:W941,0))</f>
        <v>7</v>
      </c>
      <c r="Y955" s="1">
        <f t="shared" ca="1" si="179"/>
        <v>0</v>
      </c>
    </row>
    <row r="956" spans="2:25" x14ac:dyDescent="0.2">
      <c r="B956" s="1">
        <v>8</v>
      </c>
      <c r="C956" s="9">
        <f ca="1">RANK(D956,D949:D968,1)</f>
        <v>8</v>
      </c>
      <c r="D956" s="134">
        <f t="shared" ca="1" si="177"/>
        <v>8.9559999999999995</v>
      </c>
      <c r="E956" s="134">
        <f ca="1">RANK(T956,T949:T968,1)</f>
        <v>8</v>
      </c>
      <c r="F956" s="187" t="str">
        <f>Calc2!$C$11</f>
        <v>Eintracht Frankfurt</v>
      </c>
      <c r="G956" s="1">
        <f ca="1">SUMIFS(OFFSET(Calc2!$H$4,,,$F$26*B947,1),OFFSET(Calc2!$F$4,,,$F$26*B947,1),F956)+SUMIFS(OFFSET(Calc2!$I$4,,,$F$26*B947,1),OFFSET(Calc2!$G$4,,,$F$26*B947,1),F956)</f>
        <v>61</v>
      </c>
      <c r="H956" s="1">
        <f ca="1">SUMIFS(OFFSET(Calc2!$I$4,,,$F$26*B947,1),OFFSET(Calc2!$F$4,,,$F$26*B947,1),F956)+SUMIFS(OFFSET(Calc2!$H$4,,,$F$26*B947,1),OFFSET(Calc2!$G$4,,,$F$26*B947,1),F956)</f>
        <v>65</v>
      </c>
      <c r="I956" s="134">
        <f t="shared" ca="1" si="175"/>
        <v>-4</v>
      </c>
      <c r="J956" s="12">
        <f ca="1">L956*Settings!$C$3+M956+O956</f>
        <v>44</v>
      </c>
      <c r="K956" s="1">
        <f t="shared" ca="1" si="178"/>
        <v>34</v>
      </c>
      <c r="L956" s="1">
        <f t="array" aca="1" ref="L956" ca="1">SUMPRODUCT((OFFSET(Calc2!$F$4,,,$F$26*B947,1)=F956)*(OFFSET(Calc2!$H$4,,,$F$26*B947,1)&gt;OFFSET(Calc2!$I$4,,,$F$26*B947,1)))+SUMPRODUCT((OFFSET(Calc2!$G$4,,,$F$26*B947,1)=F956)*(OFFSET(Calc2!$H$4,,,$F$26*B947,1)&lt;OFFSET(Calc2!$I$4,,,$F$26*B947,1)))</f>
        <v>11</v>
      </c>
      <c r="M956" s="1">
        <f t="array" aca="1" ref="M956" ca="1">SUMPRODUCT((OFFSET(Calc2!$F$4,,,$F$26*B947,2)=F956)*(OFFSET(Calc2!$H$4,,,$F$26*B947,1)=OFFSET(Calc2!$I$4,,,$F$26*B947,1))*(OFFSET(Calc2!$H$4,,,$F$26*B947,1)&lt;&gt;"")*(OFFSET(Calc2!$I$4,,,$F$26*B947,1)&lt;&gt;""))</f>
        <v>11</v>
      </c>
      <c r="N956" s="1">
        <f t="array" aca="1" ref="N956" ca="1">SUMPRODUCT((OFFSET(Calc2!$F$4,,,$F$26*B947,1)=F956)*(OFFSET(Calc2!$H$4,,,$F$26*B947,1)&lt;OFFSET(Calc2!$I$4,,,$F$26*B947,1)))+SUMPRODUCT((OFFSET(Calc2!$G$4,,,$F$26*B947,1)=F956)*(OFFSET(Calc2!$H$4,,,$F$26*B947,1)&gt;OFFSET(Calc2!$I$4,,,$F$26*B947,1)))</f>
        <v>12</v>
      </c>
      <c r="O956" s="132">
        <f ca="1">SUMPRODUCT((F956=OFFSET(Calc2!$F$4,,,$F$26*B947,1))*OFFSET(Calc2!$O$4,,,$F$26*B947,1))+SUMPRODUCT((F956=OFFSET(Calc2!$G$4,,,$F$26*B947,1))*OFFSET(Calc2!$P$4,,,$F$26*B947,1))</f>
        <v>0</v>
      </c>
      <c r="P956" s="2"/>
      <c r="Q956" s="2"/>
      <c r="R956" s="13">
        <f t="shared" ca="1" si="176"/>
        <v>44499996061</v>
      </c>
      <c r="S956" s="134">
        <f>Tie_Break!$D$14</f>
        <v>0</v>
      </c>
      <c r="T956" s="9">
        <f ca="1">RANK(R956,R949:R968)+(9-S956)/10000+(F956="")*1000</f>
        <v>8.0008999999999997</v>
      </c>
      <c r="U956" s="134"/>
      <c r="V956" s="134">
        <f ca="1">IF($K$24=0,"",IF(VLOOKUP(B956,C949:E968,3,0)=MAX(V$4:V955),VLOOKUP(B956,C949:E968,3,0),B956))</f>
        <v>8</v>
      </c>
      <c r="W956" s="4" t="str">
        <f ca="1">IF($K$24=0,Calc2!$C$11,VLOOKUP(B956,C949:N968,4,0))</f>
        <v>Eintracht Frankfurt</v>
      </c>
      <c r="X956" s="1">
        <f ca="1">INDEX(V922:V941,MATCH(W956,W922:W941,0))</f>
        <v>8</v>
      </c>
      <c r="Y956" s="1">
        <f t="shared" ca="1" si="179"/>
        <v>0</v>
      </c>
    </row>
    <row r="957" spans="2:25" x14ac:dyDescent="0.2">
      <c r="B957" s="1">
        <v>9</v>
      </c>
      <c r="C957" s="9">
        <f ca="1">RANK(D957,D949:D968,1)</f>
        <v>9</v>
      </c>
      <c r="D957" s="134">
        <f t="shared" ca="1" si="177"/>
        <v>9.9570000000000007</v>
      </c>
      <c r="E957" s="134">
        <f ca="1">RANK(T957,T949:T968,1)</f>
        <v>9</v>
      </c>
      <c r="F957" s="187" t="str">
        <f>Calc2!$C$12</f>
        <v>FC Augsburg</v>
      </c>
      <c r="G957" s="1">
        <f ca="1">SUMIFS(OFFSET(Calc2!$H$4,,,$F$26*B947,1),OFFSET(Calc2!$F$4,,,$F$26*B947,1),F957)+SUMIFS(OFFSET(Calc2!$I$4,,,$F$26*B947,1),OFFSET(Calc2!$G$4,,,$F$26*B947,1),F957)</f>
        <v>45</v>
      </c>
      <c r="H957" s="1">
        <f ca="1">SUMIFS(OFFSET(Calc2!$I$4,,,$F$26*B947,1),OFFSET(Calc2!$F$4,,,$F$26*B947,1),F957)+SUMIFS(OFFSET(Calc2!$H$4,,,$F$26*B947,1),OFFSET(Calc2!$G$4,,,$F$26*B947,1),F957)</f>
        <v>61</v>
      </c>
      <c r="I957" s="134">
        <f t="shared" ca="1" si="175"/>
        <v>-16</v>
      </c>
      <c r="J957" s="12">
        <f ca="1">L957*Settings!$C$3+M957+O957</f>
        <v>43</v>
      </c>
      <c r="K957" s="1">
        <f t="shared" ca="1" si="178"/>
        <v>34</v>
      </c>
      <c r="L957" s="1">
        <f t="array" aca="1" ref="L957" ca="1">SUMPRODUCT((OFFSET(Calc2!$F$4,,,$F$26*B947,1)=F957)*(OFFSET(Calc2!$H$4,,,$F$26*B947,1)&gt;OFFSET(Calc2!$I$4,,,$F$26*B947,1)))+SUMPRODUCT((OFFSET(Calc2!$G$4,,,$F$26*B947,1)=F957)*(OFFSET(Calc2!$H$4,,,$F$26*B947,1)&lt;OFFSET(Calc2!$I$4,,,$F$26*B947,1)))</f>
        <v>12</v>
      </c>
      <c r="M957" s="1">
        <f t="array" aca="1" ref="M957" ca="1">SUMPRODUCT((OFFSET(Calc2!$F$4,,,$F$26*B947,2)=F957)*(OFFSET(Calc2!$H$4,,,$F$26*B947,1)=OFFSET(Calc2!$I$4,,,$F$26*B947,1))*(OFFSET(Calc2!$H$4,,,$F$26*B947,1)&lt;&gt;"")*(OFFSET(Calc2!$I$4,,,$F$26*B947,1)&lt;&gt;""))</f>
        <v>7</v>
      </c>
      <c r="N957" s="1">
        <f t="array" aca="1" ref="N957" ca="1">SUMPRODUCT((OFFSET(Calc2!$F$4,,,$F$26*B947,1)=F957)*(OFFSET(Calc2!$H$4,,,$F$26*B947,1)&lt;OFFSET(Calc2!$I$4,,,$F$26*B947,1)))+SUMPRODUCT((OFFSET(Calc2!$G$4,,,$F$26*B947,1)=F957)*(OFFSET(Calc2!$H$4,,,$F$26*B947,1)&gt;OFFSET(Calc2!$I$4,,,$F$26*B947,1)))</f>
        <v>15</v>
      </c>
      <c r="O957" s="132">
        <f ca="1">SUMPRODUCT((F957=OFFSET(Calc2!$F$4,,,$F$26*B947,1))*OFFSET(Calc2!$O$4,,,$F$26*B947,1))+SUMPRODUCT((F957=OFFSET(Calc2!$G$4,,,$F$26*B947,1))*OFFSET(Calc2!$P$4,,,$F$26*B947,1))</f>
        <v>0</v>
      </c>
      <c r="P957" s="2"/>
      <c r="Q957" s="2"/>
      <c r="R957" s="13">
        <f t="shared" ca="1" si="176"/>
        <v>43499984045</v>
      </c>
      <c r="S957" s="134">
        <f>Tie_Break!$D$15</f>
        <v>0</v>
      </c>
      <c r="T957" s="9">
        <f ca="1">RANK(R957,R949:R968)+(9-S957)/10000+(F957="")*1000</f>
        <v>9.0008999999999997</v>
      </c>
      <c r="U957" s="134"/>
      <c r="V957" s="134">
        <f ca="1">IF($K$24=0,"",IF(VLOOKUP(B957,C949:E968,3,0)=MAX(V$4:V956),VLOOKUP(B957,C949:E968,3,0),B957))</f>
        <v>9</v>
      </c>
      <c r="W957" s="4" t="str">
        <f ca="1">IF($K$24=0,Calc2!$C$12,VLOOKUP(B957,C949:N968,4,0))</f>
        <v>FC Augsburg</v>
      </c>
      <c r="X957" s="1">
        <f ca="1">INDEX(V922:V941,MATCH(W957,W922:W941,0))</f>
        <v>9</v>
      </c>
      <c r="Y957" s="1">
        <f t="shared" ca="1" si="179"/>
        <v>0</v>
      </c>
    </row>
    <row r="958" spans="2:25" x14ac:dyDescent="0.2">
      <c r="B958" s="1">
        <v>10</v>
      </c>
      <c r="C958" s="9">
        <f ca="1">RANK(D958,D949:D968,1)</f>
        <v>1</v>
      </c>
      <c r="D958" s="134">
        <f t="shared" ca="1" si="177"/>
        <v>1.958</v>
      </c>
      <c r="E958" s="134">
        <f ca="1">RANK(T958,T949:T968,1)</f>
        <v>1</v>
      </c>
      <c r="F958" s="187" t="str">
        <f>Calc2!$C$13</f>
        <v>FC Bayern München</v>
      </c>
      <c r="G958" s="1">
        <f ca="1">SUMIFS(OFFSET(Calc2!$H$4,,,$F$26*B947,1),OFFSET(Calc2!$F$4,,,$F$26*B947,1),F958)+SUMIFS(OFFSET(Calc2!$I$4,,,$F$26*B947,1),OFFSET(Calc2!$G$4,,,$F$26*B947,1),F958)</f>
        <v>122</v>
      </c>
      <c r="H958" s="1">
        <f ca="1">SUMIFS(OFFSET(Calc2!$I$4,,,$F$26*B947,1),OFFSET(Calc2!$F$4,,,$F$26*B947,1),F958)+SUMIFS(OFFSET(Calc2!$H$4,,,$F$26*B947,1),OFFSET(Calc2!$G$4,,,$F$26*B947,1),F958)</f>
        <v>36</v>
      </c>
      <c r="I958" s="134">
        <f t="shared" ca="1" si="175"/>
        <v>86</v>
      </c>
      <c r="J958" s="12">
        <f ca="1">L958*Settings!$C$3+M958+O958</f>
        <v>89</v>
      </c>
      <c r="K958" s="1">
        <f t="shared" ca="1" si="178"/>
        <v>34</v>
      </c>
      <c r="L958" s="1">
        <f t="array" aca="1" ref="L958" ca="1">SUMPRODUCT((OFFSET(Calc2!$F$4,,,$F$26*B947,1)=F958)*(OFFSET(Calc2!$H$4,,,$F$26*B947,1)&gt;OFFSET(Calc2!$I$4,,,$F$26*B947,1)))+SUMPRODUCT((OFFSET(Calc2!$G$4,,,$F$26*B947,1)=F958)*(OFFSET(Calc2!$H$4,,,$F$26*B947,1)&lt;OFFSET(Calc2!$I$4,,,$F$26*B947,1)))</f>
        <v>28</v>
      </c>
      <c r="M958" s="1">
        <f t="array" aca="1" ref="M958" ca="1">SUMPRODUCT((OFFSET(Calc2!$F$4,,,$F$26*B947,2)=F958)*(OFFSET(Calc2!$H$4,,,$F$26*B947,1)=OFFSET(Calc2!$I$4,,,$F$26*B947,1))*(OFFSET(Calc2!$H$4,,,$F$26*B947,1)&lt;&gt;"")*(OFFSET(Calc2!$I$4,,,$F$26*B947,1)&lt;&gt;""))</f>
        <v>5</v>
      </c>
      <c r="N958" s="1">
        <f t="array" aca="1" ref="N958" ca="1">SUMPRODUCT((OFFSET(Calc2!$F$4,,,$F$26*B947,1)=F958)*(OFFSET(Calc2!$H$4,,,$F$26*B947,1)&lt;OFFSET(Calc2!$I$4,,,$F$26*B947,1)))+SUMPRODUCT((OFFSET(Calc2!$G$4,,,$F$26*B947,1)=F958)*(OFFSET(Calc2!$H$4,,,$F$26*B947,1)&gt;OFFSET(Calc2!$I$4,,,$F$26*B947,1)))</f>
        <v>1</v>
      </c>
      <c r="O958" s="132">
        <f ca="1">SUMPRODUCT((F958=OFFSET(Calc2!$F$4,,,$F$26*B947,1))*OFFSET(Calc2!$O$4,,,$F$26*B947,1))+SUMPRODUCT((F958=OFFSET(Calc2!$G$4,,,$F$26*B947,1))*OFFSET(Calc2!$P$4,,,$F$26*B947,1))</f>
        <v>0</v>
      </c>
      <c r="P958" s="2"/>
      <c r="Q958" s="2"/>
      <c r="R958" s="13">
        <f t="shared" ca="1" si="176"/>
        <v>89500086122</v>
      </c>
      <c r="S958" s="134">
        <f>Tie_Break!$D$16</f>
        <v>0</v>
      </c>
      <c r="T958" s="9">
        <f ca="1">RANK(R958,R949:R968)+(9-S958)/10000+(F958="")*1000</f>
        <v>1.0008999999999999</v>
      </c>
      <c r="U958" s="2"/>
      <c r="V958" s="134">
        <f ca="1">IF($K$24=0,"",IF(VLOOKUP(B958,C949:E968,3,0)=MAX(V$4:V957),VLOOKUP(B958,C949:E968,3,0),B958))</f>
        <v>10</v>
      </c>
      <c r="W958" s="4" t="str">
        <f ca="1">IF($K$24=0,Calc2!$C$13,VLOOKUP(B958,C949:N968,4,0))</f>
        <v>1. FSV Mainz 05</v>
      </c>
      <c r="X958" s="1">
        <f ca="1">INDEX(V922:V941,MATCH(W958,W922:W941,0))</f>
        <v>10</v>
      </c>
      <c r="Y958" s="1">
        <f t="shared" ca="1" si="179"/>
        <v>0</v>
      </c>
    </row>
    <row r="959" spans="2:25" x14ac:dyDescent="0.2">
      <c r="B959" s="1">
        <v>11</v>
      </c>
      <c r="C959" s="9">
        <f ca="1">RANK(D959,D949:D968,1)</f>
        <v>18</v>
      </c>
      <c r="D959" s="134">
        <f t="shared" ca="1" si="177"/>
        <v>18.959</v>
      </c>
      <c r="E959" s="134">
        <f ca="1">RANK(T959,T949:T968,1)</f>
        <v>18</v>
      </c>
      <c r="F959" s="187" t="str">
        <f>Calc2!$C$14</f>
        <v>FC St. Pauli</v>
      </c>
      <c r="G959" s="1">
        <f ca="1">SUMIFS(OFFSET(Calc2!$H$4,,,$F$26*B947,1),OFFSET(Calc2!$F$4,,,$F$26*B947,1),F959)+SUMIFS(OFFSET(Calc2!$I$4,,,$F$26*B947,1),OFFSET(Calc2!$G$4,,,$F$26*B947,1),F959)</f>
        <v>29</v>
      </c>
      <c r="H959" s="1">
        <f ca="1">SUMIFS(OFFSET(Calc2!$I$4,,,$F$26*B947,1),OFFSET(Calc2!$F$4,,,$F$26*B947,1),F959)+SUMIFS(OFFSET(Calc2!$H$4,,,$F$26*B947,1),OFFSET(Calc2!$G$4,,,$F$26*B947,1),F959)</f>
        <v>60</v>
      </c>
      <c r="I959" s="134">
        <f t="shared" ca="1" si="175"/>
        <v>-31</v>
      </c>
      <c r="J959" s="12">
        <f ca="1">L959*Settings!$C$3+M959+O959</f>
        <v>26</v>
      </c>
      <c r="K959" s="1">
        <f t="shared" ca="1" si="178"/>
        <v>34</v>
      </c>
      <c r="L959" s="1">
        <f t="array" aca="1" ref="L959" ca="1">SUMPRODUCT((OFFSET(Calc2!$F$4,,,$F$26*B947,1)=F959)*(OFFSET(Calc2!$H$4,,,$F$26*B947,1)&gt;OFFSET(Calc2!$I$4,,,$F$26*B947,1)))+SUMPRODUCT((OFFSET(Calc2!$G$4,,,$F$26*B947,1)=F959)*(OFFSET(Calc2!$H$4,,,$F$26*B947,1)&lt;OFFSET(Calc2!$I$4,,,$F$26*B947,1)))</f>
        <v>6</v>
      </c>
      <c r="M959" s="1">
        <f t="array" aca="1" ref="M959" ca="1">SUMPRODUCT((OFFSET(Calc2!$F$4,,,$F$26*B947,2)=F959)*(OFFSET(Calc2!$H$4,,,$F$26*B947,1)=OFFSET(Calc2!$I$4,,,$F$26*B947,1))*(OFFSET(Calc2!$H$4,,,$F$26*B947,1)&lt;&gt;"")*(OFFSET(Calc2!$I$4,,,$F$26*B947,1)&lt;&gt;""))</f>
        <v>8</v>
      </c>
      <c r="N959" s="1">
        <f t="array" aca="1" ref="N959" ca="1">SUMPRODUCT((OFFSET(Calc2!$F$4,,,$F$26*B947,1)=F959)*(OFFSET(Calc2!$H$4,,,$F$26*B947,1)&lt;OFFSET(Calc2!$I$4,,,$F$26*B947,1)))+SUMPRODUCT((OFFSET(Calc2!$G$4,,,$F$26*B947,1)=F959)*(OFFSET(Calc2!$H$4,,,$F$26*B947,1)&gt;OFFSET(Calc2!$I$4,,,$F$26*B947,1)))</f>
        <v>20</v>
      </c>
      <c r="O959" s="132">
        <f ca="1">SUMPRODUCT((F959=OFFSET(Calc2!$F$4,,,$F$26*B947,1))*OFFSET(Calc2!$O$4,,,$F$26*B947,1))+SUMPRODUCT((F959=OFFSET(Calc2!$G$4,,,$F$26*B947,1))*OFFSET(Calc2!$P$4,,,$F$26*B947,1))</f>
        <v>0</v>
      </c>
      <c r="P959" s="2"/>
      <c r="Q959" s="2"/>
      <c r="R959" s="13">
        <f t="shared" ca="1" si="176"/>
        <v>26499969029</v>
      </c>
      <c r="S959" s="134">
        <f>Tie_Break!$D$17</f>
        <v>0</v>
      </c>
      <c r="T959" s="9">
        <f ca="1">RANK(R959,R949:R968)+(9-S959)/10000+(F959="")*1000</f>
        <v>18.000900000000001</v>
      </c>
      <c r="U959" s="2"/>
      <c r="V959" s="134">
        <f ca="1">IF($K$24=0,"",IF(VLOOKUP(B959,C949:E968,3,0)=MAX(V$4:V958),VLOOKUP(B959,C949:E968,3,0),B959))</f>
        <v>11</v>
      </c>
      <c r="W959" s="4" t="str">
        <f ca="1">IF($K$24=0,Calc2!$C$14,VLOOKUP(B959,C949:N968,4,0))</f>
        <v>1. FC Union Berlin</v>
      </c>
      <c r="X959" s="1">
        <f ca="1">INDEX(V922:V941,MATCH(W959,W922:W941,0))</f>
        <v>11</v>
      </c>
      <c r="Y959" s="1">
        <f t="shared" ca="1" si="179"/>
        <v>0</v>
      </c>
    </row>
    <row r="960" spans="2:25" x14ac:dyDescent="0.2">
      <c r="B960" s="1">
        <v>12</v>
      </c>
      <c r="C960" s="9">
        <f ca="1">RANK(D960,D949:D968,1)</f>
        <v>13</v>
      </c>
      <c r="D960" s="134">
        <f t="shared" ca="1" si="177"/>
        <v>13.96</v>
      </c>
      <c r="E960" s="134">
        <f ca="1">RANK(T960,T949:T968,1)</f>
        <v>13</v>
      </c>
      <c r="F960" s="187" t="str">
        <f>Calc2!$C$15</f>
        <v>Hamburger SV</v>
      </c>
      <c r="G960" s="1">
        <f ca="1">SUMIFS(OFFSET(Calc2!$H$4,,,$F$26*B947,1),OFFSET(Calc2!$F$4,,,$F$26*B947,1),F960)+SUMIFS(OFFSET(Calc2!$I$4,,,$F$26*B947,1),OFFSET(Calc2!$G$4,,,$F$26*B947,1),F960)</f>
        <v>40</v>
      </c>
      <c r="H960" s="1">
        <f ca="1">SUMIFS(OFFSET(Calc2!$I$4,,,$F$26*B947,1),OFFSET(Calc2!$F$4,,,$F$26*B947,1),F960)+SUMIFS(OFFSET(Calc2!$H$4,,,$F$26*B947,1),OFFSET(Calc2!$G$4,,,$F$26*B947,1),F960)</f>
        <v>54</v>
      </c>
      <c r="I960" s="134">
        <f t="shared" ca="1" si="175"/>
        <v>-14</v>
      </c>
      <c r="J960" s="12">
        <f ca="1">L960*Settings!$C$3+M960+O960</f>
        <v>38</v>
      </c>
      <c r="K960" s="1">
        <f t="shared" ca="1" si="178"/>
        <v>34</v>
      </c>
      <c r="L960" s="1">
        <f t="array" aca="1" ref="L960" ca="1">SUMPRODUCT((OFFSET(Calc2!$F$4,,,$F$26*B947,1)=F960)*(OFFSET(Calc2!$H$4,,,$F$26*B947,1)&gt;OFFSET(Calc2!$I$4,,,$F$26*B947,1)))+SUMPRODUCT((OFFSET(Calc2!$G$4,,,$F$26*B947,1)=F960)*(OFFSET(Calc2!$H$4,,,$F$26*B947,1)&lt;OFFSET(Calc2!$I$4,,,$F$26*B947,1)))</f>
        <v>9</v>
      </c>
      <c r="M960" s="1">
        <f t="array" aca="1" ref="M960" ca="1">SUMPRODUCT((OFFSET(Calc2!$F$4,,,$F$26*B947,2)=F960)*(OFFSET(Calc2!$H$4,,,$F$26*B947,1)=OFFSET(Calc2!$I$4,,,$F$26*B947,1))*(OFFSET(Calc2!$H$4,,,$F$26*B947,1)&lt;&gt;"")*(OFFSET(Calc2!$I$4,,,$F$26*B947,1)&lt;&gt;""))</f>
        <v>11</v>
      </c>
      <c r="N960" s="1">
        <f t="array" aca="1" ref="N960" ca="1">SUMPRODUCT((OFFSET(Calc2!$F$4,,,$F$26*B947,1)=F960)*(OFFSET(Calc2!$H$4,,,$F$26*B947,1)&lt;OFFSET(Calc2!$I$4,,,$F$26*B947,1)))+SUMPRODUCT((OFFSET(Calc2!$G$4,,,$F$26*B947,1)=F960)*(OFFSET(Calc2!$H$4,,,$F$26*B947,1)&gt;OFFSET(Calc2!$I$4,,,$F$26*B947,1)))</f>
        <v>14</v>
      </c>
      <c r="O960" s="132">
        <f ca="1">SUMPRODUCT((F960=OFFSET(Calc2!$F$4,,,$F$26*B947,1))*OFFSET(Calc2!$O$4,,,$F$26*B947,1))+SUMPRODUCT((F960=OFFSET(Calc2!$G$4,,,$F$26*B947,1))*OFFSET(Calc2!$P$4,,,$F$26*B947,1))</f>
        <v>0</v>
      </c>
      <c r="P960" s="2"/>
      <c r="Q960" s="2"/>
      <c r="R960" s="13">
        <f t="shared" ca="1" si="176"/>
        <v>38499986040</v>
      </c>
      <c r="S960" s="134">
        <f>Tie_Break!$D$18</f>
        <v>0</v>
      </c>
      <c r="T960" s="9">
        <f ca="1">RANK(R960,R949:R968)+(9-S960)/10000+(F960="")*1000</f>
        <v>13.0009</v>
      </c>
      <c r="U960" s="2"/>
      <c r="V960" s="134">
        <f ca="1">IF($K$24=0,"",IF(VLOOKUP(B960,C949:E968,3,0)=MAX(V$4:V959),VLOOKUP(B960,C949:E968,3,0),B960))</f>
        <v>12</v>
      </c>
      <c r="W960" s="4" t="str">
        <f ca="1">IF($K$24=0,Calc2!$C$15,VLOOKUP(B960,C949:N968,4,0))</f>
        <v>Borussia Mönchengladbach</v>
      </c>
      <c r="X960" s="1">
        <f ca="1">INDEX(V922:V941,MATCH(W960,W922:W941,0))</f>
        <v>12</v>
      </c>
      <c r="Y960" s="1">
        <f t="shared" ca="1" si="179"/>
        <v>0</v>
      </c>
    </row>
    <row r="961" spans="2:25" x14ac:dyDescent="0.2">
      <c r="B961" s="1">
        <v>13</v>
      </c>
      <c r="C961" s="9">
        <f ca="1">RANK(D961,D949:D968,1)</f>
        <v>3</v>
      </c>
      <c r="D961" s="134">
        <f t="shared" ca="1" si="177"/>
        <v>3.9609999999999999</v>
      </c>
      <c r="E961" s="134">
        <f ca="1">RANK(T961,T949:T968,1)</f>
        <v>3</v>
      </c>
      <c r="F961" s="187" t="str">
        <f>Calc2!$C$16</f>
        <v>RB Leipzig</v>
      </c>
      <c r="G961" s="1">
        <f ca="1">SUMIFS(OFFSET(Calc2!$H$4,,,$F$26*B947,1),OFFSET(Calc2!$F$4,,,$F$26*B947,1),F961)+SUMIFS(OFFSET(Calc2!$I$4,,,$F$26*B947,1),OFFSET(Calc2!$G$4,,,$F$26*B947,1),F961)</f>
        <v>66</v>
      </c>
      <c r="H961" s="1">
        <f ca="1">SUMIFS(OFFSET(Calc2!$I$4,,,$F$26*B947,1),OFFSET(Calc2!$F$4,,,$F$26*B947,1),F961)+SUMIFS(OFFSET(Calc2!$H$4,,,$F$26*B947,1),OFFSET(Calc2!$G$4,,,$F$26*B947,1),F961)</f>
        <v>47</v>
      </c>
      <c r="I961" s="134">
        <f t="shared" ca="1" si="175"/>
        <v>19</v>
      </c>
      <c r="J961" s="12">
        <f ca="1">L961*Settings!$C$3+M961+O961</f>
        <v>65</v>
      </c>
      <c r="K961" s="1">
        <f t="shared" ca="1" si="178"/>
        <v>34</v>
      </c>
      <c r="L961" s="1">
        <f t="array" aca="1" ref="L961" ca="1">SUMPRODUCT((OFFSET(Calc2!$F$4,,,$F$26*B947,1)=F961)*(OFFSET(Calc2!$H$4,,,$F$26*B947,1)&gt;OFFSET(Calc2!$I$4,,,$F$26*B947,1)))+SUMPRODUCT((OFFSET(Calc2!$G$4,,,$F$26*B947,1)=F961)*(OFFSET(Calc2!$H$4,,,$F$26*B947,1)&lt;OFFSET(Calc2!$I$4,,,$F$26*B947,1)))</f>
        <v>20</v>
      </c>
      <c r="M961" s="1">
        <f t="array" aca="1" ref="M961" ca="1">SUMPRODUCT((OFFSET(Calc2!$F$4,,,$F$26*B947,2)=F961)*(OFFSET(Calc2!$H$4,,,$F$26*B947,1)=OFFSET(Calc2!$I$4,,,$F$26*B947,1))*(OFFSET(Calc2!$H$4,,,$F$26*B947,1)&lt;&gt;"")*(OFFSET(Calc2!$I$4,,,$F$26*B947,1)&lt;&gt;""))</f>
        <v>5</v>
      </c>
      <c r="N961" s="1">
        <f t="array" aca="1" ref="N961" ca="1">SUMPRODUCT((OFFSET(Calc2!$F$4,,,$F$26*B947,1)=F961)*(OFFSET(Calc2!$H$4,,,$F$26*B947,1)&lt;OFFSET(Calc2!$I$4,,,$F$26*B947,1)))+SUMPRODUCT((OFFSET(Calc2!$G$4,,,$F$26*B947,1)=F961)*(OFFSET(Calc2!$H$4,,,$F$26*B947,1)&gt;OFFSET(Calc2!$I$4,,,$F$26*B947,1)))</f>
        <v>9</v>
      </c>
      <c r="O961" s="132">
        <f ca="1">SUMPRODUCT((F961=OFFSET(Calc2!$F$4,,,$F$26*B947,1))*OFFSET(Calc2!$O$4,,,$F$26*B947,1))+SUMPRODUCT((F961=OFFSET(Calc2!$G$4,,,$F$26*B947,1))*OFFSET(Calc2!$P$4,,,$F$26*B947,1))</f>
        <v>0</v>
      </c>
      <c r="P961" s="2"/>
      <c r="Q961" s="2"/>
      <c r="R961" s="13">
        <f t="shared" ca="1" si="176"/>
        <v>65500019066</v>
      </c>
      <c r="S961" s="134">
        <f>Tie_Break!$D$19</f>
        <v>0</v>
      </c>
      <c r="T961" s="9">
        <f ca="1">RANK(R961,R949:R968)+(9-S961)/10000+(F961="")*1000</f>
        <v>3.0009000000000001</v>
      </c>
      <c r="U961" s="1"/>
      <c r="V961" s="134">
        <f ca="1">IF($K$24=0,"",IF(VLOOKUP(B961,C949:E968,3,0)=MAX(V$4:V960),VLOOKUP(B961,C949:E968,3,0),B961))</f>
        <v>13</v>
      </c>
      <c r="W961" s="4" t="str">
        <f ca="1">IF($K$24=0,Calc2!$C$16,VLOOKUP(B961,C949:N968,4,0))</f>
        <v>Hamburger SV</v>
      </c>
      <c r="X961" s="1">
        <f ca="1">INDEX(V922:V941,MATCH(W961,W922:W941,0))</f>
        <v>13</v>
      </c>
      <c r="Y961" s="1">
        <f t="shared" ca="1" si="179"/>
        <v>0</v>
      </c>
    </row>
    <row r="962" spans="2:25" x14ac:dyDescent="0.2">
      <c r="B962" s="1">
        <v>14</v>
      </c>
      <c r="C962" s="9">
        <f ca="1">RANK(D962,D949:D968,1)</f>
        <v>7</v>
      </c>
      <c r="D962" s="134">
        <f t="shared" ca="1" si="177"/>
        <v>7.9619999999999997</v>
      </c>
      <c r="E962" s="134">
        <f ca="1">RANK(T962,T949:T968,1)</f>
        <v>7</v>
      </c>
      <c r="F962" s="187" t="str">
        <f>Calc2!$C$17</f>
        <v>SC Freiburg</v>
      </c>
      <c r="G962" s="1">
        <f ca="1">SUMIFS(OFFSET(Calc2!$H$4,,,$F$26*B947,1),OFFSET(Calc2!$F$4,,,$F$26*B947,1),F962)+SUMIFS(OFFSET(Calc2!$I$4,,,$F$26*B947,1),OFFSET(Calc2!$G$4,,,$F$26*B947,1),F962)</f>
        <v>51</v>
      </c>
      <c r="H962" s="1">
        <f ca="1">SUMIFS(OFFSET(Calc2!$I$4,,,$F$26*B947,1),OFFSET(Calc2!$F$4,,,$F$26*B947,1),F962)+SUMIFS(OFFSET(Calc2!$H$4,,,$F$26*B947,1),OFFSET(Calc2!$G$4,,,$F$26*B947,1),F962)</f>
        <v>57</v>
      </c>
      <c r="I962" s="134">
        <f t="shared" ca="1" si="175"/>
        <v>-6</v>
      </c>
      <c r="J962" s="12">
        <f ca="1">L962*Settings!$C$3+M962+O962</f>
        <v>47</v>
      </c>
      <c r="K962" s="1">
        <f t="shared" ca="1" si="178"/>
        <v>34</v>
      </c>
      <c r="L962" s="1">
        <f t="array" aca="1" ref="L962" ca="1">SUMPRODUCT((OFFSET(Calc2!$F$4,,,$F$26*B947,1)=F962)*(OFFSET(Calc2!$H$4,,,$F$26*B947,1)&gt;OFFSET(Calc2!$I$4,,,$F$26*B947,1)))+SUMPRODUCT((OFFSET(Calc2!$G$4,,,$F$26*B947,1)=F962)*(OFFSET(Calc2!$H$4,,,$F$26*B947,1)&lt;OFFSET(Calc2!$I$4,,,$F$26*B947,1)))</f>
        <v>13</v>
      </c>
      <c r="M962" s="1">
        <f t="array" aca="1" ref="M962" ca="1">SUMPRODUCT((OFFSET(Calc2!$F$4,,,$F$26*B947,2)=F962)*(OFFSET(Calc2!$H$4,,,$F$26*B947,1)=OFFSET(Calc2!$I$4,,,$F$26*B947,1))*(OFFSET(Calc2!$H$4,,,$F$26*B947,1)&lt;&gt;"")*(OFFSET(Calc2!$I$4,,,$F$26*B947,1)&lt;&gt;""))</f>
        <v>8</v>
      </c>
      <c r="N962" s="1">
        <f t="array" aca="1" ref="N962" ca="1">SUMPRODUCT((OFFSET(Calc2!$F$4,,,$F$26*B947,1)=F962)*(OFFSET(Calc2!$H$4,,,$F$26*B947,1)&lt;OFFSET(Calc2!$I$4,,,$F$26*B947,1)))+SUMPRODUCT((OFFSET(Calc2!$G$4,,,$F$26*B947,1)=F962)*(OFFSET(Calc2!$H$4,,,$F$26*B947,1)&gt;OFFSET(Calc2!$I$4,,,$F$26*B947,1)))</f>
        <v>13</v>
      </c>
      <c r="O962" s="132">
        <f ca="1">SUMPRODUCT((F962=OFFSET(Calc2!$F$4,,,$F$26*B947,1))*OFFSET(Calc2!$O$4,,,$F$26*B947,1))+SUMPRODUCT((F962=OFFSET(Calc2!$G$4,,,$F$26*B947,1))*OFFSET(Calc2!$P$4,,,$F$26*B947,1))</f>
        <v>0</v>
      </c>
      <c r="P962" s="2"/>
      <c r="Q962" s="2"/>
      <c r="R962" s="13">
        <f t="shared" ca="1" si="176"/>
        <v>47499994051</v>
      </c>
      <c r="S962" s="134">
        <f>Tie_Break!$D$20</f>
        <v>0</v>
      </c>
      <c r="T962" s="9">
        <f ca="1">RANK(R962,R949:R968)+(9-S962)/10000+(F962="")*1000</f>
        <v>7.0008999999999997</v>
      </c>
      <c r="U962" s="2"/>
      <c r="V962" s="134">
        <f ca="1">IF($K$24=0,"",IF(VLOOKUP(B962,C949:E968,3,0)=MAX(V$4:V961),VLOOKUP(B962,C949:E968,3,0),B962))</f>
        <v>14</v>
      </c>
      <c r="W962" s="4" t="str">
        <f ca="1">IF($K$24=0,Calc2!$C$17,VLOOKUP(B962,C949:N968,4,0))</f>
        <v>1. FC Köln</v>
      </c>
      <c r="X962" s="1">
        <f ca="1">INDEX(V922:V941,MATCH(W962,W922:W941,0))</f>
        <v>14</v>
      </c>
      <c r="Y962" s="1">
        <f t="shared" ca="1" si="179"/>
        <v>0</v>
      </c>
    </row>
    <row r="963" spans="2:25" x14ac:dyDescent="0.2">
      <c r="B963" s="1">
        <v>15</v>
      </c>
      <c r="C963" s="9">
        <f ca="1">RANK(D963,D949:D968,1)</f>
        <v>15</v>
      </c>
      <c r="D963" s="134">
        <f t="shared" ca="1" si="177"/>
        <v>15.962999999999999</v>
      </c>
      <c r="E963" s="134">
        <f ca="1">RANK(T963,T949:T968,1)</f>
        <v>15</v>
      </c>
      <c r="F963" s="187" t="str">
        <f>Calc2!$C$18</f>
        <v>SV Werder Bremen</v>
      </c>
      <c r="G963" s="1">
        <f ca="1">SUMIFS(OFFSET(Calc2!$H$4,,,$F$26*B947,1),OFFSET(Calc2!$F$4,,,$F$26*B947,1),F963)+SUMIFS(OFFSET(Calc2!$I$4,,,$F$26*B947,1),OFFSET(Calc2!$G$4,,,$F$26*B947,1),F963)</f>
        <v>37</v>
      </c>
      <c r="H963" s="1">
        <f ca="1">SUMIFS(OFFSET(Calc2!$I$4,,,$F$26*B947,1),OFFSET(Calc2!$F$4,,,$F$26*B947,1),F963)+SUMIFS(OFFSET(Calc2!$H$4,,,$F$26*B947,1),OFFSET(Calc2!$G$4,,,$F$26*B947,1),F963)</f>
        <v>60</v>
      </c>
      <c r="I963" s="134">
        <f t="shared" ca="1" si="175"/>
        <v>-23</v>
      </c>
      <c r="J963" s="12">
        <f ca="1">L963*Settings!$C$3+M963+O963</f>
        <v>32</v>
      </c>
      <c r="K963" s="1">
        <f t="shared" ca="1" si="178"/>
        <v>34</v>
      </c>
      <c r="L963" s="1">
        <f t="array" aca="1" ref="L963" ca="1">SUMPRODUCT((OFFSET(Calc2!$F$4,,,$F$26*B947,1)=F963)*(OFFSET(Calc2!$H$4,,,$F$26*B947,1)&gt;OFFSET(Calc2!$I$4,,,$F$26*B947,1)))+SUMPRODUCT((OFFSET(Calc2!$G$4,,,$F$26*B947,1)=F963)*(OFFSET(Calc2!$H$4,,,$F$26*B947,1)&lt;OFFSET(Calc2!$I$4,,,$F$26*B947,1)))</f>
        <v>8</v>
      </c>
      <c r="M963" s="1">
        <f t="array" aca="1" ref="M963" ca="1">SUMPRODUCT((OFFSET(Calc2!$F$4,,,$F$26*B947,2)=F963)*(OFFSET(Calc2!$H$4,,,$F$26*B947,1)=OFFSET(Calc2!$I$4,,,$F$26*B947,1))*(OFFSET(Calc2!$H$4,,,$F$26*B947,1)&lt;&gt;"")*(OFFSET(Calc2!$I$4,,,$F$26*B947,1)&lt;&gt;""))</f>
        <v>8</v>
      </c>
      <c r="N963" s="1">
        <f t="array" aca="1" ref="N963" ca="1">SUMPRODUCT((OFFSET(Calc2!$F$4,,,$F$26*B947,1)=F963)*(OFFSET(Calc2!$H$4,,,$F$26*B947,1)&lt;OFFSET(Calc2!$I$4,,,$F$26*B947,1)))+SUMPRODUCT((OFFSET(Calc2!$G$4,,,$F$26*B947,1)=F963)*(OFFSET(Calc2!$H$4,,,$F$26*B947,1)&gt;OFFSET(Calc2!$I$4,,,$F$26*B947,1)))</f>
        <v>18</v>
      </c>
      <c r="O963" s="132">
        <f ca="1">SUMPRODUCT((F963=OFFSET(Calc2!$F$4,,,$F$26*B947,1))*OFFSET(Calc2!$O$4,,,$F$26*B947,1))+SUMPRODUCT((F963=OFFSET(Calc2!$G$4,,,$F$26*B947,1))*OFFSET(Calc2!$P$4,,,$F$26*B947,1))</f>
        <v>0</v>
      </c>
      <c r="P963" s="2"/>
      <c r="Q963" s="2"/>
      <c r="R963" s="13">
        <f t="shared" ca="1" si="176"/>
        <v>32499977037</v>
      </c>
      <c r="S963" s="134">
        <f>Tie_Break!$D$21</f>
        <v>0</v>
      </c>
      <c r="T963" s="9">
        <f ca="1">RANK(R963,R949:R968)+(9-S963)/10000+(F963="")*1000</f>
        <v>15.0009</v>
      </c>
      <c r="U963" s="2"/>
      <c r="V963" s="134">
        <f ca="1">IF($K$24=0,"",IF(VLOOKUP(B963,C949:E968,3,0)=MAX(V$4:V962),VLOOKUP(B963,C949:E968,3,0),B963))</f>
        <v>15</v>
      </c>
      <c r="W963" s="4" t="str">
        <f ca="1">IF($K$24=0,Calc2!$C$18,VLOOKUP(B963,C949:N968,4,0))</f>
        <v>SV Werder Bremen</v>
      </c>
      <c r="X963" s="1">
        <f ca="1">INDEX(V922:V941,MATCH(W963,W922:W941,0))</f>
        <v>15</v>
      </c>
      <c r="Y963" s="1">
        <f t="shared" ca="1" si="179"/>
        <v>0</v>
      </c>
    </row>
    <row r="964" spans="2:25" x14ac:dyDescent="0.2">
      <c r="B964" s="1">
        <v>16</v>
      </c>
      <c r="C964" s="9">
        <f ca="1">RANK(D964,D949:D968,1)</f>
        <v>5</v>
      </c>
      <c r="D964" s="134">
        <f t="shared" ca="1" si="177"/>
        <v>5.9640000000000004</v>
      </c>
      <c r="E964" s="134">
        <f ca="1">RANK(T964,T949:T968,1)</f>
        <v>5</v>
      </c>
      <c r="F964" s="187" t="str">
        <f>Calc2!$C$19</f>
        <v>TSG Hoffenheim</v>
      </c>
      <c r="G964" s="1">
        <f ca="1">SUMIFS(OFFSET(Calc2!$H$4,,,$F$26*B947,1),OFFSET(Calc2!$F$4,,,$F$26*B947,1),F964)+SUMIFS(OFFSET(Calc2!$I$4,,,$F$26*B947,1),OFFSET(Calc2!$G$4,,,$F$26*B947,1),F964)</f>
        <v>65</v>
      </c>
      <c r="H964" s="1">
        <f ca="1">SUMIFS(OFFSET(Calc2!$I$4,,,$F$26*B947,1),OFFSET(Calc2!$F$4,,,$F$26*B947,1),F964)+SUMIFS(OFFSET(Calc2!$H$4,,,$F$26*B947,1),OFFSET(Calc2!$G$4,,,$F$26*B947,1),F964)</f>
        <v>52</v>
      </c>
      <c r="I964" s="134">
        <f t="shared" ca="1" si="175"/>
        <v>13</v>
      </c>
      <c r="J964" s="12">
        <f ca="1">L964*Settings!$C$3+M964+O964</f>
        <v>61</v>
      </c>
      <c r="K964" s="1">
        <f t="shared" ca="1" si="178"/>
        <v>34</v>
      </c>
      <c r="L964" s="1">
        <f t="array" aca="1" ref="L964" ca="1">SUMPRODUCT((OFFSET(Calc2!$F$4,,,$F$26*B947,1)=F964)*(OFFSET(Calc2!$H$4,,,$F$26*B947,1)&gt;OFFSET(Calc2!$I$4,,,$F$26*B947,1)))+SUMPRODUCT((OFFSET(Calc2!$G$4,,,$F$26*B947,1)=F964)*(OFFSET(Calc2!$H$4,,,$F$26*B947,1)&lt;OFFSET(Calc2!$I$4,,,$F$26*B947,1)))</f>
        <v>18</v>
      </c>
      <c r="M964" s="1">
        <f t="array" aca="1" ref="M964" ca="1">SUMPRODUCT((OFFSET(Calc2!$F$4,,,$F$26*B947,2)=F964)*(OFFSET(Calc2!$H$4,,,$F$26*B947,1)=OFFSET(Calc2!$I$4,,,$F$26*B947,1))*(OFFSET(Calc2!$H$4,,,$F$26*B947,1)&lt;&gt;"")*(OFFSET(Calc2!$I$4,,,$F$26*B947,1)&lt;&gt;""))</f>
        <v>7</v>
      </c>
      <c r="N964" s="1">
        <f t="array" aca="1" ref="N964" ca="1">SUMPRODUCT((OFFSET(Calc2!$F$4,,,$F$26*B947,1)=F964)*(OFFSET(Calc2!$H$4,,,$F$26*B947,1)&lt;OFFSET(Calc2!$I$4,,,$F$26*B947,1)))+SUMPRODUCT((OFFSET(Calc2!$G$4,,,$F$26*B947,1)=F964)*(OFFSET(Calc2!$H$4,,,$F$26*B947,1)&gt;OFFSET(Calc2!$I$4,,,$F$26*B947,1)))</f>
        <v>9</v>
      </c>
      <c r="O964" s="132">
        <f ca="1">SUMPRODUCT((F964=OFFSET(Calc2!$F$4,,,$F$26*B947,1))*OFFSET(Calc2!$O$4,,,$F$26*B947,1))+SUMPRODUCT((F964=OFFSET(Calc2!$G$4,,,$F$26*B947,1))*OFFSET(Calc2!$P$4,,,$F$26*B947,1))</f>
        <v>0</v>
      </c>
      <c r="P964" s="2"/>
      <c r="Q964" s="2"/>
      <c r="R964" s="13">
        <f t="shared" ca="1" si="176"/>
        <v>61500013065</v>
      </c>
      <c r="S964" s="134">
        <f>Tie_Break!$D$22</f>
        <v>0</v>
      </c>
      <c r="T964" s="9">
        <f ca="1">RANK(R964,R949:R968)+(9-S964)/10000+(F964="")*1000</f>
        <v>5.0008999999999997</v>
      </c>
      <c r="U964" s="2"/>
      <c r="V964" s="134">
        <f ca="1">IF($K$24=0,"",IF(VLOOKUP(B964,C949:E968,3,0)=MAX(V$4:V963),VLOOKUP(B964,C949:E968,3,0),B964))</f>
        <v>16</v>
      </c>
      <c r="W964" s="4" t="str">
        <f ca="1">IF($K$24=0,Calc2!$C$19,VLOOKUP(B964,C949:N968,4,0))</f>
        <v>VfL Wolfsburg</v>
      </c>
      <c r="X964" s="1">
        <f ca="1">INDEX(V922:V941,MATCH(W964,W922:W941,0))</f>
        <v>16</v>
      </c>
      <c r="Y964" s="1">
        <f t="shared" ca="1" si="179"/>
        <v>0</v>
      </c>
    </row>
    <row r="965" spans="2:25" x14ac:dyDescent="0.2">
      <c r="B965" s="1">
        <v>17</v>
      </c>
      <c r="C965" s="9">
        <f ca="1">RANK(D965,D949:D968,1)</f>
        <v>4</v>
      </c>
      <c r="D965" s="134">
        <f t="shared" ca="1" si="177"/>
        <v>4.9649999999999999</v>
      </c>
      <c r="E965" s="134">
        <f ca="1">RANK(T965,T949:T968,1)</f>
        <v>4</v>
      </c>
      <c r="F965" s="187" t="str">
        <f>Calc2!$C$20</f>
        <v>VfB Stuttgart</v>
      </c>
      <c r="G965" s="1">
        <f ca="1">SUMIFS(OFFSET(Calc2!$H$4,,,$F$26*B947,1),OFFSET(Calc2!$F$4,,,$F$26*B947,1),F965)+SUMIFS(OFFSET(Calc2!$I$4,,,$F$26*B947,1),OFFSET(Calc2!$G$4,,,$F$26*B947,1),F965)</f>
        <v>71</v>
      </c>
      <c r="H965" s="1">
        <f ca="1">SUMIFS(OFFSET(Calc2!$I$4,,,$F$26*B947,1),OFFSET(Calc2!$F$4,,,$F$26*B947,1),F965)+SUMIFS(OFFSET(Calc2!$H$4,,,$F$26*B947,1),OFFSET(Calc2!$G$4,,,$F$26*B947,1),F965)</f>
        <v>49</v>
      </c>
      <c r="I965" s="134">
        <f t="shared" ca="1" si="175"/>
        <v>22</v>
      </c>
      <c r="J965" s="12">
        <f ca="1">L965*Settings!$C$3+M965+O965</f>
        <v>62</v>
      </c>
      <c r="K965" s="1">
        <f t="shared" ca="1" si="178"/>
        <v>34</v>
      </c>
      <c r="L965" s="1">
        <f t="array" aca="1" ref="L965" ca="1">SUMPRODUCT((OFFSET(Calc2!$F$4,,,$F$26*B947,1)=F965)*(OFFSET(Calc2!$H$4,,,$F$26*B947,1)&gt;OFFSET(Calc2!$I$4,,,$F$26*B947,1)))+SUMPRODUCT((OFFSET(Calc2!$G$4,,,$F$26*B947,1)=F965)*(OFFSET(Calc2!$H$4,,,$F$26*B947,1)&lt;OFFSET(Calc2!$I$4,,,$F$26*B947,1)))</f>
        <v>18</v>
      </c>
      <c r="M965" s="1">
        <f t="array" aca="1" ref="M965" ca="1">SUMPRODUCT((OFFSET(Calc2!$F$4,,,$F$26*B947,2)=F965)*(OFFSET(Calc2!$H$4,,,$F$26*B947,1)=OFFSET(Calc2!$I$4,,,$F$26*B947,1))*(OFFSET(Calc2!$H$4,,,$F$26*B947,1)&lt;&gt;"")*(OFFSET(Calc2!$I$4,,,$F$26*B947,1)&lt;&gt;""))</f>
        <v>8</v>
      </c>
      <c r="N965" s="1">
        <f t="array" aca="1" ref="N965" ca="1">SUMPRODUCT((OFFSET(Calc2!$F$4,,,$F$26*B947,1)=F965)*(OFFSET(Calc2!$H$4,,,$F$26*B947,1)&lt;OFFSET(Calc2!$I$4,,,$F$26*B947,1)))+SUMPRODUCT((OFFSET(Calc2!$G$4,,,$F$26*B947,1)=F965)*(OFFSET(Calc2!$H$4,,,$F$26*B947,1)&gt;OFFSET(Calc2!$I$4,,,$F$26*B947,1)))</f>
        <v>8</v>
      </c>
      <c r="O965" s="132">
        <f ca="1">SUMPRODUCT((F965=OFFSET(Calc2!$F$4,,,$F$26*B947,1))*OFFSET(Calc2!$O$4,,,$F$26*B947,1))+SUMPRODUCT((F965=OFFSET(Calc2!$G$4,,,$F$26*B947,1))*OFFSET(Calc2!$P$4,,,$F$26*B947,1))</f>
        <v>0</v>
      </c>
      <c r="P965" s="2"/>
      <c r="Q965" s="2"/>
      <c r="R965" s="13">
        <f t="shared" ca="1" si="176"/>
        <v>62500022071</v>
      </c>
      <c r="S965" s="134">
        <f>Tie_Break!$D$23</f>
        <v>0</v>
      </c>
      <c r="T965" s="9">
        <f ca="1">RANK(R965,R949:R968)+(9-S965)/10000+(F965="")*1000</f>
        <v>4.0008999999999997</v>
      </c>
      <c r="U965" s="2"/>
      <c r="V965" s="134">
        <f ca="1">IF($K$24=0,"",IF(VLOOKUP(B965,C949:E968,3,0)=MAX(V$4:V964),VLOOKUP(B965,C949:E968,3,0),B965))</f>
        <v>17</v>
      </c>
      <c r="W965" s="4" t="str">
        <f ca="1">IF($K$24=0,Calc2!$C$20,VLOOKUP(B965,C949:N968,4,0))</f>
        <v>1. FC Heidenheim 1846</v>
      </c>
      <c r="X965" s="1">
        <f ca="1">INDEX(V922:V941,MATCH(W965,W922:W941,0))</f>
        <v>17</v>
      </c>
      <c r="Y965" s="1">
        <f t="shared" ca="1" si="179"/>
        <v>0</v>
      </c>
    </row>
    <row r="966" spans="2:25" x14ac:dyDescent="0.2">
      <c r="B966" s="1">
        <v>18</v>
      </c>
      <c r="C966" s="9">
        <f ca="1">RANK(D966,D949:D968,1)</f>
        <v>16</v>
      </c>
      <c r="D966" s="134">
        <f t="shared" ca="1" si="177"/>
        <v>16.966000000000001</v>
      </c>
      <c r="E966" s="134">
        <f ca="1">RANK(T966,T949:T968,1)</f>
        <v>16</v>
      </c>
      <c r="F966" s="187" t="str">
        <f>Calc2!$C$21</f>
        <v>VfL Wolfsburg</v>
      </c>
      <c r="G966" s="1">
        <f ca="1">SUMIFS(OFFSET(Calc2!$H$4,,,$F$26*B947,1),OFFSET(Calc2!$F$4,,,$F$26*B947,1),F966)+SUMIFS(OFFSET(Calc2!$I$4,,,$F$26*B947,1),OFFSET(Calc2!$G$4,,,$F$26*B947,1),F966)</f>
        <v>45</v>
      </c>
      <c r="H966" s="1">
        <f ca="1">SUMIFS(OFFSET(Calc2!$I$4,,,$F$26*B947,1),OFFSET(Calc2!$F$4,,,$F$26*B947,1),F966)+SUMIFS(OFFSET(Calc2!$H$4,,,$F$26*B947,1),OFFSET(Calc2!$G$4,,,$F$26*B947,1),F966)</f>
        <v>69</v>
      </c>
      <c r="I966" s="134">
        <f t="shared" ca="1" si="175"/>
        <v>-24</v>
      </c>
      <c r="J966" s="12">
        <f ca="1">L966*Settings!$C$3+M966+O966</f>
        <v>29</v>
      </c>
      <c r="K966" s="1">
        <f t="shared" ca="1" si="178"/>
        <v>34</v>
      </c>
      <c r="L966" s="1">
        <f t="array" aca="1" ref="L966" ca="1">SUMPRODUCT((OFFSET(Calc2!$F$4,,,$F$26*B947,1)=F966)*(OFFSET(Calc2!$H$4,,,$F$26*B947,1)&gt;OFFSET(Calc2!$I$4,,,$F$26*B947,1)))+SUMPRODUCT((OFFSET(Calc2!$G$4,,,$F$26*B947,1)=F966)*(OFFSET(Calc2!$H$4,,,$F$26*B947,1)&lt;OFFSET(Calc2!$I$4,,,$F$26*B947,1)))</f>
        <v>7</v>
      </c>
      <c r="M966" s="1">
        <f t="array" aca="1" ref="M966" ca="1">SUMPRODUCT((OFFSET(Calc2!$F$4,,,$F$26*B947,2)=F966)*(OFFSET(Calc2!$H$4,,,$F$26*B947,1)=OFFSET(Calc2!$I$4,,,$F$26*B947,1))*(OFFSET(Calc2!$H$4,,,$F$26*B947,1)&lt;&gt;"")*(OFFSET(Calc2!$I$4,,,$F$26*B947,1)&lt;&gt;""))</f>
        <v>8</v>
      </c>
      <c r="N966" s="1">
        <f t="array" aca="1" ref="N966" ca="1">SUMPRODUCT((OFFSET(Calc2!$F$4,,,$F$26*B947,1)=F966)*(OFFSET(Calc2!$H$4,,,$F$26*B947,1)&lt;OFFSET(Calc2!$I$4,,,$F$26*B947,1)))+SUMPRODUCT((OFFSET(Calc2!$G$4,,,$F$26*B947,1)=F966)*(OFFSET(Calc2!$H$4,,,$F$26*B947,1)&gt;OFFSET(Calc2!$I$4,,,$F$26*B947,1)))</f>
        <v>19</v>
      </c>
      <c r="O966" s="132">
        <f ca="1">SUMPRODUCT((F966=OFFSET(Calc2!$F$4,,,$F$26*B947,1))*OFFSET(Calc2!$O$4,,,$F$26*B947,1))+SUMPRODUCT((F966=OFFSET(Calc2!$G$4,,,$F$26*B947,1))*OFFSET(Calc2!$P$4,,,$F$26*B947,1))</f>
        <v>0</v>
      </c>
      <c r="P966" s="2"/>
      <c r="Q966" s="2"/>
      <c r="R966" s="13">
        <f t="shared" ca="1" si="176"/>
        <v>29499976045</v>
      </c>
      <c r="S966" s="134">
        <f>Tie_Break!$D$24</f>
        <v>0</v>
      </c>
      <c r="T966" s="9">
        <f ca="1">RANK(R966,R949:R968)+(9-S966)/10000+(F966="")*1000</f>
        <v>16.000900000000001</v>
      </c>
      <c r="U966" s="2"/>
      <c r="V966" s="134">
        <f ca="1">IF($K$24=0,"",IF(VLOOKUP(B966,C949:E968,3,0)=MAX(V$4:V965),VLOOKUP(B966,C949:E968,3,0),B966))</f>
        <v>18</v>
      </c>
      <c r="W966" s="4" t="str">
        <f ca="1">IF($K$24=0,Calc2!$C$21,VLOOKUP(B966,C949:N968,4,0))</f>
        <v>FC St. Pauli</v>
      </c>
      <c r="X966" s="1">
        <f ca="1">INDEX(V922:V941,MATCH(W966,W922:W941,0))</f>
        <v>18</v>
      </c>
      <c r="Y966" s="1">
        <f t="shared" ca="1" si="179"/>
        <v>0</v>
      </c>
    </row>
    <row r="967" spans="2:25" x14ac:dyDescent="0.2">
      <c r="B967" s="1">
        <v>19</v>
      </c>
      <c r="C967" s="9">
        <f ca="1">RANK(D967,D949:D968,1)</f>
        <v>19</v>
      </c>
      <c r="D967" s="134">
        <f t="shared" ca="1" si="177"/>
        <v>19.966999999999999</v>
      </c>
      <c r="E967" s="134">
        <f ca="1">RANK(T967,T949:T968,1)</f>
        <v>19</v>
      </c>
      <c r="F967" s="187" t="str">
        <f>Calc2!$C$22</f>
        <v/>
      </c>
      <c r="G967" s="1">
        <f ca="1">SUMIFS(OFFSET(Calc2!$H$4,,,$F$26*B947,1),OFFSET(Calc2!$F$4,,,$F$26*B947,1),F967)+SUMIFS(OFFSET(Calc2!$I$4,,,$F$26*B947,1),OFFSET(Calc2!$G$4,,,$F$26*B947,1),F967)</f>
        <v>0</v>
      </c>
      <c r="H967" s="1">
        <f ca="1">SUMIFS(OFFSET(Calc2!$I$4,,,$F$26*B947,1),OFFSET(Calc2!$F$4,,,$F$26*B947,1),F967)+SUMIFS(OFFSET(Calc2!$H$4,,,$F$26*B947,1),OFFSET(Calc2!$G$4,,,$F$26*B947,1),F967)</f>
        <v>0</v>
      </c>
      <c r="I967" s="134">
        <f t="shared" ca="1" si="175"/>
        <v>0</v>
      </c>
      <c r="J967" s="12">
        <f ca="1">L967*Settings!$C$3+M967+O967</f>
        <v>0</v>
      </c>
      <c r="K967" s="1">
        <f t="shared" ca="1" si="178"/>
        <v>0</v>
      </c>
      <c r="L967" s="1">
        <f t="array" aca="1" ref="L967" ca="1">SUMPRODUCT((OFFSET(Calc2!$F$4,,,$F$26*B947,1)=F967)*(OFFSET(Calc2!$H$4,,,$F$26*B947,1)&gt;OFFSET(Calc2!$I$4,,,$F$26*B947,1)))+SUMPRODUCT((OFFSET(Calc2!$G$4,,,$F$26*B947,1)=F967)*(OFFSET(Calc2!$H$4,,,$F$26*B947,1)&lt;OFFSET(Calc2!$I$4,,,$F$26*B947,1)))</f>
        <v>0</v>
      </c>
      <c r="M967" s="1">
        <f t="array" aca="1" ref="M967" ca="1">SUMPRODUCT((OFFSET(Calc2!$F$4,,,$F$26*B947,2)=F967)*(OFFSET(Calc2!$H$4,,,$F$26*B947,1)=OFFSET(Calc2!$I$4,,,$F$26*B947,1))*(OFFSET(Calc2!$H$4,,,$F$26*B947,1)&lt;&gt;"")*(OFFSET(Calc2!$I$4,,,$F$26*B947,1)&lt;&gt;""))</f>
        <v>0</v>
      </c>
      <c r="N967" s="1">
        <f t="array" aca="1" ref="N967" ca="1">SUMPRODUCT((OFFSET(Calc2!$F$4,,,$F$26*B947,1)=F967)*(OFFSET(Calc2!$H$4,,,$F$26*B947,1)&lt;OFFSET(Calc2!$I$4,,,$F$26*B947,1)))+SUMPRODUCT((OFFSET(Calc2!$G$4,,,$F$26*B947,1)=F967)*(OFFSET(Calc2!$H$4,,,$F$26*B947,1)&gt;OFFSET(Calc2!$I$4,,,$F$26*B947,1)))</f>
        <v>0</v>
      </c>
      <c r="O967" s="132">
        <f ca="1">SUMPRODUCT((F967=OFFSET(Calc2!$F$4,,,$F$26*B947,1))*OFFSET(Calc2!$O$4,,,$F$26*B947,1))+SUMPRODUCT((F967=OFFSET(Calc2!$G$4,,,$F$26*B947,1))*OFFSET(Calc2!$P$4,,,$F$26*B947,1))</f>
        <v>0</v>
      </c>
      <c r="P967" s="2"/>
      <c r="Q967" s="2"/>
      <c r="R967" s="13">
        <f t="shared" ca="1" si="176"/>
        <v>500000000</v>
      </c>
      <c r="S967" s="134">
        <f>Tie_Break!$D$25</f>
        <v>0</v>
      </c>
      <c r="T967" s="9">
        <f ca="1">RANK(R967,R949:R968)+(9-S967)/10000+(F967="")*1000</f>
        <v>1019.0009</v>
      </c>
      <c r="U967" s="2"/>
      <c r="V967" s="134">
        <f ca="1">IF($K$24=0,"",IF(VLOOKUP(B967,C949:E968,3,0)=MAX(V$4:V966),VLOOKUP(B967,C949:E968,3,0),B967))</f>
        <v>19</v>
      </c>
      <c r="W967" s="4" t="str">
        <f ca="1">IF($K$24=0,Calc2!$C$22,VLOOKUP(B967,C949:N968,4,0))</f>
        <v/>
      </c>
      <c r="X967" s="1">
        <f ca="1">INDEX(V922:V941,MATCH(W967,W922:W941,0))</f>
        <v>19</v>
      </c>
      <c r="Y967" s="1">
        <f t="shared" ca="1" si="179"/>
        <v>0</v>
      </c>
    </row>
    <row r="968" spans="2:25" ht="12.75" thickBot="1" x14ac:dyDescent="0.25">
      <c r="B968" s="1">
        <v>20</v>
      </c>
      <c r="C968" s="10">
        <f ca="1">RANK(D968,D949:D968,1)</f>
        <v>20</v>
      </c>
      <c r="D968" s="134">
        <f t="shared" ca="1" si="177"/>
        <v>19.968</v>
      </c>
      <c r="E968" s="134">
        <f ca="1">RANK(T968,T949:T968,1)</f>
        <v>19</v>
      </c>
      <c r="F968" s="187" t="str">
        <f>Calc2!$C$23</f>
        <v/>
      </c>
      <c r="G968" s="1">
        <f ca="1">SUMIFS(OFFSET(Calc2!$H$4,,,$F$26*B947,1),OFFSET(Calc2!$F$4,,,$F$26*B947,1),F968)+SUMIFS(OFFSET(Calc2!$I$4,,,$F$26*B947,1),OFFSET(Calc2!$G$4,,,$F$26*B947,1),F968)</f>
        <v>0</v>
      </c>
      <c r="H968" s="1">
        <f ca="1">SUMIFS(OFFSET(Calc2!$I$4,,,$F$26*B947,1),OFFSET(Calc2!$F$4,,,$F$26*B947,1),F968)+SUMIFS(OFFSET(Calc2!$H$4,,,$F$26*B947,1),OFFSET(Calc2!$G$4,,,$F$26*B947,1),F968)</f>
        <v>0</v>
      </c>
      <c r="I968" s="134">
        <f t="shared" ca="1" si="175"/>
        <v>0</v>
      </c>
      <c r="J968" s="12">
        <f ca="1">L968*Settings!$C$3+M968+O968</f>
        <v>0</v>
      </c>
      <c r="K968" s="1">
        <f t="shared" ca="1" si="178"/>
        <v>0</v>
      </c>
      <c r="L968" s="1">
        <f t="array" aca="1" ref="L968" ca="1">SUMPRODUCT((OFFSET(Calc2!$F$4,,,$F$26*B947,1)=F968)*(OFFSET(Calc2!$H$4,,,$F$26*B947,1)&gt;OFFSET(Calc2!$I$4,,,$F$26*B947,1)))+SUMPRODUCT((OFFSET(Calc2!$G$4,,,$F$26*B947,1)=F968)*(OFFSET(Calc2!$H$4,,,$F$26*B947,1)&lt;OFFSET(Calc2!$I$4,,,$F$26*B947,1)))</f>
        <v>0</v>
      </c>
      <c r="M968" s="1">
        <f t="array" aca="1" ref="M968" ca="1">SUMPRODUCT((OFFSET(Calc2!$F$4,,,$F$26*B947,2)=F968)*(OFFSET(Calc2!$H$4,,,$F$26*B947,1)=OFFSET(Calc2!$I$4,,,$F$26*B947,1))*(OFFSET(Calc2!$H$4,,,$F$26*B947,1)&lt;&gt;"")*(OFFSET(Calc2!$I$4,,,$F$26*B947,1)&lt;&gt;""))</f>
        <v>0</v>
      </c>
      <c r="N968" s="1">
        <f t="array" aca="1" ref="N968" ca="1">SUMPRODUCT((OFFSET(Calc2!$F$4,,,$F$26*B947,1)=F968)*(OFFSET(Calc2!$H$4,,,$F$26*B947,1)&lt;OFFSET(Calc2!$I$4,,,$F$26*B947,1)))+SUMPRODUCT((OFFSET(Calc2!$G$4,,,$F$26*B947,1)=F968)*(OFFSET(Calc2!$H$4,,,$F$26*B947,1)&gt;OFFSET(Calc2!$I$4,,,$F$26*B947,1)))</f>
        <v>0</v>
      </c>
      <c r="O968" s="132">
        <f ca="1">SUMPRODUCT((F968=OFFSET(Calc2!$F$4,,,$F$26*B947,1))*OFFSET(Calc2!$O$4,,,$F$26*B947,1))+SUMPRODUCT((F968=OFFSET(Calc2!$G$4,,,$F$26*B947,1))*OFFSET(Calc2!$P$4,,,$F$26*B947,1))</f>
        <v>0</v>
      </c>
      <c r="P968" s="2"/>
      <c r="Q968" s="2"/>
      <c r="R968" s="13">
        <f t="shared" ca="1" si="176"/>
        <v>500000000</v>
      </c>
      <c r="S968" s="134">
        <f>Tie_Break!$D$26</f>
        <v>0</v>
      </c>
      <c r="T968" s="10">
        <f ca="1">RANK(R968,R949:R968)+(9-S968)/10000+(F968="")*1000</f>
        <v>1019.0009</v>
      </c>
      <c r="U968" s="2"/>
      <c r="V968" s="134">
        <f ca="1">IF($K$24=0,"",IF(VLOOKUP(B968,C949:E968,3,0)=MAX(V$4:V967),VLOOKUP(B968,C949:E968,3,0),B968))</f>
        <v>19</v>
      </c>
      <c r="W968" s="4" t="str">
        <f ca="1">IF($K$24=0,Calc2!$C$23,VLOOKUP(B968,C949:N968,4,0))</f>
        <v/>
      </c>
      <c r="X968" s="1">
        <f ca="1">INDEX(V922:V941,MATCH(W968,W922:W941,0))</f>
        <v>19</v>
      </c>
      <c r="Y968" s="1">
        <f t="shared" ca="1" si="179"/>
        <v>0</v>
      </c>
    </row>
    <row r="969" spans="2:25" ht="12.75" thickTop="1" x14ac:dyDescent="0.2"/>
    <row r="973" spans="2:25" ht="12.75" thickBot="1" x14ac:dyDescent="0.25"/>
    <row r="974" spans="2:25" ht="12.75" thickBot="1" x14ac:dyDescent="0.25">
      <c r="B974" s="410">
        <v>37</v>
      </c>
      <c r="C974" s="134"/>
      <c r="D974" s="134"/>
      <c r="E974" s="134"/>
      <c r="F974" s="187"/>
      <c r="G974" s="1"/>
      <c r="H974" s="1"/>
      <c r="I974" s="1"/>
      <c r="J974" s="1"/>
      <c r="K974" s="1"/>
      <c r="L974" s="1"/>
      <c r="M974" s="1"/>
      <c r="N974" s="134"/>
      <c r="O974" s="1"/>
      <c r="P974" s="1"/>
      <c r="Q974" s="1"/>
      <c r="R974" s="2"/>
      <c r="S974" s="2"/>
      <c r="T974" s="2"/>
      <c r="U974" s="2"/>
      <c r="V974" s="2"/>
      <c r="W974" s="2"/>
    </row>
    <row r="975" spans="2:25" ht="15.75" thickBot="1" x14ac:dyDescent="0.25">
      <c r="B975" s="1"/>
      <c r="C975" s="134"/>
      <c r="D975" s="134"/>
      <c r="E975" s="134"/>
      <c r="F975" s="11" t="s">
        <v>90</v>
      </c>
      <c r="G975" s="42" t="s">
        <v>95</v>
      </c>
      <c r="H975" s="42" t="s">
        <v>96</v>
      </c>
      <c r="I975" s="11" t="s">
        <v>97</v>
      </c>
      <c r="J975" s="11" t="s">
        <v>98</v>
      </c>
      <c r="K975" s="11" t="s">
        <v>91</v>
      </c>
      <c r="L975" s="12" t="s">
        <v>92</v>
      </c>
      <c r="M975" s="12" t="s">
        <v>93</v>
      </c>
      <c r="N975" s="12" t="s">
        <v>94</v>
      </c>
      <c r="O975" s="12" t="s">
        <v>534</v>
      </c>
      <c r="P975" s="2"/>
      <c r="Q975" s="11"/>
      <c r="R975" s="133" t="s">
        <v>99</v>
      </c>
      <c r="S975" s="6" t="s">
        <v>483</v>
      </c>
      <c r="T975" s="120" t="s">
        <v>146</v>
      </c>
      <c r="U975" s="134"/>
      <c r="V975" s="134"/>
      <c r="W975" s="132"/>
      <c r="X975" s="120" t="s">
        <v>575</v>
      </c>
      <c r="Y975" s="1"/>
    </row>
    <row r="976" spans="2:25" ht="12.75" thickTop="1" x14ac:dyDescent="0.2">
      <c r="B976" s="1">
        <v>1</v>
      </c>
      <c r="C976" s="8">
        <f ca="1">RANK(D976,D976:D995,1)</f>
        <v>17</v>
      </c>
      <c r="D976" s="134">
        <f ca="1">E976+ROW()/1000</f>
        <v>17.975999999999999</v>
      </c>
      <c r="E976" s="134">
        <f ca="1">RANK(T976,T976:T995,1)</f>
        <v>17</v>
      </c>
      <c r="F976" s="187" t="str">
        <f>Calc2!$C$4</f>
        <v>1. FC Heidenheim 1846</v>
      </c>
      <c r="G976" s="1">
        <f ca="1">SUMIFS(OFFSET(Calc2!$H$4,,,$F$26*B974,1),OFFSET(Calc2!$F$4,,,$F$26*B974,1),F976)+SUMIFS(OFFSET(Calc2!$I$4,,,$F$26*B974,1),OFFSET(Calc2!$G$4,,,$F$26*B974,1),F976)</f>
        <v>41</v>
      </c>
      <c r="H976" s="1">
        <f ca="1">SUMIFS(OFFSET(Calc2!$I$4,,,$F$26*B974,1),OFFSET(Calc2!$F$4,,,$F$26*B974,1),F976)+SUMIFS(OFFSET(Calc2!$H$4,,,$F$26*B974,1),OFFSET(Calc2!$G$4,,,$F$26*B974,1),F976)</f>
        <v>72</v>
      </c>
      <c r="I976" s="134">
        <f t="shared" ref="I976:I995" ca="1" si="180">G976-H976</f>
        <v>-31</v>
      </c>
      <c r="J976" s="12">
        <f ca="1">L976*Settings!$C$3+M976+O976</f>
        <v>26</v>
      </c>
      <c r="K976" s="1">
        <f ca="1">L976+M976+N976</f>
        <v>34</v>
      </c>
      <c r="L976" s="1">
        <f t="array" aca="1" ref="L976" ca="1">SUMPRODUCT((OFFSET(Calc2!$F$4,,,$F$26*B974,1)=F976)*(OFFSET(Calc2!$H$4,,,$F$26*B974,1)&gt;OFFSET(Calc2!$I$4,,,$F$26*B974,1)))+SUMPRODUCT((OFFSET(Calc2!$G$4,,,$F$26*B974,1)=F976)*(OFFSET(Calc2!$H$4,,,$F$26*B974,1)&lt;OFFSET(Calc2!$I$4,,,$F$26*B974,1)))</f>
        <v>6</v>
      </c>
      <c r="M976" s="1">
        <f t="array" aca="1" ref="M976" ca="1">SUMPRODUCT((OFFSET(Calc2!$F$4,,,$F$26*B974,2)=F976)*(OFFSET(Calc2!$H$4,,,$F$26*B974,1)=OFFSET(Calc2!$I$4,,,$F$26*B974,1))*(OFFSET(Calc2!$H$4,,,$F$26*B974,1)&lt;&gt;"")*(OFFSET(Calc2!$I$4,,,$F$26*B974,1)&lt;&gt;""))</f>
        <v>8</v>
      </c>
      <c r="N976" s="1">
        <f t="array" aca="1" ref="N976" ca="1">SUMPRODUCT((OFFSET(Calc2!$F$4,,,$F$26*B974,1)=F976)*(OFFSET(Calc2!$H$4,,,$F$26*B974,1)&lt;OFFSET(Calc2!$I$4,,,$F$26*B974,1)))+SUMPRODUCT((OFFSET(Calc2!$G$4,,,$F$26*B974,1)=F976)*(OFFSET(Calc2!$H$4,,,$F$26*B974,1)&gt;OFFSET(Calc2!$I$4,,,$F$26*B974,1)))</f>
        <v>20</v>
      </c>
      <c r="O976" s="132">
        <f ca="1">SUMPRODUCT((F976=OFFSET(Calc2!$F$4,,,$F$26*B974,1))*OFFSET(Calc2!$O$4,,,$F$26*B974,1))+SUMPRODUCT((F976=OFFSET(Calc2!$G$4,,,$F$26*B974,1))*OFFSET(Calc2!$P$4,,,$F$26*B974,1))</f>
        <v>0</v>
      </c>
      <c r="P976" s="2"/>
      <c r="Q976" s="2"/>
      <c r="R976" s="13">
        <f t="shared" ref="R976:R995" ca="1" si="181">J976*FactorPts+(I976+GDzero)*FactorGD+G976*FactorGF</f>
        <v>26499969041</v>
      </c>
      <c r="S976" s="134">
        <f>Tie_Break!$D$7</f>
        <v>0</v>
      </c>
      <c r="T976" s="8">
        <f ca="1">RANK(R976,R976:R995)+(9-S976)/10000+(F976="")*1000</f>
        <v>17.000900000000001</v>
      </c>
      <c r="U976" s="134"/>
      <c r="V976" s="134">
        <f ca="1">IF($K$24=0,"",1)</f>
        <v>1</v>
      </c>
      <c r="W976" s="4" t="str">
        <f ca="1">IF($K$24=0,Calc2!$C$4,VLOOKUP(B976,C976:N995,4,0))</f>
        <v>FC Bayern München</v>
      </c>
      <c r="X976" s="1">
        <f ca="1">INDEX(V949:V968,MATCH(W976,W949:W968,0))</f>
        <v>1</v>
      </c>
      <c r="Y976" s="1">
        <f ca="1">IF(X976&gt;V976,1,IF(X976&lt;V976,-1,0))</f>
        <v>0</v>
      </c>
    </row>
    <row r="977" spans="2:25" x14ac:dyDescent="0.2">
      <c r="B977" s="1">
        <v>2</v>
      </c>
      <c r="C977" s="9">
        <f ca="1">RANK(D977,D976:D995,1)</f>
        <v>14</v>
      </c>
      <c r="D977" s="134">
        <f t="shared" ref="D977:D995" ca="1" si="182">E977+ROW()/1000</f>
        <v>14.977</v>
      </c>
      <c r="E977" s="134">
        <f ca="1">RANK(T977,T976:T995,1)</f>
        <v>14</v>
      </c>
      <c r="F977" s="187" t="str">
        <f>Calc2!$C$5</f>
        <v>1. FC Köln</v>
      </c>
      <c r="G977" s="1">
        <f ca="1">SUMIFS(OFFSET(Calc2!$H$4,,,$F$26*B974,1),OFFSET(Calc2!$F$4,,,$F$26*B974,1),F977)+SUMIFS(OFFSET(Calc2!$I$4,,,$F$26*B974,1),OFFSET(Calc2!$G$4,,,$F$26*B974,1),F977)</f>
        <v>49</v>
      </c>
      <c r="H977" s="1">
        <f ca="1">SUMIFS(OFFSET(Calc2!$I$4,,,$F$26*B974,1),OFFSET(Calc2!$F$4,,,$F$26*B974,1),F977)+SUMIFS(OFFSET(Calc2!$H$4,,,$F$26*B974,1),OFFSET(Calc2!$G$4,,,$F$26*B974,1),F977)</f>
        <v>63</v>
      </c>
      <c r="I977" s="134">
        <f t="shared" ca="1" si="180"/>
        <v>-14</v>
      </c>
      <c r="J977" s="12">
        <f ca="1">L977*Settings!$C$3+M977+O977</f>
        <v>32</v>
      </c>
      <c r="K977" s="1">
        <f t="shared" ref="K977:K995" ca="1" si="183">L977+M977+N977</f>
        <v>34</v>
      </c>
      <c r="L977" s="1">
        <f t="array" aca="1" ref="L977" ca="1">SUMPRODUCT((OFFSET(Calc2!$F$4,,,$F$26*B974,1)=F977)*(OFFSET(Calc2!$H$4,,,$F$26*B974,1)&gt;OFFSET(Calc2!$I$4,,,$F$26*B974,1)))+SUMPRODUCT((OFFSET(Calc2!$G$4,,,$F$26*B974,1)=F977)*(OFFSET(Calc2!$H$4,,,$F$26*B974,1)&lt;OFFSET(Calc2!$I$4,,,$F$26*B974,1)))</f>
        <v>7</v>
      </c>
      <c r="M977" s="1">
        <f t="array" aca="1" ref="M977" ca="1">SUMPRODUCT((OFFSET(Calc2!$F$4,,,$F$26*B974,2)=F977)*(OFFSET(Calc2!$H$4,,,$F$26*B974,1)=OFFSET(Calc2!$I$4,,,$F$26*B974,1))*(OFFSET(Calc2!$H$4,,,$F$26*B974,1)&lt;&gt;"")*(OFFSET(Calc2!$I$4,,,$F$26*B974,1)&lt;&gt;""))</f>
        <v>11</v>
      </c>
      <c r="N977" s="1">
        <f t="array" aca="1" ref="N977" ca="1">SUMPRODUCT((OFFSET(Calc2!$F$4,,,$F$26*B974,1)=F977)*(OFFSET(Calc2!$H$4,,,$F$26*B974,1)&lt;OFFSET(Calc2!$I$4,,,$F$26*B974,1)))+SUMPRODUCT((OFFSET(Calc2!$G$4,,,$F$26*B974,1)=F977)*(OFFSET(Calc2!$H$4,,,$F$26*B974,1)&gt;OFFSET(Calc2!$I$4,,,$F$26*B974,1)))</f>
        <v>16</v>
      </c>
      <c r="O977" s="132">
        <f ca="1">SUMPRODUCT((F977=OFFSET(Calc2!$F$4,,,$F$26*B974,1))*OFFSET(Calc2!$O$4,,,$F$26*B974,1))+SUMPRODUCT((F977=OFFSET(Calc2!$G$4,,,$F$26*B974,1))*OFFSET(Calc2!$P$4,,,$F$26*B974,1))</f>
        <v>0</v>
      </c>
      <c r="P977" s="2"/>
      <c r="Q977" s="2"/>
      <c r="R977" s="13">
        <f t="shared" ca="1" si="181"/>
        <v>32499986049</v>
      </c>
      <c r="S977" s="134">
        <f>Tie_Break!$D$8</f>
        <v>0</v>
      </c>
      <c r="T977" s="9">
        <f ca="1">RANK(R977,R976:R995)+(9-S977)/10000+(F977="")*1000</f>
        <v>14.0009</v>
      </c>
      <c r="U977" s="134"/>
      <c r="V977" s="134">
        <f ca="1">IF($K$24=0,"",IF(VLOOKUP(B977,C976:E995,3,0)=MAX(V$4:V976),VLOOKUP(B977,C976:E995,3,0),B977))</f>
        <v>2</v>
      </c>
      <c r="W977" s="4" t="str">
        <f ca="1">IF($K$24=0,Calc2!$C$5,VLOOKUP(B977,C976:N995,4,0))</f>
        <v>Borussia Dortmund</v>
      </c>
      <c r="X977" s="1">
        <f ca="1">INDEX(V949:V968,MATCH(W977,W949:W968,0))</f>
        <v>2</v>
      </c>
      <c r="Y977" s="1">
        <f t="shared" ref="Y977:Y995" ca="1" si="184">IF(X977&gt;V977,1,IF(X977&lt;V977,-1,0))</f>
        <v>0</v>
      </c>
    </row>
    <row r="978" spans="2:25" x14ac:dyDescent="0.2">
      <c r="B978" s="1">
        <v>3</v>
      </c>
      <c r="C978" s="9">
        <f ca="1">RANK(D978,D976:D995,1)</f>
        <v>11</v>
      </c>
      <c r="D978" s="134">
        <f t="shared" ca="1" si="182"/>
        <v>11.978</v>
      </c>
      <c r="E978" s="134">
        <f ca="1">RANK(T978,T976:T995,1)</f>
        <v>11</v>
      </c>
      <c r="F978" s="187" t="str">
        <f>Calc2!$C$6</f>
        <v>1. FC Union Berlin</v>
      </c>
      <c r="G978" s="1">
        <f ca="1">SUMIFS(OFFSET(Calc2!$H$4,,,$F$26*B974,1),OFFSET(Calc2!$F$4,,,$F$26*B974,1),F978)+SUMIFS(OFFSET(Calc2!$I$4,,,$F$26*B974,1),OFFSET(Calc2!$G$4,,,$F$26*B974,1),F978)</f>
        <v>42</v>
      </c>
      <c r="H978" s="1">
        <f ca="1">SUMIFS(OFFSET(Calc2!$I$4,,,$F$26*B974,1),OFFSET(Calc2!$F$4,,,$F$26*B974,1),F978)+SUMIFS(OFFSET(Calc2!$H$4,,,$F$26*B974,1),OFFSET(Calc2!$G$4,,,$F$26*B974,1),F978)</f>
        <v>57</v>
      </c>
      <c r="I978" s="134">
        <f t="shared" ca="1" si="180"/>
        <v>-15</v>
      </c>
      <c r="J978" s="12">
        <f ca="1">L978*Settings!$C$3+M978+O978</f>
        <v>39</v>
      </c>
      <c r="K978" s="1">
        <f t="shared" ca="1" si="183"/>
        <v>34</v>
      </c>
      <c r="L978" s="1">
        <f t="array" aca="1" ref="L978" ca="1">SUMPRODUCT((OFFSET(Calc2!$F$4,,,$F$26*B974,1)=F978)*(OFFSET(Calc2!$H$4,,,$F$26*B974,1)&gt;OFFSET(Calc2!$I$4,,,$F$26*B974,1)))+SUMPRODUCT((OFFSET(Calc2!$G$4,,,$F$26*B974,1)=F978)*(OFFSET(Calc2!$H$4,,,$F$26*B974,1)&lt;OFFSET(Calc2!$I$4,,,$F$26*B974,1)))</f>
        <v>10</v>
      </c>
      <c r="M978" s="1">
        <f t="array" aca="1" ref="M978" ca="1">SUMPRODUCT((OFFSET(Calc2!$F$4,,,$F$26*B974,2)=F978)*(OFFSET(Calc2!$H$4,,,$F$26*B974,1)=OFFSET(Calc2!$I$4,,,$F$26*B974,1))*(OFFSET(Calc2!$H$4,,,$F$26*B974,1)&lt;&gt;"")*(OFFSET(Calc2!$I$4,,,$F$26*B974,1)&lt;&gt;""))</f>
        <v>9</v>
      </c>
      <c r="N978" s="1">
        <f t="array" aca="1" ref="N978" ca="1">SUMPRODUCT((OFFSET(Calc2!$F$4,,,$F$26*B974,1)=F978)*(OFFSET(Calc2!$H$4,,,$F$26*B974,1)&lt;OFFSET(Calc2!$I$4,,,$F$26*B974,1)))+SUMPRODUCT((OFFSET(Calc2!$G$4,,,$F$26*B974,1)=F978)*(OFFSET(Calc2!$H$4,,,$F$26*B974,1)&gt;OFFSET(Calc2!$I$4,,,$F$26*B974,1)))</f>
        <v>15</v>
      </c>
      <c r="O978" s="132">
        <f ca="1">SUMPRODUCT((F978=OFFSET(Calc2!$F$4,,,$F$26*B974,1))*OFFSET(Calc2!$O$4,,,$F$26*B974,1))+SUMPRODUCT((F978=OFFSET(Calc2!$G$4,,,$F$26*B974,1))*OFFSET(Calc2!$P$4,,,$F$26*B974,1))</f>
        <v>0</v>
      </c>
      <c r="P978" s="2"/>
      <c r="Q978" s="2"/>
      <c r="R978" s="13">
        <f t="shared" ca="1" si="181"/>
        <v>39499985042</v>
      </c>
      <c r="S978" s="134">
        <f>Tie_Break!$D$9</f>
        <v>0</v>
      </c>
      <c r="T978" s="9">
        <f ca="1">RANK(R978,R976:R995)+(9-S978)/10000+(F978="")*1000</f>
        <v>11.0009</v>
      </c>
      <c r="U978" s="134"/>
      <c r="V978" s="134">
        <f ca="1">IF($K$24=0,"",IF(VLOOKUP(B978,C976:E995,3,0)=MAX(V$4:V977),VLOOKUP(B978,C976:E995,3,0),B978))</f>
        <v>3</v>
      </c>
      <c r="W978" s="4" t="str">
        <f ca="1">IF($K$24=0,Calc2!$C$6,VLOOKUP(B978,C976:N995,4,0))</f>
        <v>RB Leipzig</v>
      </c>
      <c r="X978" s="1">
        <f ca="1">INDEX(V949:V968,MATCH(W978,W949:W968,0))</f>
        <v>3</v>
      </c>
      <c r="Y978" s="1">
        <f t="shared" ca="1" si="184"/>
        <v>0</v>
      </c>
    </row>
    <row r="979" spans="2:25" x14ac:dyDescent="0.2">
      <c r="B979" s="1">
        <v>4</v>
      </c>
      <c r="C979" s="9">
        <f ca="1">RANK(D979,D976:D995,1)</f>
        <v>10</v>
      </c>
      <c r="D979" s="134">
        <f t="shared" ca="1" si="182"/>
        <v>10.978999999999999</v>
      </c>
      <c r="E979" s="134">
        <f ca="1">RANK(T979,T976:T995,1)</f>
        <v>10</v>
      </c>
      <c r="F979" s="187" t="str">
        <f>Calc2!$C$7</f>
        <v>1. FSV Mainz 05</v>
      </c>
      <c r="G979" s="1">
        <f ca="1">SUMIFS(OFFSET(Calc2!$H$4,,,$F$26*B974,1),OFFSET(Calc2!$F$4,,,$F$26*B974,1),F979)+SUMIFS(OFFSET(Calc2!$I$4,,,$F$26*B974,1),OFFSET(Calc2!$G$4,,,$F$26*B974,1),F979)</f>
        <v>43</v>
      </c>
      <c r="H979" s="1">
        <f ca="1">SUMIFS(OFFSET(Calc2!$I$4,,,$F$26*B974,1),OFFSET(Calc2!$F$4,,,$F$26*B974,1),F979)+SUMIFS(OFFSET(Calc2!$H$4,,,$F$26*B974,1),OFFSET(Calc2!$G$4,,,$F$26*B974,1),F979)</f>
        <v>51</v>
      </c>
      <c r="I979" s="134">
        <f t="shared" ca="1" si="180"/>
        <v>-8</v>
      </c>
      <c r="J979" s="12">
        <f ca="1">L979*Settings!$C$3+M979+O979</f>
        <v>40</v>
      </c>
      <c r="K979" s="1">
        <f t="shared" ca="1" si="183"/>
        <v>34</v>
      </c>
      <c r="L979" s="1">
        <f t="array" aca="1" ref="L979" ca="1">SUMPRODUCT((OFFSET(Calc2!$F$4,,,$F$26*B974,1)=F979)*(OFFSET(Calc2!$H$4,,,$F$26*B974,1)&gt;OFFSET(Calc2!$I$4,,,$F$26*B974,1)))+SUMPRODUCT((OFFSET(Calc2!$G$4,,,$F$26*B974,1)=F979)*(OFFSET(Calc2!$H$4,,,$F$26*B974,1)&lt;OFFSET(Calc2!$I$4,,,$F$26*B974,1)))</f>
        <v>10</v>
      </c>
      <c r="M979" s="1">
        <f t="array" aca="1" ref="M979" ca="1">SUMPRODUCT((OFFSET(Calc2!$F$4,,,$F$26*B974,2)=F979)*(OFFSET(Calc2!$H$4,,,$F$26*B974,1)=OFFSET(Calc2!$I$4,,,$F$26*B974,1))*(OFFSET(Calc2!$H$4,,,$F$26*B974,1)&lt;&gt;"")*(OFFSET(Calc2!$I$4,,,$F$26*B974,1)&lt;&gt;""))</f>
        <v>10</v>
      </c>
      <c r="N979" s="1">
        <f t="array" aca="1" ref="N979" ca="1">SUMPRODUCT((OFFSET(Calc2!$F$4,,,$F$26*B974,1)=F979)*(OFFSET(Calc2!$H$4,,,$F$26*B974,1)&lt;OFFSET(Calc2!$I$4,,,$F$26*B974,1)))+SUMPRODUCT((OFFSET(Calc2!$G$4,,,$F$26*B974,1)=F979)*(OFFSET(Calc2!$H$4,,,$F$26*B974,1)&gt;OFFSET(Calc2!$I$4,,,$F$26*B974,1)))</f>
        <v>14</v>
      </c>
      <c r="O979" s="132">
        <f ca="1">SUMPRODUCT((F979=OFFSET(Calc2!$F$4,,,$F$26*B974,1))*OFFSET(Calc2!$O$4,,,$F$26*B974,1))+SUMPRODUCT((F979=OFFSET(Calc2!$G$4,,,$F$26*B974,1))*OFFSET(Calc2!$P$4,,,$F$26*B974,1))</f>
        <v>0</v>
      </c>
      <c r="P979" s="2"/>
      <c r="Q979" s="2"/>
      <c r="R979" s="13">
        <f t="shared" ca="1" si="181"/>
        <v>40499992043</v>
      </c>
      <c r="S979" s="134">
        <f>Tie_Break!$D$10</f>
        <v>0</v>
      </c>
      <c r="T979" s="9">
        <f ca="1">RANK(R979,R976:R995)+(9-S979)/10000+(F979="")*1000</f>
        <v>10.0009</v>
      </c>
      <c r="U979" s="134"/>
      <c r="V979" s="134">
        <f ca="1">IF($K$24=0,"",IF(VLOOKUP(B979,C976:E995,3,0)=MAX(V$4:V978),VLOOKUP(B979,C976:E995,3,0),B979))</f>
        <v>4</v>
      </c>
      <c r="W979" s="4" t="str">
        <f ca="1">IF($K$24=0,Calc2!$C$7,VLOOKUP(B979,C976:N995,4,0))</f>
        <v>VfB Stuttgart</v>
      </c>
      <c r="X979" s="1">
        <f ca="1">INDEX(V949:V968,MATCH(W979,W949:W968,0))</f>
        <v>4</v>
      </c>
      <c r="Y979" s="1">
        <f t="shared" ca="1" si="184"/>
        <v>0</v>
      </c>
    </row>
    <row r="980" spans="2:25" x14ac:dyDescent="0.2">
      <c r="B980" s="1">
        <v>5</v>
      </c>
      <c r="C980" s="9">
        <f ca="1">RANK(D980,D976:D995,1)</f>
        <v>6</v>
      </c>
      <c r="D980" s="134">
        <f t="shared" ca="1" si="182"/>
        <v>6.98</v>
      </c>
      <c r="E980" s="134">
        <f ca="1">RANK(T980,T976:T995,1)</f>
        <v>6</v>
      </c>
      <c r="F980" s="187" t="str">
        <f>Calc2!$C$8</f>
        <v>Bayer 04 Leverkusen</v>
      </c>
      <c r="G980" s="1">
        <f ca="1">SUMIFS(OFFSET(Calc2!$H$4,,,$F$26*B974,1),OFFSET(Calc2!$F$4,,,$F$26*B974,1),F980)+SUMIFS(OFFSET(Calc2!$I$4,,,$F$26*B974,1),OFFSET(Calc2!$G$4,,,$F$26*B974,1),F980)</f>
        <v>68</v>
      </c>
      <c r="H980" s="1">
        <f ca="1">SUMIFS(OFFSET(Calc2!$I$4,,,$F$26*B974,1),OFFSET(Calc2!$F$4,,,$F$26*B974,1),F980)+SUMIFS(OFFSET(Calc2!$H$4,,,$F$26*B974,1),OFFSET(Calc2!$G$4,,,$F$26*B974,1),F980)</f>
        <v>47</v>
      </c>
      <c r="I980" s="134">
        <f t="shared" ca="1" si="180"/>
        <v>21</v>
      </c>
      <c r="J980" s="12">
        <f ca="1">L980*Settings!$C$3+M980+O980</f>
        <v>59</v>
      </c>
      <c r="K980" s="1">
        <f t="shared" ca="1" si="183"/>
        <v>34</v>
      </c>
      <c r="L980" s="1">
        <f t="array" aca="1" ref="L980" ca="1">SUMPRODUCT((OFFSET(Calc2!$F$4,,,$F$26*B974,1)=F980)*(OFFSET(Calc2!$H$4,,,$F$26*B974,1)&gt;OFFSET(Calc2!$I$4,,,$F$26*B974,1)))+SUMPRODUCT((OFFSET(Calc2!$G$4,,,$F$26*B974,1)=F980)*(OFFSET(Calc2!$H$4,,,$F$26*B974,1)&lt;OFFSET(Calc2!$I$4,,,$F$26*B974,1)))</f>
        <v>17</v>
      </c>
      <c r="M980" s="1">
        <f t="array" aca="1" ref="M980" ca="1">SUMPRODUCT((OFFSET(Calc2!$F$4,,,$F$26*B974,2)=F980)*(OFFSET(Calc2!$H$4,,,$F$26*B974,1)=OFFSET(Calc2!$I$4,,,$F$26*B974,1))*(OFFSET(Calc2!$H$4,,,$F$26*B974,1)&lt;&gt;"")*(OFFSET(Calc2!$I$4,,,$F$26*B974,1)&lt;&gt;""))</f>
        <v>8</v>
      </c>
      <c r="N980" s="1">
        <f t="array" aca="1" ref="N980" ca="1">SUMPRODUCT((OFFSET(Calc2!$F$4,,,$F$26*B974,1)=F980)*(OFFSET(Calc2!$H$4,,,$F$26*B974,1)&lt;OFFSET(Calc2!$I$4,,,$F$26*B974,1)))+SUMPRODUCT((OFFSET(Calc2!$G$4,,,$F$26*B974,1)=F980)*(OFFSET(Calc2!$H$4,,,$F$26*B974,1)&gt;OFFSET(Calc2!$I$4,,,$F$26*B974,1)))</f>
        <v>9</v>
      </c>
      <c r="O980" s="132">
        <f ca="1">SUMPRODUCT((F980=OFFSET(Calc2!$F$4,,,$F$26*B974,1))*OFFSET(Calc2!$O$4,,,$F$26*B974,1))+SUMPRODUCT((F980=OFFSET(Calc2!$G$4,,,$F$26*B974,1))*OFFSET(Calc2!$P$4,,,$F$26*B974,1))</f>
        <v>0</v>
      </c>
      <c r="P980" s="2"/>
      <c r="Q980" s="2"/>
      <c r="R980" s="13">
        <f t="shared" ca="1" si="181"/>
        <v>59500021068</v>
      </c>
      <c r="S980" s="134">
        <f>Tie_Break!$D$11</f>
        <v>0</v>
      </c>
      <c r="T980" s="9">
        <f ca="1">RANK(R980,R976:R995)+(9-S980)/10000+(F980="")*1000</f>
        <v>6.0008999999999997</v>
      </c>
      <c r="U980" s="134"/>
      <c r="V980" s="134">
        <f ca="1">IF($K$24=0,"",IF(VLOOKUP(B980,C976:E995,3,0)=MAX(V$4:V979),VLOOKUP(B980,C976:E995,3,0),B980))</f>
        <v>5</v>
      </c>
      <c r="W980" s="4" t="str">
        <f ca="1">IF($K$24=0,Calc2!$C$8,VLOOKUP(B980,C976:N995,4,0))</f>
        <v>TSG Hoffenheim</v>
      </c>
      <c r="X980" s="1">
        <f ca="1">INDEX(V949:V968,MATCH(W980,W949:W968,0))</f>
        <v>5</v>
      </c>
      <c r="Y980" s="1">
        <f t="shared" ca="1" si="184"/>
        <v>0</v>
      </c>
    </row>
    <row r="981" spans="2:25" x14ac:dyDescent="0.2">
      <c r="B981" s="1">
        <v>6</v>
      </c>
      <c r="C981" s="9">
        <f ca="1">RANK(D981,D976:D995,1)</f>
        <v>2</v>
      </c>
      <c r="D981" s="134">
        <f t="shared" ca="1" si="182"/>
        <v>2.9809999999999999</v>
      </c>
      <c r="E981" s="134">
        <f ca="1">RANK(T981,T976:T995,1)</f>
        <v>2</v>
      </c>
      <c r="F981" s="187" t="str">
        <f>Calc2!$C$9</f>
        <v>Borussia Dortmund</v>
      </c>
      <c r="G981" s="1">
        <f ca="1">SUMIFS(OFFSET(Calc2!$H$4,,,$F$26*B974,1),OFFSET(Calc2!$F$4,,,$F$26*B974,1),F981)+SUMIFS(OFFSET(Calc2!$I$4,,,$F$26*B974,1),OFFSET(Calc2!$G$4,,,$F$26*B974,1),F981)</f>
        <v>70</v>
      </c>
      <c r="H981" s="1">
        <f ca="1">SUMIFS(OFFSET(Calc2!$I$4,,,$F$26*B974,1),OFFSET(Calc2!$F$4,,,$F$26*B974,1),F981)+SUMIFS(OFFSET(Calc2!$H$4,,,$F$26*B974,1),OFFSET(Calc2!$G$4,,,$F$26*B974,1),F981)</f>
        <v>34</v>
      </c>
      <c r="I981" s="134">
        <f t="shared" ca="1" si="180"/>
        <v>36</v>
      </c>
      <c r="J981" s="12">
        <f ca="1">L981*Settings!$C$3+M981+O981</f>
        <v>73</v>
      </c>
      <c r="K981" s="1">
        <f t="shared" ca="1" si="183"/>
        <v>34</v>
      </c>
      <c r="L981" s="1">
        <f t="array" aca="1" ref="L981" ca="1">SUMPRODUCT((OFFSET(Calc2!$F$4,,,$F$26*B974,1)=F981)*(OFFSET(Calc2!$H$4,,,$F$26*B974,1)&gt;OFFSET(Calc2!$I$4,,,$F$26*B974,1)))+SUMPRODUCT((OFFSET(Calc2!$G$4,,,$F$26*B974,1)=F981)*(OFFSET(Calc2!$H$4,,,$F$26*B974,1)&lt;OFFSET(Calc2!$I$4,,,$F$26*B974,1)))</f>
        <v>22</v>
      </c>
      <c r="M981" s="1">
        <f t="array" aca="1" ref="M981" ca="1">SUMPRODUCT((OFFSET(Calc2!$F$4,,,$F$26*B974,2)=F981)*(OFFSET(Calc2!$H$4,,,$F$26*B974,1)=OFFSET(Calc2!$I$4,,,$F$26*B974,1))*(OFFSET(Calc2!$H$4,,,$F$26*B974,1)&lt;&gt;"")*(OFFSET(Calc2!$I$4,,,$F$26*B974,1)&lt;&gt;""))</f>
        <v>7</v>
      </c>
      <c r="N981" s="1">
        <f t="array" aca="1" ref="N981" ca="1">SUMPRODUCT((OFFSET(Calc2!$F$4,,,$F$26*B974,1)=F981)*(OFFSET(Calc2!$H$4,,,$F$26*B974,1)&lt;OFFSET(Calc2!$I$4,,,$F$26*B974,1)))+SUMPRODUCT((OFFSET(Calc2!$G$4,,,$F$26*B974,1)=F981)*(OFFSET(Calc2!$H$4,,,$F$26*B974,1)&gt;OFFSET(Calc2!$I$4,,,$F$26*B974,1)))</f>
        <v>5</v>
      </c>
      <c r="O981" s="132">
        <f ca="1">SUMPRODUCT((F981=OFFSET(Calc2!$F$4,,,$F$26*B974,1))*OFFSET(Calc2!$O$4,,,$F$26*B974,1))+SUMPRODUCT((F981=OFFSET(Calc2!$G$4,,,$F$26*B974,1))*OFFSET(Calc2!$P$4,,,$F$26*B974,1))</f>
        <v>0</v>
      </c>
      <c r="P981" s="2"/>
      <c r="Q981" s="2"/>
      <c r="R981" s="13">
        <f t="shared" ca="1" si="181"/>
        <v>73500036070</v>
      </c>
      <c r="S981" s="134">
        <f>Tie_Break!$D$12</f>
        <v>0</v>
      </c>
      <c r="T981" s="9">
        <f ca="1">RANK(R981,R976:R995)+(9-S981)/10000+(F981="")*1000</f>
        <v>2.0009000000000001</v>
      </c>
      <c r="U981" s="134"/>
      <c r="V981" s="134">
        <f ca="1">IF($K$24=0,"",IF(VLOOKUP(B981,C976:E995,3,0)=MAX(V$4:V980),VLOOKUP(B981,C976:E995,3,0),B981))</f>
        <v>6</v>
      </c>
      <c r="W981" s="4" t="str">
        <f ca="1">IF($K$24=0,Calc2!$C$9,VLOOKUP(B981,C976:N995,4,0))</f>
        <v>Bayer 04 Leverkusen</v>
      </c>
      <c r="X981" s="1">
        <f ca="1">INDEX(V949:V968,MATCH(W981,W949:W968,0))</f>
        <v>6</v>
      </c>
      <c r="Y981" s="1">
        <f t="shared" ca="1" si="184"/>
        <v>0</v>
      </c>
    </row>
    <row r="982" spans="2:25" x14ac:dyDescent="0.2">
      <c r="B982" s="1">
        <v>7</v>
      </c>
      <c r="C982" s="9">
        <f ca="1">RANK(D982,D976:D995,1)</f>
        <v>12</v>
      </c>
      <c r="D982" s="134">
        <f t="shared" ca="1" si="182"/>
        <v>12.981999999999999</v>
      </c>
      <c r="E982" s="134">
        <f ca="1">RANK(T982,T976:T995,1)</f>
        <v>12</v>
      </c>
      <c r="F982" s="187" t="str">
        <f>Calc2!$C$10</f>
        <v>Borussia Mönchengladbach</v>
      </c>
      <c r="G982" s="1">
        <f ca="1">SUMIFS(OFFSET(Calc2!$H$4,,,$F$26*B974,1),OFFSET(Calc2!$F$4,,,$F$26*B974,1),F982)+SUMIFS(OFFSET(Calc2!$I$4,,,$F$26*B974,1),OFFSET(Calc2!$G$4,,,$F$26*B974,1),F982)</f>
        <v>42</v>
      </c>
      <c r="H982" s="1">
        <f ca="1">SUMIFS(OFFSET(Calc2!$I$4,,,$F$26*B974,1),OFFSET(Calc2!$F$4,,,$F$26*B974,1),F982)+SUMIFS(OFFSET(Calc2!$H$4,,,$F$26*B974,1),OFFSET(Calc2!$G$4,,,$F$26*B974,1),F982)</f>
        <v>53</v>
      </c>
      <c r="I982" s="134">
        <f t="shared" ca="1" si="180"/>
        <v>-11</v>
      </c>
      <c r="J982" s="12">
        <f ca="1">L982*Settings!$C$3+M982+O982</f>
        <v>38</v>
      </c>
      <c r="K982" s="1">
        <f t="shared" ca="1" si="183"/>
        <v>34</v>
      </c>
      <c r="L982" s="1">
        <f t="array" aca="1" ref="L982" ca="1">SUMPRODUCT((OFFSET(Calc2!$F$4,,,$F$26*B974,1)=F982)*(OFFSET(Calc2!$H$4,,,$F$26*B974,1)&gt;OFFSET(Calc2!$I$4,,,$F$26*B974,1)))+SUMPRODUCT((OFFSET(Calc2!$G$4,,,$F$26*B974,1)=F982)*(OFFSET(Calc2!$H$4,,,$F$26*B974,1)&lt;OFFSET(Calc2!$I$4,,,$F$26*B974,1)))</f>
        <v>9</v>
      </c>
      <c r="M982" s="1">
        <f t="array" aca="1" ref="M982" ca="1">SUMPRODUCT((OFFSET(Calc2!$F$4,,,$F$26*B974,2)=F982)*(OFFSET(Calc2!$H$4,,,$F$26*B974,1)=OFFSET(Calc2!$I$4,,,$F$26*B974,1))*(OFFSET(Calc2!$H$4,,,$F$26*B974,1)&lt;&gt;"")*(OFFSET(Calc2!$I$4,,,$F$26*B974,1)&lt;&gt;""))</f>
        <v>11</v>
      </c>
      <c r="N982" s="1">
        <f t="array" aca="1" ref="N982" ca="1">SUMPRODUCT((OFFSET(Calc2!$F$4,,,$F$26*B974,1)=F982)*(OFFSET(Calc2!$H$4,,,$F$26*B974,1)&lt;OFFSET(Calc2!$I$4,,,$F$26*B974,1)))+SUMPRODUCT((OFFSET(Calc2!$G$4,,,$F$26*B974,1)=F982)*(OFFSET(Calc2!$H$4,,,$F$26*B974,1)&gt;OFFSET(Calc2!$I$4,,,$F$26*B974,1)))</f>
        <v>14</v>
      </c>
      <c r="O982" s="132">
        <f ca="1">SUMPRODUCT((F982=OFFSET(Calc2!$F$4,,,$F$26*B974,1))*OFFSET(Calc2!$O$4,,,$F$26*B974,1))+SUMPRODUCT((F982=OFFSET(Calc2!$G$4,,,$F$26*B974,1))*OFFSET(Calc2!$P$4,,,$F$26*B974,1))</f>
        <v>0</v>
      </c>
      <c r="P982" s="2"/>
      <c r="Q982" s="2"/>
      <c r="R982" s="13">
        <f t="shared" ca="1" si="181"/>
        <v>38499989042</v>
      </c>
      <c r="S982" s="134">
        <f>Tie_Break!$D$13</f>
        <v>0</v>
      </c>
      <c r="T982" s="9">
        <f ca="1">RANK(R982,R976:R995)+(9-S982)/10000+(F982="")*1000</f>
        <v>12.0009</v>
      </c>
      <c r="U982" s="134"/>
      <c r="V982" s="134">
        <f ca="1">IF($K$24=0,"",IF(VLOOKUP(B982,C976:E995,3,0)=MAX(V$4:V981),VLOOKUP(B982,C976:E995,3,0),B982))</f>
        <v>7</v>
      </c>
      <c r="W982" s="4" t="str">
        <f ca="1">IF($K$24=0,Calc2!$C$10,VLOOKUP(B982,C976:N995,4,0))</f>
        <v>SC Freiburg</v>
      </c>
      <c r="X982" s="1">
        <f ca="1">INDEX(V949:V968,MATCH(W982,W949:W968,0))</f>
        <v>7</v>
      </c>
      <c r="Y982" s="1">
        <f t="shared" ca="1" si="184"/>
        <v>0</v>
      </c>
    </row>
    <row r="983" spans="2:25" x14ac:dyDescent="0.2">
      <c r="B983" s="1">
        <v>8</v>
      </c>
      <c r="C983" s="9">
        <f ca="1">RANK(D983,D976:D995,1)</f>
        <v>8</v>
      </c>
      <c r="D983" s="134">
        <f t="shared" ca="1" si="182"/>
        <v>8.9830000000000005</v>
      </c>
      <c r="E983" s="134">
        <f ca="1">RANK(T983,T976:T995,1)</f>
        <v>8</v>
      </c>
      <c r="F983" s="187" t="str">
        <f>Calc2!$C$11</f>
        <v>Eintracht Frankfurt</v>
      </c>
      <c r="G983" s="1">
        <f ca="1">SUMIFS(OFFSET(Calc2!$H$4,,,$F$26*B974,1),OFFSET(Calc2!$F$4,,,$F$26*B974,1),F983)+SUMIFS(OFFSET(Calc2!$I$4,,,$F$26*B974,1),OFFSET(Calc2!$G$4,,,$F$26*B974,1),F983)</f>
        <v>61</v>
      </c>
      <c r="H983" s="1">
        <f ca="1">SUMIFS(OFFSET(Calc2!$I$4,,,$F$26*B974,1),OFFSET(Calc2!$F$4,,,$F$26*B974,1),F983)+SUMIFS(OFFSET(Calc2!$H$4,,,$F$26*B974,1),OFFSET(Calc2!$G$4,,,$F$26*B974,1),F983)</f>
        <v>65</v>
      </c>
      <c r="I983" s="134">
        <f t="shared" ca="1" si="180"/>
        <v>-4</v>
      </c>
      <c r="J983" s="12">
        <f ca="1">L983*Settings!$C$3+M983+O983</f>
        <v>44</v>
      </c>
      <c r="K983" s="1">
        <f t="shared" ca="1" si="183"/>
        <v>34</v>
      </c>
      <c r="L983" s="1">
        <f t="array" aca="1" ref="L983" ca="1">SUMPRODUCT((OFFSET(Calc2!$F$4,,,$F$26*B974,1)=F983)*(OFFSET(Calc2!$H$4,,,$F$26*B974,1)&gt;OFFSET(Calc2!$I$4,,,$F$26*B974,1)))+SUMPRODUCT((OFFSET(Calc2!$G$4,,,$F$26*B974,1)=F983)*(OFFSET(Calc2!$H$4,,,$F$26*B974,1)&lt;OFFSET(Calc2!$I$4,,,$F$26*B974,1)))</f>
        <v>11</v>
      </c>
      <c r="M983" s="1">
        <f t="array" aca="1" ref="M983" ca="1">SUMPRODUCT((OFFSET(Calc2!$F$4,,,$F$26*B974,2)=F983)*(OFFSET(Calc2!$H$4,,,$F$26*B974,1)=OFFSET(Calc2!$I$4,,,$F$26*B974,1))*(OFFSET(Calc2!$H$4,,,$F$26*B974,1)&lt;&gt;"")*(OFFSET(Calc2!$I$4,,,$F$26*B974,1)&lt;&gt;""))</f>
        <v>11</v>
      </c>
      <c r="N983" s="1">
        <f t="array" aca="1" ref="N983" ca="1">SUMPRODUCT((OFFSET(Calc2!$F$4,,,$F$26*B974,1)=F983)*(OFFSET(Calc2!$H$4,,,$F$26*B974,1)&lt;OFFSET(Calc2!$I$4,,,$F$26*B974,1)))+SUMPRODUCT((OFFSET(Calc2!$G$4,,,$F$26*B974,1)=F983)*(OFFSET(Calc2!$H$4,,,$F$26*B974,1)&gt;OFFSET(Calc2!$I$4,,,$F$26*B974,1)))</f>
        <v>12</v>
      </c>
      <c r="O983" s="132">
        <f ca="1">SUMPRODUCT((F983=OFFSET(Calc2!$F$4,,,$F$26*B974,1))*OFFSET(Calc2!$O$4,,,$F$26*B974,1))+SUMPRODUCT((F983=OFFSET(Calc2!$G$4,,,$F$26*B974,1))*OFFSET(Calc2!$P$4,,,$F$26*B974,1))</f>
        <v>0</v>
      </c>
      <c r="P983" s="2"/>
      <c r="Q983" s="2"/>
      <c r="R983" s="13">
        <f t="shared" ca="1" si="181"/>
        <v>44499996061</v>
      </c>
      <c r="S983" s="134">
        <f>Tie_Break!$D$14</f>
        <v>0</v>
      </c>
      <c r="T983" s="9">
        <f ca="1">RANK(R983,R976:R995)+(9-S983)/10000+(F983="")*1000</f>
        <v>8.0008999999999997</v>
      </c>
      <c r="U983" s="134"/>
      <c r="V983" s="134">
        <f ca="1">IF($K$24=0,"",IF(VLOOKUP(B983,C976:E995,3,0)=MAX(V$4:V982),VLOOKUP(B983,C976:E995,3,0),B983))</f>
        <v>8</v>
      </c>
      <c r="W983" s="4" t="str">
        <f ca="1">IF($K$24=0,Calc2!$C$11,VLOOKUP(B983,C976:N995,4,0))</f>
        <v>Eintracht Frankfurt</v>
      </c>
      <c r="X983" s="1">
        <f ca="1">INDEX(V949:V968,MATCH(W983,W949:W968,0))</f>
        <v>8</v>
      </c>
      <c r="Y983" s="1">
        <f t="shared" ca="1" si="184"/>
        <v>0</v>
      </c>
    </row>
    <row r="984" spans="2:25" x14ac:dyDescent="0.2">
      <c r="B984" s="1">
        <v>9</v>
      </c>
      <c r="C984" s="9">
        <f ca="1">RANK(D984,D976:D995,1)</f>
        <v>9</v>
      </c>
      <c r="D984" s="134">
        <f t="shared" ca="1" si="182"/>
        <v>9.984</v>
      </c>
      <c r="E984" s="134">
        <f ca="1">RANK(T984,T976:T995,1)</f>
        <v>9</v>
      </c>
      <c r="F984" s="187" t="str">
        <f>Calc2!$C$12</f>
        <v>FC Augsburg</v>
      </c>
      <c r="G984" s="1">
        <f ca="1">SUMIFS(OFFSET(Calc2!$H$4,,,$F$26*B974,1),OFFSET(Calc2!$F$4,,,$F$26*B974,1),F984)+SUMIFS(OFFSET(Calc2!$I$4,,,$F$26*B974,1),OFFSET(Calc2!$G$4,,,$F$26*B974,1),F984)</f>
        <v>45</v>
      </c>
      <c r="H984" s="1">
        <f ca="1">SUMIFS(OFFSET(Calc2!$I$4,,,$F$26*B974,1),OFFSET(Calc2!$F$4,,,$F$26*B974,1),F984)+SUMIFS(OFFSET(Calc2!$H$4,,,$F$26*B974,1),OFFSET(Calc2!$G$4,,,$F$26*B974,1),F984)</f>
        <v>61</v>
      </c>
      <c r="I984" s="134">
        <f t="shared" ca="1" si="180"/>
        <v>-16</v>
      </c>
      <c r="J984" s="12">
        <f ca="1">L984*Settings!$C$3+M984+O984</f>
        <v>43</v>
      </c>
      <c r="K984" s="1">
        <f t="shared" ca="1" si="183"/>
        <v>34</v>
      </c>
      <c r="L984" s="1">
        <f t="array" aca="1" ref="L984" ca="1">SUMPRODUCT((OFFSET(Calc2!$F$4,,,$F$26*B974,1)=F984)*(OFFSET(Calc2!$H$4,,,$F$26*B974,1)&gt;OFFSET(Calc2!$I$4,,,$F$26*B974,1)))+SUMPRODUCT((OFFSET(Calc2!$G$4,,,$F$26*B974,1)=F984)*(OFFSET(Calc2!$H$4,,,$F$26*B974,1)&lt;OFFSET(Calc2!$I$4,,,$F$26*B974,1)))</f>
        <v>12</v>
      </c>
      <c r="M984" s="1">
        <f t="array" aca="1" ref="M984" ca="1">SUMPRODUCT((OFFSET(Calc2!$F$4,,,$F$26*B974,2)=F984)*(OFFSET(Calc2!$H$4,,,$F$26*B974,1)=OFFSET(Calc2!$I$4,,,$F$26*B974,1))*(OFFSET(Calc2!$H$4,,,$F$26*B974,1)&lt;&gt;"")*(OFFSET(Calc2!$I$4,,,$F$26*B974,1)&lt;&gt;""))</f>
        <v>7</v>
      </c>
      <c r="N984" s="1">
        <f t="array" aca="1" ref="N984" ca="1">SUMPRODUCT((OFFSET(Calc2!$F$4,,,$F$26*B974,1)=F984)*(OFFSET(Calc2!$H$4,,,$F$26*B974,1)&lt;OFFSET(Calc2!$I$4,,,$F$26*B974,1)))+SUMPRODUCT((OFFSET(Calc2!$G$4,,,$F$26*B974,1)=F984)*(OFFSET(Calc2!$H$4,,,$F$26*B974,1)&gt;OFFSET(Calc2!$I$4,,,$F$26*B974,1)))</f>
        <v>15</v>
      </c>
      <c r="O984" s="132">
        <f ca="1">SUMPRODUCT((F984=OFFSET(Calc2!$F$4,,,$F$26*B974,1))*OFFSET(Calc2!$O$4,,,$F$26*B974,1))+SUMPRODUCT((F984=OFFSET(Calc2!$G$4,,,$F$26*B974,1))*OFFSET(Calc2!$P$4,,,$F$26*B974,1))</f>
        <v>0</v>
      </c>
      <c r="P984" s="2"/>
      <c r="Q984" s="2"/>
      <c r="R984" s="13">
        <f t="shared" ca="1" si="181"/>
        <v>43499984045</v>
      </c>
      <c r="S984" s="134">
        <f>Tie_Break!$D$15</f>
        <v>0</v>
      </c>
      <c r="T984" s="9">
        <f ca="1">RANK(R984,R976:R995)+(9-S984)/10000+(F984="")*1000</f>
        <v>9.0008999999999997</v>
      </c>
      <c r="U984" s="134"/>
      <c r="V984" s="134">
        <f ca="1">IF($K$24=0,"",IF(VLOOKUP(B984,C976:E995,3,0)=MAX(V$4:V983),VLOOKUP(B984,C976:E995,3,0),B984))</f>
        <v>9</v>
      </c>
      <c r="W984" s="4" t="str">
        <f ca="1">IF($K$24=0,Calc2!$C$12,VLOOKUP(B984,C976:N995,4,0))</f>
        <v>FC Augsburg</v>
      </c>
      <c r="X984" s="1">
        <f ca="1">INDEX(V949:V968,MATCH(W984,W949:W968,0))</f>
        <v>9</v>
      </c>
      <c r="Y984" s="1">
        <f t="shared" ca="1" si="184"/>
        <v>0</v>
      </c>
    </row>
    <row r="985" spans="2:25" x14ac:dyDescent="0.2">
      <c r="B985" s="1">
        <v>10</v>
      </c>
      <c r="C985" s="9">
        <f ca="1">RANK(D985,D976:D995,1)</f>
        <v>1</v>
      </c>
      <c r="D985" s="134">
        <f t="shared" ca="1" si="182"/>
        <v>1.9849999999999999</v>
      </c>
      <c r="E985" s="134">
        <f ca="1">RANK(T985,T976:T995,1)</f>
        <v>1</v>
      </c>
      <c r="F985" s="187" t="str">
        <f>Calc2!$C$13</f>
        <v>FC Bayern München</v>
      </c>
      <c r="G985" s="1">
        <f ca="1">SUMIFS(OFFSET(Calc2!$H$4,,,$F$26*B974,1),OFFSET(Calc2!$F$4,,,$F$26*B974,1),F985)+SUMIFS(OFFSET(Calc2!$I$4,,,$F$26*B974,1),OFFSET(Calc2!$G$4,,,$F$26*B974,1),F985)</f>
        <v>122</v>
      </c>
      <c r="H985" s="1">
        <f ca="1">SUMIFS(OFFSET(Calc2!$I$4,,,$F$26*B974,1),OFFSET(Calc2!$F$4,,,$F$26*B974,1),F985)+SUMIFS(OFFSET(Calc2!$H$4,,,$F$26*B974,1),OFFSET(Calc2!$G$4,,,$F$26*B974,1),F985)</f>
        <v>36</v>
      </c>
      <c r="I985" s="134">
        <f t="shared" ca="1" si="180"/>
        <v>86</v>
      </c>
      <c r="J985" s="12">
        <f ca="1">L985*Settings!$C$3+M985+O985</f>
        <v>89</v>
      </c>
      <c r="K985" s="1">
        <f t="shared" ca="1" si="183"/>
        <v>34</v>
      </c>
      <c r="L985" s="1">
        <f t="array" aca="1" ref="L985" ca="1">SUMPRODUCT((OFFSET(Calc2!$F$4,,,$F$26*B974,1)=F985)*(OFFSET(Calc2!$H$4,,,$F$26*B974,1)&gt;OFFSET(Calc2!$I$4,,,$F$26*B974,1)))+SUMPRODUCT((OFFSET(Calc2!$G$4,,,$F$26*B974,1)=F985)*(OFFSET(Calc2!$H$4,,,$F$26*B974,1)&lt;OFFSET(Calc2!$I$4,,,$F$26*B974,1)))</f>
        <v>28</v>
      </c>
      <c r="M985" s="1">
        <f t="array" aca="1" ref="M985" ca="1">SUMPRODUCT((OFFSET(Calc2!$F$4,,,$F$26*B974,2)=F985)*(OFFSET(Calc2!$H$4,,,$F$26*B974,1)=OFFSET(Calc2!$I$4,,,$F$26*B974,1))*(OFFSET(Calc2!$H$4,,,$F$26*B974,1)&lt;&gt;"")*(OFFSET(Calc2!$I$4,,,$F$26*B974,1)&lt;&gt;""))</f>
        <v>5</v>
      </c>
      <c r="N985" s="1">
        <f t="array" aca="1" ref="N985" ca="1">SUMPRODUCT((OFFSET(Calc2!$F$4,,,$F$26*B974,1)=F985)*(OFFSET(Calc2!$H$4,,,$F$26*B974,1)&lt;OFFSET(Calc2!$I$4,,,$F$26*B974,1)))+SUMPRODUCT((OFFSET(Calc2!$G$4,,,$F$26*B974,1)=F985)*(OFFSET(Calc2!$H$4,,,$F$26*B974,1)&gt;OFFSET(Calc2!$I$4,,,$F$26*B974,1)))</f>
        <v>1</v>
      </c>
      <c r="O985" s="132">
        <f ca="1">SUMPRODUCT((F985=OFFSET(Calc2!$F$4,,,$F$26*B974,1))*OFFSET(Calc2!$O$4,,,$F$26*B974,1))+SUMPRODUCT((F985=OFFSET(Calc2!$G$4,,,$F$26*B974,1))*OFFSET(Calc2!$P$4,,,$F$26*B974,1))</f>
        <v>0</v>
      </c>
      <c r="P985" s="2"/>
      <c r="Q985" s="2"/>
      <c r="R985" s="13">
        <f t="shared" ca="1" si="181"/>
        <v>89500086122</v>
      </c>
      <c r="S985" s="134">
        <f>Tie_Break!$D$16</f>
        <v>0</v>
      </c>
      <c r="T985" s="9">
        <f ca="1">RANK(R985,R976:R995)+(9-S985)/10000+(F985="")*1000</f>
        <v>1.0008999999999999</v>
      </c>
      <c r="U985" s="2"/>
      <c r="V985" s="134">
        <f ca="1">IF($K$24=0,"",IF(VLOOKUP(B985,C976:E995,3,0)=MAX(V$4:V984),VLOOKUP(B985,C976:E995,3,0),B985))</f>
        <v>10</v>
      </c>
      <c r="W985" s="4" t="str">
        <f ca="1">IF($K$24=0,Calc2!$C$13,VLOOKUP(B985,C976:N995,4,0))</f>
        <v>1. FSV Mainz 05</v>
      </c>
      <c r="X985" s="1">
        <f ca="1">INDEX(V949:V968,MATCH(W985,W949:W968,0))</f>
        <v>10</v>
      </c>
      <c r="Y985" s="1">
        <f t="shared" ca="1" si="184"/>
        <v>0</v>
      </c>
    </row>
    <row r="986" spans="2:25" x14ac:dyDescent="0.2">
      <c r="B986" s="1">
        <v>11</v>
      </c>
      <c r="C986" s="9">
        <f ca="1">RANK(D986,D976:D995,1)</f>
        <v>18</v>
      </c>
      <c r="D986" s="134">
        <f t="shared" ca="1" si="182"/>
        <v>18.986000000000001</v>
      </c>
      <c r="E986" s="134">
        <f ca="1">RANK(T986,T976:T995,1)</f>
        <v>18</v>
      </c>
      <c r="F986" s="187" t="str">
        <f>Calc2!$C$14</f>
        <v>FC St. Pauli</v>
      </c>
      <c r="G986" s="1">
        <f ca="1">SUMIFS(OFFSET(Calc2!$H$4,,,$F$26*B974,1),OFFSET(Calc2!$F$4,,,$F$26*B974,1),F986)+SUMIFS(OFFSET(Calc2!$I$4,,,$F$26*B974,1),OFFSET(Calc2!$G$4,,,$F$26*B974,1),F986)</f>
        <v>29</v>
      </c>
      <c r="H986" s="1">
        <f ca="1">SUMIFS(OFFSET(Calc2!$I$4,,,$F$26*B974,1),OFFSET(Calc2!$F$4,,,$F$26*B974,1),F986)+SUMIFS(OFFSET(Calc2!$H$4,,,$F$26*B974,1),OFFSET(Calc2!$G$4,,,$F$26*B974,1),F986)</f>
        <v>60</v>
      </c>
      <c r="I986" s="134">
        <f t="shared" ca="1" si="180"/>
        <v>-31</v>
      </c>
      <c r="J986" s="12">
        <f ca="1">L986*Settings!$C$3+M986+O986</f>
        <v>26</v>
      </c>
      <c r="K986" s="1">
        <f t="shared" ca="1" si="183"/>
        <v>34</v>
      </c>
      <c r="L986" s="1">
        <f t="array" aca="1" ref="L986" ca="1">SUMPRODUCT((OFFSET(Calc2!$F$4,,,$F$26*B974,1)=F986)*(OFFSET(Calc2!$H$4,,,$F$26*B974,1)&gt;OFFSET(Calc2!$I$4,,,$F$26*B974,1)))+SUMPRODUCT((OFFSET(Calc2!$G$4,,,$F$26*B974,1)=F986)*(OFFSET(Calc2!$H$4,,,$F$26*B974,1)&lt;OFFSET(Calc2!$I$4,,,$F$26*B974,1)))</f>
        <v>6</v>
      </c>
      <c r="M986" s="1">
        <f t="array" aca="1" ref="M986" ca="1">SUMPRODUCT((OFFSET(Calc2!$F$4,,,$F$26*B974,2)=F986)*(OFFSET(Calc2!$H$4,,,$F$26*B974,1)=OFFSET(Calc2!$I$4,,,$F$26*B974,1))*(OFFSET(Calc2!$H$4,,,$F$26*B974,1)&lt;&gt;"")*(OFFSET(Calc2!$I$4,,,$F$26*B974,1)&lt;&gt;""))</f>
        <v>8</v>
      </c>
      <c r="N986" s="1">
        <f t="array" aca="1" ref="N986" ca="1">SUMPRODUCT((OFFSET(Calc2!$F$4,,,$F$26*B974,1)=F986)*(OFFSET(Calc2!$H$4,,,$F$26*B974,1)&lt;OFFSET(Calc2!$I$4,,,$F$26*B974,1)))+SUMPRODUCT((OFFSET(Calc2!$G$4,,,$F$26*B974,1)=F986)*(OFFSET(Calc2!$H$4,,,$F$26*B974,1)&gt;OFFSET(Calc2!$I$4,,,$F$26*B974,1)))</f>
        <v>20</v>
      </c>
      <c r="O986" s="132">
        <f ca="1">SUMPRODUCT((F986=OFFSET(Calc2!$F$4,,,$F$26*B974,1))*OFFSET(Calc2!$O$4,,,$F$26*B974,1))+SUMPRODUCT((F986=OFFSET(Calc2!$G$4,,,$F$26*B974,1))*OFFSET(Calc2!$P$4,,,$F$26*B974,1))</f>
        <v>0</v>
      </c>
      <c r="P986" s="2"/>
      <c r="Q986" s="2"/>
      <c r="R986" s="13">
        <f t="shared" ca="1" si="181"/>
        <v>26499969029</v>
      </c>
      <c r="S986" s="134">
        <f>Tie_Break!$D$17</f>
        <v>0</v>
      </c>
      <c r="T986" s="9">
        <f ca="1">RANK(R986,R976:R995)+(9-S986)/10000+(F986="")*1000</f>
        <v>18.000900000000001</v>
      </c>
      <c r="U986" s="2"/>
      <c r="V986" s="134">
        <f ca="1">IF($K$24=0,"",IF(VLOOKUP(B986,C976:E995,3,0)=MAX(V$4:V985),VLOOKUP(B986,C976:E995,3,0),B986))</f>
        <v>11</v>
      </c>
      <c r="W986" s="4" t="str">
        <f ca="1">IF($K$24=0,Calc2!$C$14,VLOOKUP(B986,C976:N995,4,0))</f>
        <v>1. FC Union Berlin</v>
      </c>
      <c r="X986" s="1">
        <f ca="1">INDEX(V949:V968,MATCH(W986,W949:W968,0))</f>
        <v>11</v>
      </c>
      <c r="Y986" s="1">
        <f t="shared" ca="1" si="184"/>
        <v>0</v>
      </c>
    </row>
    <row r="987" spans="2:25" x14ac:dyDescent="0.2">
      <c r="B987" s="1">
        <v>12</v>
      </c>
      <c r="C987" s="9">
        <f ca="1">RANK(D987,D976:D995,1)</f>
        <v>13</v>
      </c>
      <c r="D987" s="134">
        <f t="shared" ca="1" si="182"/>
        <v>13.987</v>
      </c>
      <c r="E987" s="134">
        <f ca="1">RANK(T987,T976:T995,1)</f>
        <v>13</v>
      </c>
      <c r="F987" s="187" t="str">
        <f>Calc2!$C$15</f>
        <v>Hamburger SV</v>
      </c>
      <c r="G987" s="1">
        <f ca="1">SUMIFS(OFFSET(Calc2!$H$4,,,$F$26*B974,1),OFFSET(Calc2!$F$4,,,$F$26*B974,1),F987)+SUMIFS(OFFSET(Calc2!$I$4,,,$F$26*B974,1),OFFSET(Calc2!$G$4,,,$F$26*B974,1),F987)</f>
        <v>40</v>
      </c>
      <c r="H987" s="1">
        <f ca="1">SUMIFS(OFFSET(Calc2!$I$4,,,$F$26*B974,1),OFFSET(Calc2!$F$4,,,$F$26*B974,1),F987)+SUMIFS(OFFSET(Calc2!$H$4,,,$F$26*B974,1),OFFSET(Calc2!$G$4,,,$F$26*B974,1),F987)</f>
        <v>54</v>
      </c>
      <c r="I987" s="134">
        <f t="shared" ca="1" si="180"/>
        <v>-14</v>
      </c>
      <c r="J987" s="12">
        <f ca="1">L987*Settings!$C$3+M987+O987</f>
        <v>38</v>
      </c>
      <c r="K987" s="1">
        <f t="shared" ca="1" si="183"/>
        <v>34</v>
      </c>
      <c r="L987" s="1">
        <f t="array" aca="1" ref="L987" ca="1">SUMPRODUCT((OFFSET(Calc2!$F$4,,,$F$26*B974,1)=F987)*(OFFSET(Calc2!$H$4,,,$F$26*B974,1)&gt;OFFSET(Calc2!$I$4,,,$F$26*B974,1)))+SUMPRODUCT((OFFSET(Calc2!$G$4,,,$F$26*B974,1)=F987)*(OFFSET(Calc2!$H$4,,,$F$26*B974,1)&lt;OFFSET(Calc2!$I$4,,,$F$26*B974,1)))</f>
        <v>9</v>
      </c>
      <c r="M987" s="1">
        <f t="array" aca="1" ref="M987" ca="1">SUMPRODUCT((OFFSET(Calc2!$F$4,,,$F$26*B974,2)=F987)*(OFFSET(Calc2!$H$4,,,$F$26*B974,1)=OFFSET(Calc2!$I$4,,,$F$26*B974,1))*(OFFSET(Calc2!$H$4,,,$F$26*B974,1)&lt;&gt;"")*(OFFSET(Calc2!$I$4,,,$F$26*B974,1)&lt;&gt;""))</f>
        <v>11</v>
      </c>
      <c r="N987" s="1">
        <f t="array" aca="1" ref="N987" ca="1">SUMPRODUCT((OFFSET(Calc2!$F$4,,,$F$26*B974,1)=F987)*(OFFSET(Calc2!$H$4,,,$F$26*B974,1)&lt;OFFSET(Calc2!$I$4,,,$F$26*B974,1)))+SUMPRODUCT((OFFSET(Calc2!$G$4,,,$F$26*B974,1)=F987)*(OFFSET(Calc2!$H$4,,,$F$26*B974,1)&gt;OFFSET(Calc2!$I$4,,,$F$26*B974,1)))</f>
        <v>14</v>
      </c>
      <c r="O987" s="132">
        <f ca="1">SUMPRODUCT((F987=OFFSET(Calc2!$F$4,,,$F$26*B974,1))*OFFSET(Calc2!$O$4,,,$F$26*B974,1))+SUMPRODUCT((F987=OFFSET(Calc2!$G$4,,,$F$26*B974,1))*OFFSET(Calc2!$P$4,,,$F$26*B974,1))</f>
        <v>0</v>
      </c>
      <c r="P987" s="2"/>
      <c r="Q987" s="2"/>
      <c r="R987" s="13">
        <f t="shared" ca="1" si="181"/>
        <v>38499986040</v>
      </c>
      <c r="S987" s="134">
        <f>Tie_Break!$D$18</f>
        <v>0</v>
      </c>
      <c r="T987" s="9">
        <f ca="1">RANK(R987,R976:R995)+(9-S987)/10000+(F987="")*1000</f>
        <v>13.0009</v>
      </c>
      <c r="U987" s="2"/>
      <c r="V987" s="134">
        <f ca="1">IF($K$24=0,"",IF(VLOOKUP(B987,C976:E995,3,0)=MAX(V$4:V986),VLOOKUP(B987,C976:E995,3,0),B987))</f>
        <v>12</v>
      </c>
      <c r="W987" s="4" t="str">
        <f ca="1">IF($K$24=0,Calc2!$C$15,VLOOKUP(B987,C976:N995,4,0))</f>
        <v>Borussia Mönchengladbach</v>
      </c>
      <c r="X987" s="1">
        <f ca="1">INDEX(V949:V968,MATCH(W987,W949:W968,0))</f>
        <v>12</v>
      </c>
      <c r="Y987" s="1">
        <f t="shared" ca="1" si="184"/>
        <v>0</v>
      </c>
    </row>
    <row r="988" spans="2:25" x14ac:dyDescent="0.2">
      <c r="B988" s="1">
        <v>13</v>
      </c>
      <c r="C988" s="9">
        <f ca="1">RANK(D988,D976:D995,1)</f>
        <v>3</v>
      </c>
      <c r="D988" s="134">
        <f t="shared" ca="1" si="182"/>
        <v>3.988</v>
      </c>
      <c r="E988" s="134">
        <f ca="1">RANK(T988,T976:T995,1)</f>
        <v>3</v>
      </c>
      <c r="F988" s="187" t="str">
        <f>Calc2!$C$16</f>
        <v>RB Leipzig</v>
      </c>
      <c r="G988" s="1">
        <f ca="1">SUMIFS(OFFSET(Calc2!$H$4,,,$F$26*B974,1),OFFSET(Calc2!$F$4,,,$F$26*B974,1),F988)+SUMIFS(OFFSET(Calc2!$I$4,,,$F$26*B974,1),OFFSET(Calc2!$G$4,,,$F$26*B974,1),F988)</f>
        <v>66</v>
      </c>
      <c r="H988" s="1">
        <f ca="1">SUMIFS(OFFSET(Calc2!$I$4,,,$F$26*B974,1),OFFSET(Calc2!$F$4,,,$F$26*B974,1),F988)+SUMIFS(OFFSET(Calc2!$H$4,,,$F$26*B974,1),OFFSET(Calc2!$G$4,,,$F$26*B974,1),F988)</f>
        <v>47</v>
      </c>
      <c r="I988" s="134">
        <f t="shared" ca="1" si="180"/>
        <v>19</v>
      </c>
      <c r="J988" s="12">
        <f ca="1">L988*Settings!$C$3+M988+O988</f>
        <v>65</v>
      </c>
      <c r="K988" s="1">
        <f t="shared" ca="1" si="183"/>
        <v>34</v>
      </c>
      <c r="L988" s="1">
        <f t="array" aca="1" ref="L988" ca="1">SUMPRODUCT((OFFSET(Calc2!$F$4,,,$F$26*B974,1)=F988)*(OFFSET(Calc2!$H$4,,,$F$26*B974,1)&gt;OFFSET(Calc2!$I$4,,,$F$26*B974,1)))+SUMPRODUCT((OFFSET(Calc2!$G$4,,,$F$26*B974,1)=F988)*(OFFSET(Calc2!$H$4,,,$F$26*B974,1)&lt;OFFSET(Calc2!$I$4,,,$F$26*B974,1)))</f>
        <v>20</v>
      </c>
      <c r="M988" s="1">
        <f t="array" aca="1" ref="M988" ca="1">SUMPRODUCT((OFFSET(Calc2!$F$4,,,$F$26*B974,2)=F988)*(OFFSET(Calc2!$H$4,,,$F$26*B974,1)=OFFSET(Calc2!$I$4,,,$F$26*B974,1))*(OFFSET(Calc2!$H$4,,,$F$26*B974,1)&lt;&gt;"")*(OFFSET(Calc2!$I$4,,,$F$26*B974,1)&lt;&gt;""))</f>
        <v>5</v>
      </c>
      <c r="N988" s="1">
        <f t="array" aca="1" ref="N988" ca="1">SUMPRODUCT((OFFSET(Calc2!$F$4,,,$F$26*B974,1)=F988)*(OFFSET(Calc2!$H$4,,,$F$26*B974,1)&lt;OFFSET(Calc2!$I$4,,,$F$26*B974,1)))+SUMPRODUCT((OFFSET(Calc2!$G$4,,,$F$26*B974,1)=F988)*(OFFSET(Calc2!$H$4,,,$F$26*B974,1)&gt;OFFSET(Calc2!$I$4,,,$F$26*B974,1)))</f>
        <v>9</v>
      </c>
      <c r="O988" s="132">
        <f ca="1">SUMPRODUCT((F988=OFFSET(Calc2!$F$4,,,$F$26*B974,1))*OFFSET(Calc2!$O$4,,,$F$26*B974,1))+SUMPRODUCT((F988=OFFSET(Calc2!$G$4,,,$F$26*B974,1))*OFFSET(Calc2!$P$4,,,$F$26*B974,1))</f>
        <v>0</v>
      </c>
      <c r="P988" s="2"/>
      <c r="Q988" s="2"/>
      <c r="R988" s="13">
        <f t="shared" ca="1" si="181"/>
        <v>65500019066</v>
      </c>
      <c r="S988" s="134">
        <f>Tie_Break!$D$19</f>
        <v>0</v>
      </c>
      <c r="T988" s="9">
        <f ca="1">RANK(R988,R976:R995)+(9-S988)/10000+(F988="")*1000</f>
        <v>3.0009000000000001</v>
      </c>
      <c r="U988" s="1"/>
      <c r="V988" s="134">
        <f ca="1">IF($K$24=0,"",IF(VLOOKUP(B988,C976:E995,3,0)=MAX(V$4:V987),VLOOKUP(B988,C976:E995,3,0),B988))</f>
        <v>13</v>
      </c>
      <c r="W988" s="4" t="str">
        <f ca="1">IF($K$24=0,Calc2!$C$16,VLOOKUP(B988,C976:N995,4,0))</f>
        <v>Hamburger SV</v>
      </c>
      <c r="X988" s="1">
        <f ca="1">INDEX(V949:V968,MATCH(W988,W949:W968,0))</f>
        <v>13</v>
      </c>
      <c r="Y988" s="1">
        <f t="shared" ca="1" si="184"/>
        <v>0</v>
      </c>
    </row>
    <row r="989" spans="2:25" x14ac:dyDescent="0.2">
      <c r="B989" s="1">
        <v>14</v>
      </c>
      <c r="C989" s="9">
        <f ca="1">RANK(D989,D976:D995,1)</f>
        <v>7</v>
      </c>
      <c r="D989" s="134">
        <f t="shared" ca="1" si="182"/>
        <v>7.9889999999999999</v>
      </c>
      <c r="E989" s="134">
        <f ca="1">RANK(T989,T976:T995,1)</f>
        <v>7</v>
      </c>
      <c r="F989" s="187" t="str">
        <f>Calc2!$C$17</f>
        <v>SC Freiburg</v>
      </c>
      <c r="G989" s="1">
        <f ca="1">SUMIFS(OFFSET(Calc2!$H$4,,,$F$26*B974,1),OFFSET(Calc2!$F$4,,,$F$26*B974,1),F989)+SUMIFS(OFFSET(Calc2!$I$4,,,$F$26*B974,1),OFFSET(Calc2!$G$4,,,$F$26*B974,1),F989)</f>
        <v>51</v>
      </c>
      <c r="H989" s="1">
        <f ca="1">SUMIFS(OFFSET(Calc2!$I$4,,,$F$26*B974,1),OFFSET(Calc2!$F$4,,,$F$26*B974,1),F989)+SUMIFS(OFFSET(Calc2!$H$4,,,$F$26*B974,1),OFFSET(Calc2!$G$4,,,$F$26*B974,1),F989)</f>
        <v>57</v>
      </c>
      <c r="I989" s="134">
        <f t="shared" ca="1" si="180"/>
        <v>-6</v>
      </c>
      <c r="J989" s="12">
        <f ca="1">L989*Settings!$C$3+M989+O989</f>
        <v>47</v>
      </c>
      <c r="K989" s="1">
        <f t="shared" ca="1" si="183"/>
        <v>34</v>
      </c>
      <c r="L989" s="1">
        <f t="array" aca="1" ref="L989" ca="1">SUMPRODUCT((OFFSET(Calc2!$F$4,,,$F$26*B974,1)=F989)*(OFFSET(Calc2!$H$4,,,$F$26*B974,1)&gt;OFFSET(Calc2!$I$4,,,$F$26*B974,1)))+SUMPRODUCT((OFFSET(Calc2!$G$4,,,$F$26*B974,1)=F989)*(OFFSET(Calc2!$H$4,,,$F$26*B974,1)&lt;OFFSET(Calc2!$I$4,,,$F$26*B974,1)))</f>
        <v>13</v>
      </c>
      <c r="M989" s="1">
        <f t="array" aca="1" ref="M989" ca="1">SUMPRODUCT((OFFSET(Calc2!$F$4,,,$F$26*B974,2)=F989)*(OFFSET(Calc2!$H$4,,,$F$26*B974,1)=OFFSET(Calc2!$I$4,,,$F$26*B974,1))*(OFFSET(Calc2!$H$4,,,$F$26*B974,1)&lt;&gt;"")*(OFFSET(Calc2!$I$4,,,$F$26*B974,1)&lt;&gt;""))</f>
        <v>8</v>
      </c>
      <c r="N989" s="1">
        <f t="array" aca="1" ref="N989" ca="1">SUMPRODUCT((OFFSET(Calc2!$F$4,,,$F$26*B974,1)=F989)*(OFFSET(Calc2!$H$4,,,$F$26*B974,1)&lt;OFFSET(Calc2!$I$4,,,$F$26*B974,1)))+SUMPRODUCT((OFFSET(Calc2!$G$4,,,$F$26*B974,1)=F989)*(OFFSET(Calc2!$H$4,,,$F$26*B974,1)&gt;OFFSET(Calc2!$I$4,,,$F$26*B974,1)))</f>
        <v>13</v>
      </c>
      <c r="O989" s="132">
        <f ca="1">SUMPRODUCT((F989=OFFSET(Calc2!$F$4,,,$F$26*B974,1))*OFFSET(Calc2!$O$4,,,$F$26*B974,1))+SUMPRODUCT((F989=OFFSET(Calc2!$G$4,,,$F$26*B974,1))*OFFSET(Calc2!$P$4,,,$F$26*B974,1))</f>
        <v>0</v>
      </c>
      <c r="P989" s="2"/>
      <c r="Q989" s="2"/>
      <c r="R989" s="13">
        <f t="shared" ca="1" si="181"/>
        <v>47499994051</v>
      </c>
      <c r="S989" s="134">
        <f>Tie_Break!$D$20</f>
        <v>0</v>
      </c>
      <c r="T989" s="9">
        <f ca="1">RANK(R989,R976:R995)+(9-S989)/10000+(F989="")*1000</f>
        <v>7.0008999999999997</v>
      </c>
      <c r="U989" s="2"/>
      <c r="V989" s="134">
        <f ca="1">IF($K$24=0,"",IF(VLOOKUP(B989,C976:E995,3,0)=MAX(V$4:V988),VLOOKUP(B989,C976:E995,3,0),B989))</f>
        <v>14</v>
      </c>
      <c r="W989" s="4" t="str">
        <f ca="1">IF($K$24=0,Calc2!$C$17,VLOOKUP(B989,C976:N995,4,0))</f>
        <v>1. FC Köln</v>
      </c>
      <c r="X989" s="1">
        <f ca="1">INDEX(V949:V968,MATCH(W989,W949:W968,0))</f>
        <v>14</v>
      </c>
      <c r="Y989" s="1">
        <f t="shared" ca="1" si="184"/>
        <v>0</v>
      </c>
    </row>
    <row r="990" spans="2:25" x14ac:dyDescent="0.2">
      <c r="B990" s="1">
        <v>15</v>
      </c>
      <c r="C990" s="9">
        <f ca="1">RANK(D990,D976:D995,1)</f>
        <v>15</v>
      </c>
      <c r="D990" s="134">
        <f t="shared" ca="1" si="182"/>
        <v>15.99</v>
      </c>
      <c r="E990" s="134">
        <f ca="1">RANK(T990,T976:T995,1)</f>
        <v>15</v>
      </c>
      <c r="F990" s="187" t="str">
        <f>Calc2!$C$18</f>
        <v>SV Werder Bremen</v>
      </c>
      <c r="G990" s="1">
        <f ca="1">SUMIFS(OFFSET(Calc2!$H$4,,,$F$26*B974,1),OFFSET(Calc2!$F$4,,,$F$26*B974,1),F990)+SUMIFS(OFFSET(Calc2!$I$4,,,$F$26*B974,1),OFFSET(Calc2!$G$4,,,$F$26*B974,1),F990)</f>
        <v>37</v>
      </c>
      <c r="H990" s="1">
        <f ca="1">SUMIFS(OFFSET(Calc2!$I$4,,,$F$26*B974,1),OFFSET(Calc2!$F$4,,,$F$26*B974,1),F990)+SUMIFS(OFFSET(Calc2!$H$4,,,$F$26*B974,1),OFFSET(Calc2!$G$4,,,$F$26*B974,1),F990)</f>
        <v>60</v>
      </c>
      <c r="I990" s="134">
        <f t="shared" ca="1" si="180"/>
        <v>-23</v>
      </c>
      <c r="J990" s="12">
        <f ca="1">L990*Settings!$C$3+M990+O990</f>
        <v>32</v>
      </c>
      <c r="K990" s="1">
        <f t="shared" ca="1" si="183"/>
        <v>34</v>
      </c>
      <c r="L990" s="1">
        <f t="array" aca="1" ref="L990" ca="1">SUMPRODUCT((OFFSET(Calc2!$F$4,,,$F$26*B974,1)=F990)*(OFFSET(Calc2!$H$4,,,$F$26*B974,1)&gt;OFFSET(Calc2!$I$4,,,$F$26*B974,1)))+SUMPRODUCT((OFFSET(Calc2!$G$4,,,$F$26*B974,1)=F990)*(OFFSET(Calc2!$H$4,,,$F$26*B974,1)&lt;OFFSET(Calc2!$I$4,,,$F$26*B974,1)))</f>
        <v>8</v>
      </c>
      <c r="M990" s="1">
        <f t="array" aca="1" ref="M990" ca="1">SUMPRODUCT((OFFSET(Calc2!$F$4,,,$F$26*B974,2)=F990)*(OFFSET(Calc2!$H$4,,,$F$26*B974,1)=OFFSET(Calc2!$I$4,,,$F$26*B974,1))*(OFFSET(Calc2!$H$4,,,$F$26*B974,1)&lt;&gt;"")*(OFFSET(Calc2!$I$4,,,$F$26*B974,1)&lt;&gt;""))</f>
        <v>8</v>
      </c>
      <c r="N990" s="1">
        <f t="array" aca="1" ref="N990" ca="1">SUMPRODUCT((OFFSET(Calc2!$F$4,,,$F$26*B974,1)=F990)*(OFFSET(Calc2!$H$4,,,$F$26*B974,1)&lt;OFFSET(Calc2!$I$4,,,$F$26*B974,1)))+SUMPRODUCT((OFFSET(Calc2!$G$4,,,$F$26*B974,1)=F990)*(OFFSET(Calc2!$H$4,,,$F$26*B974,1)&gt;OFFSET(Calc2!$I$4,,,$F$26*B974,1)))</f>
        <v>18</v>
      </c>
      <c r="O990" s="132">
        <f ca="1">SUMPRODUCT((F990=OFFSET(Calc2!$F$4,,,$F$26*B974,1))*OFFSET(Calc2!$O$4,,,$F$26*B974,1))+SUMPRODUCT((F990=OFFSET(Calc2!$G$4,,,$F$26*B974,1))*OFFSET(Calc2!$P$4,,,$F$26*B974,1))</f>
        <v>0</v>
      </c>
      <c r="P990" s="2"/>
      <c r="Q990" s="2"/>
      <c r="R990" s="13">
        <f t="shared" ca="1" si="181"/>
        <v>32499977037</v>
      </c>
      <c r="S990" s="134">
        <f>Tie_Break!$D$21</f>
        <v>0</v>
      </c>
      <c r="T990" s="9">
        <f ca="1">RANK(R990,R976:R995)+(9-S990)/10000+(F990="")*1000</f>
        <v>15.0009</v>
      </c>
      <c r="U990" s="2"/>
      <c r="V990" s="134">
        <f ca="1">IF($K$24=0,"",IF(VLOOKUP(B990,C976:E995,3,0)=MAX(V$4:V989),VLOOKUP(B990,C976:E995,3,0),B990))</f>
        <v>15</v>
      </c>
      <c r="W990" s="4" t="str">
        <f ca="1">IF($K$24=0,Calc2!$C$18,VLOOKUP(B990,C976:N995,4,0))</f>
        <v>SV Werder Bremen</v>
      </c>
      <c r="X990" s="1">
        <f ca="1">INDEX(V949:V968,MATCH(W990,W949:W968,0))</f>
        <v>15</v>
      </c>
      <c r="Y990" s="1">
        <f t="shared" ca="1" si="184"/>
        <v>0</v>
      </c>
    </row>
    <row r="991" spans="2:25" x14ac:dyDescent="0.2">
      <c r="B991" s="1">
        <v>16</v>
      </c>
      <c r="C991" s="9">
        <f ca="1">RANK(D991,D976:D995,1)</f>
        <v>5</v>
      </c>
      <c r="D991" s="134">
        <f t="shared" ca="1" si="182"/>
        <v>5.9909999999999997</v>
      </c>
      <c r="E991" s="134">
        <f ca="1">RANK(T991,T976:T995,1)</f>
        <v>5</v>
      </c>
      <c r="F991" s="187" t="str">
        <f>Calc2!$C$19</f>
        <v>TSG Hoffenheim</v>
      </c>
      <c r="G991" s="1">
        <f ca="1">SUMIFS(OFFSET(Calc2!$H$4,,,$F$26*B974,1),OFFSET(Calc2!$F$4,,,$F$26*B974,1),F991)+SUMIFS(OFFSET(Calc2!$I$4,,,$F$26*B974,1),OFFSET(Calc2!$G$4,,,$F$26*B974,1),F991)</f>
        <v>65</v>
      </c>
      <c r="H991" s="1">
        <f ca="1">SUMIFS(OFFSET(Calc2!$I$4,,,$F$26*B974,1),OFFSET(Calc2!$F$4,,,$F$26*B974,1),F991)+SUMIFS(OFFSET(Calc2!$H$4,,,$F$26*B974,1),OFFSET(Calc2!$G$4,,,$F$26*B974,1),F991)</f>
        <v>52</v>
      </c>
      <c r="I991" s="134">
        <f t="shared" ca="1" si="180"/>
        <v>13</v>
      </c>
      <c r="J991" s="12">
        <f ca="1">L991*Settings!$C$3+M991+O991</f>
        <v>61</v>
      </c>
      <c r="K991" s="1">
        <f t="shared" ca="1" si="183"/>
        <v>34</v>
      </c>
      <c r="L991" s="1">
        <f t="array" aca="1" ref="L991" ca="1">SUMPRODUCT((OFFSET(Calc2!$F$4,,,$F$26*B974,1)=F991)*(OFFSET(Calc2!$H$4,,,$F$26*B974,1)&gt;OFFSET(Calc2!$I$4,,,$F$26*B974,1)))+SUMPRODUCT((OFFSET(Calc2!$G$4,,,$F$26*B974,1)=F991)*(OFFSET(Calc2!$H$4,,,$F$26*B974,1)&lt;OFFSET(Calc2!$I$4,,,$F$26*B974,1)))</f>
        <v>18</v>
      </c>
      <c r="M991" s="1">
        <f t="array" aca="1" ref="M991" ca="1">SUMPRODUCT((OFFSET(Calc2!$F$4,,,$F$26*B974,2)=F991)*(OFFSET(Calc2!$H$4,,,$F$26*B974,1)=OFFSET(Calc2!$I$4,,,$F$26*B974,1))*(OFFSET(Calc2!$H$4,,,$F$26*B974,1)&lt;&gt;"")*(OFFSET(Calc2!$I$4,,,$F$26*B974,1)&lt;&gt;""))</f>
        <v>7</v>
      </c>
      <c r="N991" s="1">
        <f t="array" aca="1" ref="N991" ca="1">SUMPRODUCT((OFFSET(Calc2!$F$4,,,$F$26*B974,1)=F991)*(OFFSET(Calc2!$H$4,,,$F$26*B974,1)&lt;OFFSET(Calc2!$I$4,,,$F$26*B974,1)))+SUMPRODUCT((OFFSET(Calc2!$G$4,,,$F$26*B974,1)=F991)*(OFFSET(Calc2!$H$4,,,$F$26*B974,1)&gt;OFFSET(Calc2!$I$4,,,$F$26*B974,1)))</f>
        <v>9</v>
      </c>
      <c r="O991" s="132">
        <f ca="1">SUMPRODUCT((F991=OFFSET(Calc2!$F$4,,,$F$26*B974,1))*OFFSET(Calc2!$O$4,,,$F$26*B974,1))+SUMPRODUCT((F991=OFFSET(Calc2!$G$4,,,$F$26*B974,1))*OFFSET(Calc2!$P$4,,,$F$26*B974,1))</f>
        <v>0</v>
      </c>
      <c r="P991" s="2"/>
      <c r="Q991" s="2"/>
      <c r="R991" s="13">
        <f t="shared" ca="1" si="181"/>
        <v>61500013065</v>
      </c>
      <c r="S991" s="134">
        <f>Tie_Break!$D$22</f>
        <v>0</v>
      </c>
      <c r="T991" s="9">
        <f ca="1">RANK(R991,R976:R995)+(9-S991)/10000+(F991="")*1000</f>
        <v>5.0008999999999997</v>
      </c>
      <c r="U991" s="2"/>
      <c r="V991" s="134">
        <f ca="1">IF($K$24=0,"",IF(VLOOKUP(B991,C976:E995,3,0)=MAX(V$4:V990),VLOOKUP(B991,C976:E995,3,0),B991))</f>
        <v>16</v>
      </c>
      <c r="W991" s="4" t="str">
        <f ca="1">IF($K$24=0,Calc2!$C$19,VLOOKUP(B991,C976:N995,4,0))</f>
        <v>VfL Wolfsburg</v>
      </c>
      <c r="X991" s="1">
        <f ca="1">INDEX(V949:V968,MATCH(W991,W949:W968,0))</f>
        <v>16</v>
      </c>
      <c r="Y991" s="1">
        <f t="shared" ca="1" si="184"/>
        <v>0</v>
      </c>
    </row>
    <row r="992" spans="2:25" x14ac:dyDescent="0.2">
      <c r="B992" s="1">
        <v>17</v>
      </c>
      <c r="C992" s="9">
        <f ca="1">RANK(D992,D976:D995,1)</f>
        <v>4</v>
      </c>
      <c r="D992" s="134">
        <f t="shared" ca="1" si="182"/>
        <v>4.992</v>
      </c>
      <c r="E992" s="134">
        <f ca="1">RANK(T992,T976:T995,1)</f>
        <v>4</v>
      </c>
      <c r="F992" s="187" t="str">
        <f>Calc2!$C$20</f>
        <v>VfB Stuttgart</v>
      </c>
      <c r="G992" s="1">
        <f ca="1">SUMIFS(OFFSET(Calc2!$H$4,,,$F$26*B974,1),OFFSET(Calc2!$F$4,,,$F$26*B974,1),F992)+SUMIFS(OFFSET(Calc2!$I$4,,,$F$26*B974,1),OFFSET(Calc2!$G$4,,,$F$26*B974,1),F992)</f>
        <v>71</v>
      </c>
      <c r="H992" s="1">
        <f ca="1">SUMIFS(OFFSET(Calc2!$I$4,,,$F$26*B974,1),OFFSET(Calc2!$F$4,,,$F$26*B974,1),F992)+SUMIFS(OFFSET(Calc2!$H$4,,,$F$26*B974,1),OFFSET(Calc2!$G$4,,,$F$26*B974,1),F992)</f>
        <v>49</v>
      </c>
      <c r="I992" s="134">
        <f t="shared" ca="1" si="180"/>
        <v>22</v>
      </c>
      <c r="J992" s="12">
        <f ca="1">L992*Settings!$C$3+M992+O992</f>
        <v>62</v>
      </c>
      <c r="K992" s="1">
        <f t="shared" ca="1" si="183"/>
        <v>34</v>
      </c>
      <c r="L992" s="1">
        <f t="array" aca="1" ref="L992" ca="1">SUMPRODUCT((OFFSET(Calc2!$F$4,,,$F$26*B974,1)=F992)*(OFFSET(Calc2!$H$4,,,$F$26*B974,1)&gt;OFFSET(Calc2!$I$4,,,$F$26*B974,1)))+SUMPRODUCT((OFFSET(Calc2!$G$4,,,$F$26*B974,1)=F992)*(OFFSET(Calc2!$H$4,,,$F$26*B974,1)&lt;OFFSET(Calc2!$I$4,,,$F$26*B974,1)))</f>
        <v>18</v>
      </c>
      <c r="M992" s="1">
        <f t="array" aca="1" ref="M992" ca="1">SUMPRODUCT((OFFSET(Calc2!$F$4,,,$F$26*B974,2)=F992)*(OFFSET(Calc2!$H$4,,,$F$26*B974,1)=OFFSET(Calc2!$I$4,,,$F$26*B974,1))*(OFFSET(Calc2!$H$4,,,$F$26*B974,1)&lt;&gt;"")*(OFFSET(Calc2!$I$4,,,$F$26*B974,1)&lt;&gt;""))</f>
        <v>8</v>
      </c>
      <c r="N992" s="1">
        <f t="array" aca="1" ref="N992" ca="1">SUMPRODUCT((OFFSET(Calc2!$F$4,,,$F$26*B974,1)=F992)*(OFFSET(Calc2!$H$4,,,$F$26*B974,1)&lt;OFFSET(Calc2!$I$4,,,$F$26*B974,1)))+SUMPRODUCT((OFFSET(Calc2!$G$4,,,$F$26*B974,1)=F992)*(OFFSET(Calc2!$H$4,,,$F$26*B974,1)&gt;OFFSET(Calc2!$I$4,,,$F$26*B974,1)))</f>
        <v>8</v>
      </c>
      <c r="O992" s="132">
        <f ca="1">SUMPRODUCT((F992=OFFSET(Calc2!$F$4,,,$F$26*B974,1))*OFFSET(Calc2!$O$4,,,$F$26*B974,1))+SUMPRODUCT((F992=OFFSET(Calc2!$G$4,,,$F$26*B974,1))*OFFSET(Calc2!$P$4,,,$F$26*B974,1))</f>
        <v>0</v>
      </c>
      <c r="P992" s="2"/>
      <c r="Q992" s="2"/>
      <c r="R992" s="13">
        <f t="shared" ca="1" si="181"/>
        <v>62500022071</v>
      </c>
      <c r="S992" s="134">
        <f>Tie_Break!$D$23</f>
        <v>0</v>
      </c>
      <c r="T992" s="9">
        <f ca="1">RANK(R992,R976:R995)+(9-S992)/10000+(F992="")*1000</f>
        <v>4.0008999999999997</v>
      </c>
      <c r="U992" s="2"/>
      <c r="V992" s="134">
        <f ca="1">IF($K$24=0,"",IF(VLOOKUP(B992,C976:E995,3,0)=MAX(V$4:V991),VLOOKUP(B992,C976:E995,3,0),B992))</f>
        <v>17</v>
      </c>
      <c r="W992" s="4" t="str">
        <f ca="1">IF($K$24=0,Calc2!$C$20,VLOOKUP(B992,C976:N995,4,0))</f>
        <v>1. FC Heidenheim 1846</v>
      </c>
      <c r="X992" s="1">
        <f ca="1">INDEX(V949:V968,MATCH(W992,W949:W968,0))</f>
        <v>17</v>
      </c>
      <c r="Y992" s="1">
        <f t="shared" ca="1" si="184"/>
        <v>0</v>
      </c>
    </row>
    <row r="993" spans="2:25" x14ac:dyDescent="0.2">
      <c r="B993" s="1">
        <v>18</v>
      </c>
      <c r="C993" s="9">
        <f ca="1">RANK(D993,D976:D995,1)</f>
        <v>16</v>
      </c>
      <c r="D993" s="134">
        <f t="shared" ca="1" si="182"/>
        <v>16.992999999999999</v>
      </c>
      <c r="E993" s="134">
        <f ca="1">RANK(T993,T976:T995,1)</f>
        <v>16</v>
      </c>
      <c r="F993" s="187" t="str">
        <f>Calc2!$C$21</f>
        <v>VfL Wolfsburg</v>
      </c>
      <c r="G993" s="1">
        <f ca="1">SUMIFS(OFFSET(Calc2!$H$4,,,$F$26*B974,1),OFFSET(Calc2!$F$4,,,$F$26*B974,1),F993)+SUMIFS(OFFSET(Calc2!$I$4,,,$F$26*B974,1),OFFSET(Calc2!$G$4,,,$F$26*B974,1),F993)</f>
        <v>45</v>
      </c>
      <c r="H993" s="1">
        <f ca="1">SUMIFS(OFFSET(Calc2!$I$4,,,$F$26*B974,1),OFFSET(Calc2!$F$4,,,$F$26*B974,1),F993)+SUMIFS(OFFSET(Calc2!$H$4,,,$F$26*B974,1),OFFSET(Calc2!$G$4,,,$F$26*B974,1),F993)</f>
        <v>69</v>
      </c>
      <c r="I993" s="134">
        <f t="shared" ca="1" si="180"/>
        <v>-24</v>
      </c>
      <c r="J993" s="12">
        <f ca="1">L993*Settings!$C$3+M993+O993</f>
        <v>29</v>
      </c>
      <c r="K993" s="1">
        <f t="shared" ca="1" si="183"/>
        <v>34</v>
      </c>
      <c r="L993" s="1">
        <f t="array" aca="1" ref="L993" ca="1">SUMPRODUCT((OFFSET(Calc2!$F$4,,,$F$26*B974,1)=F993)*(OFFSET(Calc2!$H$4,,,$F$26*B974,1)&gt;OFFSET(Calc2!$I$4,,,$F$26*B974,1)))+SUMPRODUCT((OFFSET(Calc2!$G$4,,,$F$26*B974,1)=F993)*(OFFSET(Calc2!$H$4,,,$F$26*B974,1)&lt;OFFSET(Calc2!$I$4,,,$F$26*B974,1)))</f>
        <v>7</v>
      </c>
      <c r="M993" s="1">
        <f t="array" aca="1" ref="M993" ca="1">SUMPRODUCT((OFFSET(Calc2!$F$4,,,$F$26*B974,2)=F993)*(OFFSET(Calc2!$H$4,,,$F$26*B974,1)=OFFSET(Calc2!$I$4,,,$F$26*B974,1))*(OFFSET(Calc2!$H$4,,,$F$26*B974,1)&lt;&gt;"")*(OFFSET(Calc2!$I$4,,,$F$26*B974,1)&lt;&gt;""))</f>
        <v>8</v>
      </c>
      <c r="N993" s="1">
        <f t="array" aca="1" ref="N993" ca="1">SUMPRODUCT((OFFSET(Calc2!$F$4,,,$F$26*B974,1)=F993)*(OFFSET(Calc2!$H$4,,,$F$26*B974,1)&lt;OFFSET(Calc2!$I$4,,,$F$26*B974,1)))+SUMPRODUCT((OFFSET(Calc2!$G$4,,,$F$26*B974,1)=F993)*(OFFSET(Calc2!$H$4,,,$F$26*B974,1)&gt;OFFSET(Calc2!$I$4,,,$F$26*B974,1)))</f>
        <v>19</v>
      </c>
      <c r="O993" s="132">
        <f ca="1">SUMPRODUCT((F993=OFFSET(Calc2!$F$4,,,$F$26*B974,1))*OFFSET(Calc2!$O$4,,,$F$26*B974,1))+SUMPRODUCT((F993=OFFSET(Calc2!$G$4,,,$F$26*B974,1))*OFFSET(Calc2!$P$4,,,$F$26*B974,1))</f>
        <v>0</v>
      </c>
      <c r="P993" s="2"/>
      <c r="Q993" s="2"/>
      <c r="R993" s="13">
        <f t="shared" ca="1" si="181"/>
        <v>29499976045</v>
      </c>
      <c r="S993" s="134">
        <f>Tie_Break!$D$24</f>
        <v>0</v>
      </c>
      <c r="T993" s="9">
        <f ca="1">RANK(R993,R976:R995)+(9-S993)/10000+(F993="")*1000</f>
        <v>16.000900000000001</v>
      </c>
      <c r="U993" s="2"/>
      <c r="V993" s="134">
        <f ca="1">IF($K$24=0,"",IF(VLOOKUP(B993,C976:E995,3,0)=MAX(V$4:V992),VLOOKUP(B993,C976:E995,3,0),B993))</f>
        <v>18</v>
      </c>
      <c r="W993" s="4" t="str">
        <f ca="1">IF($K$24=0,Calc2!$C$21,VLOOKUP(B993,C976:N995,4,0))</f>
        <v>FC St. Pauli</v>
      </c>
      <c r="X993" s="1">
        <f ca="1">INDEX(V949:V968,MATCH(W993,W949:W968,0))</f>
        <v>18</v>
      </c>
      <c r="Y993" s="1">
        <f t="shared" ca="1" si="184"/>
        <v>0</v>
      </c>
    </row>
    <row r="994" spans="2:25" x14ac:dyDescent="0.2">
      <c r="B994" s="1">
        <v>19</v>
      </c>
      <c r="C994" s="9">
        <f ca="1">RANK(D994,D976:D995,1)</f>
        <v>19</v>
      </c>
      <c r="D994" s="134">
        <f t="shared" ca="1" si="182"/>
        <v>19.994</v>
      </c>
      <c r="E994" s="134">
        <f ca="1">RANK(T994,T976:T995,1)</f>
        <v>19</v>
      </c>
      <c r="F994" s="187" t="str">
        <f>Calc2!$C$22</f>
        <v/>
      </c>
      <c r="G994" s="1">
        <f ca="1">SUMIFS(OFFSET(Calc2!$H$4,,,$F$26*B974,1),OFFSET(Calc2!$F$4,,,$F$26*B974,1),F994)+SUMIFS(OFFSET(Calc2!$I$4,,,$F$26*B974,1),OFFSET(Calc2!$G$4,,,$F$26*B974,1),F994)</f>
        <v>0</v>
      </c>
      <c r="H994" s="1">
        <f ca="1">SUMIFS(OFFSET(Calc2!$I$4,,,$F$26*B974,1),OFFSET(Calc2!$F$4,,,$F$26*B974,1),F994)+SUMIFS(OFFSET(Calc2!$H$4,,,$F$26*B974,1),OFFSET(Calc2!$G$4,,,$F$26*B974,1),F994)</f>
        <v>0</v>
      </c>
      <c r="I994" s="134">
        <f t="shared" ca="1" si="180"/>
        <v>0</v>
      </c>
      <c r="J994" s="12">
        <f ca="1">L994*Settings!$C$3+M994+O994</f>
        <v>0</v>
      </c>
      <c r="K994" s="1">
        <f t="shared" ca="1" si="183"/>
        <v>0</v>
      </c>
      <c r="L994" s="1">
        <f t="array" aca="1" ref="L994" ca="1">SUMPRODUCT((OFFSET(Calc2!$F$4,,,$F$26*B974,1)=F994)*(OFFSET(Calc2!$H$4,,,$F$26*B974,1)&gt;OFFSET(Calc2!$I$4,,,$F$26*B974,1)))+SUMPRODUCT((OFFSET(Calc2!$G$4,,,$F$26*B974,1)=F994)*(OFFSET(Calc2!$H$4,,,$F$26*B974,1)&lt;OFFSET(Calc2!$I$4,,,$F$26*B974,1)))</f>
        <v>0</v>
      </c>
      <c r="M994" s="1">
        <f t="array" aca="1" ref="M994" ca="1">SUMPRODUCT((OFFSET(Calc2!$F$4,,,$F$26*B974,2)=F994)*(OFFSET(Calc2!$H$4,,,$F$26*B974,1)=OFFSET(Calc2!$I$4,,,$F$26*B974,1))*(OFFSET(Calc2!$H$4,,,$F$26*B974,1)&lt;&gt;"")*(OFFSET(Calc2!$I$4,,,$F$26*B974,1)&lt;&gt;""))</f>
        <v>0</v>
      </c>
      <c r="N994" s="1">
        <f t="array" aca="1" ref="N994" ca="1">SUMPRODUCT((OFFSET(Calc2!$F$4,,,$F$26*B974,1)=F994)*(OFFSET(Calc2!$H$4,,,$F$26*B974,1)&lt;OFFSET(Calc2!$I$4,,,$F$26*B974,1)))+SUMPRODUCT((OFFSET(Calc2!$G$4,,,$F$26*B974,1)=F994)*(OFFSET(Calc2!$H$4,,,$F$26*B974,1)&gt;OFFSET(Calc2!$I$4,,,$F$26*B974,1)))</f>
        <v>0</v>
      </c>
      <c r="O994" s="132">
        <f ca="1">SUMPRODUCT((F994=OFFSET(Calc2!$F$4,,,$F$26*B974,1))*OFFSET(Calc2!$O$4,,,$F$26*B974,1))+SUMPRODUCT((F994=OFFSET(Calc2!$G$4,,,$F$26*B974,1))*OFFSET(Calc2!$P$4,,,$F$26*B974,1))</f>
        <v>0</v>
      </c>
      <c r="P994" s="2"/>
      <c r="Q994" s="2"/>
      <c r="R994" s="13">
        <f t="shared" ca="1" si="181"/>
        <v>500000000</v>
      </c>
      <c r="S994" s="134">
        <f>Tie_Break!$D$25</f>
        <v>0</v>
      </c>
      <c r="T994" s="9">
        <f ca="1">RANK(R994,R976:R995)+(9-S994)/10000+(F994="")*1000</f>
        <v>1019.0009</v>
      </c>
      <c r="U994" s="2"/>
      <c r="V994" s="134">
        <f ca="1">IF($K$24=0,"",IF(VLOOKUP(B994,C976:E995,3,0)=MAX(V$4:V993),VLOOKUP(B994,C976:E995,3,0),B994))</f>
        <v>19</v>
      </c>
      <c r="W994" s="4" t="str">
        <f ca="1">IF($K$24=0,Calc2!$C$22,VLOOKUP(B994,C976:N995,4,0))</f>
        <v/>
      </c>
      <c r="X994" s="1">
        <f ca="1">INDEX(V949:V968,MATCH(W994,W949:W968,0))</f>
        <v>19</v>
      </c>
      <c r="Y994" s="1">
        <f t="shared" ca="1" si="184"/>
        <v>0</v>
      </c>
    </row>
    <row r="995" spans="2:25" ht="12.75" thickBot="1" x14ac:dyDescent="0.25">
      <c r="B995" s="1">
        <v>20</v>
      </c>
      <c r="C995" s="10">
        <f ca="1">RANK(D995,D976:D995,1)</f>
        <v>20</v>
      </c>
      <c r="D995" s="134">
        <f t="shared" ca="1" si="182"/>
        <v>19.995000000000001</v>
      </c>
      <c r="E995" s="134">
        <f ca="1">RANK(T995,T976:T995,1)</f>
        <v>19</v>
      </c>
      <c r="F995" s="187" t="str">
        <f>Calc2!$C$23</f>
        <v/>
      </c>
      <c r="G995" s="1">
        <f ca="1">SUMIFS(OFFSET(Calc2!$H$4,,,$F$26*B974,1),OFFSET(Calc2!$F$4,,,$F$26*B974,1),F995)+SUMIFS(OFFSET(Calc2!$I$4,,,$F$26*B974,1),OFFSET(Calc2!$G$4,,,$F$26*B974,1),F995)</f>
        <v>0</v>
      </c>
      <c r="H995" s="1">
        <f ca="1">SUMIFS(OFFSET(Calc2!$I$4,,,$F$26*B974,1),OFFSET(Calc2!$F$4,,,$F$26*B974,1),F995)+SUMIFS(OFFSET(Calc2!$H$4,,,$F$26*B974,1),OFFSET(Calc2!$G$4,,,$F$26*B974,1),F995)</f>
        <v>0</v>
      </c>
      <c r="I995" s="134">
        <f t="shared" ca="1" si="180"/>
        <v>0</v>
      </c>
      <c r="J995" s="12">
        <f ca="1">L995*Settings!$C$3+M995+O995</f>
        <v>0</v>
      </c>
      <c r="K995" s="1">
        <f t="shared" ca="1" si="183"/>
        <v>0</v>
      </c>
      <c r="L995" s="1">
        <f t="array" aca="1" ref="L995" ca="1">SUMPRODUCT((OFFSET(Calc2!$F$4,,,$F$26*B974,1)=F995)*(OFFSET(Calc2!$H$4,,,$F$26*B974,1)&gt;OFFSET(Calc2!$I$4,,,$F$26*B974,1)))+SUMPRODUCT((OFFSET(Calc2!$G$4,,,$F$26*B974,1)=F995)*(OFFSET(Calc2!$H$4,,,$F$26*B974,1)&lt;OFFSET(Calc2!$I$4,,,$F$26*B974,1)))</f>
        <v>0</v>
      </c>
      <c r="M995" s="1">
        <f t="array" aca="1" ref="M995" ca="1">SUMPRODUCT((OFFSET(Calc2!$F$4,,,$F$26*B974,2)=F995)*(OFFSET(Calc2!$H$4,,,$F$26*B974,1)=OFFSET(Calc2!$I$4,,,$F$26*B974,1))*(OFFSET(Calc2!$H$4,,,$F$26*B974,1)&lt;&gt;"")*(OFFSET(Calc2!$I$4,,,$F$26*B974,1)&lt;&gt;""))</f>
        <v>0</v>
      </c>
      <c r="N995" s="1">
        <f t="array" aca="1" ref="N995" ca="1">SUMPRODUCT((OFFSET(Calc2!$F$4,,,$F$26*B974,1)=F995)*(OFFSET(Calc2!$H$4,,,$F$26*B974,1)&lt;OFFSET(Calc2!$I$4,,,$F$26*B974,1)))+SUMPRODUCT((OFFSET(Calc2!$G$4,,,$F$26*B974,1)=F995)*(OFFSET(Calc2!$H$4,,,$F$26*B974,1)&gt;OFFSET(Calc2!$I$4,,,$F$26*B974,1)))</f>
        <v>0</v>
      </c>
      <c r="O995" s="132">
        <f ca="1">SUMPRODUCT((F995=OFFSET(Calc2!$F$4,,,$F$26*B974,1))*OFFSET(Calc2!$O$4,,,$F$26*B974,1))+SUMPRODUCT((F995=OFFSET(Calc2!$G$4,,,$F$26*B974,1))*OFFSET(Calc2!$P$4,,,$F$26*B974,1))</f>
        <v>0</v>
      </c>
      <c r="P995" s="2"/>
      <c r="Q995" s="2"/>
      <c r="R995" s="13">
        <f t="shared" ca="1" si="181"/>
        <v>500000000</v>
      </c>
      <c r="S995" s="134">
        <f>Tie_Break!$D$26</f>
        <v>0</v>
      </c>
      <c r="T995" s="10">
        <f ca="1">RANK(R995,R976:R995)+(9-S995)/10000+(F995="")*1000</f>
        <v>1019.0009</v>
      </c>
      <c r="U995" s="2"/>
      <c r="V995" s="134">
        <f ca="1">IF($K$24=0,"",IF(VLOOKUP(B995,C976:E995,3,0)=MAX(V$4:V994),VLOOKUP(B995,C976:E995,3,0),B995))</f>
        <v>19</v>
      </c>
      <c r="W995" s="4" t="str">
        <f ca="1">IF($K$24=0,Calc2!$C$23,VLOOKUP(B995,C976:N995,4,0))</f>
        <v/>
      </c>
      <c r="X995" s="1">
        <f ca="1">INDEX(V949:V968,MATCH(W995,W949:W968,0))</f>
        <v>19</v>
      </c>
      <c r="Y995" s="1">
        <f t="shared" ca="1" si="184"/>
        <v>0</v>
      </c>
    </row>
    <row r="996" spans="2:25" ht="12.75" thickTop="1" x14ac:dyDescent="0.2"/>
    <row r="1000" spans="2:25" ht="12.75" thickBot="1" x14ac:dyDescent="0.25"/>
    <row r="1001" spans="2:25" ht="12.75" thickBot="1" x14ac:dyDescent="0.25">
      <c r="B1001" s="410">
        <v>38</v>
      </c>
      <c r="C1001" s="134"/>
      <c r="D1001" s="134"/>
      <c r="E1001" s="134"/>
      <c r="F1001" s="187"/>
      <c r="G1001" s="1"/>
      <c r="H1001" s="1"/>
      <c r="I1001" s="1"/>
      <c r="J1001" s="1"/>
      <c r="K1001" s="1"/>
      <c r="L1001" s="1"/>
      <c r="M1001" s="1"/>
      <c r="N1001" s="134"/>
      <c r="O1001" s="1"/>
      <c r="P1001" s="1"/>
      <c r="Q1001" s="1"/>
      <c r="R1001" s="2"/>
      <c r="S1001" s="2"/>
      <c r="T1001" s="2"/>
      <c r="U1001" s="2"/>
      <c r="V1001" s="2"/>
      <c r="W1001" s="2"/>
    </row>
    <row r="1002" spans="2:25" ht="15.75" thickBot="1" x14ac:dyDescent="0.25">
      <c r="B1002" s="1"/>
      <c r="C1002" s="134"/>
      <c r="D1002" s="134"/>
      <c r="E1002" s="134"/>
      <c r="F1002" s="11" t="s">
        <v>90</v>
      </c>
      <c r="G1002" s="42" t="s">
        <v>95</v>
      </c>
      <c r="H1002" s="42" t="s">
        <v>96</v>
      </c>
      <c r="I1002" s="11" t="s">
        <v>97</v>
      </c>
      <c r="J1002" s="11" t="s">
        <v>98</v>
      </c>
      <c r="K1002" s="11" t="s">
        <v>91</v>
      </c>
      <c r="L1002" s="12" t="s">
        <v>92</v>
      </c>
      <c r="M1002" s="12" t="s">
        <v>93</v>
      </c>
      <c r="N1002" s="12" t="s">
        <v>94</v>
      </c>
      <c r="O1002" s="12" t="s">
        <v>534</v>
      </c>
      <c r="P1002" s="2"/>
      <c r="Q1002" s="11"/>
      <c r="R1002" s="133" t="s">
        <v>99</v>
      </c>
      <c r="S1002" s="6" t="s">
        <v>483</v>
      </c>
      <c r="T1002" s="120" t="s">
        <v>146</v>
      </c>
      <c r="U1002" s="134"/>
      <c r="V1002" s="134"/>
      <c r="W1002" s="132"/>
      <c r="X1002" s="120" t="s">
        <v>575</v>
      </c>
      <c r="Y1002" s="1"/>
    </row>
    <row r="1003" spans="2:25" ht="12.75" thickTop="1" x14ac:dyDescent="0.2">
      <c r="B1003" s="1">
        <v>1</v>
      </c>
      <c r="C1003" s="8">
        <f ca="1">RANK(D1003,D1003:D1022,1)</f>
        <v>17</v>
      </c>
      <c r="D1003" s="134">
        <f ca="1">E1003+ROW()/1000</f>
        <v>18.003</v>
      </c>
      <c r="E1003" s="134">
        <f ca="1">RANK(T1003,T1003:T1022,1)</f>
        <v>17</v>
      </c>
      <c r="F1003" s="187" t="str">
        <f>Calc2!$C$4</f>
        <v>1. FC Heidenheim 1846</v>
      </c>
      <c r="G1003" s="1">
        <f ca="1">SUMIFS(OFFSET(Calc2!$H$4,,,$F$26*B1001,1),OFFSET(Calc2!$F$4,,,$F$26*B1001,1),F1003)+SUMIFS(OFFSET(Calc2!$I$4,,,$F$26*B1001,1),OFFSET(Calc2!$G$4,,,$F$26*B1001,1),F1003)</f>
        <v>41</v>
      </c>
      <c r="H1003" s="1">
        <f ca="1">SUMIFS(OFFSET(Calc2!$I$4,,,$F$26*B1001,1),OFFSET(Calc2!$F$4,,,$F$26*B1001,1),F1003)+SUMIFS(OFFSET(Calc2!$H$4,,,$F$26*B1001,1),OFFSET(Calc2!$G$4,,,$F$26*B1001,1),F1003)</f>
        <v>72</v>
      </c>
      <c r="I1003" s="134">
        <f t="shared" ref="I1003:I1022" ca="1" si="185">G1003-H1003</f>
        <v>-31</v>
      </c>
      <c r="J1003" s="12">
        <f ca="1">L1003*Settings!$C$3+M1003+O1003</f>
        <v>26</v>
      </c>
      <c r="K1003" s="1">
        <f ca="1">L1003+M1003+N1003</f>
        <v>34</v>
      </c>
      <c r="L1003" s="1">
        <f t="array" aca="1" ref="L1003" ca="1">SUMPRODUCT((OFFSET(Calc2!$F$4,,,$F$26*B1001,1)=F1003)*(OFFSET(Calc2!$H$4,,,$F$26*B1001,1)&gt;OFFSET(Calc2!$I$4,,,$F$26*B1001,1)))+SUMPRODUCT((OFFSET(Calc2!$G$4,,,$F$26*B1001,1)=F1003)*(OFFSET(Calc2!$H$4,,,$F$26*B1001,1)&lt;OFFSET(Calc2!$I$4,,,$F$26*B1001,1)))</f>
        <v>6</v>
      </c>
      <c r="M1003" s="1">
        <f t="array" aca="1" ref="M1003" ca="1">SUMPRODUCT((OFFSET(Calc2!$F$4,,,$F$26*B1001,2)=F1003)*(OFFSET(Calc2!$H$4,,,$F$26*B1001,1)=OFFSET(Calc2!$I$4,,,$F$26*B1001,1))*(OFFSET(Calc2!$H$4,,,$F$26*B1001,1)&lt;&gt;"")*(OFFSET(Calc2!$I$4,,,$F$26*B1001,1)&lt;&gt;""))</f>
        <v>8</v>
      </c>
      <c r="N1003" s="1">
        <f t="array" aca="1" ref="N1003" ca="1">SUMPRODUCT((OFFSET(Calc2!$F$4,,,$F$26*B1001,1)=F1003)*(OFFSET(Calc2!$H$4,,,$F$26*B1001,1)&lt;OFFSET(Calc2!$I$4,,,$F$26*B1001,1)))+SUMPRODUCT((OFFSET(Calc2!$G$4,,,$F$26*B1001,1)=F1003)*(OFFSET(Calc2!$H$4,,,$F$26*B1001,1)&gt;OFFSET(Calc2!$I$4,,,$F$26*B1001,1)))</f>
        <v>20</v>
      </c>
      <c r="O1003" s="132">
        <f ca="1">SUMPRODUCT((F1003=OFFSET(Calc2!$F$4,,,$F$26*B1001,1))*OFFSET(Calc2!$O$4,,,$F$26*B1001,1))+SUMPRODUCT((F1003=OFFSET(Calc2!$G$4,,,$F$26*B1001,1))*OFFSET(Calc2!$P$4,,,$F$26*B1001,1))</f>
        <v>0</v>
      </c>
      <c r="P1003" s="2"/>
      <c r="Q1003" s="2"/>
      <c r="R1003" s="13">
        <f t="shared" ref="R1003:R1022" ca="1" si="186">J1003*FactorPts+(I1003+GDzero)*FactorGD+G1003*FactorGF</f>
        <v>26499969041</v>
      </c>
      <c r="S1003" s="134">
        <f>Tie_Break!$D$7</f>
        <v>0</v>
      </c>
      <c r="T1003" s="8">
        <f ca="1">RANK(R1003,R1003:R1022)+(9-S1003)/10000+(F1003="")*1000</f>
        <v>17.000900000000001</v>
      </c>
      <c r="U1003" s="134"/>
      <c r="V1003" s="134">
        <f ca="1">IF($K$24=0,"",1)</f>
        <v>1</v>
      </c>
      <c r="W1003" s="4" t="str">
        <f ca="1">IF($K$24=0,Calc2!$C$4,VLOOKUP(B1003,C1003:N1022,4,0))</f>
        <v>FC Bayern München</v>
      </c>
      <c r="X1003" s="1">
        <f ca="1">INDEX(V976:V995,MATCH(W1003,W976:W995,0))</f>
        <v>1</v>
      </c>
      <c r="Y1003" s="1">
        <f ca="1">IF(X1003&gt;V1003,1,IF(X1003&lt;V1003,-1,0))</f>
        <v>0</v>
      </c>
    </row>
    <row r="1004" spans="2:25" x14ac:dyDescent="0.2">
      <c r="B1004" s="1">
        <v>2</v>
      </c>
      <c r="C1004" s="9">
        <f ca="1">RANK(D1004,D1003:D1022,1)</f>
        <v>14</v>
      </c>
      <c r="D1004" s="134">
        <f t="shared" ref="D1004:D1022" ca="1" si="187">E1004+ROW()/1000</f>
        <v>15.004</v>
      </c>
      <c r="E1004" s="134">
        <f ca="1">RANK(T1004,T1003:T1022,1)</f>
        <v>14</v>
      </c>
      <c r="F1004" s="187" t="str">
        <f>Calc2!$C$5</f>
        <v>1. FC Köln</v>
      </c>
      <c r="G1004" s="1">
        <f ca="1">SUMIFS(OFFSET(Calc2!$H$4,,,$F$26*B1001,1),OFFSET(Calc2!$F$4,,,$F$26*B1001,1),F1004)+SUMIFS(OFFSET(Calc2!$I$4,,,$F$26*B1001,1),OFFSET(Calc2!$G$4,,,$F$26*B1001,1),F1004)</f>
        <v>49</v>
      </c>
      <c r="H1004" s="1">
        <f ca="1">SUMIFS(OFFSET(Calc2!$I$4,,,$F$26*B1001,1),OFFSET(Calc2!$F$4,,,$F$26*B1001,1),F1004)+SUMIFS(OFFSET(Calc2!$H$4,,,$F$26*B1001,1),OFFSET(Calc2!$G$4,,,$F$26*B1001,1),F1004)</f>
        <v>63</v>
      </c>
      <c r="I1004" s="134">
        <f t="shared" ca="1" si="185"/>
        <v>-14</v>
      </c>
      <c r="J1004" s="12">
        <f ca="1">L1004*Settings!$C$3+M1004+O1004</f>
        <v>32</v>
      </c>
      <c r="K1004" s="1">
        <f t="shared" ref="K1004:K1022" ca="1" si="188">L1004+M1004+N1004</f>
        <v>34</v>
      </c>
      <c r="L1004" s="1">
        <f t="array" aca="1" ref="L1004" ca="1">SUMPRODUCT((OFFSET(Calc2!$F$4,,,$F$26*B1001,1)=F1004)*(OFFSET(Calc2!$H$4,,,$F$26*B1001,1)&gt;OFFSET(Calc2!$I$4,,,$F$26*B1001,1)))+SUMPRODUCT((OFFSET(Calc2!$G$4,,,$F$26*B1001,1)=F1004)*(OFFSET(Calc2!$H$4,,,$F$26*B1001,1)&lt;OFFSET(Calc2!$I$4,,,$F$26*B1001,1)))</f>
        <v>7</v>
      </c>
      <c r="M1004" s="1">
        <f t="array" aca="1" ref="M1004" ca="1">SUMPRODUCT((OFFSET(Calc2!$F$4,,,$F$26*B1001,2)=F1004)*(OFFSET(Calc2!$H$4,,,$F$26*B1001,1)=OFFSET(Calc2!$I$4,,,$F$26*B1001,1))*(OFFSET(Calc2!$H$4,,,$F$26*B1001,1)&lt;&gt;"")*(OFFSET(Calc2!$I$4,,,$F$26*B1001,1)&lt;&gt;""))</f>
        <v>11</v>
      </c>
      <c r="N1004" s="1">
        <f t="array" aca="1" ref="N1004" ca="1">SUMPRODUCT((OFFSET(Calc2!$F$4,,,$F$26*B1001,1)=F1004)*(OFFSET(Calc2!$H$4,,,$F$26*B1001,1)&lt;OFFSET(Calc2!$I$4,,,$F$26*B1001,1)))+SUMPRODUCT((OFFSET(Calc2!$G$4,,,$F$26*B1001,1)=F1004)*(OFFSET(Calc2!$H$4,,,$F$26*B1001,1)&gt;OFFSET(Calc2!$I$4,,,$F$26*B1001,1)))</f>
        <v>16</v>
      </c>
      <c r="O1004" s="132">
        <f ca="1">SUMPRODUCT((F1004=OFFSET(Calc2!$F$4,,,$F$26*B1001,1))*OFFSET(Calc2!$O$4,,,$F$26*B1001,1))+SUMPRODUCT((F1004=OFFSET(Calc2!$G$4,,,$F$26*B1001,1))*OFFSET(Calc2!$P$4,,,$F$26*B1001,1))</f>
        <v>0</v>
      </c>
      <c r="P1004" s="2"/>
      <c r="Q1004" s="2"/>
      <c r="R1004" s="13">
        <f t="shared" ca="1" si="186"/>
        <v>32499986049</v>
      </c>
      <c r="S1004" s="134">
        <f>Tie_Break!$D$8</f>
        <v>0</v>
      </c>
      <c r="T1004" s="9">
        <f ca="1">RANK(R1004,R1003:R1022)+(9-S1004)/10000+(F1004="")*1000</f>
        <v>14.0009</v>
      </c>
      <c r="U1004" s="134"/>
      <c r="V1004" s="134">
        <f ca="1">IF($K$24=0,"",IF(VLOOKUP(B1004,C1003:E1022,3,0)=MAX(V$4:V1003),VLOOKUP(B1004,C1003:E1022,3,0),B1004))</f>
        <v>2</v>
      </c>
      <c r="W1004" s="4" t="str">
        <f ca="1">IF($K$24=0,Calc2!$C$5,VLOOKUP(B1004,C1003:N1022,4,0))</f>
        <v>Borussia Dortmund</v>
      </c>
      <c r="X1004" s="1">
        <f ca="1">INDEX(V976:V995,MATCH(W1004,W976:W995,0))</f>
        <v>2</v>
      </c>
      <c r="Y1004" s="1">
        <f t="shared" ref="Y1004:Y1022" ca="1" si="189">IF(X1004&gt;V1004,1,IF(X1004&lt;V1004,-1,0))</f>
        <v>0</v>
      </c>
    </row>
    <row r="1005" spans="2:25" x14ac:dyDescent="0.2">
      <c r="B1005" s="1">
        <v>3</v>
      </c>
      <c r="C1005" s="9">
        <f ca="1">RANK(D1005,D1003:D1022,1)</f>
        <v>11</v>
      </c>
      <c r="D1005" s="134">
        <f t="shared" ca="1" si="187"/>
        <v>12.004999999999999</v>
      </c>
      <c r="E1005" s="134">
        <f ca="1">RANK(T1005,T1003:T1022,1)</f>
        <v>11</v>
      </c>
      <c r="F1005" s="187" t="str">
        <f>Calc2!$C$6</f>
        <v>1. FC Union Berlin</v>
      </c>
      <c r="G1005" s="1">
        <f ca="1">SUMIFS(OFFSET(Calc2!$H$4,,,$F$26*B1001,1),OFFSET(Calc2!$F$4,,,$F$26*B1001,1),F1005)+SUMIFS(OFFSET(Calc2!$I$4,,,$F$26*B1001,1),OFFSET(Calc2!$G$4,,,$F$26*B1001,1),F1005)</f>
        <v>42</v>
      </c>
      <c r="H1005" s="1">
        <f ca="1">SUMIFS(OFFSET(Calc2!$I$4,,,$F$26*B1001,1),OFFSET(Calc2!$F$4,,,$F$26*B1001,1),F1005)+SUMIFS(OFFSET(Calc2!$H$4,,,$F$26*B1001,1),OFFSET(Calc2!$G$4,,,$F$26*B1001,1),F1005)</f>
        <v>57</v>
      </c>
      <c r="I1005" s="134">
        <f t="shared" ca="1" si="185"/>
        <v>-15</v>
      </c>
      <c r="J1005" s="12">
        <f ca="1">L1005*Settings!$C$3+M1005+O1005</f>
        <v>39</v>
      </c>
      <c r="K1005" s="1">
        <f t="shared" ca="1" si="188"/>
        <v>34</v>
      </c>
      <c r="L1005" s="1">
        <f t="array" aca="1" ref="L1005" ca="1">SUMPRODUCT((OFFSET(Calc2!$F$4,,,$F$26*B1001,1)=F1005)*(OFFSET(Calc2!$H$4,,,$F$26*B1001,1)&gt;OFFSET(Calc2!$I$4,,,$F$26*B1001,1)))+SUMPRODUCT((OFFSET(Calc2!$G$4,,,$F$26*B1001,1)=F1005)*(OFFSET(Calc2!$H$4,,,$F$26*B1001,1)&lt;OFFSET(Calc2!$I$4,,,$F$26*B1001,1)))</f>
        <v>10</v>
      </c>
      <c r="M1005" s="1">
        <f t="array" aca="1" ref="M1005" ca="1">SUMPRODUCT((OFFSET(Calc2!$F$4,,,$F$26*B1001,2)=F1005)*(OFFSET(Calc2!$H$4,,,$F$26*B1001,1)=OFFSET(Calc2!$I$4,,,$F$26*B1001,1))*(OFFSET(Calc2!$H$4,,,$F$26*B1001,1)&lt;&gt;"")*(OFFSET(Calc2!$I$4,,,$F$26*B1001,1)&lt;&gt;""))</f>
        <v>9</v>
      </c>
      <c r="N1005" s="1">
        <f t="array" aca="1" ref="N1005" ca="1">SUMPRODUCT((OFFSET(Calc2!$F$4,,,$F$26*B1001,1)=F1005)*(OFFSET(Calc2!$H$4,,,$F$26*B1001,1)&lt;OFFSET(Calc2!$I$4,,,$F$26*B1001,1)))+SUMPRODUCT((OFFSET(Calc2!$G$4,,,$F$26*B1001,1)=F1005)*(OFFSET(Calc2!$H$4,,,$F$26*B1001,1)&gt;OFFSET(Calc2!$I$4,,,$F$26*B1001,1)))</f>
        <v>15</v>
      </c>
      <c r="O1005" s="132">
        <f ca="1">SUMPRODUCT((F1005=OFFSET(Calc2!$F$4,,,$F$26*B1001,1))*OFFSET(Calc2!$O$4,,,$F$26*B1001,1))+SUMPRODUCT((F1005=OFFSET(Calc2!$G$4,,,$F$26*B1001,1))*OFFSET(Calc2!$P$4,,,$F$26*B1001,1))</f>
        <v>0</v>
      </c>
      <c r="P1005" s="2"/>
      <c r="Q1005" s="2"/>
      <c r="R1005" s="13">
        <f t="shared" ca="1" si="186"/>
        <v>39499985042</v>
      </c>
      <c r="S1005" s="134">
        <f>Tie_Break!$D$9</f>
        <v>0</v>
      </c>
      <c r="T1005" s="9">
        <f ca="1">RANK(R1005,R1003:R1022)+(9-S1005)/10000+(F1005="")*1000</f>
        <v>11.0009</v>
      </c>
      <c r="U1005" s="134"/>
      <c r="V1005" s="134">
        <f ca="1">IF($K$24=0,"",IF(VLOOKUP(B1005,C1003:E1022,3,0)=MAX(V$4:V1004),VLOOKUP(B1005,C1003:E1022,3,0),B1005))</f>
        <v>3</v>
      </c>
      <c r="W1005" s="4" t="str">
        <f ca="1">IF($K$24=0,Calc2!$C$6,VLOOKUP(B1005,C1003:N1022,4,0))</f>
        <v>RB Leipzig</v>
      </c>
      <c r="X1005" s="1">
        <f ca="1">INDEX(V976:V995,MATCH(W1005,W976:W995,0))</f>
        <v>3</v>
      </c>
      <c r="Y1005" s="1">
        <f t="shared" ca="1" si="189"/>
        <v>0</v>
      </c>
    </row>
    <row r="1006" spans="2:25" x14ac:dyDescent="0.2">
      <c r="B1006" s="1">
        <v>4</v>
      </c>
      <c r="C1006" s="9">
        <f ca="1">RANK(D1006,D1003:D1022,1)</f>
        <v>10</v>
      </c>
      <c r="D1006" s="134">
        <f t="shared" ca="1" si="187"/>
        <v>11.006</v>
      </c>
      <c r="E1006" s="134">
        <f ca="1">RANK(T1006,T1003:T1022,1)</f>
        <v>10</v>
      </c>
      <c r="F1006" s="187" t="str">
        <f>Calc2!$C$7</f>
        <v>1. FSV Mainz 05</v>
      </c>
      <c r="G1006" s="1">
        <f ca="1">SUMIFS(OFFSET(Calc2!$H$4,,,$F$26*B1001,1),OFFSET(Calc2!$F$4,,,$F$26*B1001,1),F1006)+SUMIFS(OFFSET(Calc2!$I$4,,,$F$26*B1001,1),OFFSET(Calc2!$G$4,,,$F$26*B1001,1),F1006)</f>
        <v>43</v>
      </c>
      <c r="H1006" s="1">
        <f ca="1">SUMIFS(OFFSET(Calc2!$I$4,,,$F$26*B1001,1),OFFSET(Calc2!$F$4,,,$F$26*B1001,1),F1006)+SUMIFS(OFFSET(Calc2!$H$4,,,$F$26*B1001,1),OFFSET(Calc2!$G$4,,,$F$26*B1001,1),F1006)</f>
        <v>51</v>
      </c>
      <c r="I1006" s="134">
        <f t="shared" ca="1" si="185"/>
        <v>-8</v>
      </c>
      <c r="J1006" s="12">
        <f ca="1">L1006*Settings!$C$3+M1006+O1006</f>
        <v>40</v>
      </c>
      <c r="K1006" s="1">
        <f t="shared" ca="1" si="188"/>
        <v>34</v>
      </c>
      <c r="L1006" s="1">
        <f t="array" aca="1" ref="L1006" ca="1">SUMPRODUCT((OFFSET(Calc2!$F$4,,,$F$26*B1001,1)=F1006)*(OFFSET(Calc2!$H$4,,,$F$26*B1001,1)&gt;OFFSET(Calc2!$I$4,,,$F$26*B1001,1)))+SUMPRODUCT((OFFSET(Calc2!$G$4,,,$F$26*B1001,1)=F1006)*(OFFSET(Calc2!$H$4,,,$F$26*B1001,1)&lt;OFFSET(Calc2!$I$4,,,$F$26*B1001,1)))</f>
        <v>10</v>
      </c>
      <c r="M1006" s="1">
        <f t="array" aca="1" ref="M1006" ca="1">SUMPRODUCT((OFFSET(Calc2!$F$4,,,$F$26*B1001,2)=F1006)*(OFFSET(Calc2!$H$4,,,$F$26*B1001,1)=OFFSET(Calc2!$I$4,,,$F$26*B1001,1))*(OFFSET(Calc2!$H$4,,,$F$26*B1001,1)&lt;&gt;"")*(OFFSET(Calc2!$I$4,,,$F$26*B1001,1)&lt;&gt;""))</f>
        <v>10</v>
      </c>
      <c r="N1006" s="1">
        <f t="array" aca="1" ref="N1006" ca="1">SUMPRODUCT((OFFSET(Calc2!$F$4,,,$F$26*B1001,1)=F1006)*(OFFSET(Calc2!$H$4,,,$F$26*B1001,1)&lt;OFFSET(Calc2!$I$4,,,$F$26*B1001,1)))+SUMPRODUCT((OFFSET(Calc2!$G$4,,,$F$26*B1001,1)=F1006)*(OFFSET(Calc2!$H$4,,,$F$26*B1001,1)&gt;OFFSET(Calc2!$I$4,,,$F$26*B1001,1)))</f>
        <v>14</v>
      </c>
      <c r="O1006" s="132">
        <f ca="1">SUMPRODUCT((F1006=OFFSET(Calc2!$F$4,,,$F$26*B1001,1))*OFFSET(Calc2!$O$4,,,$F$26*B1001,1))+SUMPRODUCT((F1006=OFFSET(Calc2!$G$4,,,$F$26*B1001,1))*OFFSET(Calc2!$P$4,,,$F$26*B1001,1))</f>
        <v>0</v>
      </c>
      <c r="P1006" s="2"/>
      <c r="Q1006" s="2"/>
      <c r="R1006" s="13">
        <f t="shared" ca="1" si="186"/>
        <v>40499992043</v>
      </c>
      <c r="S1006" s="134">
        <f>Tie_Break!$D$10</f>
        <v>0</v>
      </c>
      <c r="T1006" s="9">
        <f ca="1">RANK(R1006,R1003:R1022)+(9-S1006)/10000+(F1006="")*1000</f>
        <v>10.0009</v>
      </c>
      <c r="U1006" s="134"/>
      <c r="V1006" s="134">
        <f ca="1">IF($K$24=0,"",IF(VLOOKUP(B1006,C1003:E1022,3,0)=MAX(V$4:V1005),VLOOKUP(B1006,C1003:E1022,3,0),B1006))</f>
        <v>4</v>
      </c>
      <c r="W1006" s="4" t="str">
        <f ca="1">IF($K$24=0,Calc2!$C$7,VLOOKUP(B1006,C1003:N1022,4,0))</f>
        <v>VfB Stuttgart</v>
      </c>
      <c r="X1006" s="1">
        <f ca="1">INDEX(V976:V995,MATCH(W1006,W976:W995,0))</f>
        <v>4</v>
      </c>
      <c r="Y1006" s="1">
        <f t="shared" ca="1" si="189"/>
        <v>0</v>
      </c>
    </row>
    <row r="1007" spans="2:25" x14ac:dyDescent="0.2">
      <c r="B1007" s="1">
        <v>5</v>
      </c>
      <c r="C1007" s="9">
        <f ca="1">RANK(D1007,D1003:D1022,1)</f>
        <v>6</v>
      </c>
      <c r="D1007" s="134">
        <f t="shared" ca="1" si="187"/>
        <v>7.0069999999999997</v>
      </c>
      <c r="E1007" s="134">
        <f ca="1">RANK(T1007,T1003:T1022,1)</f>
        <v>6</v>
      </c>
      <c r="F1007" s="187" t="str">
        <f>Calc2!$C$8</f>
        <v>Bayer 04 Leverkusen</v>
      </c>
      <c r="G1007" s="1">
        <f ca="1">SUMIFS(OFFSET(Calc2!$H$4,,,$F$26*B1001,1),OFFSET(Calc2!$F$4,,,$F$26*B1001,1),F1007)+SUMIFS(OFFSET(Calc2!$I$4,,,$F$26*B1001,1),OFFSET(Calc2!$G$4,,,$F$26*B1001,1),F1007)</f>
        <v>68</v>
      </c>
      <c r="H1007" s="1">
        <f ca="1">SUMIFS(OFFSET(Calc2!$I$4,,,$F$26*B1001,1),OFFSET(Calc2!$F$4,,,$F$26*B1001,1),F1007)+SUMIFS(OFFSET(Calc2!$H$4,,,$F$26*B1001,1),OFFSET(Calc2!$G$4,,,$F$26*B1001,1),F1007)</f>
        <v>47</v>
      </c>
      <c r="I1007" s="134">
        <f t="shared" ca="1" si="185"/>
        <v>21</v>
      </c>
      <c r="J1007" s="12">
        <f ca="1">L1007*Settings!$C$3+M1007+O1007</f>
        <v>59</v>
      </c>
      <c r="K1007" s="1">
        <f t="shared" ca="1" si="188"/>
        <v>34</v>
      </c>
      <c r="L1007" s="1">
        <f t="array" aca="1" ref="L1007" ca="1">SUMPRODUCT((OFFSET(Calc2!$F$4,,,$F$26*B1001,1)=F1007)*(OFFSET(Calc2!$H$4,,,$F$26*B1001,1)&gt;OFFSET(Calc2!$I$4,,,$F$26*B1001,1)))+SUMPRODUCT((OFFSET(Calc2!$G$4,,,$F$26*B1001,1)=F1007)*(OFFSET(Calc2!$H$4,,,$F$26*B1001,1)&lt;OFFSET(Calc2!$I$4,,,$F$26*B1001,1)))</f>
        <v>17</v>
      </c>
      <c r="M1007" s="1">
        <f t="array" aca="1" ref="M1007" ca="1">SUMPRODUCT((OFFSET(Calc2!$F$4,,,$F$26*B1001,2)=F1007)*(OFFSET(Calc2!$H$4,,,$F$26*B1001,1)=OFFSET(Calc2!$I$4,,,$F$26*B1001,1))*(OFFSET(Calc2!$H$4,,,$F$26*B1001,1)&lt;&gt;"")*(OFFSET(Calc2!$I$4,,,$F$26*B1001,1)&lt;&gt;""))</f>
        <v>8</v>
      </c>
      <c r="N1007" s="1">
        <f t="array" aca="1" ref="N1007" ca="1">SUMPRODUCT((OFFSET(Calc2!$F$4,,,$F$26*B1001,1)=F1007)*(OFFSET(Calc2!$H$4,,,$F$26*B1001,1)&lt;OFFSET(Calc2!$I$4,,,$F$26*B1001,1)))+SUMPRODUCT((OFFSET(Calc2!$G$4,,,$F$26*B1001,1)=F1007)*(OFFSET(Calc2!$H$4,,,$F$26*B1001,1)&gt;OFFSET(Calc2!$I$4,,,$F$26*B1001,1)))</f>
        <v>9</v>
      </c>
      <c r="O1007" s="132">
        <f ca="1">SUMPRODUCT((F1007=OFFSET(Calc2!$F$4,,,$F$26*B1001,1))*OFFSET(Calc2!$O$4,,,$F$26*B1001,1))+SUMPRODUCT((F1007=OFFSET(Calc2!$G$4,,,$F$26*B1001,1))*OFFSET(Calc2!$P$4,,,$F$26*B1001,1))</f>
        <v>0</v>
      </c>
      <c r="P1007" s="2"/>
      <c r="Q1007" s="2"/>
      <c r="R1007" s="13">
        <f t="shared" ca="1" si="186"/>
        <v>59500021068</v>
      </c>
      <c r="S1007" s="134">
        <f>Tie_Break!$D$11</f>
        <v>0</v>
      </c>
      <c r="T1007" s="9">
        <f ca="1">RANK(R1007,R1003:R1022)+(9-S1007)/10000+(F1007="")*1000</f>
        <v>6.0008999999999997</v>
      </c>
      <c r="U1007" s="134"/>
      <c r="V1007" s="134">
        <f ca="1">IF($K$24=0,"",IF(VLOOKUP(B1007,C1003:E1022,3,0)=MAX(V$4:V1006),VLOOKUP(B1007,C1003:E1022,3,0),B1007))</f>
        <v>5</v>
      </c>
      <c r="W1007" s="4" t="str">
        <f ca="1">IF($K$24=0,Calc2!$C$8,VLOOKUP(B1007,C1003:N1022,4,0))</f>
        <v>TSG Hoffenheim</v>
      </c>
      <c r="X1007" s="1">
        <f ca="1">INDEX(V976:V995,MATCH(W1007,W976:W995,0))</f>
        <v>5</v>
      </c>
      <c r="Y1007" s="1">
        <f t="shared" ca="1" si="189"/>
        <v>0</v>
      </c>
    </row>
    <row r="1008" spans="2:25" x14ac:dyDescent="0.2">
      <c r="B1008" s="1">
        <v>6</v>
      </c>
      <c r="C1008" s="9">
        <f ca="1">RANK(D1008,D1003:D1022,1)</f>
        <v>2</v>
      </c>
      <c r="D1008" s="134">
        <f t="shared" ca="1" si="187"/>
        <v>3.008</v>
      </c>
      <c r="E1008" s="134">
        <f ca="1">RANK(T1008,T1003:T1022,1)</f>
        <v>2</v>
      </c>
      <c r="F1008" s="187" t="str">
        <f>Calc2!$C$9</f>
        <v>Borussia Dortmund</v>
      </c>
      <c r="G1008" s="1">
        <f ca="1">SUMIFS(OFFSET(Calc2!$H$4,,,$F$26*B1001,1),OFFSET(Calc2!$F$4,,,$F$26*B1001,1),F1008)+SUMIFS(OFFSET(Calc2!$I$4,,,$F$26*B1001,1),OFFSET(Calc2!$G$4,,,$F$26*B1001,1),F1008)</f>
        <v>70</v>
      </c>
      <c r="H1008" s="1">
        <f ca="1">SUMIFS(OFFSET(Calc2!$I$4,,,$F$26*B1001,1),OFFSET(Calc2!$F$4,,,$F$26*B1001,1),F1008)+SUMIFS(OFFSET(Calc2!$H$4,,,$F$26*B1001,1),OFFSET(Calc2!$G$4,,,$F$26*B1001,1),F1008)</f>
        <v>34</v>
      </c>
      <c r="I1008" s="134">
        <f t="shared" ca="1" si="185"/>
        <v>36</v>
      </c>
      <c r="J1008" s="12">
        <f ca="1">L1008*Settings!$C$3+M1008+O1008</f>
        <v>73</v>
      </c>
      <c r="K1008" s="1">
        <f t="shared" ca="1" si="188"/>
        <v>34</v>
      </c>
      <c r="L1008" s="1">
        <f t="array" aca="1" ref="L1008" ca="1">SUMPRODUCT((OFFSET(Calc2!$F$4,,,$F$26*B1001,1)=F1008)*(OFFSET(Calc2!$H$4,,,$F$26*B1001,1)&gt;OFFSET(Calc2!$I$4,,,$F$26*B1001,1)))+SUMPRODUCT((OFFSET(Calc2!$G$4,,,$F$26*B1001,1)=F1008)*(OFFSET(Calc2!$H$4,,,$F$26*B1001,1)&lt;OFFSET(Calc2!$I$4,,,$F$26*B1001,1)))</f>
        <v>22</v>
      </c>
      <c r="M1008" s="1">
        <f t="array" aca="1" ref="M1008" ca="1">SUMPRODUCT((OFFSET(Calc2!$F$4,,,$F$26*B1001,2)=F1008)*(OFFSET(Calc2!$H$4,,,$F$26*B1001,1)=OFFSET(Calc2!$I$4,,,$F$26*B1001,1))*(OFFSET(Calc2!$H$4,,,$F$26*B1001,1)&lt;&gt;"")*(OFFSET(Calc2!$I$4,,,$F$26*B1001,1)&lt;&gt;""))</f>
        <v>7</v>
      </c>
      <c r="N1008" s="1">
        <f t="array" aca="1" ref="N1008" ca="1">SUMPRODUCT((OFFSET(Calc2!$F$4,,,$F$26*B1001,1)=F1008)*(OFFSET(Calc2!$H$4,,,$F$26*B1001,1)&lt;OFFSET(Calc2!$I$4,,,$F$26*B1001,1)))+SUMPRODUCT((OFFSET(Calc2!$G$4,,,$F$26*B1001,1)=F1008)*(OFFSET(Calc2!$H$4,,,$F$26*B1001,1)&gt;OFFSET(Calc2!$I$4,,,$F$26*B1001,1)))</f>
        <v>5</v>
      </c>
      <c r="O1008" s="132">
        <f ca="1">SUMPRODUCT((F1008=OFFSET(Calc2!$F$4,,,$F$26*B1001,1))*OFFSET(Calc2!$O$4,,,$F$26*B1001,1))+SUMPRODUCT((F1008=OFFSET(Calc2!$G$4,,,$F$26*B1001,1))*OFFSET(Calc2!$P$4,,,$F$26*B1001,1))</f>
        <v>0</v>
      </c>
      <c r="P1008" s="2"/>
      <c r="Q1008" s="2"/>
      <c r="R1008" s="13">
        <f t="shared" ca="1" si="186"/>
        <v>73500036070</v>
      </c>
      <c r="S1008" s="134">
        <f>Tie_Break!$D$12</f>
        <v>0</v>
      </c>
      <c r="T1008" s="9">
        <f ca="1">RANK(R1008,R1003:R1022)+(9-S1008)/10000+(F1008="")*1000</f>
        <v>2.0009000000000001</v>
      </c>
      <c r="U1008" s="134"/>
      <c r="V1008" s="134">
        <f ca="1">IF($K$24=0,"",IF(VLOOKUP(B1008,C1003:E1022,3,0)=MAX(V$4:V1007),VLOOKUP(B1008,C1003:E1022,3,0),B1008))</f>
        <v>6</v>
      </c>
      <c r="W1008" s="4" t="str">
        <f ca="1">IF($K$24=0,Calc2!$C$9,VLOOKUP(B1008,C1003:N1022,4,0))</f>
        <v>Bayer 04 Leverkusen</v>
      </c>
      <c r="X1008" s="1">
        <f ca="1">INDEX(V976:V995,MATCH(W1008,W976:W995,0))</f>
        <v>6</v>
      </c>
      <c r="Y1008" s="1">
        <f t="shared" ca="1" si="189"/>
        <v>0</v>
      </c>
    </row>
    <row r="1009" spans="2:25" x14ac:dyDescent="0.2">
      <c r="B1009" s="1">
        <v>7</v>
      </c>
      <c r="C1009" s="9">
        <f ca="1">RANK(D1009,D1003:D1022,1)</f>
        <v>12</v>
      </c>
      <c r="D1009" s="134">
        <f t="shared" ca="1" si="187"/>
        <v>13.009</v>
      </c>
      <c r="E1009" s="134">
        <f ca="1">RANK(T1009,T1003:T1022,1)</f>
        <v>12</v>
      </c>
      <c r="F1009" s="187" t="str">
        <f>Calc2!$C$10</f>
        <v>Borussia Mönchengladbach</v>
      </c>
      <c r="G1009" s="1">
        <f ca="1">SUMIFS(OFFSET(Calc2!$H$4,,,$F$26*B1001,1),OFFSET(Calc2!$F$4,,,$F$26*B1001,1),F1009)+SUMIFS(OFFSET(Calc2!$I$4,,,$F$26*B1001,1),OFFSET(Calc2!$G$4,,,$F$26*B1001,1),F1009)</f>
        <v>42</v>
      </c>
      <c r="H1009" s="1">
        <f ca="1">SUMIFS(OFFSET(Calc2!$I$4,,,$F$26*B1001,1),OFFSET(Calc2!$F$4,,,$F$26*B1001,1),F1009)+SUMIFS(OFFSET(Calc2!$H$4,,,$F$26*B1001,1),OFFSET(Calc2!$G$4,,,$F$26*B1001,1),F1009)</f>
        <v>53</v>
      </c>
      <c r="I1009" s="134">
        <f t="shared" ca="1" si="185"/>
        <v>-11</v>
      </c>
      <c r="J1009" s="12">
        <f ca="1">L1009*Settings!$C$3+M1009+O1009</f>
        <v>38</v>
      </c>
      <c r="K1009" s="1">
        <f t="shared" ca="1" si="188"/>
        <v>34</v>
      </c>
      <c r="L1009" s="1">
        <f t="array" aca="1" ref="L1009" ca="1">SUMPRODUCT((OFFSET(Calc2!$F$4,,,$F$26*B1001,1)=F1009)*(OFFSET(Calc2!$H$4,,,$F$26*B1001,1)&gt;OFFSET(Calc2!$I$4,,,$F$26*B1001,1)))+SUMPRODUCT((OFFSET(Calc2!$G$4,,,$F$26*B1001,1)=F1009)*(OFFSET(Calc2!$H$4,,,$F$26*B1001,1)&lt;OFFSET(Calc2!$I$4,,,$F$26*B1001,1)))</f>
        <v>9</v>
      </c>
      <c r="M1009" s="1">
        <f t="array" aca="1" ref="M1009" ca="1">SUMPRODUCT((OFFSET(Calc2!$F$4,,,$F$26*B1001,2)=F1009)*(OFFSET(Calc2!$H$4,,,$F$26*B1001,1)=OFFSET(Calc2!$I$4,,,$F$26*B1001,1))*(OFFSET(Calc2!$H$4,,,$F$26*B1001,1)&lt;&gt;"")*(OFFSET(Calc2!$I$4,,,$F$26*B1001,1)&lt;&gt;""))</f>
        <v>11</v>
      </c>
      <c r="N1009" s="1">
        <f t="array" aca="1" ref="N1009" ca="1">SUMPRODUCT((OFFSET(Calc2!$F$4,,,$F$26*B1001,1)=F1009)*(OFFSET(Calc2!$H$4,,,$F$26*B1001,1)&lt;OFFSET(Calc2!$I$4,,,$F$26*B1001,1)))+SUMPRODUCT((OFFSET(Calc2!$G$4,,,$F$26*B1001,1)=F1009)*(OFFSET(Calc2!$H$4,,,$F$26*B1001,1)&gt;OFFSET(Calc2!$I$4,,,$F$26*B1001,1)))</f>
        <v>14</v>
      </c>
      <c r="O1009" s="132">
        <f ca="1">SUMPRODUCT((F1009=OFFSET(Calc2!$F$4,,,$F$26*B1001,1))*OFFSET(Calc2!$O$4,,,$F$26*B1001,1))+SUMPRODUCT((F1009=OFFSET(Calc2!$G$4,,,$F$26*B1001,1))*OFFSET(Calc2!$P$4,,,$F$26*B1001,1))</f>
        <v>0</v>
      </c>
      <c r="P1009" s="2"/>
      <c r="Q1009" s="2"/>
      <c r="R1009" s="13">
        <f t="shared" ca="1" si="186"/>
        <v>38499989042</v>
      </c>
      <c r="S1009" s="134">
        <f>Tie_Break!$D$13</f>
        <v>0</v>
      </c>
      <c r="T1009" s="9">
        <f ca="1">RANK(R1009,R1003:R1022)+(9-S1009)/10000+(F1009="")*1000</f>
        <v>12.0009</v>
      </c>
      <c r="U1009" s="134"/>
      <c r="V1009" s="134">
        <f ca="1">IF($K$24=0,"",IF(VLOOKUP(B1009,C1003:E1022,3,0)=MAX(V$4:V1008),VLOOKUP(B1009,C1003:E1022,3,0),B1009))</f>
        <v>7</v>
      </c>
      <c r="W1009" s="4" t="str">
        <f ca="1">IF($K$24=0,Calc2!$C$10,VLOOKUP(B1009,C1003:N1022,4,0))</f>
        <v>SC Freiburg</v>
      </c>
      <c r="X1009" s="1">
        <f ca="1">INDEX(V976:V995,MATCH(W1009,W976:W995,0))</f>
        <v>7</v>
      </c>
      <c r="Y1009" s="1">
        <f t="shared" ca="1" si="189"/>
        <v>0</v>
      </c>
    </row>
    <row r="1010" spans="2:25" x14ac:dyDescent="0.2">
      <c r="B1010" s="1">
        <v>8</v>
      </c>
      <c r="C1010" s="9">
        <f ca="1">RANK(D1010,D1003:D1022,1)</f>
        <v>8</v>
      </c>
      <c r="D1010" s="134">
        <f t="shared" ca="1" si="187"/>
        <v>9.01</v>
      </c>
      <c r="E1010" s="134">
        <f ca="1">RANK(T1010,T1003:T1022,1)</f>
        <v>8</v>
      </c>
      <c r="F1010" s="187" t="str">
        <f>Calc2!$C$11</f>
        <v>Eintracht Frankfurt</v>
      </c>
      <c r="G1010" s="1">
        <f ca="1">SUMIFS(OFFSET(Calc2!$H$4,,,$F$26*B1001,1),OFFSET(Calc2!$F$4,,,$F$26*B1001,1),F1010)+SUMIFS(OFFSET(Calc2!$I$4,,,$F$26*B1001,1),OFFSET(Calc2!$G$4,,,$F$26*B1001,1),F1010)</f>
        <v>61</v>
      </c>
      <c r="H1010" s="1">
        <f ca="1">SUMIFS(OFFSET(Calc2!$I$4,,,$F$26*B1001,1),OFFSET(Calc2!$F$4,,,$F$26*B1001,1),F1010)+SUMIFS(OFFSET(Calc2!$H$4,,,$F$26*B1001,1),OFFSET(Calc2!$G$4,,,$F$26*B1001,1),F1010)</f>
        <v>65</v>
      </c>
      <c r="I1010" s="134">
        <f t="shared" ca="1" si="185"/>
        <v>-4</v>
      </c>
      <c r="J1010" s="12">
        <f ca="1">L1010*Settings!$C$3+M1010+O1010</f>
        <v>44</v>
      </c>
      <c r="K1010" s="1">
        <f t="shared" ca="1" si="188"/>
        <v>34</v>
      </c>
      <c r="L1010" s="1">
        <f t="array" aca="1" ref="L1010" ca="1">SUMPRODUCT((OFFSET(Calc2!$F$4,,,$F$26*B1001,1)=F1010)*(OFFSET(Calc2!$H$4,,,$F$26*B1001,1)&gt;OFFSET(Calc2!$I$4,,,$F$26*B1001,1)))+SUMPRODUCT((OFFSET(Calc2!$G$4,,,$F$26*B1001,1)=F1010)*(OFFSET(Calc2!$H$4,,,$F$26*B1001,1)&lt;OFFSET(Calc2!$I$4,,,$F$26*B1001,1)))</f>
        <v>11</v>
      </c>
      <c r="M1010" s="1">
        <f t="array" aca="1" ref="M1010" ca="1">SUMPRODUCT((OFFSET(Calc2!$F$4,,,$F$26*B1001,2)=F1010)*(OFFSET(Calc2!$H$4,,,$F$26*B1001,1)=OFFSET(Calc2!$I$4,,,$F$26*B1001,1))*(OFFSET(Calc2!$H$4,,,$F$26*B1001,1)&lt;&gt;"")*(OFFSET(Calc2!$I$4,,,$F$26*B1001,1)&lt;&gt;""))</f>
        <v>11</v>
      </c>
      <c r="N1010" s="1">
        <f t="array" aca="1" ref="N1010" ca="1">SUMPRODUCT((OFFSET(Calc2!$F$4,,,$F$26*B1001,1)=F1010)*(OFFSET(Calc2!$H$4,,,$F$26*B1001,1)&lt;OFFSET(Calc2!$I$4,,,$F$26*B1001,1)))+SUMPRODUCT((OFFSET(Calc2!$G$4,,,$F$26*B1001,1)=F1010)*(OFFSET(Calc2!$H$4,,,$F$26*B1001,1)&gt;OFFSET(Calc2!$I$4,,,$F$26*B1001,1)))</f>
        <v>12</v>
      </c>
      <c r="O1010" s="132">
        <f ca="1">SUMPRODUCT((F1010=OFFSET(Calc2!$F$4,,,$F$26*B1001,1))*OFFSET(Calc2!$O$4,,,$F$26*B1001,1))+SUMPRODUCT((F1010=OFFSET(Calc2!$G$4,,,$F$26*B1001,1))*OFFSET(Calc2!$P$4,,,$F$26*B1001,1))</f>
        <v>0</v>
      </c>
      <c r="P1010" s="2"/>
      <c r="Q1010" s="2"/>
      <c r="R1010" s="13">
        <f t="shared" ca="1" si="186"/>
        <v>44499996061</v>
      </c>
      <c r="S1010" s="134">
        <f>Tie_Break!$D$14</f>
        <v>0</v>
      </c>
      <c r="T1010" s="9">
        <f ca="1">RANK(R1010,R1003:R1022)+(9-S1010)/10000+(F1010="")*1000</f>
        <v>8.0008999999999997</v>
      </c>
      <c r="U1010" s="134"/>
      <c r="V1010" s="134">
        <f ca="1">IF($K$24=0,"",IF(VLOOKUP(B1010,C1003:E1022,3,0)=MAX(V$4:V1009),VLOOKUP(B1010,C1003:E1022,3,0),B1010))</f>
        <v>8</v>
      </c>
      <c r="W1010" s="4" t="str">
        <f ca="1">IF($K$24=0,Calc2!$C$11,VLOOKUP(B1010,C1003:N1022,4,0))</f>
        <v>Eintracht Frankfurt</v>
      </c>
      <c r="X1010" s="1">
        <f ca="1">INDEX(V976:V995,MATCH(W1010,W976:W995,0))</f>
        <v>8</v>
      </c>
      <c r="Y1010" s="1">
        <f t="shared" ca="1" si="189"/>
        <v>0</v>
      </c>
    </row>
    <row r="1011" spans="2:25" x14ac:dyDescent="0.2">
      <c r="B1011" s="1">
        <v>9</v>
      </c>
      <c r="C1011" s="9">
        <f ca="1">RANK(D1011,D1003:D1022,1)</f>
        <v>9</v>
      </c>
      <c r="D1011" s="134">
        <f t="shared" ca="1" si="187"/>
        <v>10.010999999999999</v>
      </c>
      <c r="E1011" s="134">
        <f ca="1">RANK(T1011,T1003:T1022,1)</f>
        <v>9</v>
      </c>
      <c r="F1011" s="187" t="str">
        <f>Calc2!$C$12</f>
        <v>FC Augsburg</v>
      </c>
      <c r="G1011" s="1">
        <f ca="1">SUMIFS(OFFSET(Calc2!$H$4,,,$F$26*B1001,1),OFFSET(Calc2!$F$4,,,$F$26*B1001,1),F1011)+SUMIFS(OFFSET(Calc2!$I$4,,,$F$26*B1001,1),OFFSET(Calc2!$G$4,,,$F$26*B1001,1),F1011)</f>
        <v>45</v>
      </c>
      <c r="H1011" s="1">
        <f ca="1">SUMIFS(OFFSET(Calc2!$I$4,,,$F$26*B1001,1),OFFSET(Calc2!$F$4,,,$F$26*B1001,1),F1011)+SUMIFS(OFFSET(Calc2!$H$4,,,$F$26*B1001,1),OFFSET(Calc2!$G$4,,,$F$26*B1001,1),F1011)</f>
        <v>61</v>
      </c>
      <c r="I1011" s="134">
        <f t="shared" ca="1" si="185"/>
        <v>-16</v>
      </c>
      <c r="J1011" s="12">
        <f ca="1">L1011*Settings!$C$3+M1011+O1011</f>
        <v>43</v>
      </c>
      <c r="K1011" s="1">
        <f t="shared" ca="1" si="188"/>
        <v>34</v>
      </c>
      <c r="L1011" s="1">
        <f t="array" aca="1" ref="L1011" ca="1">SUMPRODUCT((OFFSET(Calc2!$F$4,,,$F$26*B1001,1)=F1011)*(OFFSET(Calc2!$H$4,,,$F$26*B1001,1)&gt;OFFSET(Calc2!$I$4,,,$F$26*B1001,1)))+SUMPRODUCT((OFFSET(Calc2!$G$4,,,$F$26*B1001,1)=F1011)*(OFFSET(Calc2!$H$4,,,$F$26*B1001,1)&lt;OFFSET(Calc2!$I$4,,,$F$26*B1001,1)))</f>
        <v>12</v>
      </c>
      <c r="M1011" s="1">
        <f t="array" aca="1" ref="M1011" ca="1">SUMPRODUCT((OFFSET(Calc2!$F$4,,,$F$26*B1001,2)=F1011)*(OFFSET(Calc2!$H$4,,,$F$26*B1001,1)=OFFSET(Calc2!$I$4,,,$F$26*B1001,1))*(OFFSET(Calc2!$H$4,,,$F$26*B1001,1)&lt;&gt;"")*(OFFSET(Calc2!$I$4,,,$F$26*B1001,1)&lt;&gt;""))</f>
        <v>7</v>
      </c>
      <c r="N1011" s="1">
        <f t="array" aca="1" ref="N1011" ca="1">SUMPRODUCT((OFFSET(Calc2!$F$4,,,$F$26*B1001,1)=F1011)*(OFFSET(Calc2!$H$4,,,$F$26*B1001,1)&lt;OFFSET(Calc2!$I$4,,,$F$26*B1001,1)))+SUMPRODUCT((OFFSET(Calc2!$G$4,,,$F$26*B1001,1)=F1011)*(OFFSET(Calc2!$H$4,,,$F$26*B1001,1)&gt;OFFSET(Calc2!$I$4,,,$F$26*B1001,1)))</f>
        <v>15</v>
      </c>
      <c r="O1011" s="132">
        <f ca="1">SUMPRODUCT((F1011=OFFSET(Calc2!$F$4,,,$F$26*B1001,1))*OFFSET(Calc2!$O$4,,,$F$26*B1001,1))+SUMPRODUCT((F1011=OFFSET(Calc2!$G$4,,,$F$26*B1001,1))*OFFSET(Calc2!$P$4,,,$F$26*B1001,1))</f>
        <v>0</v>
      </c>
      <c r="P1011" s="2"/>
      <c r="Q1011" s="2"/>
      <c r="R1011" s="13">
        <f t="shared" ca="1" si="186"/>
        <v>43499984045</v>
      </c>
      <c r="S1011" s="134">
        <f>Tie_Break!$D$15</f>
        <v>0</v>
      </c>
      <c r="T1011" s="9">
        <f ca="1">RANK(R1011,R1003:R1022)+(9-S1011)/10000+(F1011="")*1000</f>
        <v>9.0008999999999997</v>
      </c>
      <c r="U1011" s="134"/>
      <c r="V1011" s="134">
        <f ca="1">IF($K$24=0,"",IF(VLOOKUP(B1011,C1003:E1022,3,0)=MAX(V$4:V1010),VLOOKUP(B1011,C1003:E1022,3,0),B1011))</f>
        <v>9</v>
      </c>
      <c r="W1011" s="4" t="str">
        <f ca="1">IF($K$24=0,Calc2!$C$12,VLOOKUP(B1011,C1003:N1022,4,0))</f>
        <v>FC Augsburg</v>
      </c>
      <c r="X1011" s="1">
        <f ca="1">INDEX(V976:V995,MATCH(W1011,W976:W995,0))</f>
        <v>9</v>
      </c>
      <c r="Y1011" s="1">
        <f t="shared" ca="1" si="189"/>
        <v>0</v>
      </c>
    </row>
    <row r="1012" spans="2:25" x14ac:dyDescent="0.2">
      <c r="B1012" s="1">
        <v>10</v>
      </c>
      <c r="C1012" s="9">
        <f ca="1">RANK(D1012,D1003:D1022,1)</f>
        <v>1</v>
      </c>
      <c r="D1012" s="134">
        <f t="shared" ca="1" si="187"/>
        <v>2.012</v>
      </c>
      <c r="E1012" s="134">
        <f ca="1">RANK(T1012,T1003:T1022,1)</f>
        <v>1</v>
      </c>
      <c r="F1012" s="187" t="str">
        <f>Calc2!$C$13</f>
        <v>FC Bayern München</v>
      </c>
      <c r="G1012" s="1">
        <f ca="1">SUMIFS(OFFSET(Calc2!$H$4,,,$F$26*B1001,1),OFFSET(Calc2!$F$4,,,$F$26*B1001,1),F1012)+SUMIFS(OFFSET(Calc2!$I$4,,,$F$26*B1001,1),OFFSET(Calc2!$G$4,,,$F$26*B1001,1),F1012)</f>
        <v>122</v>
      </c>
      <c r="H1012" s="1">
        <f ca="1">SUMIFS(OFFSET(Calc2!$I$4,,,$F$26*B1001,1),OFFSET(Calc2!$F$4,,,$F$26*B1001,1),F1012)+SUMIFS(OFFSET(Calc2!$H$4,,,$F$26*B1001,1),OFFSET(Calc2!$G$4,,,$F$26*B1001,1),F1012)</f>
        <v>36</v>
      </c>
      <c r="I1012" s="134">
        <f t="shared" ca="1" si="185"/>
        <v>86</v>
      </c>
      <c r="J1012" s="12">
        <f ca="1">L1012*Settings!$C$3+M1012+O1012</f>
        <v>89</v>
      </c>
      <c r="K1012" s="1">
        <f t="shared" ca="1" si="188"/>
        <v>34</v>
      </c>
      <c r="L1012" s="1">
        <f t="array" aca="1" ref="L1012" ca="1">SUMPRODUCT((OFFSET(Calc2!$F$4,,,$F$26*B1001,1)=F1012)*(OFFSET(Calc2!$H$4,,,$F$26*B1001,1)&gt;OFFSET(Calc2!$I$4,,,$F$26*B1001,1)))+SUMPRODUCT((OFFSET(Calc2!$G$4,,,$F$26*B1001,1)=F1012)*(OFFSET(Calc2!$H$4,,,$F$26*B1001,1)&lt;OFFSET(Calc2!$I$4,,,$F$26*B1001,1)))</f>
        <v>28</v>
      </c>
      <c r="M1012" s="1">
        <f t="array" aca="1" ref="M1012" ca="1">SUMPRODUCT((OFFSET(Calc2!$F$4,,,$F$26*B1001,2)=F1012)*(OFFSET(Calc2!$H$4,,,$F$26*B1001,1)=OFFSET(Calc2!$I$4,,,$F$26*B1001,1))*(OFFSET(Calc2!$H$4,,,$F$26*B1001,1)&lt;&gt;"")*(OFFSET(Calc2!$I$4,,,$F$26*B1001,1)&lt;&gt;""))</f>
        <v>5</v>
      </c>
      <c r="N1012" s="1">
        <f t="array" aca="1" ref="N1012" ca="1">SUMPRODUCT((OFFSET(Calc2!$F$4,,,$F$26*B1001,1)=F1012)*(OFFSET(Calc2!$H$4,,,$F$26*B1001,1)&lt;OFFSET(Calc2!$I$4,,,$F$26*B1001,1)))+SUMPRODUCT((OFFSET(Calc2!$G$4,,,$F$26*B1001,1)=F1012)*(OFFSET(Calc2!$H$4,,,$F$26*B1001,1)&gt;OFFSET(Calc2!$I$4,,,$F$26*B1001,1)))</f>
        <v>1</v>
      </c>
      <c r="O1012" s="132">
        <f ca="1">SUMPRODUCT((F1012=OFFSET(Calc2!$F$4,,,$F$26*B1001,1))*OFFSET(Calc2!$O$4,,,$F$26*B1001,1))+SUMPRODUCT((F1012=OFFSET(Calc2!$G$4,,,$F$26*B1001,1))*OFFSET(Calc2!$P$4,,,$F$26*B1001,1))</f>
        <v>0</v>
      </c>
      <c r="P1012" s="2"/>
      <c r="Q1012" s="2"/>
      <c r="R1012" s="13">
        <f t="shared" ca="1" si="186"/>
        <v>89500086122</v>
      </c>
      <c r="S1012" s="134">
        <f>Tie_Break!$D$16</f>
        <v>0</v>
      </c>
      <c r="T1012" s="9">
        <f ca="1">RANK(R1012,R1003:R1022)+(9-S1012)/10000+(F1012="")*1000</f>
        <v>1.0008999999999999</v>
      </c>
      <c r="U1012" s="2"/>
      <c r="V1012" s="134">
        <f ca="1">IF($K$24=0,"",IF(VLOOKUP(B1012,C1003:E1022,3,0)=MAX(V$4:V1011),VLOOKUP(B1012,C1003:E1022,3,0),B1012))</f>
        <v>10</v>
      </c>
      <c r="W1012" s="4" t="str">
        <f ca="1">IF($K$24=0,Calc2!$C$13,VLOOKUP(B1012,C1003:N1022,4,0))</f>
        <v>1. FSV Mainz 05</v>
      </c>
      <c r="X1012" s="1">
        <f ca="1">INDEX(V976:V995,MATCH(W1012,W976:W995,0))</f>
        <v>10</v>
      </c>
      <c r="Y1012" s="1">
        <f t="shared" ca="1" si="189"/>
        <v>0</v>
      </c>
    </row>
    <row r="1013" spans="2:25" x14ac:dyDescent="0.2">
      <c r="B1013" s="1">
        <v>11</v>
      </c>
      <c r="C1013" s="9">
        <f ca="1">RANK(D1013,D1003:D1022,1)</f>
        <v>18</v>
      </c>
      <c r="D1013" s="134">
        <f t="shared" ca="1" si="187"/>
        <v>19.012999999999998</v>
      </c>
      <c r="E1013" s="134">
        <f ca="1">RANK(T1013,T1003:T1022,1)</f>
        <v>18</v>
      </c>
      <c r="F1013" s="187" t="str">
        <f>Calc2!$C$14</f>
        <v>FC St. Pauli</v>
      </c>
      <c r="G1013" s="1">
        <f ca="1">SUMIFS(OFFSET(Calc2!$H$4,,,$F$26*B1001,1),OFFSET(Calc2!$F$4,,,$F$26*B1001,1),F1013)+SUMIFS(OFFSET(Calc2!$I$4,,,$F$26*B1001,1),OFFSET(Calc2!$G$4,,,$F$26*B1001,1),F1013)</f>
        <v>29</v>
      </c>
      <c r="H1013" s="1">
        <f ca="1">SUMIFS(OFFSET(Calc2!$I$4,,,$F$26*B1001,1),OFFSET(Calc2!$F$4,,,$F$26*B1001,1),F1013)+SUMIFS(OFFSET(Calc2!$H$4,,,$F$26*B1001,1),OFFSET(Calc2!$G$4,,,$F$26*B1001,1),F1013)</f>
        <v>60</v>
      </c>
      <c r="I1013" s="134">
        <f t="shared" ca="1" si="185"/>
        <v>-31</v>
      </c>
      <c r="J1013" s="12">
        <f ca="1">L1013*Settings!$C$3+M1013+O1013</f>
        <v>26</v>
      </c>
      <c r="K1013" s="1">
        <f t="shared" ca="1" si="188"/>
        <v>34</v>
      </c>
      <c r="L1013" s="1">
        <f t="array" aca="1" ref="L1013" ca="1">SUMPRODUCT((OFFSET(Calc2!$F$4,,,$F$26*B1001,1)=F1013)*(OFFSET(Calc2!$H$4,,,$F$26*B1001,1)&gt;OFFSET(Calc2!$I$4,,,$F$26*B1001,1)))+SUMPRODUCT((OFFSET(Calc2!$G$4,,,$F$26*B1001,1)=F1013)*(OFFSET(Calc2!$H$4,,,$F$26*B1001,1)&lt;OFFSET(Calc2!$I$4,,,$F$26*B1001,1)))</f>
        <v>6</v>
      </c>
      <c r="M1013" s="1">
        <f t="array" aca="1" ref="M1013" ca="1">SUMPRODUCT((OFFSET(Calc2!$F$4,,,$F$26*B1001,2)=F1013)*(OFFSET(Calc2!$H$4,,,$F$26*B1001,1)=OFFSET(Calc2!$I$4,,,$F$26*B1001,1))*(OFFSET(Calc2!$H$4,,,$F$26*B1001,1)&lt;&gt;"")*(OFFSET(Calc2!$I$4,,,$F$26*B1001,1)&lt;&gt;""))</f>
        <v>8</v>
      </c>
      <c r="N1013" s="1">
        <f t="array" aca="1" ref="N1013" ca="1">SUMPRODUCT((OFFSET(Calc2!$F$4,,,$F$26*B1001,1)=F1013)*(OFFSET(Calc2!$H$4,,,$F$26*B1001,1)&lt;OFFSET(Calc2!$I$4,,,$F$26*B1001,1)))+SUMPRODUCT((OFFSET(Calc2!$G$4,,,$F$26*B1001,1)=F1013)*(OFFSET(Calc2!$H$4,,,$F$26*B1001,1)&gt;OFFSET(Calc2!$I$4,,,$F$26*B1001,1)))</f>
        <v>20</v>
      </c>
      <c r="O1013" s="132">
        <f ca="1">SUMPRODUCT((F1013=OFFSET(Calc2!$F$4,,,$F$26*B1001,1))*OFFSET(Calc2!$O$4,,,$F$26*B1001,1))+SUMPRODUCT((F1013=OFFSET(Calc2!$G$4,,,$F$26*B1001,1))*OFFSET(Calc2!$P$4,,,$F$26*B1001,1))</f>
        <v>0</v>
      </c>
      <c r="P1013" s="2"/>
      <c r="Q1013" s="2"/>
      <c r="R1013" s="13">
        <f t="shared" ca="1" si="186"/>
        <v>26499969029</v>
      </c>
      <c r="S1013" s="134">
        <f>Tie_Break!$D$17</f>
        <v>0</v>
      </c>
      <c r="T1013" s="9">
        <f ca="1">RANK(R1013,R1003:R1022)+(9-S1013)/10000+(F1013="")*1000</f>
        <v>18.000900000000001</v>
      </c>
      <c r="U1013" s="2"/>
      <c r="V1013" s="134">
        <f ca="1">IF($K$24=0,"",IF(VLOOKUP(B1013,C1003:E1022,3,0)=MAX(V$4:V1012),VLOOKUP(B1013,C1003:E1022,3,0),B1013))</f>
        <v>11</v>
      </c>
      <c r="W1013" s="4" t="str">
        <f ca="1">IF($K$24=0,Calc2!$C$14,VLOOKUP(B1013,C1003:N1022,4,0))</f>
        <v>1. FC Union Berlin</v>
      </c>
      <c r="X1013" s="1">
        <f ca="1">INDEX(V976:V995,MATCH(W1013,W976:W995,0))</f>
        <v>11</v>
      </c>
      <c r="Y1013" s="1">
        <f t="shared" ca="1" si="189"/>
        <v>0</v>
      </c>
    </row>
    <row r="1014" spans="2:25" x14ac:dyDescent="0.2">
      <c r="B1014" s="1">
        <v>12</v>
      </c>
      <c r="C1014" s="9">
        <f ca="1">RANK(D1014,D1003:D1022,1)</f>
        <v>13</v>
      </c>
      <c r="D1014" s="134">
        <f t="shared" ca="1" si="187"/>
        <v>14.013999999999999</v>
      </c>
      <c r="E1014" s="134">
        <f ca="1">RANK(T1014,T1003:T1022,1)</f>
        <v>13</v>
      </c>
      <c r="F1014" s="187" t="str">
        <f>Calc2!$C$15</f>
        <v>Hamburger SV</v>
      </c>
      <c r="G1014" s="1">
        <f ca="1">SUMIFS(OFFSET(Calc2!$H$4,,,$F$26*B1001,1),OFFSET(Calc2!$F$4,,,$F$26*B1001,1),F1014)+SUMIFS(OFFSET(Calc2!$I$4,,,$F$26*B1001,1),OFFSET(Calc2!$G$4,,,$F$26*B1001,1),F1014)</f>
        <v>40</v>
      </c>
      <c r="H1014" s="1">
        <f ca="1">SUMIFS(OFFSET(Calc2!$I$4,,,$F$26*B1001,1),OFFSET(Calc2!$F$4,,,$F$26*B1001,1),F1014)+SUMIFS(OFFSET(Calc2!$H$4,,,$F$26*B1001,1),OFFSET(Calc2!$G$4,,,$F$26*B1001,1),F1014)</f>
        <v>54</v>
      </c>
      <c r="I1014" s="134">
        <f t="shared" ca="1" si="185"/>
        <v>-14</v>
      </c>
      <c r="J1014" s="12">
        <f ca="1">L1014*Settings!$C$3+M1014+O1014</f>
        <v>38</v>
      </c>
      <c r="K1014" s="1">
        <f t="shared" ca="1" si="188"/>
        <v>34</v>
      </c>
      <c r="L1014" s="1">
        <f t="array" aca="1" ref="L1014" ca="1">SUMPRODUCT((OFFSET(Calc2!$F$4,,,$F$26*B1001,1)=F1014)*(OFFSET(Calc2!$H$4,,,$F$26*B1001,1)&gt;OFFSET(Calc2!$I$4,,,$F$26*B1001,1)))+SUMPRODUCT((OFFSET(Calc2!$G$4,,,$F$26*B1001,1)=F1014)*(OFFSET(Calc2!$H$4,,,$F$26*B1001,1)&lt;OFFSET(Calc2!$I$4,,,$F$26*B1001,1)))</f>
        <v>9</v>
      </c>
      <c r="M1014" s="1">
        <f t="array" aca="1" ref="M1014" ca="1">SUMPRODUCT((OFFSET(Calc2!$F$4,,,$F$26*B1001,2)=F1014)*(OFFSET(Calc2!$H$4,,,$F$26*B1001,1)=OFFSET(Calc2!$I$4,,,$F$26*B1001,1))*(OFFSET(Calc2!$H$4,,,$F$26*B1001,1)&lt;&gt;"")*(OFFSET(Calc2!$I$4,,,$F$26*B1001,1)&lt;&gt;""))</f>
        <v>11</v>
      </c>
      <c r="N1014" s="1">
        <f t="array" aca="1" ref="N1014" ca="1">SUMPRODUCT((OFFSET(Calc2!$F$4,,,$F$26*B1001,1)=F1014)*(OFFSET(Calc2!$H$4,,,$F$26*B1001,1)&lt;OFFSET(Calc2!$I$4,,,$F$26*B1001,1)))+SUMPRODUCT((OFFSET(Calc2!$G$4,,,$F$26*B1001,1)=F1014)*(OFFSET(Calc2!$H$4,,,$F$26*B1001,1)&gt;OFFSET(Calc2!$I$4,,,$F$26*B1001,1)))</f>
        <v>14</v>
      </c>
      <c r="O1014" s="132">
        <f ca="1">SUMPRODUCT((F1014=OFFSET(Calc2!$F$4,,,$F$26*B1001,1))*OFFSET(Calc2!$O$4,,,$F$26*B1001,1))+SUMPRODUCT((F1014=OFFSET(Calc2!$G$4,,,$F$26*B1001,1))*OFFSET(Calc2!$P$4,,,$F$26*B1001,1))</f>
        <v>0</v>
      </c>
      <c r="P1014" s="2"/>
      <c r="Q1014" s="2"/>
      <c r="R1014" s="13">
        <f t="shared" ca="1" si="186"/>
        <v>38499986040</v>
      </c>
      <c r="S1014" s="134">
        <f>Tie_Break!$D$18</f>
        <v>0</v>
      </c>
      <c r="T1014" s="9">
        <f ca="1">RANK(R1014,R1003:R1022)+(9-S1014)/10000+(F1014="")*1000</f>
        <v>13.0009</v>
      </c>
      <c r="U1014" s="2"/>
      <c r="V1014" s="134">
        <f ca="1">IF($K$24=0,"",IF(VLOOKUP(B1014,C1003:E1022,3,0)=MAX(V$4:V1013),VLOOKUP(B1014,C1003:E1022,3,0),B1014))</f>
        <v>12</v>
      </c>
      <c r="W1014" s="4" t="str">
        <f ca="1">IF($K$24=0,Calc2!$C$15,VLOOKUP(B1014,C1003:N1022,4,0))</f>
        <v>Borussia Mönchengladbach</v>
      </c>
      <c r="X1014" s="1">
        <f ca="1">INDEX(V976:V995,MATCH(W1014,W976:W995,0))</f>
        <v>12</v>
      </c>
      <c r="Y1014" s="1">
        <f t="shared" ca="1" si="189"/>
        <v>0</v>
      </c>
    </row>
    <row r="1015" spans="2:25" x14ac:dyDescent="0.2">
      <c r="B1015" s="1">
        <v>13</v>
      </c>
      <c r="C1015" s="9">
        <f ca="1">RANK(D1015,D1003:D1022,1)</f>
        <v>3</v>
      </c>
      <c r="D1015" s="134">
        <f t="shared" ca="1" si="187"/>
        <v>4.0149999999999997</v>
      </c>
      <c r="E1015" s="134">
        <f ca="1">RANK(T1015,T1003:T1022,1)</f>
        <v>3</v>
      </c>
      <c r="F1015" s="187" t="str">
        <f>Calc2!$C$16</f>
        <v>RB Leipzig</v>
      </c>
      <c r="G1015" s="1">
        <f ca="1">SUMIFS(OFFSET(Calc2!$H$4,,,$F$26*B1001,1),OFFSET(Calc2!$F$4,,,$F$26*B1001,1),F1015)+SUMIFS(OFFSET(Calc2!$I$4,,,$F$26*B1001,1),OFFSET(Calc2!$G$4,,,$F$26*B1001,1),F1015)</f>
        <v>66</v>
      </c>
      <c r="H1015" s="1">
        <f ca="1">SUMIFS(OFFSET(Calc2!$I$4,,,$F$26*B1001,1),OFFSET(Calc2!$F$4,,,$F$26*B1001,1),F1015)+SUMIFS(OFFSET(Calc2!$H$4,,,$F$26*B1001,1),OFFSET(Calc2!$G$4,,,$F$26*B1001,1),F1015)</f>
        <v>47</v>
      </c>
      <c r="I1015" s="134">
        <f t="shared" ca="1" si="185"/>
        <v>19</v>
      </c>
      <c r="J1015" s="12">
        <f ca="1">L1015*Settings!$C$3+M1015+O1015</f>
        <v>65</v>
      </c>
      <c r="K1015" s="1">
        <f t="shared" ca="1" si="188"/>
        <v>34</v>
      </c>
      <c r="L1015" s="1">
        <f t="array" aca="1" ref="L1015" ca="1">SUMPRODUCT((OFFSET(Calc2!$F$4,,,$F$26*B1001,1)=F1015)*(OFFSET(Calc2!$H$4,,,$F$26*B1001,1)&gt;OFFSET(Calc2!$I$4,,,$F$26*B1001,1)))+SUMPRODUCT((OFFSET(Calc2!$G$4,,,$F$26*B1001,1)=F1015)*(OFFSET(Calc2!$H$4,,,$F$26*B1001,1)&lt;OFFSET(Calc2!$I$4,,,$F$26*B1001,1)))</f>
        <v>20</v>
      </c>
      <c r="M1015" s="1">
        <f t="array" aca="1" ref="M1015" ca="1">SUMPRODUCT((OFFSET(Calc2!$F$4,,,$F$26*B1001,2)=F1015)*(OFFSET(Calc2!$H$4,,,$F$26*B1001,1)=OFFSET(Calc2!$I$4,,,$F$26*B1001,1))*(OFFSET(Calc2!$H$4,,,$F$26*B1001,1)&lt;&gt;"")*(OFFSET(Calc2!$I$4,,,$F$26*B1001,1)&lt;&gt;""))</f>
        <v>5</v>
      </c>
      <c r="N1015" s="1">
        <f t="array" aca="1" ref="N1015" ca="1">SUMPRODUCT((OFFSET(Calc2!$F$4,,,$F$26*B1001,1)=F1015)*(OFFSET(Calc2!$H$4,,,$F$26*B1001,1)&lt;OFFSET(Calc2!$I$4,,,$F$26*B1001,1)))+SUMPRODUCT((OFFSET(Calc2!$G$4,,,$F$26*B1001,1)=F1015)*(OFFSET(Calc2!$H$4,,,$F$26*B1001,1)&gt;OFFSET(Calc2!$I$4,,,$F$26*B1001,1)))</f>
        <v>9</v>
      </c>
      <c r="O1015" s="132">
        <f ca="1">SUMPRODUCT((F1015=OFFSET(Calc2!$F$4,,,$F$26*B1001,1))*OFFSET(Calc2!$O$4,,,$F$26*B1001,1))+SUMPRODUCT((F1015=OFFSET(Calc2!$G$4,,,$F$26*B1001,1))*OFFSET(Calc2!$P$4,,,$F$26*B1001,1))</f>
        <v>0</v>
      </c>
      <c r="P1015" s="2"/>
      <c r="Q1015" s="2"/>
      <c r="R1015" s="13">
        <f t="shared" ca="1" si="186"/>
        <v>65500019066</v>
      </c>
      <c r="S1015" s="134">
        <f>Tie_Break!$D$19</f>
        <v>0</v>
      </c>
      <c r="T1015" s="9">
        <f ca="1">RANK(R1015,R1003:R1022)+(9-S1015)/10000+(F1015="")*1000</f>
        <v>3.0009000000000001</v>
      </c>
      <c r="U1015" s="1"/>
      <c r="V1015" s="134">
        <f ca="1">IF($K$24=0,"",IF(VLOOKUP(B1015,C1003:E1022,3,0)=MAX(V$4:V1014),VLOOKUP(B1015,C1003:E1022,3,0),B1015))</f>
        <v>13</v>
      </c>
      <c r="W1015" s="4" t="str">
        <f ca="1">IF($K$24=0,Calc2!$C$16,VLOOKUP(B1015,C1003:N1022,4,0))</f>
        <v>Hamburger SV</v>
      </c>
      <c r="X1015" s="1">
        <f ca="1">INDEX(V976:V995,MATCH(W1015,W976:W995,0))</f>
        <v>13</v>
      </c>
      <c r="Y1015" s="1">
        <f t="shared" ca="1" si="189"/>
        <v>0</v>
      </c>
    </row>
    <row r="1016" spans="2:25" x14ac:dyDescent="0.2">
      <c r="B1016" s="1">
        <v>14</v>
      </c>
      <c r="C1016" s="9">
        <f ca="1">RANK(D1016,D1003:D1022,1)</f>
        <v>7</v>
      </c>
      <c r="D1016" s="134">
        <f t="shared" ca="1" si="187"/>
        <v>8.016</v>
      </c>
      <c r="E1016" s="134">
        <f ca="1">RANK(T1016,T1003:T1022,1)</f>
        <v>7</v>
      </c>
      <c r="F1016" s="187" t="str">
        <f>Calc2!$C$17</f>
        <v>SC Freiburg</v>
      </c>
      <c r="G1016" s="1">
        <f ca="1">SUMIFS(OFFSET(Calc2!$H$4,,,$F$26*B1001,1),OFFSET(Calc2!$F$4,,,$F$26*B1001,1),F1016)+SUMIFS(OFFSET(Calc2!$I$4,,,$F$26*B1001,1),OFFSET(Calc2!$G$4,,,$F$26*B1001,1),F1016)</f>
        <v>51</v>
      </c>
      <c r="H1016" s="1">
        <f ca="1">SUMIFS(OFFSET(Calc2!$I$4,,,$F$26*B1001,1),OFFSET(Calc2!$F$4,,,$F$26*B1001,1),F1016)+SUMIFS(OFFSET(Calc2!$H$4,,,$F$26*B1001,1),OFFSET(Calc2!$G$4,,,$F$26*B1001,1),F1016)</f>
        <v>57</v>
      </c>
      <c r="I1016" s="134">
        <f t="shared" ca="1" si="185"/>
        <v>-6</v>
      </c>
      <c r="J1016" s="12">
        <f ca="1">L1016*Settings!$C$3+M1016+O1016</f>
        <v>47</v>
      </c>
      <c r="K1016" s="1">
        <f t="shared" ca="1" si="188"/>
        <v>34</v>
      </c>
      <c r="L1016" s="1">
        <f t="array" aca="1" ref="L1016" ca="1">SUMPRODUCT((OFFSET(Calc2!$F$4,,,$F$26*B1001,1)=F1016)*(OFFSET(Calc2!$H$4,,,$F$26*B1001,1)&gt;OFFSET(Calc2!$I$4,,,$F$26*B1001,1)))+SUMPRODUCT((OFFSET(Calc2!$G$4,,,$F$26*B1001,1)=F1016)*(OFFSET(Calc2!$H$4,,,$F$26*B1001,1)&lt;OFFSET(Calc2!$I$4,,,$F$26*B1001,1)))</f>
        <v>13</v>
      </c>
      <c r="M1016" s="1">
        <f t="array" aca="1" ref="M1016" ca="1">SUMPRODUCT((OFFSET(Calc2!$F$4,,,$F$26*B1001,2)=F1016)*(OFFSET(Calc2!$H$4,,,$F$26*B1001,1)=OFFSET(Calc2!$I$4,,,$F$26*B1001,1))*(OFFSET(Calc2!$H$4,,,$F$26*B1001,1)&lt;&gt;"")*(OFFSET(Calc2!$I$4,,,$F$26*B1001,1)&lt;&gt;""))</f>
        <v>8</v>
      </c>
      <c r="N1016" s="1">
        <f t="array" aca="1" ref="N1016" ca="1">SUMPRODUCT((OFFSET(Calc2!$F$4,,,$F$26*B1001,1)=F1016)*(OFFSET(Calc2!$H$4,,,$F$26*B1001,1)&lt;OFFSET(Calc2!$I$4,,,$F$26*B1001,1)))+SUMPRODUCT((OFFSET(Calc2!$G$4,,,$F$26*B1001,1)=F1016)*(OFFSET(Calc2!$H$4,,,$F$26*B1001,1)&gt;OFFSET(Calc2!$I$4,,,$F$26*B1001,1)))</f>
        <v>13</v>
      </c>
      <c r="O1016" s="132">
        <f ca="1">SUMPRODUCT((F1016=OFFSET(Calc2!$F$4,,,$F$26*B1001,1))*OFFSET(Calc2!$O$4,,,$F$26*B1001,1))+SUMPRODUCT((F1016=OFFSET(Calc2!$G$4,,,$F$26*B1001,1))*OFFSET(Calc2!$P$4,,,$F$26*B1001,1))</f>
        <v>0</v>
      </c>
      <c r="P1016" s="2"/>
      <c r="Q1016" s="2"/>
      <c r="R1016" s="13">
        <f t="shared" ca="1" si="186"/>
        <v>47499994051</v>
      </c>
      <c r="S1016" s="134">
        <f>Tie_Break!$D$20</f>
        <v>0</v>
      </c>
      <c r="T1016" s="9">
        <f ca="1">RANK(R1016,R1003:R1022)+(9-S1016)/10000+(F1016="")*1000</f>
        <v>7.0008999999999997</v>
      </c>
      <c r="U1016" s="2"/>
      <c r="V1016" s="134">
        <f ca="1">IF($K$24=0,"",IF(VLOOKUP(B1016,C1003:E1022,3,0)=MAX(V$4:V1015),VLOOKUP(B1016,C1003:E1022,3,0),B1016))</f>
        <v>14</v>
      </c>
      <c r="W1016" s="4" t="str">
        <f ca="1">IF($K$24=0,Calc2!$C$17,VLOOKUP(B1016,C1003:N1022,4,0))</f>
        <v>1. FC Köln</v>
      </c>
      <c r="X1016" s="1">
        <f ca="1">INDEX(V976:V995,MATCH(W1016,W976:W995,0))</f>
        <v>14</v>
      </c>
      <c r="Y1016" s="1">
        <f t="shared" ca="1" si="189"/>
        <v>0</v>
      </c>
    </row>
    <row r="1017" spans="2:25" x14ac:dyDescent="0.2">
      <c r="B1017" s="1">
        <v>15</v>
      </c>
      <c r="C1017" s="9">
        <f ca="1">RANK(D1017,D1003:D1022,1)</f>
        <v>15</v>
      </c>
      <c r="D1017" s="134">
        <f t="shared" ca="1" si="187"/>
        <v>16.016999999999999</v>
      </c>
      <c r="E1017" s="134">
        <f ca="1">RANK(T1017,T1003:T1022,1)</f>
        <v>15</v>
      </c>
      <c r="F1017" s="187" t="str">
        <f>Calc2!$C$18</f>
        <v>SV Werder Bremen</v>
      </c>
      <c r="G1017" s="1">
        <f ca="1">SUMIFS(OFFSET(Calc2!$H$4,,,$F$26*B1001,1),OFFSET(Calc2!$F$4,,,$F$26*B1001,1),F1017)+SUMIFS(OFFSET(Calc2!$I$4,,,$F$26*B1001,1),OFFSET(Calc2!$G$4,,,$F$26*B1001,1),F1017)</f>
        <v>37</v>
      </c>
      <c r="H1017" s="1">
        <f ca="1">SUMIFS(OFFSET(Calc2!$I$4,,,$F$26*B1001,1),OFFSET(Calc2!$F$4,,,$F$26*B1001,1),F1017)+SUMIFS(OFFSET(Calc2!$H$4,,,$F$26*B1001,1),OFFSET(Calc2!$G$4,,,$F$26*B1001,1),F1017)</f>
        <v>60</v>
      </c>
      <c r="I1017" s="134">
        <f t="shared" ca="1" si="185"/>
        <v>-23</v>
      </c>
      <c r="J1017" s="12">
        <f ca="1">L1017*Settings!$C$3+M1017+O1017</f>
        <v>32</v>
      </c>
      <c r="K1017" s="1">
        <f t="shared" ca="1" si="188"/>
        <v>34</v>
      </c>
      <c r="L1017" s="1">
        <f t="array" aca="1" ref="L1017" ca="1">SUMPRODUCT((OFFSET(Calc2!$F$4,,,$F$26*B1001,1)=F1017)*(OFFSET(Calc2!$H$4,,,$F$26*B1001,1)&gt;OFFSET(Calc2!$I$4,,,$F$26*B1001,1)))+SUMPRODUCT((OFFSET(Calc2!$G$4,,,$F$26*B1001,1)=F1017)*(OFFSET(Calc2!$H$4,,,$F$26*B1001,1)&lt;OFFSET(Calc2!$I$4,,,$F$26*B1001,1)))</f>
        <v>8</v>
      </c>
      <c r="M1017" s="1">
        <f t="array" aca="1" ref="M1017" ca="1">SUMPRODUCT((OFFSET(Calc2!$F$4,,,$F$26*B1001,2)=F1017)*(OFFSET(Calc2!$H$4,,,$F$26*B1001,1)=OFFSET(Calc2!$I$4,,,$F$26*B1001,1))*(OFFSET(Calc2!$H$4,,,$F$26*B1001,1)&lt;&gt;"")*(OFFSET(Calc2!$I$4,,,$F$26*B1001,1)&lt;&gt;""))</f>
        <v>8</v>
      </c>
      <c r="N1017" s="1">
        <f t="array" aca="1" ref="N1017" ca="1">SUMPRODUCT((OFFSET(Calc2!$F$4,,,$F$26*B1001,1)=F1017)*(OFFSET(Calc2!$H$4,,,$F$26*B1001,1)&lt;OFFSET(Calc2!$I$4,,,$F$26*B1001,1)))+SUMPRODUCT((OFFSET(Calc2!$G$4,,,$F$26*B1001,1)=F1017)*(OFFSET(Calc2!$H$4,,,$F$26*B1001,1)&gt;OFFSET(Calc2!$I$4,,,$F$26*B1001,1)))</f>
        <v>18</v>
      </c>
      <c r="O1017" s="132">
        <f ca="1">SUMPRODUCT((F1017=OFFSET(Calc2!$F$4,,,$F$26*B1001,1))*OFFSET(Calc2!$O$4,,,$F$26*B1001,1))+SUMPRODUCT((F1017=OFFSET(Calc2!$G$4,,,$F$26*B1001,1))*OFFSET(Calc2!$P$4,,,$F$26*B1001,1))</f>
        <v>0</v>
      </c>
      <c r="P1017" s="2"/>
      <c r="Q1017" s="2"/>
      <c r="R1017" s="13">
        <f t="shared" ca="1" si="186"/>
        <v>32499977037</v>
      </c>
      <c r="S1017" s="134">
        <f>Tie_Break!$D$21</f>
        <v>0</v>
      </c>
      <c r="T1017" s="9">
        <f ca="1">RANK(R1017,R1003:R1022)+(9-S1017)/10000+(F1017="")*1000</f>
        <v>15.0009</v>
      </c>
      <c r="U1017" s="2"/>
      <c r="V1017" s="134">
        <f ca="1">IF($K$24=0,"",IF(VLOOKUP(B1017,C1003:E1022,3,0)=MAX(V$4:V1016),VLOOKUP(B1017,C1003:E1022,3,0),B1017))</f>
        <v>15</v>
      </c>
      <c r="W1017" s="4" t="str">
        <f ca="1">IF($K$24=0,Calc2!$C$18,VLOOKUP(B1017,C1003:N1022,4,0))</f>
        <v>SV Werder Bremen</v>
      </c>
      <c r="X1017" s="1">
        <f ca="1">INDEX(V976:V995,MATCH(W1017,W976:W995,0))</f>
        <v>15</v>
      </c>
      <c r="Y1017" s="1">
        <f t="shared" ca="1" si="189"/>
        <v>0</v>
      </c>
    </row>
    <row r="1018" spans="2:25" x14ac:dyDescent="0.2">
      <c r="B1018" s="1">
        <v>16</v>
      </c>
      <c r="C1018" s="9">
        <f ca="1">RANK(D1018,D1003:D1022,1)</f>
        <v>5</v>
      </c>
      <c r="D1018" s="134">
        <f t="shared" ca="1" si="187"/>
        <v>6.0179999999999998</v>
      </c>
      <c r="E1018" s="134">
        <f ca="1">RANK(T1018,T1003:T1022,1)</f>
        <v>5</v>
      </c>
      <c r="F1018" s="187" t="str">
        <f>Calc2!$C$19</f>
        <v>TSG Hoffenheim</v>
      </c>
      <c r="G1018" s="1">
        <f ca="1">SUMIFS(OFFSET(Calc2!$H$4,,,$F$26*B1001,1),OFFSET(Calc2!$F$4,,,$F$26*B1001,1),F1018)+SUMIFS(OFFSET(Calc2!$I$4,,,$F$26*B1001,1),OFFSET(Calc2!$G$4,,,$F$26*B1001,1),F1018)</f>
        <v>65</v>
      </c>
      <c r="H1018" s="1">
        <f ca="1">SUMIFS(OFFSET(Calc2!$I$4,,,$F$26*B1001,1),OFFSET(Calc2!$F$4,,,$F$26*B1001,1),F1018)+SUMIFS(OFFSET(Calc2!$H$4,,,$F$26*B1001,1),OFFSET(Calc2!$G$4,,,$F$26*B1001,1),F1018)</f>
        <v>52</v>
      </c>
      <c r="I1018" s="134">
        <f t="shared" ca="1" si="185"/>
        <v>13</v>
      </c>
      <c r="J1018" s="12">
        <f ca="1">L1018*Settings!$C$3+M1018+O1018</f>
        <v>61</v>
      </c>
      <c r="K1018" s="1">
        <f t="shared" ca="1" si="188"/>
        <v>34</v>
      </c>
      <c r="L1018" s="1">
        <f t="array" aca="1" ref="L1018" ca="1">SUMPRODUCT((OFFSET(Calc2!$F$4,,,$F$26*B1001,1)=F1018)*(OFFSET(Calc2!$H$4,,,$F$26*B1001,1)&gt;OFFSET(Calc2!$I$4,,,$F$26*B1001,1)))+SUMPRODUCT((OFFSET(Calc2!$G$4,,,$F$26*B1001,1)=F1018)*(OFFSET(Calc2!$H$4,,,$F$26*B1001,1)&lt;OFFSET(Calc2!$I$4,,,$F$26*B1001,1)))</f>
        <v>18</v>
      </c>
      <c r="M1018" s="1">
        <f t="array" aca="1" ref="M1018" ca="1">SUMPRODUCT((OFFSET(Calc2!$F$4,,,$F$26*B1001,2)=F1018)*(OFFSET(Calc2!$H$4,,,$F$26*B1001,1)=OFFSET(Calc2!$I$4,,,$F$26*B1001,1))*(OFFSET(Calc2!$H$4,,,$F$26*B1001,1)&lt;&gt;"")*(OFFSET(Calc2!$I$4,,,$F$26*B1001,1)&lt;&gt;""))</f>
        <v>7</v>
      </c>
      <c r="N1018" s="1">
        <f t="array" aca="1" ref="N1018" ca="1">SUMPRODUCT((OFFSET(Calc2!$F$4,,,$F$26*B1001,1)=F1018)*(OFFSET(Calc2!$H$4,,,$F$26*B1001,1)&lt;OFFSET(Calc2!$I$4,,,$F$26*B1001,1)))+SUMPRODUCT((OFFSET(Calc2!$G$4,,,$F$26*B1001,1)=F1018)*(OFFSET(Calc2!$H$4,,,$F$26*B1001,1)&gt;OFFSET(Calc2!$I$4,,,$F$26*B1001,1)))</f>
        <v>9</v>
      </c>
      <c r="O1018" s="132">
        <f ca="1">SUMPRODUCT((F1018=OFFSET(Calc2!$F$4,,,$F$26*B1001,1))*OFFSET(Calc2!$O$4,,,$F$26*B1001,1))+SUMPRODUCT((F1018=OFFSET(Calc2!$G$4,,,$F$26*B1001,1))*OFFSET(Calc2!$P$4,,,$F$26*B1001,1))</f>
        <v>0</v>
      </c>
      <c r="P1018" s="2"/>
      <c r="Q1018" s="2"/>
      <c r="R1018" s="13">
        <f t="shared" ca="1" si="186"/>
        <v>61500013065</v>
      </c>
      <c r="S1018" s="134">
        <f>Tie_Break!$D$22</f>
        <v>0</v>
      </c>
      <c r="T1018" s="9">
        <f ca="1">RANK(R1018,R1003:R1022)+(9-S1018)/10000+(F1018="")*1000</f>
        <v>5.0008999999999997</v>
      </c>
      <c r="U1018" s="2"/>
      <c r="V1018" s="134">
        <f ca="1">IF($K$24=0,"",IF(VLOOKUP(B1018,C1003:E1022,3,0)=MAX(V$4:V1017),VLOOKUP(B1018,C1003:E1022,3,0),B1018))</f>
        <v>16</v>
      </c>
      <c r="W1018" s="4" t="str">
        <f ca="1">IF($K$24=0,Calc2!$C$19,VLOOKUP(B1018,C1003:N1022,4,0))</f>
        <v>VfL Wolfsburg</v>
      </c>
      <c r="X1018" s="1">
        <f ca="1">INDEX(V976:V995,MATCH(W1018,W976:W995,0))</f>
        <v>16</v>
      </c>
      <c r="Y1018" s="1">
        <f t="shared" ca="1" si="189"/>
        <v>0</v>
      </c>
    </row>
    <row r="1019" spans="2:25" x14ac:dyDescent="0.2">
      <c r="B1019" s="1">
        <v>17</v>
      </c>
      <c r="C1019" s="9">
        <f ca="1">RANK(D1019,D1003:D1022,1)</f>
        <v>4</v>
      </c>
      <c r="D1019" s="134">
        <f t="shared" ca="1" si="187"/>
        <v>5.0190000000000001</v>
      </c>
      <c r="E1019" s="134">
        <f ca="1">RANK(T1019,T1003:T1022,1)</f>
        <v>4</v>
      </c>
      <c r="F1019" s="187" t="str">
        <f>Calc2!$C$20</f>
        <v>VfB Stuttgart</v>
      </c>
      <c r="G1019" s="1">
        <f ca="1">SUMIFS(OFFSET(Calc2!$H$4,,,$F$26*B1001,1),OFFSET(Calc2!$F$4,,,$F$26*B1001,1),F1019)+SUMIFS(OFFSET(Calc2!$I$4,,,$F$26*B1001,1),OFFSET(Calc2!$G$4,,,$F$26*B1001,1),F1019)</f>
        <v>71</v>
      </c>
      <c r="H1019" s="1">
        <f ca="1">SUMIFS(OFFSET(Calc2!$I$4,,,$F$26*B1001,1),OFFSET(Calc2!$F$4,,,$F$26*B1001,1),F1019)+SUMIFS(OFFSET(Calc2!$H$4,,,$F$26*B1001,1),OFFSET(Calc2!$G$4,,,$F$26*B1001,1),F1019)</f>
        <v>49</v>
      </c>
      <c r="I1019" s="134">
        <f t="shared" ca="1" si="185"/>
        <v>22</v>
      </c>
      <c r="J1019" s="12">
        <f ca="1">L1019*Settings!$C$3+M1019+O1019</f>
        <v>62</v>
      </c>
      <c r="K1019" s="1">
        <f t="shared" ca="1" si="188"/>
        <v>34</v>
      </c>
      <c r="L1019" s="1">
        <f t="array" aca="1" ref="L1019" ca="1">SUMPRODUCT((OFFSET(Calc2!$F$4,,,$F$26*B1001,1)=F1019)*(OFFSET(Calc2!$H$4,,,$F$26*B1001,1)&gt;OFFSET(Calc2!$I$4,,,$F$26*B1001,1)))+SUMPRODUCT((OFFSET(Calc2!$G$4,,,$F$26*B1001,1)=F1019)*(OFFSET(Calc2!$H$4,,,$F$26*B1001,1)&lt;OFFSET(Calc2!$I$4,,,$F$26*B1001,1)))</f>
        <v>18</v>
      </c>
      <c r="M1019" s="1">
        <f t="array" aca="1" ref="M1019" ca="1">SUMPRODUCT((OFFSET(Calc2!$F$4,,,$F$26*B1001,2)=F1019)*(OFFSET(Calc2!$H$4,,,$F$26*B1001,1)=OFFSET(Calc2!$I$4,,,$F$26*B1001,1))*(OFFSET(Calc2!$H$4,,,$F$26*B1001,1)&lt;&gt;"")*(OFFSET(Calc2!$I$4,,,$F$26*B1001,1)&lt;&gt;""))</f>
        <v>8</v>
      </c>
      <c r="N1019" s="1">
        <f t="array" aca="1" ref="N1019" ca="1">SUMPRODUCT((OFFSET(Calc2!$F$4,,,$F$26*B1001,1)=F1019)*(OFFSET(Calc2!$H$4,,,$F$26*B1001,1)&lt;OFFSET(Calc2!$I$4,,,$F$26*B1001,1)))+SUMPRODUCT((OFFSET(Calc2!$G$4,,,$F$26*B1001,1)=F1019)*(OFFSET(Calc2!$H$4,,,$F$26*B1001,1)&gt;OFFSET(Calc2!$I$4,,,$F$26*B1001,1)))</f>
        <v>8</v>
      </c>
      <c r="O1019" s="132">
        <f ca="1">SUMPRODUCT((F1019=OFFSET(Calc2!$F$4,,,$F$26*B1001,1))*OFFSET(Calc2!$O$4,,,$F$26*B1001,1))+SUMPRODUCT((F1019=OFFSET(Calc2!$G$4,,,$F$26*B1001,1))*OFFSET(Calc2!$P$4,,,$F$26*B1001,1))</f>
        <v>0</v>
      </c>
      <c r="P1019" s="2"/>
      <c r="Q1019" s="2"/>
      <c r="R1019" s="13">
        <f t="shared" ca="1" si="186"/>
        <v>62500022071</v>
      </c>
      <c r="S1019" s="134">
        <f>Tie_Break!$D$23</f>
        <v>0</v>
      </c>
      <c r="T1019" s="9">
        <f ca="1">RANK(R1019,R1003:R1022)+(9-S1019)/10000+(F1019="")*1000</f>
        <v>4.0008999999999997</v>
      </c>
      <c r="U1019" s="2"/>
      <c r="V1019" s="134">
        <f ca="1">IF($K$24=0,"",IF(VLOOKUP(B1019,C1003:E1022,3,0)=MAX(V$4:V1018),VLOOKUP(B1019,C1003:E1022,3,0),B1019))</f>
        <v>17</v>
      </c>
      <c r="W1019" s="4" t="str">
        <f ca="1">IF($K$24=0,Calc2!$C$20,VLOOKUP(B1019,C1003:N1022,4,0))</f>
        <v>1. FC Heidenheim 1846</v>
      </c>
      <c r="X1019" s="1">
        <f ca="1">INDEX(V976:V995,MATCH(W1019,W976:W995,0))</f>
        <v>17</v>
      </c>
      <c r="Y1019" s="1">
        <f t="shared" ca="1" si="189"/>
        <v>0</v>
      </c>
    </row>
    <row r="1020" spans="2:25" x14ac:dyDescent="0.2">
      <c r="B1020" s="1">
        <v>18</v>
      </c>
      <c r="C1020" s="9">
        <f ca="1">RANK(D1020,D1003:D1022,1)</f>
        <v>16</v>
      </c>
      <c r="D1020" s="134">
        <f t="shared" ca="1" si="187"/>
        <v>17.02</v>
      </c>
      <c r="E1020" s="134">
        <f ca="1">RANK(T1020,T1003:T1022,1)</f>
        <v>16</v>
      </c>
      <c r="F1020" s="187" t="str">
        <f>Calc2!$C$21</f>
        <v>VfL Wolfsburg</v>
      </c>
      <c r="G1020" s="1">
        <f ca="1">SUMIFS(OFFSET(Calc2!$H$4,,,$F$26*B1001,1),OFFSET(Calc2!$F$4,,,$F$26*B1001,1),F1020)+SUMIFS(OFFSET(Calc2!$I$4,,,$F$26*B1001,1),OFFSET(Calc2!$G$4,,,$F$26*B1001,1),F1020)</f>
        <v>45</v>
      </c>
      <c r="H1020" s="1">
        <f ca="1">SUMIFS(OFFSET(Calc2!$I$4,,,$F$26*B1001,1),OFFSET(Calc2!$F$4,,,$F$26*B1001,1),F1020)+SUMIFS(OFFSET(Calc2!$H$4,,,$F$26*B1001,1),OFFSET(Calc2!$G$4,,,$F$26*B1001,1),F1020)</f>
        <v>69</v>
      </c>
      <c r="I1020" s="134">
        <f t="shared" ca="1" si="185"/>
        <v>-24</v>
      </c>
      <c r="J1020" s="12">
        <f ca="1">L1020*Settings!$C$3+M1020+O1020</f>
        <v>29</v>
      </c>
      <c r="K1020" s="1">
        <f t="shared" ca="1" si="188"/>
        <v>34</v>
      </c>
      <c r="L1020" s="1">
        <f t="array" aca="1" ref="L1020" ca="1">SUMPRODUCT((OFFSET(Calc2!$F$4,,,$F$26*B1001,1)=F1020)*(OFFSET(Calc2!$H$4,,,$F$26*B1001,1)&gt;OFFSET(Calc2!$I$4,,,$F$26*B1001,1)))+SUMPRODUCT((OFFSET(Calc2!$G$4,,,$F$26*B1001,1)=F1020)*(OFFSET(Calc2!$H$4,,,$F$26*B1001,1)&lt;OFFSET(Calc2!$I$4,,,$F$26*B1001,1)))</f>
        <v>7</v>
      </c>
      <c r="M1020" s="1">
        <f t="array" aca="1" ref="M1020" ca="1">SUMPRODUCT((OFFSET(Calc2!$F$4,,,$F$26*B1001,2)=F1020)*(OFFSET(Calc2!$H$4,,,$F$26*B1001,1)=OFFSET(Calc2!$I$4,,,$F$26*B1001,1))*(OFFSET(Calc2!$H$4,,,$F$26*B1001,1)&lt;&gt;"")*(OFFSET(Calc2!$I$4,,,$F$26*B1001,1)&lt;&gt;""))</f>
        <v>8</v>
      </c>
      <c r="N1020" s="1">
        <f t="array" aca="1" ref="N1020" ca="1">SUMPRODUCT((OFFSET(Calc2!$F$4,,,$F$26*B1001,1)=F1020)*(OFFSET(Calc2!$H$4,,,$F$26*B1001,1)&lt;OFFSET(Calc2!$I$4,,,$F$26*B1001,1)))+SUMPRODUCT((OFFSET(Calc2!$G$4,,,$F$26*B1001,1)=F1020)*(OFFSET(Calc2!$H$4,,,$F$26*B1001,1)&gt;OFFSET(Calc2!$I$4,,,$F$26*B1001,1)))</f>
        <v>19</v>
      </c>
      <c r="O1020" s="132">
        <f ca="1">SUMPRODUCT((F1020=OFFSET(Calc2!$F$4,,,$F$26*B1001,1))*OFFSET(Calc2!$O$4,,,$F$26*B1001,1))+SUMPRODUCT((F1020=OFFSET(Calc2!$G$4,,,$F$26*B1001,1))*OFFSET(Calc2!$P$4,,,$F$26*B1001,1))</f>
        <v>0</v>
      </c>
      <c r="P1020" s="2"/>
      <c r="Q1020" s="2"/>
      <c r="R1020" s="13">
        <f t="shared" ca="1" si="186"/>
        <v>29499976045</v>
      </c>
      <c r="S1020" s="134">
        <f>Tie_Break!$D$24</f>
        <v>0</v>
      </c>
      <c r="T1020" s="9">
        <f ca="1">RANK(R1020,R1003:R1022)+(9-S1020)/10000+(F1020="")*1000</f>
        <v>16.000900000000001</v>
      </c>
      <c r="U1020" s="2"/>
      <c r="V1020" s="134">
        <f ca="1">IF($K$24=0,"",IF(VLOOKUP(B1020,C1003:E1022,3,0)=MAX(V$4:V1019),VLOOKUP(B1020,C1003:E1022,3,0),B1020))</f>
        <v>18</v>
      </c>
      <c r="W1020" s="4" t="str">
        <f ca="1">IF($K$24=0,Calc2!$C$21,VLOOKUP(B1020,C1003:N1022,4,0))</f>
        <v>FC St. Pauli</v>
      </c>
      <c r="X1020" s="1">
        <f ca="1">INDEX(V976:V995,MATCH(W1020,W976:W995,0))</f>
        <v>18</v>
      </c>
      <c r="Y1020" s="1">
        <f t="shared" ca="1" si="189"/>
        <v>0</v>
      </c>
    </row>
    <row r="1021" spans="2:25" x14ac:dyDescent="0.2">
      <c r="B1021" s="1">
        <v>19</v>
      </c>
      <c r="C1021" s="9">
        <f ca="1">RANK(D1021,D1003:D1022,1)</f>
        <v>19</v>
      </c>
      <c r="D1021" s="134">
        <f t="shared" ca="1" si="187"/>
        <v>20.021000000000001</v>
      </c>
      <c r="E1021" s="134">
        <f ca="1">RANK(T1021,T1003:T1022,1)</f>
        <v>19</v>
      </c>
      <c r="F1021" s="187" t="str">
        <f>Calc2!$C$22</f>
        <v/>
      </c>
      <c r="G1021" s="1">
        <f ca="1">SUMIFS(OFFSET(Calc2!$H$4,,,$F$26*B1001,1),OFFSET(Calc2!$F$4,,,$F$26*B1001,1),F1021)+SUMIFS(OFFSET(Calc2!$I$4,,,$F$26*B1001,1),OFFSET(Calc2!$G$4,,,$F$26*B1001,1),F1021)</f>
        <v>0</v>
      </c>
      <c r="H1021" s="1">
        <f ca="1">SUMIFS(OFFSET(Calc2!$I$4,,,$F$26*B1001,1),OFFSET(Calc2!$F$4,,,$F$26*B1001,1),F1021)+SUMIFS(OFFSET(Calc2!$H$4,,,$F$26*B1001,1),OFFSET(Calc2!$G$4,,,$F$26*B1001,1),F1021)</f>
        <v>0</v>
      </c>
      <c r="I1021" s="134">
        <f t="shared" ca="1" si="185"/>
        <v>0</v>
      </c>
      <c r="J1021" s="12">
        <f ca="1">L1021*Settings!$C$3+M1021+O1021</f>
        <v>0</v>
      </c>
      <c r="K1021" s="1">
        <f t="shared" ca="1" si="188"/>
        <v>0</v>
      </c>
      <c r="L1021" s="1">
        <f t="array" aca="1" ref="L1021" ca="1">SUMPRODUCT((OFFSET(Calc2!$F$4,,,$F$26*B1001,1)=F1021)*(OFFSET(Calc2!$H$4,,,$F$26*B1001,1)&gt;OFFSET(Calc2!$I$4,,,$F$26*B1001,1)))+SUMPRODUCT((OFFSET(Calc2!$G$4,,,$F$26*B1001,1)=F1021)*(OFFSET(Calc2!$H$4,,,$F$26*B1001,1)&lt;OFFSET(Calc2!$I$4,,,$F$26*B1001,1)))</f>
        <v>0</v>
      </c>
      <c r="M1021" s="1">
        <f t="array" aca="1" ref="M1021" ca="1">SUMPRODUCT((OFFSET(Calc2!$F$4,,,$F$26*B1001,2)=F1021)*(OFFSET(Calc2!$H$4,,,$F$26*B1001,1)=OFFSET(Calc2!$I$4,,,$F$26*B1001,1))*(OFFSET(Calc2!$H$4,,,$F$26*B1001,1)&lt;&gt;"")*(OFFSET(Calc2!$I$4,,,$F$26*B1001,1)&lt;&gt;""))</f>
        <v>0</v>
      </c>
      <c r="N1021" s="1">
        <f t="array" aca="1" ref="N1021" ca="1">SUMPRODUCT((OFFSET(Calc2!$F$4,,,$F$26*B1001,1)=F1021)*(OFFSET(Calc2!$H$4,,,$F$26*B1001,1)&lt;OFFSET(Calc2!$I$4,,,$F$26*B1001,1)))+SUMPRODUCT((OFFSET(Calc2!$G$4,,,$F$26*B1001,1)=F1021)*(OFFSET(Calc2!$H$4,,,$F$26*B1001,1)&gt;OFFSET(Calc2!$I$4,,,$F$26*B1001,1)))</f>
        <v>0</v>
      </c>
      <c r="O1021" s="132">
        <f ca="1">SUMPRODUCT((F1021=OFFSET(Calc2!$F$4,,,$F$26*B1001,1))*OFFSET(Calc2!$O$4,,,$F$26*B1001,1))+SUMPRODUCT((F1021=OFFSET(Calc2!$G$4,,,$F$26*B1001,1))*OFFSET(Calc2!$P$4,,,$F$26*B1001,1))</f>
        <v>0</v>
      </c>
      <c r="P1021" s="2"/>
      <c r="Q1021" s="2"/>
      <c r="R1021" s="13">
        <f t="shared" ca="1" si="186"/>
        <v>500000000</v>
      </c>
      <c r="S1021" s="134">
        <f>Tie_Break!$D$25</f>
        <v>0</v>
      </c>
      <c r="T1021" s="9">
        <f ca="1">RANK(R1021,R1003:R1022)+(9-S1021)/10000+(F1021="")*1000</f>
        <v>1019.0009</v>
      </c>
      <c r="U1021" s="2"/>
      <c r="V1021" s="134">
        <f ca="1">IF($K$24=0,"",IF(VLOOKUP(B1021,C1003:E1022,3,0)=MAX(V$4:V1020),VLOOKUP(B1021,C1003:E1022,3,0),B1021))</f>
        <v>19</v>
      </c>
      <c r="W1021" s="4" t="str">
        <f ca="1">IF($K$24=0,Calc2!$C$22,VLOOKUP(B1021,C1003:N1022,4,0))</f>
        <v/>
      </c>
      <c r="X1021" s="1">
        <f ca="1">INDEX(V976:V995,MATCH(W1021,W976:W995,0))</f>
        <v>19</v>
      </c>
      <c r="Y1021" s="1">
        <f t="shared" ca="1" si="189"/>
        <v>0</v>
      </c>
    </row>
    <row r="1022" spans="2:25" ht="12.75" thickBot="1" x14ac:dyDescent="0.25">
      <c r="B1022" s="1">
        <v>20</v>
      </c>
      <c r="C1022" s="10">
        <f ca="1">RANK(D1022,D1003:D1022,1)</f>
        <v>20</v>
      </c>
      <c r="D1022" s="134">
        <f t="shared" ca="1" si="187"/>
        <v>20.021999999999998</v>
      </c>
      <c r="E1022" s="134">
        <f ca="1">RANK(T1022,T1003:T1022,1)</f>
        <v>19</v>
      </c>
      <c r="F1022" s="187" t="str">
        <f>Calc2!$C$23</f>
        <v/>
      </c>
      <c r="G1022" s="1">
        <f ca="1">SUMIFS(OFFSET(Calc2!$H$4,,,$F$26*B1001,1),OFFSET(Calc2!$F$4,,,$F$26*B1001,1),F1022)+SUMIFS(OFFSET(Calc2!$I$4,,,$F$26*B1001,1),OFFSET(Calc2!$G$4,,,$F$26*B1001,1),F1022)</f>
        <v>0</v>
      </c>
      <c r="H1022" s="1">
        <f ca="1">SUMIFS(OFFSET(Calc2!$I$4,,,$F$26*B1001,1),OFFSET(Calc2!$F$4,,,$F$26*B1001,1),F1022)+SUMIFS(OFFSET(Calc2!$H$4,,,$F$26*B1001,1),OFFSET(Calc2!$G$4,,,$F$26*B1001,1),F1022)</f>
        <v>0</v>
      </c>
      <c r="I1022" s="134">
        <f t="shared" ca="1" si="185"/>
        <v>0</v>
      </c>
      <c r="J1022" s="12">
        <f ca="1">L1022*Settings!$C$3+M1022+O1022</f>
        <v>0</v>
      </c>
      <c r="K1022" s="1">
        <f t="shared" ca="1" si="188"/>
        <v>0</v>
      </c>
      <c r="L1022" s="1">
        <f t="array" aca="1" ref="L1022" ca="1">SUMPRODUCT((OFFSET(Calc2!$F$4,,,$F$26*B1001,1)=F1022)*(OFFSET(Calc2!$H$4,,,$F$26*B1001,1)&gt;OFFSET(Calc2!$I$4,,,$F$26*B1001,1)))+SUMPRODUCT((OFFSET(Calc2!$G$4,,,$F$26*B1001,1)=F1022)*(OFFSET(Calc2!$H$4,,,$F$26*B1001,1)&lt;OFFSET(Calc2!$I$4,,,$F$26*B1001,1)))</f>
        <v>0</v>
      </c>
      <c r="M1022" s="1">
        <f t="array" aca="1" ref="M1022" ca="1">SUMPRODUCT((OFFSET(Calc2!$F$4,,,$F$26*B1001,2)=F1022)*(OFFSET(Calc2!$H$4,,,$F$26*B1001,1)=OFFSET(Calc2!$I$4,,,$F$26*B1001,1))*(OFFSET(Calc2!$H$4,,,$F$26*B1001,1)&lt;&gt;"")*(OFFSET(Calc2!$I$4,,,$F$26*B1001,1)&lt;&gt;""))</f>
        <v>0</v>
      </c>
      <c r="N1022" s="1">
        <f t="array" aca="1" ref="N1022" ca="1">SUMPRODUCT((OFFSET(Calc2!$F$4,,,$F$26*B1001,1)=F1022)*(OFFSET(Calc2!$H$4,,,$F$26*B1001,1)&lt;OFFSET(Calc2!$I$4,,,$F$26*B1001,1)))+SUMPRODUCT((OFFSET(Calc2!$G$4,,,$F$26*B1001,1)=F1022)*(OFFSET(Calc2!$H$4,,,$F$26*B1001,1)&gt;OFFSET(Calc2!$I$4,,,$F$26*B1001,1)))</f>
        <v>0</v>
      </c>
      <c r="O1022" s="132">
        <f ca="1">SUMPRODUCT((F1022=OFFSET(Calc2!$F$4,,,$F$26*B1001,1))*OFFSET(Calc2!$O$4,,,$F$26*B1001,1))+SUMPRODUCT((F1022=OFFSET(Calc2!$G$4,,,$F$26*B1001,1))*OFFSET(Calc2!$P$4,,,$F$26*B1001,1))</f>
        <v>0</v>
      </c>
      <c r="P1022" s="2"/>
      <c r="Q1022" s="2"/>
      <c r="R1022" s="13">
        <f t="shared" ca="1" si="186"/>
        <v>500000000</v>
      </c>
      <c r="S1022" s="134">
        <f>Tie_Break!$D$26</f>
        <v>0</v>
      </c>
      <c r="T1022" s="10">
        <f ca="1">RANK(R1022,R1003:R1022)+(9-S1022)/10000+(F1022="")*1000</f>
        <v>1019.0009</v>
      </c>
      <c r="U1022" s="2"/>
      <c r="V1022" s="134">
        <f ca="1">IF($K$24=0,"",IF(VLOOKUP(B1022,C1003:E1022,3,0)=MAX(V$4:V1021),VLOOKUP(B1022,C1003:E1022,3,0),B1022))</f>
        <v>19</v>
      </c>
      <c r="W1022" s="4" t="str">
        <f ca="1">IF($K$24=0,Calc2!$C$23,VLOOKUP(B1022,C1003:N1022,4,0))</f>
        <v/>
      </c>
      <c r="X1022" s="1">
        <f ca="1">INDEX(V976:V995,MATCH(W1022,W976:W995,0))</f>
        <v>19</v>
      </c>
      <c r="Y1022" s="1">
        <f t="shared" ca="1" si="189"/>
        <v>0</v>
      </c>
    </row>
    <row r="1023" spans="2:25" ht="12.75" thickTop="1" x14ac:dyDescent="0.2"/>
  </sheetData>
  <mergeCells count="2">
    <mergeCell ref="B25:C25"/>
    <mergeCell ref="B27:C27"/>
  </mergeCells>
  <conditionalFormatting sqref="Y31:Y50">
    <cfRule type="expression" dxfId="77" priority="73">
      <formula>Y31=-1</formula>
    </cfRule>
    <cfRule type="expression" dxfId="76" priority="74">
      <formula>Y31=1</formula>
    </cfRule>
  </conditionalFormatting>
  <conditionalFormatting sqref="Y58:Y77">
    <cfRule type="expression" dxfId="75" priority="71">
      <formula>Y58=-1</formula>
    </cfRule>
    <cfRule type="expression" dxfId="74" priority="72">
      <formula>Y58=1</formula>
    </cfRule>
  </conditionalFormatting>
  <conditionalFormatting sqref="Y85:Y104">
    <cfRule type="expression" dxfId="73" priority="69">
      <formula>Y85=-1</formula>
    </cfRule>
    <cfRule type="expression" dxfId="72" priority="70">
      <formula>Y85=1</formula>
    </cfRule>
  </conditionalFormatting>
  <conditionalFormatting sqref="Y112:Y131">
    <cfRule type="expression" dxfId="71" priority="67">
      <formula>Y112=-1</formula>
    </cfRule>
    <cfRule type="expression" dxfId="70" priority="68">
      <formula>Y112=1</formula>
    </cfRule>
  </conditionalFormatting>
  <conditionalFormatting sqref="Y139:Y158">
    <cfRule type="expression" dxfId="69" priority="65">
      <formula>Y139=-1</formula>
    </cfRule>
    <cfRule type="expression" dxfId="68" priority="66">
      <formula>Y139=1</formula>
    </cfRule>
  </conditionalFormatting>
  <conditionalFormatting sqref="Y166:Y185">
    <cfRule type="expression" dxfId="67" priority="63">
      <formula>Y166=-1</formula>
    </cfRule>
    <cfRule type="expression" dxfId="66" priority="64">
      <formula>Y166=1</formula>
    </cfRule>
  </conditionalFormatting>
  <conditionalFormatting sqref="Y193:Y212">
    <cfRule type="expression" dxfId="65" priority="61">
      <formula>Y193=-1</formula>
    </cfRule>
    <cfRule type="expression" dxfId="64" priority="62">
      <formula>Y193=1</formula>
    </cfRule>
  </conditionalFormatting>
  <conditionalFormatting sqref="Y220:Y239">
    <cfRule type="expression" dxfId="63" priority="59">
      <formula>Y220=-1</formula>
    </cfRule>
    <cfRule type="expression" dxfId="62" priority="60">
      <formula>Y220=1</formula>
    </cfRule>
  </conditionalFormatting>
  <conditionalFormatting sqref="Y247:Y266">
    <cfRule type="expression" dxfId="61" priority="57">
      <formula>Y247=-1</formula>
    </cfRule>
    <cfRule type="expression" dxfId="60" priority="58">
      <formula>Y247=1</formula>
    </cfRule>
  </conditionalFormatting>
  <conditionalFormatting sqref="Y274:Y293">
    <cfRule type="expression" dxfId="59" priority="55">
      <formula>Y274=-1</formula>
    </cfRule>
    <cfRule type="expression" dxfId="58" priority="56">
      <formula>Y274=1</formula>
    </cfRule>
  </conditionalFormatting>
  <conditionalFormatting sqref="Y301:Y320">
    <cfRule type="expression" dxfId="57" priority="53">
      <formula>Y301=-1</formula>
    </cfRule>
    <cfRule type="expression" dxfId="56" priority="54">
      <formula>Y301=1</formula>
    </cfRule>
  </conditionalFormatting>
  <conditionalFormatting sqref="Y328:Y347">
    <cfRule type="expression" dxfId="55" priority="51">
      <formula>Y328=-1</formula>
    </cfRule>
    <cfRule type="expression" dxfId="54" priority="52">
      <formula>Y328=1</formula>
    </cfRule>
  </conditionalFormatting>
  <conditionalFormatting sqref="Y355:Y374">
    <cfRule type="expression" dxfId="53" priority="49">
      <formula>Y355=-1</formula>
    </cfRule>
    <cfRule type="expression" dxfId="52" priority="50">
      <formula>Y355=1</formula>
    </cfRule>
  </conditionalFormatting>
  <conditionalFormatting sqref="Y382:Y401">
    <cfRule type="expression" dxfId="51" priority="47">
      <formula>Y382=-1</formula>
    </cfRule>
    <cfRule type="expression" dxfId="50" priority="48">
      <formula>Y382=1</formula>
    </cfRule>
  </conditionalFormatting>
  <conditionalFormatting sqref="Y409:Y428">
    <cfRule type="expression" dxfId="49" priority="45">
      <formula>Y409=-1</formula>
    </cfRule>
    <cfRule type="expression" dxfId="48" priority="46">
      <formula>Y409=1</formula>
    </cfRule>
  </conditionalFormatting>
  <conditionalFormatting sqref="Y436:Y455">
    <cfRule type="expression" dxfId="47" priority="43">
      <formula>Y436=-1</formula>
    </cfRule>
    <cfRule type="expression" dxfId="46" priority="44">
      <formula>Y436=1</formula>
    </cfRule>
  </conditionalFormatting>
  <conditionalFormatting sqref="Y463:Y482">
    <cfRule type="expression" dxfId="45" priority="41">
      <formula>Y463=-1</formula>
    </cfRule>
    <cfRule type="expression" dxfId="44" priority="42">
      <formula>Y463=1</formula>
    </cfRule>
  </conditionalFormatting>
  <conditionalFormatting sqref="Y490:Y509">
    <cfRule type="expression" dxfId="43" priority="39">
      <formula>Y490=-1</formula>
    </cfRule>
    <cfRule type="expression" dxfId="42" priority="40">
      <formula>Y490=1</formula>
    </cfRule>
  </conditionalFormatting>
  <conditionalFormatting sqref="Y517:Y536">
    <cfRule type="expression" dxfId="41" priority="37">
      <formula>Y517=-1</formula>
    </cfRule>
    <cfRule type="expression" dxfId="40" priority="38">
      <formula>Y517=1</formula>
    </cfRule>
  </conditionalFormatting>
  <conditionalFormatting sqref="Y544:Y563">
    <cfRule type="expression" dxfId="39" priority="35">
      <formula>Y544=-1</formula>
    </cfRule>
    <cfRule type="expression" dxfId="38" priority="36">
      <formula>Y544=1</formula>
    </cfRule>
  </conditionalFormatting>
  <conditionalFormatting sqref="Y571:Y590">
    <cfRule type="expression" dxfId="37" priority="33">
      <formula>Y571=-1</formula>
    </cfRule>
    <cfRule type="expression" dxfId="36" priority="34">
      <formula>Y571=1</formula>
    </cfRule>
  </conditionalFormatting>
  <conditionalFormatting sqref="Y598:Y617">
    <cfRule type="expression" dxfId="35" priority="31">
      <formula>Y598=-1</formula>
    </cfRule>
    <cfRule type="expression" dxfId="34" priority="32">
      <formula>Y598=1</formula>
    </cfRule>
  </conditionalFormatting>
  <conditionalFormatting sqref="Y625:Y644">
    <cfRule type="expression" dxfId="33" priority="29">
      <formula>Y625=-1</formula>
    </cfRule>
    <cfRule type="expression" dxfId="32" priority="30">
      <formula>Y625=1</formula>
    </cfRule>
  </conditionalFormatting>
  <conditionalFormatting sqref="Y652:Y671">
    <cfRule type="expression" dxfId="31" priority="27">
      <formula>Y652=-1</formula>
    </cfRule>
    <cfRule type="expression" dxfId="30" priority="28">
      <formula>Y652=1</formula>
    </cfRule>
  </conditionalFormatting>
  <conditionalFormatting sqref="Y679:Y698">
    <cfRule type="expression" dxfId="29" priority="25">
      <formula>Y679=-1</formula>
    </cfRule>
    <cfRule type="expression" dxfId="28" priority="26">
      <formula>Y679=1</formula>
    </cfRule>
  </conditionalFormatting>
  <conditionalFormatting sqref="Y706:Y725">
    <cfRule type="expression" dxfId="27" priority="23">
      <formula>Y706=-1</formula>
    </cfRule>
    <cfRule type="expression" dxfId="26" priority="24">
      <formula>Y706=1</formula>
    </cfRule>
  </conditionalFormatting>
  <conditionalFormatting sqref="Y733:Y752">
    <cfRule type="expression" dxfId="25" priority="21">
      <formula>Y733=-1</formula>
    </cfRule>
    <cfRule type="expression" dxfId="24" priority="22">
      <formula>Y733=1</formula>
    </cfRule>
  </conditionalFormatting>
  <conditionalFormatting sqref="Y760:Y779">
    <cfRule type="expression" dxfId="23" priority="19">
      <formula>Y760=-1</formula>
    </cfRule>
    <cfRule type="expression" dxfId="22" priority="20">
      <formula>Y760=1</formula>
    </cfRule>
  </conditionalFormatting>
  <conditionalFormatting sqref="Y787:Y806">
    <cfRule type="expression" dxfId="21" priority="17">
      <formula>Y787=-1</formula>
    </cfRule>
    <cfRule type="expression" dxfId="20" priority="18">
      <formula>Y787=1</formula>
    </cfRule>
  </conditionalFormatting>
  <conditionalFormatting sqref="Y814:Y833">
    <cfRule type="expression" dxfId="19" priority="15">
      <formula>Y814=-1</formula>
    </cfRule>
    <cfRule type="expression" dxfId="18" priority="16">
      <formula>Y814=1</formula>
    </cfRule>
  </conditionalFormatting>
  <conditionalFormatting sqref="Y841:Y860">
    <cfRule type="expression" dxfId="17" priority="13">
      <formula>Y841=-1</formula>
    </cfRule>
    <cfRule type="expression" dxfId="16" priority="14">
      <formula>Y841=1</formula>
    </cfRule>
  </conditionalFormatting>
  <conditionalFormatting sqref="Y868:Y887">
    <cfRule type="expression" dxfId="15" priority="11">
      <formula>Y868=-1</formula>
    </cfRule>
    <cfRule type="expression" dxfId="14" priority="12">
      <formula>Y868=1</formula>
    </cfRule>
  </conditionalFormatting>
  <conditionalFormatting sqref="Y895:Y914">
    <cfRule type="expression" dxfId="13" priority="9">
      <formula>Y895=-1</formula>
    </cfRule>
    <cfRule type="expression" dxfId="12" priority="10">
      <formula>Y895=1</formula>
    </cfRule>
  </conditionalFormatting>
  <conditionalFormatting sqref="Y922:Y941">
    <cfRule type="expression" dxfId="11" priority="7">
      <formula>Y922=-1</formula>
    </cfRule>
    <cfRule type="expression" dxfId="10" priority="8">
      <formula>Y922=1</formula>
    </cfRule>
  </conditionalFormatting>
  <conditionalFormatting sqref="Y949:Y968">
    <cfRule type="expression" dxfId="9" priority="5">
      <formula>Y949=-1</formula>
    </cfRule>
    <cfRule type="expression" dxfId="8" priority="6">
      <formula>Y949=1</formula>
    </cfRule>
  </conditionalFormatting>
  <conditionalFormatting sqref="Y976:Y995">
    <cfRule type="expression" dxfId="7" priority="3">
      <formula>Y976=-1</formula>
    </cfRule>
    <cfRule type="expression" dxfId="6" priority="4">
      <formula>Y976=1</formula>
    </cfRule>
  </conditionalFormatting>
  <conditionalFormatting sqref="Y1003:Y1022">
    <cfRule type="expression" dxfId="5" priority="1">
      <formula>Y1003=-1</formula>
    </cfRule>
    <cfRule type="expression" dxfId="4" priority="2">
      <formula>Y1003=1</formula>
    </cfRule>
  </conditionalFormatting>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CE873-B56A-4B09-920B-531CB96A4EE3}">
  <sheetPr codeName="Tabelle7"/>
  <dimension ref="A2:T27"/>
  <sheetViews>
    <sheetView showGridLines="0" showRowColHeaders="0" workbookViewId="0">
      <selection activeCell="D7" sqref="D7"/>
    </sheetView>
  </sheetViews>
  <sheetFormatPr baseColWidth="10" defaultColWidth="0" defaultRowHeight="12.75" x14ac:dyDescent="0.2"/>
  <cols>
    <col min="1" max="2" width="11.42578125" style="26" customWidth="1"/>
    <col min="3" max="3" width="34.7109375" style="26" customWidth="1"/>
    <col min="4" max="13" width="11.42578125" style="26" customWidth="1"/>
    <col min="14" max="20" width="0" style="26" hidden="1" customWidth="1"/>
    <col min="21" max="16384" width="11.42578125" style="26" hidden="1"/>
  </cols>
  <sheetData>
    <row r="2" spans="2:12" ht="33.75" x14ac:dyDescent="0.2">
      <c r="B2" s="464" t="str">
        <f>Language!$E$6</f>
        <v>Tie-Break</v>
      </c>
      <c r="C2" s="464"/>
      <c r="D2" s="464"/>
    </row>
    <row r="4" spans="2:12" ht="66.75" customHeight="1" x14ac:dyDescent="0.2">
      <c r="B4" s="465" t="str">
        <f>Language!$E$54</f>
        <v>Sind zwei oder mehr Mannschaften nicht unterscheidbar und ein direkter Vergleich oder ein Entscheidungsspiel entscheiden, genügt es, für die bevorzugte Mannschaft einen Bonuspunkt einzutragen.</v>
      </c>
      <c r="C4" s="465"/>
      <c r="D4" s="465"/>
    </row>
    <row r="5" spans="2:12" ht="13.5" thickBot="1" x14ac:dyDescent="0.25"/>
    <row r="6" spans="2:12" ht="27.95" customHeight="1" thickTop="1" x14ac:dyDescent="0.2">
      <c r="B6" s="31" t="str">
        <f>Language!$E$9</f>
        <v>Nr.</v>
      </c>
      <c r="C6" s="37" t="str">
        <f>Language!$E$10</f>
        <v>Teilnehmer bzw. Mannschaft</v>
      </c>
      <c r="D6" s="32" t="str">
        <f>Language!$E$49</f>
        <v>Bonus</v>
      </c>
      <c r="F6" s="472" t="str">
        <f>Language!$E$61</f>
        <v>Erläuterung</v>
      </c>
      <c r="G6" s="473"/>
      <c r="H6" s="473"/>
      <c r="I6" s="473"/>
      <c r="J6" s="473"/>
      <c r="K6" s="473"/>
      <c r="L6" s="474"/>
    </row>
    <row r="7" spans="2:12" ht="24" customHeight="1" x14ac:dyDescent="0.2">
      <c r="B7" s="33" t="s">
        <v>5</v>
      </c>
      <c r="C7" s="38" t="str">
        <f>IF(Plan!$D7="","",Plan!$D7)</f>
        <v>1. FC Heidenheim 1846</v>
      </c>
      <c r="D7" s="34"/>
      <c r="F7" s="466" t="str">
        <f>Language!$E$60</f>
        <v>Haben zwei (oder mehr) Mannschaften am Ende der Saison dieselbe Punktzahl, dieselbe Tordifferenz und dieselbe Anzahl erzielter Tore, werden nach §24 der Bestimmungen für die Fußball-Bundesliga folgende Tie-Breakers herangezogen:
1.  Punkte aus den Direktbegegnungen
2.  Tordifferenz aus den Direktbegegnungen
3.  Anzahl der Auswärtstore aus den Direktbegegnungen
4.  Anzahl der Auswärtstore aus allen Spielen
Ist immer noch keine Unterscheidung möglich, findet ein Entscheidungsspiel auf neutralem Boden statt.
Da ein solcher Fall nach 306 Spielen äußerst unwahrscheinlich ist, sind diese Bestimmungen in diesem Spielplan nicht berücksichtigt. Ein solcher Fall kann durch Eintragen eines Bonuspunktes für die bevorzugte Mannschaft gelöst werden.</v>
      </c>
      <c r="G7" s="467"/>
      <c r="H7" s="467"/>
      <c r="I7" s="467"/>
      <c r="J7" s="467"/>
      <c r="K7" s="467"/>
      <c r="L7" s="468"/>
    </row>
    <row r="8" spans="2:12" ht="24" customHeight="1" x14ac:dyDescent="0.2">
      <c r="B8" s="30" t="s">
        <v>6</v>
      </c>
      <c r="C8" s="38" t="str">
        <f>IF(Plan!$D8="","",Plan!$D8)</f>
        <v>1. FC Köln</v>
      </c>
      <c r="D8" s="35"/>
      <c r="F8" s="466"/>
      <c r="G8" s="467"/>
      <c r="H8" s="467"/>
      <c r="I8" s="467"/>
      <c r="J8" s="467"/>
      <c r="K8" s="467"/>
      <c r="L8" s="468"/>
    </row>
    <row r="9" spans="2:12" ht="24" customHeight="1" x14ac:dyDescent="0.2">
      <c r="B9" s="30" t="s">
        <v>7</v>
      </c>
      <c r="C9" s="38" t="str">
        <f>IF(Plan!$D9="","",Plan!$D9)</f>
        <v>1. FC Union Berlin</v>
      </c>
      <c r="D9" s="35"/>
      <c r="F9" s="466"/>
      <c r="G9" s="467"/>
      <c r="H9" s="467"/>
      <c r="I9" s="467"/>
      <c r="J9" s="467"/>
      <c r="K9" s="467"/>
      <c r="L9" s="468"/>
    </row>
    <row r="10" spans="2:12" ht="24" customHeight="1" x14ac:dyDescent="0.2">
      <c r="B10" s="30" t="s">
        <v>8</v>
      </c>
      <c r="C10" s="38" t="str">
        <f>IF(Plan!$D10="","",Plan!$D10)</f>
        <v>1. FSV Mainz 05</v>
      </c>
      <c r="D10" s="35"/>
      <c r="F10" s="466"/>
      <c r="G10" s="467"/>
      <c r="H10" s="467"/>
      <c r="I10" s="467"/>
      <c r="J10" s="467"/>
      <c r="K10" s="467"/>
      <c r="L10" s="468"/>
    </row>
    <row r="11" spans="2:12" ht="24" customHeight="1" x14ac:dyDescent="0.2">
      <c r="B11" s="30" t="s">
        <v>9</v>
      </c>
      <c r="C11" s="38" t="str">
        <f>IF(Plan!$D11="","",Plan!$D11)</f>
        <v>Bayer 04 Leverkusen</v>
      </c>
      <c r="D11" s="35"/>
      <c r="F11" s="466"/>
      <c r="G11" s="467"/>
      <c r="H11" s="467"/>
      <c r="I11" s="467"/>
      <c r="J11" s="467"/>
      <c r="K11" s="467"/>
      <c r="L11" s="468"/>
    </row>
    <row r="12" spans="2:12" ht="24" customHeight="1" x14ac:dyDescent="0.2">
      <c r="B12" s="30" t="s">
        <v>10</v>
      </c>
      <c r="C12" s="38" t="str">
        <f>IF(Plan!$D12="","",Plan!$D12)</f>
        <v>Borussia Dortmund</v>
      </c>
      <c r="D12" s="35"/>
      <c r="F12" s="466"/>
      <c r="G12" s="467"/>
      <c r="H12" s="467"/>
      <c r="I12" s="467"/>
      <c r="J12" s="467"/>
      <c r="K12" s="467"/>
      <c r="L12" s="468"/>
    </row>
    <row r="13" spans="2:12" ht="24" customHeight="1" x14ac:dyDescent="0.2">
      <c r="B13" s="30" t="s">
        <v>13</v>
      </c>
      <c r="C13" s="38" t="str">
        <f>IF(Plan!$D13="","",Plan!$D13)</f>
        <v>Borussia Mönchengladbach</v>
      </c>
      <c r="D13" s="35"/>
      <c r="F13" s="466"/>
      <c r="G13" s="467"/>
      <c r="H13" s="467"/>
      <c r="I13" s="467"/>
      <c r="J13" s="467"/>
      <c r="K13" s="467"/>
      <c r="L13" s="468"/>
    </row>
    <row r="14" spans="2:12" ht="24" customHeight="1" x14ac:dyDescent="0.2">
      <c r="B14" s="30" t="s">
        <v>14</v>
      </c>
      <c r="C14" s="38" t="str">
        <f>IF(Plan!$D14="","",Plan!$D14)</f>
        <v>Eintracht Frankfurt</v>
      </c>
      <c r="D14" s="35"/>
      <c r="F14" s="466"/>
      <c r="G14" s="467"/>
      <c r="H14" s="467"/>
      <c r="I14" s="467"/>
      <c r="J14" s="467"/>
      <c r="K14" s="467"/>
      <c r="L14" s="468"/>
    </row>
    <row r="15" spans="2:12" ht="24" customHeight="1" x14ac:dyDescent="0.2">
      <c r="B15" s="30" t="s">
        <v>15</v>
      </c>
      <c r="C15" s="38" t="str">
        <f>IF(Plan!$D15="","",Plan!$D15)</f>
        <v>FC Augsburg</v>
      </c>
      <c r="D15" s="35"/>
      <c r="F15" s="466"/>
      <c r="G15" s="467"/>
      <c r="H15" s="467"/>
      <c r="I15" s="467"/>
      <c r="J15" s="467"/>
      <c r="K15" s="467"/>
      <c r="L15" s="468"/>
    </row>
    <row r="16" spans="2:12" ht="24" customHeight="1" x14ac:dyDescent="0.2">
      <c r="B16" s="30" t="s">
        <v>21</v>
      </c>
      <c r="C16" s="38" t="str">
        <f>IF(Plan!$D16="","",Plan!$D16)</f>
        <v>FC Bayern München</v>
      </c>
      <c r="D16" s="35"/>
      <c r="F16" s="466"/>
      <c r="G16" s="467"/>
      <c r="H16" s="467"/>
      <c r="I16" s="467"/>
      <c r="J16" s="467"/>
      <c r="K16" s="467"/>
      <c r="L16" s="468"/>
    </row>
    <row r="17" spans="2:12" ht="24" customHeight="1" x14ac:dyDescent="0.2">
      <c r="B17" s="30" t="s">
        <v>22</v>
      </c>
      <c r="C17" s="38" t="str">
        <f>IF(Plan!$D17="","",Plan!$D17)</f>
        <v>FC St. Pauli</v>
      </c>
      <c r="D17" s="35"/>
      <c r="F17" s="469"/>
      <c r="G17" s="470"/>
      <c r="H17" s="470"/>
      <c r="I17" s="470"/>
      <c r="J17" s="470"/>
      <c r="K17" s="470"/>
      <c r="L17" s="471"/>
    </row>
    <row r="18" spans="2:12" ht="24" customHeight="1" x14ac:dyDescent="0.2">
      <c r="B18" s="30" t="s">
        <v>23</v>
      </c>
      <c r="C18" s="38" t="str">
        <f>IF(Plan!$D18="","",Plan!$D18)</f>
        <v>Hamburger SV</v>
      </c>
      <c r="D18" s="35"/>
    </row>
    <row r="19" spans="2:12" ht="24" customHeight="1" x14ac:dyDescent="0.2">
      <c r="B19" s="30" t="s">
        <v>24</v>
      </c>
      <c r="C19" s="38" t="str">
        <f>IF(Plan!$D19="","",Plan!$D19)</f>
        <v>RB Leipzig</v>
      </c>
      <c r="D19" s="35"/>
    </row>
    <row r="20" spans="2:12" ht="24" customHeight="1" x14ac:dyDescent="0.2">
      <c r="B20" s="30" t="s">
        <v>25</v>
      </c>
      <c r="C20" s="38" t="str">
        <f>IF(Plan!$D20="","",Plan!$D20)</f>
        <v>SC Freiburg</v>
      </c>
      <c r="D20" s="35"/>
    </row>
    <row r="21" spans="2:12" ht="24" customHeight="1" x14ac:dyDescent="0.2">
      <c r="B21" s="30" t="s">
        <v>26</v>
      </c>
      <c r="C21" s="38" t="str">
        <f>IF(Plan!$D21="","",Plan!$D21)</f>
        <v>SV Werder Bremen</v>
      </c>
      <c r="D21" s="35"/>
    </row>
    <row r="22" spans="2:12" ht="24" customHeight="1" x14ac:dyDescent="0.2">
      <c r="B22" s="30" t="s">
        <v>27</v>
      </c>
      <c r="C22" s="38" t="str">
        <f>IF(Plan!$D22="","",Plan!$D22)</f>
        <v>TSG Hoffenheim</v>
      </c>
      <c r="D22" s="35"/>
    </row>
    <row r="23" spans="2:12" ht="24" customHeight="1" x14ac:dyDescent="0.2">
      <c r="B23" s="30" t="s">
        <v>28</v>
      </c>
      <c r="C23" s="38" t="str">
        <f>IF(Plan!$D23="","",Plan!$D23)</f>
        <v>VfB Stuttgart</v>
      </c>
      <c r="D23" s="35"/>
    </row>
    <row r="24" spans="2:12" ht="24" customHeight="1" x14ac:dyDescent="0.2">
      <c r="B24" s="30" t="s">
        <v>29</v>
      </c>
      <c r="C24" s="241" t="str">
        <f>IF(Plan!$D24="","",Plan!$D24)</f>
        <v>VfL Wolfsburg</v>
      </c>
      <c r="D24" s="35"/>
    </row>
    <row r="25" spans="2:12" ht="24" customHeight="1" x14ac:dyDescent="0.2">
      <c r="B25" s="30" t="s">
        <v>30</v>
      </c>
      <c r="C25" s="38" t="str">
        <f>IF(Plan!$D25="","",Plan!$D25)</f>
        <v/>
      </c>
      <c r="D25" s="35"/>
    </row>
    <row r="26" spans="2:12" ht="24" customHeight="1" thickBot="1" x14ac:dyDescent="0.25">
      <c r="B26" s="242" t="s">
        <v>31</v>
      </c>
      <c r="C26" s="243" t="str">
        <f>IF(Plan!$D26="","",Plan!$D26)</f>
        <v/>
      </c>
      <c r="D26" s="244"/>
    </row>
    <row r="27" spans="2:12" ht="13.5" thickTop="1" x14ac:dyDescent="0.2"/>
  </sheetData>
  <sheetProtection sheet="1" selectLockedCells="1"/>
  <mergeCells count="4">
    <mergeCell ref="B2:D2"/>
    <mergeCell ref="B4:D4"/>
    <mergeCell ref="F7:L17"/>
    <mergeCell ref="F6:L6"/>
  </mergeCells>
  <phoneticPr fontId="3" type="noConversion"/>
  <dataValidations count="1">
    <dataValidation type="whole" allowBlank="1" showInputMessage="1" showErrorMessage="1" errorTitle="Unzulässiger Wert für den Bonus" error="Es können Zahlen von 0 bis 9 eingetragen werden!" sqref="D7:D26" xr:uid="{3F406D40-B52E-431A-8897-E0EF9852E3B0}">
      <formula1>0</formula1>
      <formula2>9</formula2>
    </dataValidation>
  </dataValidations>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8"/>
  <dimension ref="A1:M70"/>
  <sheetViews>
    <sheetView showGridLines="0" showRowColHeaders="0" workbookViewId="0">
      <selection activeCell="J1" sqref="J1"/>
    </sheetView>
  </sheetViews>
  <sheetFormatPr baseColWidth="10" defaultColWidth="0" defaultRowHeight="12.75" x14ac:dyDescent="0.2"/>
  <cols>
    <col min="1" max="1" width="11.42578125" customWidth="1"/>
    <col min="2" max="2" width="15.140625" hidden="1" customWidth="1"/>
    <col min="3" max="3" width="11.42578125" hidden="1" customWidth="1"/>
    <col min="4" max="4" width="7" style="43"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6384" width="11.42578125" hidden="1"/>
  </cols>
  <sheetData>
    <row r="1" spans="2:12" ht="34.5" thickBot="1" x14ac:dyDescent="0.55000000000000004">
      <c r="B1" s="63"/>
      <c r="F1" s="475" t="str">
        <f>$E$35</f>
        <v>Sprache wählen</v>
      </c>
      <c r="G1" s="475"/>
      <c r="H1" s="475"/>
      <c r="I1" s="82"/>
      <c r="J1" s="84" t="s">
        <v>129</v>
      </c>
      <c r="K1" s="111" t="str">
        <f>_xlfn.UNICHAR(8592)</f>
        <v>←</v>
      </c>
      <c r="L1" s="110" t="str">
        <f>$E$58</f>
        <v>Hier klicken und Sprache wählen</v>
      </c>
    </row>
    <row r="2" spans="2:12" ht="11.25" customHeight="1" thickBot="1" x14ac:dyDescent="0.25">
      <c r="F2" s="478"/>
      <c r="G2" s="478"/>
      <c r="I2" s="44"/>
      <c r="J2" s="45"/>
    </row>
    <row r="3" spans="2:12" ht="13.5" thickTop="1" x14ac:dyDescent="0.2">
      <c r="B3" s="46" t="s">
        <v>102</v>
      </c>
      <c r="C3" s="47">
        <f>IF(AND($J$1&lt;&gt;B4,$J$1&lt;&gt;B5),1,0)</f>
        <v>0</v>
      </c>
      <c r="D3" s="479"/>
      <c r="E3" s="481"/>
      <c r="F3" s="482" t="s">
        <v>102</v>
      </c>
      <c r="G3" s="484" t="s">
        <v>129</v>
      </c>
      <c r="H3" s="476" t="s">
        <v>101</v>
      </c>
      <c r="I3" s="48"/>
    </row>
    <row r="4" spans="2:12" ht="13.5" thickBot="1" x14ac:dyDescent="0.25">
      <c r="B4" s="46" t="s">
        <v>129</v>
      </c>
      <c r="C4" s="47">
        <f>IF($J$1=B4,1,0)</f>
        <v>1</v>
      </c>
      <c r="D4" s="480"/>
      <c r="E4" s="481"/>
      <c r="F4" s="483"/>
      <c r="G4" s="485"/>
      <c r="H4" s="477"/>
      <c r="I4" s="49"/>
      <c r="J4" s="50"/>
    </row>
    <row r="5" spans="2:12" ht="29.25" thickTop="1" x14ac:dyDescent="0.45">
      <c r="B5" s="46" t="s">
        <v>101</v>
      </c>
      <c r="C5" s="47">
        <f>IF($J$1=B5,1,0)</f>
        <v>0</v>
      </c>
      <c r="E5" s="46"/>
      <c r="F5" s="54" t="str">
        <f>$E$36</f>
        <v>Überschriften</v>
      </c>
      <c r="G5" s="55"/>
      <c r="H5" s="56"/>
      <c r="I5" s="49"/>
      <c r="J5" s="50"/>
    </row>
    <row r="6" spans="2:12" x14ac:dyDescent="0.2">
      <c r="E6" s="46" t="str">
        <f>IF($C$3,F6,IF($C$4,G6,IF($H6&lt;&gt;"",$H6,$F6)))</f>
        <v>Tie-Break</v>
      </c>
      <c r="F6" s="53" t="s">
        <v>483</v>
      </c>
      <c r="G6" s="51" t="s">
        <v>484</v>
      </c>
      <c r="H6" s="78"/>
    </row>
    <row r="7" spans="2:12" x14ac:dyDescent="0.2">
      <c r="E7" s="46" t="str">
        <f t="shared" ref="E7:E65" si="0">IF($C$3,F7,IF($C$4,G7,IF($H7&lt;&gt;"",$H7,$F7)))</f>
        <v>Einstellungen</v>
      </c>
      <c r="F7" s="53" t="s">
        <v>515</v>
      </c>
      <c r="G7" s="51" t="s">
        <v>516</v>
      </c>
      <c r="H7" s="52"/>
    </row>
    <row r="8" spans="2:12" x14ac:dyDescent="0.2">
      <c r="E8" s="46" t="str">
        <f t="shared" si="0"/>
        <v>Dein Datum</v>
      </c>
      <c r="F8" s="76" t="s">
        <v>126</v>
      </c>
      <c r="G8" s="75" t="s">
        <v>125</v>
      </c>
      <c r="H8" s="52"/>
    </row>
    <row r="9" spans="2:12" ht="15" customHeight="1" x14ac:dyDescent="0.45">
      <c r="E9" s="46" t="str">
        <f t="shared" si="0"/>
        <v>Nr.</v>
      </c>
      <c r="F9" s="73" t="s">
        <v>106</v>
      </c>
      <c r="G9" s="72" t="s">
        <v>0</v>
      </c>
      <c r="H9" s="52"/>
      <c r="I9" s="60"/>
    </row>
    <row r="10" spans="2:12" ht="15" customHeight="1" x14ac:dyDescent="0.45">
      <c r="E10" s="46" t="str">
        <f t="shared" si="0"/>
        <v>Teilnehmer bzw. Mannschaft</v>
      </c>
      <c r="F10" s="73" t="s">
        <v>469</v>
      </c>
      <c r="G10" s="72" t="s">
        <v>18</v>
      </c>
      <c r="H10" s="52"/>
      <c r="I10" s="60"/>
    </row>
    <row r="11" spans="2:12" ht="15" customHeight="1" x14ac:dyDescent="0.45">
      <c r="E11" s="46" t="str">
        <f t="shared" si="0"/>
        <v>Ergebnisse</v>
      </c>
      <c r="F11" s="73" t="s">
        <v>107</v>
      </c>
      <c r="G11" s="72" t="s">
        <v>19</v>
      </c>
      <c r="H11" s="52"/>
      <c r="I11" s="60"/>
    </row>
    <row r="12" spans="2:12" ht="15" customHeight="1" x14ac:dyDescent="0.45">
      <c r="E12" s="46" t="str">
        <f t="shared" si="0"/>
        <v>Tabelle</v>
      </c>
      <c r="F12" s="73" t="s">
        <v>468</v>
      </c>
      <c r="G12" s="72" t="s">
        <v>11</v>
      </c>
      <c r="H12" s="52"/>
      <c r="I12" s="60"/>
    </row>
    <row r="13" spans="2:12" ht="15" customHeight="1" x14ac:dyDescent="0.45">
      <c r="E13" s="46" t="str">
        <f t="shared" si="0"/>
        <v>Spielpaarungen</v>
      </c>
      <c r="F13" s="73" t="s">
        <v>496</v>
      </c>
      <c r="G13" s="72" t="s">
        <v>497</v>
      </c>
      <c r="H13" s="52"/>
      <c r="I13" s="60"/>
    </row>
    <row r="14" spans="2:12" ht="15" customHeight="1" x14ac:dyDescent="0.45">
      <c r="E14" s="46" t="str">
        <f t="shared" si="0"/>
        <v>Spielpaarung</v>
      </c>
      <c r="F14" s="73" t="s">
        <v>530</v>
      </c>
      <c r="G14" s="72" t="s">
        <v>1</v>
      </c>
      <c r="H14" s="52"/>
      <c r="I14" s="60"/>
    </row>
    <row r="15" spans="2:12" ht="15" customHeight="1" x14ac:dyDescent="0.45">
      <c r="E15" s="46" t="str">
        <f t="shared" si="0"/>
        <v>Ergebnis</v>
      </c>
      <c r="F15" s="73" t="s">
        <v>108</v>
      </c>
      <c r="G15" s="72" t="s">
        <v>2</v>
      </c>
      <c r="H15" s="52"/>
      <c r="I15" s="60"/>
    </row>
    <row r="16" spans="2:12" ht="15" customHeight="1" x14ac:dyDescent="0.45">
      <c r="E16" s="46" t="str">
        <f t="shared" si="0"/>
        <v>Spieltage</v>
      </c>
      <c r="F16" s="73" t="s">
        <v>527</v>
      </c>
      <c r="G16" s="72" t="s">
        <v>519</v>
      </c>
      <c r="H16" s="52"/>
      <c r="I16" s="60"/>
    </row>
    <row r="17" spans="5:13" ht="15" customHeight="1" x14ac:dyDescent="0.45">
      <c r="E17" s="46" t="str">
        <f t="shared" si="0"/>
        <v>Spieltag</v>
      </c>
      <c r="F17" s="73" t="s">
        <v>482</v>
      </c>
      <c r="G17" s="72" t="s">
        <v>479</v>
      </c>
      <c r="H17" s="52"/>
      <c r="I17" s="60"/>
    </row>
    <row r="18" spans="5:13" ht="15" customHeight="1" x14ac:dyDescent="0.45">
      <c r="E18" s="46" t="str">
        <f t="shared" si="0"/>
        <v>Hinspiele</v>
      </c>
      <c r="F18" s="73" t="s">
        <v>138</v>
      </c>
      <c r="G18" s="72" t="s">
        <v>136</v>
      </c>
      <c r="H18" s="52"/>
      <c r="I18" s="60"/>
    </row>
    <row r="19" spans="5:13" ht="15" customHeight="1" x14ac:dyDescent="0.45">
      <c r="E19" s="46" t="str">
        <f t="shared" si="0"/>
        <v>Rückspiele</v>
      </c>
      <c r="F19" s="73" t="s">
        <v>139</v>
      </c>
      <c r="G19" s="72" t="s">
        <v>137</v>
      </c>
      <c r="H19" s="52"/>
      <c r="I19" s="60"/>
    </row>
    <row r="20" spans="5:13" ht="15" x14ac:dyDescent="0.25">
      <c r="E20" s="46" t="str">
        <f t="shared" si="0"/>
        <v>Name</v>
      </c>
      <c r="F20" s="76" t="s">
        <v>520</v>
      </c>
      <c r="G20" s="75" t="s">
        <v>520</v>
      </c>
      <c r="H20" s="52"/>
      <c r="I20" s="61"/>
      <c r="J20" s="61"/>
      <c r="K20" s="61"/>
      <c r="L20" s="61"/>
      <c r="M20" s="61"/>
    </row>
    <row r="21" spans="5:13" ht="15" x14ac:dyDescent="0.25">
      <c r="E21" s="46" t="str">
        <f t="shared" si="0"/>
        <v>Sp</v>
      </c>
      <c r="F21" s="76" t="s">
        <v>472</v>
      </c>
      <c r="G21" s="75" t="s">
        <v>475</v>
      </c>
      <c r="H21" s="52"/>
      <c r="I21" s="61"/>
      <c r="J21" s="61"/>
      <c r="K21" s="61"/>
      <c r="L21" s="61"/>
      <c r="M21" s="61"/>
    </row>
    <row r="22" spans="5:13" ht="15" x14ac:dyDescent="0.25">
      <c r="E22" s="46" t="str">
        <f t="shared" si="0"/>
        <v>G</v>
      </c>
      <c r="F22" s="76" t="s">
        <v>92</v>
      </c>
      <c r="G22" s="75" t="s">
        <v>523</v>
      </c>
      <c r="H22" s="52"/>
      <c r="I22" s="61"/>
      <c r="J22" s="61"/>
      <c r="K22" s="61"/>
      <c r="L22" s="61"/>
      <c r="M22" s="61"/>
    </row>
    <row r="23" spans="5:13" ht="15" x14ac:dyDescent="0.25">
      <c r="E23" s="46" t="str">
        <f t="shared" si="0"/>
        <v>U</v>
      </c>
      <c r="F23" s="76" t="s">
        <v>93</v>
      </c>
      <c r="G23" s="75" t="s">
        <v>109</v>
      </c>
      <c r="H23" s="52"/>
      <c r="I23" s="61"/>
      <c r="J23" s="61"/>
      <c r="K23" s="61"/>
      <c r="L23" s="61"/>
      <c r="M23" s="61"/>
    </row>
    <row r="24" spans="5:13" ht="15" x14ac:dyDescent="0.25">
      <c r="E24" s="46" t="str">
        <f t="shared" si="0"/>
        <v>V</v>
      </c>
      <c r="F24" s="76" t="s">
        <v>94</v>
      </c>
      <c r="G24" s="75" t="s">
        <v>524</v>
      </c>
      <c r="H24" s="52"/>
      <c r="I24" s="61"/>
      <c r="J24" s="61"/>
      <c r="K24" s="61"/>
      <c r="L24" s="61"/>
      <c r="M24" s="61"/>
    </row>
    <row r="25" spans="5:13" ht="15" x14ac:dyDescent="0.25">
      <c r="E25" s="46" t="str">
        <f t="shared" si="0"/>
        <v>Tore</v>
      </c>
      <c r="F25" s="76" t="s">
        <v>473</v>
      </c>
      <c r="G25" s="75" t="s">
        <v>3</v>
      </c>
      <c r="H25" s="52"/>
      <c r="I25" s="61"/>
      <c r="J25" s="61"/>
      <c r="K25" s="61"/>
      <c r="L25" s="61"/>
      <c r="M25" s="61"/>
    </row>
    <row r="26" spans="5:13" ht="15" x14ac:dyDescent="0.25">
      <c r="E26" s="46" t="str">
        <f t="shared" si="0"/>
        <v>TD</v>
      </c>
      <c r="F26" s="76" t="s">
        <v>97</v>
      </c>
      <c r="G26" s="75" t="s">
        <v>474</v>
      </c>
      <c r="H26" s="52"/>
      <c r="I26" s="61"/>
      <c r="J26" s="61"/>
      <c r="K26" s="61"/>
      <c r="L26" s="61"/>
      <c r="M26" s="61"/>
    </row>
    <row r="27" spans="5:13" ht="15" x14ac:dyDescent="0.25">
      <c r="E27" s="46" t="str">
        <f t="shared" si="0"/>
        <v>Pkt</v>
      </c>
      <c r="F27" s="76" t="s">
        <v>98</v>
      </c>
      <c r="G27" s="75" t="s">
        <v>110</v>
      </c>
      <c r="H27" s="52"/>
      <c r="I27" s="61"/>
      <c r="J27" s="61"/>
      <c r="K27" s="61"/>
      <c r="L27" s="61"/>
      <c r="M27" s="61"/>
    </row>
    <row r="28" spans="5:13" ht="15" x14ac:dyDescent="0.25">
      <c r="E28" s="46" t="str">
        <f t="shared" si="0"/>
        <v>erz. Tore</v>
      </c>
      <c r="F28" s="76" t="s">
        <v>95</v>
      </c>
      <c r="G28" s="75" t="s">
        <v>132</v>
      </c>
      <c r="H28" s="52"/>
      <c r="I28" s="61"/>
      <c r="J28" s="61"/>
      <c r="K28" s="61"/>
      <c r="L28" s="61"/>
      <c r="M28" s="61"/>
    </row>
    <row r="29" spans="5:13" x14ac:dyDescent="0.2">
      <c r="E29" s="46" t="str">
        <f t="shared" si="0"/>
        <v>TABELLE UNGÜLTIG</v>
      </c>
      <c r="F29" s="76" t="s">
        <v>112</v>
      </c>
      <c r="G29" s="75" t="s">
        <v>111</v>
      </c>
      <c r="H29" s="52"/>
    </row>
    <row r="30" spans="5:13" x14ac:dyDescent="0.2">
      <c r="E30" s="46" t="str">
        <f t="shared" si="0"/>
        <v>Teilnehmer und Ablaufplan</v>
      </c>
      <c r="F30" s="76" t="s">
        <v>113</v>
      </c>
      <c r="G30" s="75" t="s">
        <v>16</v>
      </c>
      <c r="H30" s="52"/>
    </row>
    <row r="31" spans="5:13" x14ac:dyDescent="0.2">
      <c r="E31" s="46" t="str">
        <f t="shared" si="0"/>
        <v>Teilnehmer</v>
      </c>
      <c r="F31" s="77" t="s">
        <v>114</v>
      </c>
      <c r="G31" s="75" t="s">
        <v>17</v>
      </c>
      <c r="H31" s="52"/>
    </row>
    <row r="32" spans="5:13" x14ac:dyDescent="0.2">
      <c r="E32" s="46" t="str">
        <f t="shared" si="0"/>
        <v>Ablaufplan</v>
      </c>
      <c r="F32" s="77" t="s">
        <v>115</v>
      </c>
      <c r="G32" s="75" t="s">
        <v>20</v>
      </c>
      <c r="H32" s="52"/>
    </row>
    <row r="33" spans="5:8" x14ac:dyDescent="0.2">
      <c r="E33" s="46" t="str">
        <f t="shared" si="0"/>
        <v>Spiel-Nr.</v>
      </c>
      <c r="F33" s="77" t="s">
        <v>116</v>
      </c>
      <c r="G33" s="75" t="s">
        <v>48</v>
      </c>
      <c r="H33" s="52"/>
    </row>
    <row r="34" spans="5:8" x14ac:dyDescent="0.2">
      <c r="E34" s="46" t="str">
        <f t="shared" si="0"/>
        <v>Paarungen</v>
      </c>
      <c r="F34" s="77" t="s">
        <v>119</v>
      </c>
      <c r="G34" s="75" t="s">
        <v>49</v>
      </c>
      <c r="H34" s="52"/>
    </row>
    <row r="35" spans="5:8" x14ac:dyDescent="0.2">
      <c r="E35" s="46" t="str">
        <f t="shared" si="0"/>
        <v>Sprache wählen</v>
      </c>
      <c r="F35" s="76" t="s">
        <v>100</v>
      </c>
      <c r="G35" s="75" t="s">
        <v>124</v>
      </c>
      <c r="H35" s="52"/>
    </row>
    <row r="36" spans="5:8" x14ac:dyDescent="0.2">
      <c r="E36" s="46" t="str">
        <f t="shared" si="0"/>
        <v>Überschriften</v>
      </c>
      <c r="F36" s="76" t="s">
        <v>103</v>
      </c>
      <c r="G36" s="75" t="s">
        <v>121</v>
      </c>
      <c r="H36" s="52"/>
    </row>
    <row r="37" spans="5:8" x14ac:dyDescent="0.2">
      <c r="E37" s="46" t="str">
        <f t="shared" si="0"/>
        <v>Meldungen</v>
      </c>
      <c r="F37" s="76" t="s">
        <v>122</v>
      </c>
      <c r="G37" s="75" t="s">
        <v>123</v>
      </c>
      <c r="H37" s="52"/>
    </row>
    <row r="38" spans="5:8" x14ac:dyDescent="0.2">
      <c r="E38" s="46" t="str">
        <f t="shared" si="0"/>
        <v>Deine Überschriften</v>
      </c>
      <c r="F38" s="76" t="s">
        <v>128</v>
      </c>
      <c r="G38" s="75" t="s">
        <v>127</v>
      </c>
      <c r="H38" s="52"/>
    </row>
    <row r="39" spans="5:8" x14ac:dyDescent="0.2">
      <c r="E39" s="46" t="str">
        <f t="shared" si="0"/>
        <v>Anzahl der Punkte für einen Sieg:</v>
      </c>
      <c r="F39" s="76" t="s">
        <v>518</v>
      </c>
      <c r="G39" s="75" t="s">
        <v>517</v>
      </c>
      <c r="H39" s="52"/>
    </row>
    <row r="40" spans="5:8" ht="27" customHeight="1" x14ac:dyDescent="0.2">
      <c r="E40" s="368" t="str">
        <f t="shared" si="0"/>
        <v>Einzelne Teams im Vergleich für einen bestimmten Zeitraum</v>
      </c>
      <c r="F40" s="74" t="s">
        <v>526</v>
      </c>
      <c r="G40" s="90" t="s">
        <v>525</v>
      </c>
      <c r="H40" s="52"/>
    </row>
    <row r="41" spans="5:8" x14ac:dyDescent="0.2">
      <c r="E41" s="46" t="str">
        <f t="shared" si="0"/>
        <v>von</v>
      </c>
      <c r="F41" s="76" t="s">
        <v>528</v>
      </c>
      <c r="G41" s="75" t="s">
        <v>521</v>
      </c>
      <c r="H41" s="52"/>
    </row>
    <row r="42" spans="5:8" x14ac:dyDescent="0.2">
      <c r="E42" s="46" t="str">
        <f t="shared" si="0"/>
        <v>Abkürzung</v>
      </c>
      <c r="F42" s="76" t="s">
        <v>477</v>
      </c>
      <c r="G42" s="75" t="s">
        <v>476</v>
      </c>
      <c r="H42" s="52"/>
    </row>
    <row r="43" spans="5:8" x14ac:dyDescent="0.2">
      <c r="E43" s="46" t="str">
        <f t="shared" si="0"/>
        <v>Länge der Abkürzungen:</v>
      </c>
      <c r="F43" s="76" t="s">
        <v>155</v>
      </c>
      <c r="G43" s="75" t="s">
        <v>154</v>
      </c>
      <c r="H43" s="52"/>
    </row>
    <row r="44" spans="5:8" x14ac:dyDescent="0.2">
      <c r="E44" s="46" t="str">
        <f t="shared" si="0"/>
        <v>bis</v>
      </c>
      <c r="F44" s="76" t="s">
        <v>529</v>
      </c>
      <c r="G44" s="75" t="s">
        <v>522</v>
      </c>
      <c r="H44" s="52"/>
    </row>
    <row r="45" spans="5:8" x14ac:dyDescent="0.2">
      <c r="E45" s="46" t="str">
        <f t="shared" si="0"/>
        <v>Datum</v>
      </c>
      <c r="F45" s="76" t="s">
        <v>153</v>
      </c>
      <c r="G45" s="75" t="s">
        <v>152</v>
      </c>
      <c r="H45" s="52"/>
    </row>
    <row r="46" spans="5:8" x14ac:dyDescent="0.2">
      <c r="E46" s="46" t="str">
        <f t="shared" si="0"/>
        <v>Spiel gegen</v>
      </c>
      <c r="F46" s="76" t="s">
        <v>143</v>
      </c>
      <c r="G46" s="75" t="s">
        <v>142</v>
      </c>
      <c r="H46" s="52"/>
    </row>
    <row r="47" spans="5:8" x14ac:dyDescent="0.2">
      <c r="E47" s="46" t="str">
        <f t="shared" si="0"/>
        <v>Anmerkung</v>
      </c>
      <c r="F47" s="76" t="s">
        <v>144</v>
      </c>
      <c r="G47" s="75" t="s">
        <v>145</v>
      </c>
      <c r="H47" s="52"/>
    </row>
    <row r="48" spans="5:8" x14ac:dyDescent="0.2">
      <c r="E48" s="46" t="str">
        <f t="shared" si="0"/>
        <v>Zeit</v>
      </c>
      <c r="F48" s="76" t="s">
        <v>151</v>
      </c>
      <c r="G48" s="75" t="s">
        <v>150</v>
      </c>
      <c r="H48" s="52"/>
    </row>
    <row r="49" spans="5:8" x14ac:dyDescent="0.2">
      <c r="E49" s="46" t="str">
        <f t="shared" si="0"/>
        <v>Bonus</v>
      </c>
      <c r="F49" s="53" t="s">
        <v>53</v>
      </c>
      <c r="G49" s="51" t="s">
        <v>53</v>
      </c>
      <c r="H49" s="52"/>
    </row>
    <row r="50" spans="5:8" x14ac:dyDescent="0.2">
      <c r="E50" s="46" t="str">
        <f t="shared" si="0"/>
        <v>Team</v>
      </c>
      <c r="F50" s="76" t="s">
        <v>90</v>
      </c>
      <c r="G50" s="75" t="s">
        <v>90</v>
      </c>
      <c r="H50" s="369"/>
    </row>
    <row r="51" spans="5:8" x14ac:dyDescent="0.2">
      <c r="E51" s="46" t="str">
        <f t="shared" si="0"/>
        <v>Strafpunkte</v>
      </c>
      <c r="F51" s="76" t="s">
        <v>532</v>
      </c>
      <c r="G51" s="75" t="s">
        <v>531</v>
      </c>
      <c r="H51" s="369"/>
    </row>
    <row r="52" spans="5:8" x14ac:dyDescent="0.2">
      <c r="E52" s="46" t="str">
        <f t="shared" si="0"/>
        <v>Strafp.</v>
      </c>
      <c r="F52" s="76" t="s">
        <v>535</v>
      </c>
      <c r="G52" s="75" t="s">
        <v>536</v>
      </c>
      <c r="H52" s="369"/>
    </row>
    <row r="53" spans="5:8" ht="28.5" x14ac:dyDescent="0.45">
      <c r="E53" s="46">
        <f t="shared" si="0"/>
        <v>0</v>
      </c>
      <c r="F53" s="57" t="str">
        <f>$E$37</f>
        <v>Meldungen</v>
      </c>
      <c r="G53" s="58"/>
      <c r="H53" s="59"/>
    </row>
    <row r="54" spans="5:8" ht="79.5" customHeight="1" x14ac:dyDescent="0.2">
      <c r="E54" s="46" t="str">
        <f t="shared" si="0"/>
        <v>Sind zwei oder mehr Mannschaften nicht unterscheidbar und ein direkter Vergleich oder ein Entscheidungsspiel entscheiden, genügt es, für die bevorzugte Mannschaft einen Bonuspunkt einzutragen.</v>
      </c>
      <c r="F54" s="64" t="s">
        <v>486</v>
      </c>
      <c r="G54" s="65" t="s">
        <v>485</v>
      </c>
      <c r="H54" s="66"/>
    </row>
    <row r="55" spans="5:8" ht="51.75" customHeight="1" x14ac:dyDescent="0.2">
      <c r="E55" s="46" t="str">
        <f t="shared" si="0"/>
        <v>Doppelte Spielpaarungen und Spiele gegen sich selbst
führen in der Gesamttabelle zu falschen Werten!</v>
      </c>
      <c r="F55" s="74" t="s">
        <v>133</v>
      </c>
      <c r="G55" s="90" t="s">
        <v>50</v>
      </c>
      <c r="H55" s="66"/>
    </row>
    <row r="56" spans="5:8" ht="23.25" customHeight="1" x14ac:dyDescent="0.2">
      <c r="E56" s="46" t="str">
        <f t="shared" si="0"/>
        <v>Berücksichtigte Spieltage:</v>
      </c>
      <c r="F56" s="74" t="s">
        <v>579</v>
      </c>
      <c r="G56" s="65" t="s">
        <v>578</v>
      </c>
      <c r="H56" s="66"/>
    </row>
    <row r="57" spans="5:8" ht="16.5" customHeight="1" x14ac:dyDescent="0.2">
      <c r="E57" s="46" t="str">
        <f t="shared" si="0"/>
        <v>doppelt</v>
      </c>
      <c r="F57" s="80" t="s">
        <v>480</v>
      </c>
      <c r="G57" s="79" t="s">
        <v>481</v>
      </c>
      <c r="H57" s="67"/>
    </row>
    <row r="58" spans="5:8" ht="20.25" customHeight="1" x14ac:dyDescent="0.2">
      <c r="E58" s="46" t="str">
        <f t="shared" si="0"/>
        <v>Hier klicken und Sprache wählen</v>
      </c>
      <c r="F58" s="85" t="s">
        <v>131</v>
      </c>
      <c r="G58" s="83" t="s">
        <v>130</v>
      </c>
      <c r="H58" s="68"/>
    </row>
    <row r="59" spans="5:8" ht="32.25" customHeight="1" x14ac:dyDescent="0.2">
      <c r="E59" s="46" t="str">
        <f t="shared" si="0"/>
        <v>Doppelte Namen</v>
      </c>
      <c r="F59" s="99" t="s">
        <v>471</v>
      </c>
      <c r="G59" s="98" t="s">
        <v>470</v>
      </c>
      <c r="H59" s="68"/>
    </row>
    <row r="60" spans="5:8" ht="295.5" customHeight="1" x14ac:dyDescent="0.2">
      <c r="E60" s="46" t="str">
        <f t="shared" si="0"/>
        <v>Haben zwei (oder mehr) Mannschaften am Ende der Saison dieselbe Punktzahl, dieselbe Tordifferenz und dieselbe Anzahl erzielter Tore, werden nach §24 der Bestimmungen für die Fußball-Bundesliga folgende Tie-Breakers herangezogen:
1.  Punkte aus den Direktbegegnungen
2.  Tordifferenz aus den Direktbegegnungen
3.  Anzahl der Auswärtstore aus den Direktbegegnungen
4.  Anzahl der Auswärtstore aus allen Spielen
Ist immer noch keine Unterscheidung möglich, findet ein Entscheidungsspiel auf neutralem Boden statt.
Da ein solcher Fall nach 306 Spielen äußerst unwahrscheinlich ist, sind diese Bestimmungen in diesem Spielplan nicht berücksichtigt. Ein solcher Fall kann durch Eintragen eines Bonuspunktes für die bevorzugte Mannschaft gelöst werden.</v>
      </c>
      <c r="F60" s="87" t="s">
        <v>488</v>
      </c>
      <c r="G60" s="86" t="s">
        <v>489</v>
      </c>
      <c r="H60" s="62"/>
    </row>
    <row r="61" spans="5:8" ht="17.25" customHeight="1" x14ac:dyDescent="0.2">
      <c r="E61" s="46" t="str">
        <f t="shared" si="0"/>
        <v>Erläuterung</v>
      </c>
      <c r="F61" s="87" t="s">
        <v>490</v>
      </c>
      <c r="G61" s="109" t="s">
        <v>487</v>
      </c>
      <c r="H61" s="62"/>
    </row>
    <row r="62" spans="5:8" ht="34.5" customHeight="1" x14ac:dyDescent="0.2">
      <c r="E62" s="46" t="str">
        <f t="shared" si="0"/>
        <v>Alte
Pos.</v>
      </c>
      <c r="F62" s="87" t="s">
        <v>577</v>
      </c>
      <c r="G62" s="109" t="s">
        <v>576</v>
      </c>
      <c r="H62" s="62"/>
    </row>
    <row r="63" spans="5:8" ht="17.25" customHeight="1" x14ac:dyDescent="0.2">
      <c r="E63" s="46">
        <f t="shared" si="0"/>
        <v>0</v>
      </c>
      <c r="F63" s="87"/>
      <c r="G63" s="109"/>
      <c r="H63" s="62"/>
    </row>
    <row r="64" spans="5:8" ht="17.25" customHeight="1" x14ac:dyDescent="0.2">
      <c r="E64" s="46">
        <f t="shared" si="0"/>
        <v>0</v>
      </c>
      <c r="F64" s="87"/>
      <c r="G64" s="109"/>
      <c r="H64" s="62"/>
    </row>
    <row r="65" spans="5:9" ht="16.5" customHeight="1" thickBot="1" x14ac:dyDescent="0.25">
      <c r="E65" s="46" t="str">
        <f t="shared" si="0"/>
        <v xml:space="preserve"> : </v>
      </c>
      <c r="F65" s="69" t="s">
        <v>104</v>
      </c>
      <c r="G65" s="70" t="s">
        <v>105</v>
      </c>
      <c r="H65" s="71"/>
    </row>
    <row r="66" spans="5:9" ht="13.5" thickTop="1" x14ac:dyDescent="0.2"/>
    <row r="70" spans="5:9" x14ac:dyDescent="0.2">
      <c r="I70" s="81"/>
    </row>
  </sheetData>
  <sheetProtection sheet="1" selectLockedCells="1"/>
  <mergeCells count="7">
    <mergeCell ref="F1:H1"/>
    <mergeCell ref="H3:H4"/>
    <mergeCell ref="F2:G2"/>
    <mergeCell ref="D3:D4"/>
    <mergeCell ref="E3:E4"/>
    <mergeCell ref="F3:F4"/>
    <mergeCell ref="G3:G4"/>
  </mergeCells>
  <conditionalFormatting sqref="F3:F4">
    <cfRule type="expression" dxfId="3" priority="7">
      <formula>C3</formula>
    </cfRule>
  </conditionalFormatting>
  <conditionalFormatting sqref="G3:G4">
    <cfRule type="expression" dxfId="2" priority="3">
      <formula>C4</formula>
    </cfRule>
  </conditionalFormatting>
  <conditionalFormatting sqref="D3:D4">
    <cfRule type="expression" dxfId="1" priority="84">
      <formula>#REF!</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73398-4D2D-4ED7-97B2-D10DB76B65C4}">
  <sheetPr codeName="Tabelle9"/>
  <dimension ref="A1:BQ380"/>
  <sheetViews>
    <sheetView workbookViewId="0">
      <selection activeCell="B1" sqref="B1"/>
    </sheetView>
  </sheetViews>
  <sheetFormatPr baseColWidth="10"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9" width="8.85546875" customWidth="1"/>
    <col min="20" max="21" width="5.7109375" customWidth="1"/>
    <col min="22" max="23" width="8.85546875" customWidth="1"/>
    <col min="24" max="25" width="5.7109375" customWidth="1"/>
    <col min="26" max="27" width="8.85546875" customWidth="1"/>
    <col min="28" max="29" width="5.7109375" customWidth="1"/>
    <col min="30" max="31" width="8.85546875" customWidth="1"/>
    <col min="32" max="33" width="5.7109375" customWidth="1"/>
    <col min="34" max="35" width="8.85546875" customWidth="1"/>
    <col min="36" max="37" width="5.7109375" customWidth="1"/>
    <col min="38" max="39" width="8.85546875" customWidth="1"/>
    <col min="40" max="41" width="5.7109375" customWidth="1"/>
    <col min="42" max="43" width="8.85546875" customWidth="1"/>
    <col min="44" max="45" width="5.7109375" customWidth="1"/>
    <col min="46" max="47" width="8.85546875" customWidth="1"/>
    <col min="48" max="49" width="5.7109375" customWidth="1"/>
    <col min="50" max="51" width="8.85546875" customWidth="1"/>
    <col min="52" max="53" width="5.7109375" customWidth="1"/>
    <col min="54" max="55" width="8.85546875" customWidth="1"/>
    <col min="56" max="57" width="5.7109375" customWidth="1"/>
    <col min="58" max="59" width="8.85546875" customWidth="1"/>
    <col min="60" max="61" width="5.7109375" customWidth="1"/>
    <col min="62" max="63" width="8.85546875" customWidth="1"/>
    <col min="64" max="65" width="5.7109375" customWidth="1"/>
    <col min="66" max="67" width="8.85546875" customWidth="1"/>
    <col min="68" max="69" width="5.7109375" customWidth="1"/>
    <col min="70" max="70" width="8.85546875" customWidth="1"/>
  </cols>
  <sheetData>
    <row r="1" spans="1:69" x14ac:dyDescent="0.2">
      <c r="A1" s="489" t="str">
        <f>Language!$E$13</f>
        <v>Spielpaarungen</v>
      </c>
      <c r="C1" s="351" t="s">
        <v>498</v>
      </c>
      <c r="D1" s="47">
        <v>1</v>
      </c>
      <c r="E1" s="47">
        <v>4</v>
      </c>
      <c r="G1" s="351" t="s">
        <v>500</v>
      </c>
      <c r="H1" s="47">
        <v>5</v>
      </c>
      <c r="I1" s="47">
        <v>2</v>
      </c>
      <c r="K1" s="351" t="s">
        <v>499</v>
      </c>
      <c r="L1" s="47">
        <v>1</v>
      </c>
      <c r="M1" s="47">
        <v>6</v>
      </c>
      <c r="O1" s="351" t="s">
        <v>501</v>
      </c>
      <c r="P1" s="47">
        <v>7</v>
      </c>
      <c r="Q1" s="47">
        <v>2</v>
      </c>
      <c r="S1" s="351" t="s">
        <v>502</v>
      </c>
      <c r="T1" s="47">
        <v>1</v>
      </c>
      <c r="U1" s="47">
        <v>8</v>
      </c>
      <c r="W1" s="351" t="s">
        <v>514</v>
      </c>
      <c r="X1" s="47">
        <v>9</v>
      </c>
      <c r="Y1" s="47">
        <v>2</v>
      </c>
      <c r="AA1" s="351" t="s">
        <v>503</v>
      </c>
      <c r="AB1" s="47">
        <v>1</v>
      </c>
      <c r="AC1" s="47">
        <v>10</v>
      </c>
      <c r="AE1" s="351" t="s">
        <v>504</v>
      </c>
      <c r="AF1" s="47">
        <v>11</v>
      </c>
      <c r="AG1" s="47">
        <v>2</v>
      </c>
      <c r="AI1" s="351" t="s">
        <v>505</v>
      </c>
      <c r="AJ1" s="47">
        <v>1</v>
      </c>
      <c r="AK1" s="47">
        <v>12</v>
      </c>
      <c r="AM1" s="351" t="s">
        <v>506</v>
      </c>
      <c r="AN1" s="47">
        <v>13</v>
      </c>
      <c r="AO1" s="47">
        <v>2</v>
      </c>
      <c r="AQ1" s="351" t="s">
        <v>513</v>
      </c>
      <c r="AR1" s="47">
        <v>1</v>
      </c>
      <c r="AS1" s="47">
        <v>14</v>
      </c>
      <c r="AU1" s="351" t="s">
        <v>512</v>
      </c>
      <c r="AV1" s="47">
        <v>15</v>
      </c>
      <c r="AW1" s="47">
        <v>2</v>
      </c>
      <c r="AY1" s="351" t="s">
        <v>511</v>
      </c>
      <c r="AZ1" s="47">
        <v>1</v>
      </c>
      <c r="BA1" s="47">
        <v>16</v>
      </c>
      <c r="BC1" s="351" t="s">
        <v>510</v>
      </c>
      <c r="BD1" s="47">
        <v>17</v>
      </c>
      <c r="BE1" s="47">
        <v>2</v>
      </c>
      <c r="BG1" s="351" t="s">
        <v>509</v>
      </c>
      <c r="BH1" s="47">
        <v>1</v>
      </c>
      <c r="BI1" s="47">
        <v>18</v>
      </c>
      <c r="BK1" s="351" t="s">
        <v>508</v>
      </c>
      <c r="BL1" s="47">
        <v>19</v>
      </c>
      <c r="BM1" s="47">
        <v>2</v>
      </c>
      <c r="BO1" s="351" t="s">
        <v>507</v>
      </c>
      <c r="BP1" s="47">
        <v>1</v>
      </c>
      <c r="BQ1" s="47">
        <v>20</v>
      </c>
    </row>
    <row r="2" spans="1:69" x14ac:dyDescent="0.2">
      <c r="A2" s="489"/>
      <c r="C2" s="486" t="str">
        <f>Language!$E$18</f>
        <v>Hinspiele</v>
      </c>
      <c r="D2" s="47">
        <v>3</v>
      </c>
      <c r="E2" s="47">
        <v>2</v>
      </c>
      <c r="G2" s="350"/>
      <c r="H2" s="47">
        <v>3</v>
      </c>
      <c r="I2" s="47">
        <v>4</v>
      </c>
      <c r="K2" s="350"/>
      <c r="L2" s="47">
        <v>5</v>
      </c>
      <c r="M2" s="47">
        <v>2</v>
      </c>
      <c r="O2" s="350"/>
      <c r="P2" s="47">
        <v>3</v>
      </c>
      <c r="Q2" s="47">
        <v>6</v>
      </c>
      <c r="S2" s="350"/>
      <c r="T2" s="47">
        <v>7</v>
      </c>
      <c r="U2" s="47">
        <v>2</v>
      </c>
      <c r="W2" s="350"/>
      <c r="X2" s="47">
        <v>3</v>
      </c>
      <c r="Y2" s="47">
        <v>8</v>
      </c>
      <c r="AA2" s="350"/>
      <c r="AB2" s="47">
        <v>9</v>
      </c>
      <c r="AC2" s="47">
        <v>2</v>
      </c>
      <c r="AE2" s="350"/>
      <c r="AF2" s="47">
        <v>3</v>
      </c>
      <c r="AG2" s="47">
        <v>10</v>
      </c>
      <c r="AI2" s="350"/>
      <c r="AJ2" s="47">
        <v>11</v>
      </c>
      <c r="AK2" s="47">
        <v>2</v>
      </c>
      <c r="AM2" s="350"/>
      <c r="AN2" s="47">
        <v>3</v>
      </c>
      <c r="AO2" s="47">
        <v>12</v>
      </c>
      <c r="AQ2" s="350"/>
      <c r="AR2" s="47">
        <v>13</v>
      </c>
      <c r="AS2" s="47">
        <v>2</v>
      </c>
      <c r="AU2" s="350"/>
      <c r="AV2" s="47">
        <v>3</v>
      </c>
      <c r="AW2" s="47">
        <v>14</v>
      </c>
      <c r="AY2" s="350"/>
      <c r="AZ2" s="47">
        <v>15</v>
      </c>
      <c r="BA2" s="47">
        <v>2</v>
      </c>
      <c r="BC2" s="350"/>
      <c r="BD2" s="47">
        <v>3</v>
      </c>
      <c r="BE2" s="47">
        <v>16</v>
      </c>
      <c r="BG2" s="350"/>
      <c r="BH2" s="47">
        <v>17</v>
      </c>
      <c r="BI2" s="47">
        <v>2</v>
      </c>
      <c r="BK2" s="350"/>
      <c r="BL2" s="47">
        <v>3</v>
      </c>
      <c r="BM2" s="47">
        <v>18</v>
      </c>
      <c r="BO2" s="350"/>
      <c r="BP2" s="47">
        <v>19</v>
      </c>
      <c r="BQ2" s="47">
        <v>2</v>
      </c>
    </row>
    <row r="3" spans="1:69" x14ac:dyDescent="0.2">
      <c r="A3" s="489"/>
      <c r="C3" s="486"/>
      <c r="D3" s="47">
        <v>3</v>
      </c>
      <c r="E3" s="47">
        <v>1</v>
      </c>
      <c r="H3" s="47">
        <v>5</v>
      </c>
      <c r="I3" s="47">
        <v>1</v>
      </c>
      <c r="L3" s="47">
        <v>3</v>
      </c>
      <c r="M3" s="47">
        <v>4</v>
      </c>
      <c r="P3" s="47">
        <v>5</v>
      </c>
      <c r="Q3" s="47">
        <v>4</v>
      </c>
      <c r="T3" s="47">
        <v>3</v>
      </c>
      <c r="U3" s="47">
        <v>6</v>
      </c>
      <c r="X3" s="47">
        <v>7</v>
      </c>
      <c r="Y3" s="47">
        <v>4</v>
      </c>
      <c r="AB3" s="47">
        <v>3</v>
      </c>
      <c r="AC3" s="47">
        <v>8</v>
      </c>
      <c r="AF3" s="47">
        <v>9</v>
      </c>
      <c r="AG3" s="47">
        <v>4</v>
      </c>
      <c r="AJ3" s="47">
        <v>3</v>
      </c>
      <c r="AK3" s="47">
        <v>10</v>
      </c>
      <c r="AN3" s="47">
        <v>11</v>
      </c>
      <c r="AO3" s="47">
        <v>4</v>
      </c>
      <c r="AR3" s="47">
        <v>3</v>
      </c>
      <c r="AS3" s="47">
        <v>12</v>
      </c>
      <c r="AV3" s="47">
        <v>13</v>
      </c>
      <c r="AW3" s="47">
        <v>4</v>
      </c>
      <c r="AZ3" s="47">
        <v>3</v>
      </c>
      <c r="BA3" s="47">
        <v>14</v>
      </c>
      <c r="BD3" s="47">
        <v>15</v>
      </c>
      <c r="BE3" s="47">
        <v>4</v>
      </c>
      <c r="BH3" s="47">
        <v>3</v>
      </c>
      <c r="BI3" s="47">
        <v>16</v>
      </c>
      <c r="BL3" s="47">
        <v>17</v>
      </c>
      <c r="BM3" s="47">
        <v>4</v>
      </c>
      <c r="BP3" s="47">
        <v>3</v>
      </c>
      <c r="BQ3" s="47">
        <v>18</v>
      </c>
    </row>
    <row r="4" spans="1:69" x14ac:dyDescent="0.2">
      <c r="A4" s="489"/>
      <c r="C4" s="486"/>
      <c r="D4" s="47">
        <v>2</v>
      </c>
      <c r="E4" s="47">
        <v>4</v>
      </c>
      <c r="H4" s="47">
        <v>2</v>
      </c>
      <c r="I4" s="47">
        <v>3</v>
      </c>
      <c r="L4" s="47">
        <v>5</v>
      </c>
      <c r="M4" s="47">
        <v>1</v>
      </c>
      <c r="P4" s="47">
        <v>7</v>
      </c>
      <c r="Q4" s="47">
        <v>1</v>
      </c>
      <c r="T4" s="47">
        <v>5</v>
      </c>
      <c r="U4" s="47">
        <v>4</v>
      </c>
      <c r="X4" s="47">
        <v>5</v>
      </c>
      <c r="Y4" s="47">
        <v>6</v>
      </c>
      <c r="AB4" s="47">
        <v>7</v>
      </c>
      <c r="AC4" s="47">
        <v>4</v>
      </c>
      <c r="AF4" s="47">
        <v>5</v>
      </c>
      <c r="AG4" s="47">
        <v>8</v>
      </c>
      <c r="AJ4" s="47">
        <v>9</v>
      </c>
      <c r="AK4" s="47">
        <v>4</v>
      </c>
      <c r="AN4" s="47">
        <v>5</v>
      </c>
      <c r="AO4" s="47">
        <v>10</v>
      </c>
      <c r="AR4" s="47">
        <v>11</v>
      </c>
      <c r="AS4" s="47">
        <v>4</v>
      </c>
      <c r="AV4" s="47">
        <v>5</v>
      </c>
      <c r="AW4" s="47">
        <v>12</v>
      </c>
      <c r="AZ4" s="47">
        <v>13</v>
      </c>
      <c r="BA4" s="47">
        <v>4</v>
      </c>
      <c r="BD4" s="47">
        <v>5</v>
      </c>
      <c r="BE4" s="47">
        <v>14</v>
      </c>
      <c r="BH4" s="47">
        <v>15</v>
      </c>
      <c r="BI4" s="47">
        <v>4</v>
      </c>
      <c r="BL4" s="47">
        <v>5</v>
      </c>
      <c r="BM4" s="47">
        <v>16</v>
      </c>
      <c r="BP4" s="47">
        <v>17</v>
      </c>
      <c r="BQ4" s="47">
        <v>4</v>
      </c>
    </row>
    <row r="5" spans="1:69" x14ac:dyDescent="0.2">
      <c r="A5" s="489"/>
      <c r="C5" s="486"/>
      <c r="D5" s="47">
        <v>1</v>
      </c>
      <c r="E5" s="47">
        <v>2</v>
      </c>
      <c r="H5" s="47">
        <v>1</v>
      </c>
      <c r="I5" s="47">
        <v>4</v>
      </c>
      <c r="L5" s="47">
        <v>4</v>
      </c>
      <c r="M5" s="47">
        <v>6</v>
      </c>
      <c r="P5" s="47">
        <v>2</v>
      </c>
      <c r="Q5" s="47">
        <v>5</v>
      </c>
      <c r="T5" s="47">
        <v>7</v>
      </c>
      <c r="U5" s="47">
        <v>1</v>
      </c>
      <c r="X5" s="47">
        <v>9</v>
      </c>
      <c r="Y5" s="47">
        <v>1</v>
      </c>
      <c r="AB5" s="47">
        <v>5</v>
      </c>
      <c r="AC5" s="47">
        <v>6</v>
      </c>
      <c r="AF5" s="47">
        <v>7</v>
      </c>
      <c r="AG5" s="47">
        <v>6</v>
      </c>
      <c r="AJ5" s="47">
        <v>5</v>
      </c>
      <c r="AK5" s="47">
        <v>8</v>
      </c>
      <c r="AN5" s="47">
        <v>9</v>
      </c>
      <c r="AO5" s="47">
        <v>6</v>
      </c>
      <c r="AR5" s="47">
        <v>5</v>
      </c>
      <c r="AS5" s="47">
        <v>10</v>
      </c>
      <c r="AV5" s="47">
        <v>11</v>
      </c>
      <c r="AW5" s="47">
        <v>6</v>
      </c>
      <c r="AZ5" s="47">
        <v>5</v>
      </c>
      <c r="BA5" s="47">
        <v>12</v>
      </c>
      <c r="BD5" s="47">
        <v>13</v>
      </c>
      <c r="BE5" s="47">
        <v>6</v>
      </c>
      <c r="BH5" s="47">
        <v>5</v>
      </c>
      <c r="BI5" s="47">
        <v>14</v>
      </c>
      <c r="BL5" s="47">
        <v>15</v>
      </c>
      <c r="BM5" s="47">
        <v>6</v>
      </c>
      <c r="BP5" s="47">
        <v>5</v>
      </c>
      <c r="BQ5" s="47">
        <v>16</v>
      </c>
    </row>
    <row r="6" spans="1:69" ht="13.5" thickBot="1" x14ac:dyDescent="0.25">
      <c r="A6" s="489"/>
      <c r="C6" s="487"/>
      <c r="D6" s="47">
        <v>4</v>
      </c>
      <c r="E6" s="47">
        <v>3</v>
      </c>
      <c r="G6" s="486" t="str">
        <f>Language!$E$18</f>
        <v>Hinspiele</v>
      </c>
      <c r="H6" s="47">
        <v>3</v>
      </c>
      <c r="I6" s="47">
        <v>5</v>
      </c>
      <c r="L6" s="47">
        <v>2</v>
      </c>
      <c r="M6" s="47">
        <v>3</v>
      </c>
      <c r="P6" s="47">
        <v>4</v>
      </c>
      <c r="Q6" s="47">
        <v>3</v>
      </c>
      <c r="T6" s="47">
        <v>6</v>
      </c>
      <c r="U6" s="47">
        <v>8</v>
      </c>
      <c r="X6" s="47">
        <v>2</v>
      </c>
      <c r="Y6" s="47">
        <v>7</v>
      </c>
      <c r="AB6" s="47">
        <v>9</v>
      </c>
      <c r="AC6" s="47">
        <v>1</v>
      </c>
      <c r="AF6" s="47">
        <v>11</v>
      </c>
      <c r="AG6" s="47">
        <v>1</v>
      </c>
      <c r="AJ6" s="47">
        <v>7</v>
      </c>
      <c r="AK6" s="47">
        <v>6</v>
      </c>
      <c r="AN6" s="47">
        <v>7</v>
      </c>
      <c r="AO6" s="47">
        <v>8</v>
      </c>
      <c r="AR6" s="47">
        <v>9</v>
      </c>
      <c r="AS6" s="47">
        <v>6</v>
      </c>
      <c r="AV6" s="47">
        <v>7</v>
      </c>
      <c r="AW6" s="47">
        <v>10</v>
      </c>
      <c r="AZ6" s="47">
        <v>11</v>
      </c>
      <c r="BA6" s="47">
        <v>6</v>
      </c>
      <c r="BD6" s="47">
        <v>7</v>
      </c>
      <c r="BE6" s="47">
        <v>12</v>
      </c>
      <c r="BH6" s="47">
        <v>13</v>
      </c>
      <c r="BI6" s="47">
        <v>6</v>
      </c>
      <c r="BL6" s="47">
        <v>7</v>
      </c>
      <c r="BM6" s="47">
        <v>14</v>
      </c>
      <c r="BP6" s="47">
        <v>15</v>
      </c>
      <c r="BQ6" s="47">
        <v>6</v>
      </c>
    </row>
    <row r="7" spans="1:69" x14ac:dyDescent="0.2">
      <c r="A7" s="489"/>
      <c r="C7" s="488" t="str">
        <f>Language!$E$19</f>
        <v>Rückspiele</v>
      </c>
      <c r="D7" s="47">
        <v>4</v>
      </c>
      <c r="E7" s="47">
        <v>1</v>
      </c>
      <c r="G7" s="486"/>
      <c r="H7" s="47">
        <v>3</v>
      </c>
      <c r="I7" s="47">
        <v>1</v>
      </c>
      <c r="L7" s="47">
        <v>1</v>
      </c>
      <c r="M7" s="47">
        <v>4</v>
      </c>
      <c r="P7" s="47">
        <v>1</v>
      </c>
      <c r="Q7" s="47">
        <v>6</v>
      </c>
      <c r="T7" s="47">
        <v>2</v>
      </c>
      <c r="U7" s="47">
        <v>5</v>
      </c>
      <c r="X7" s="47">
        <v>6</v>
      </c>
      <c r="Y7" s="47">
        <v>3</v>
      </c>
      <c r="AB7" s="47">
        <v>8</v>
      </c>
      <c r="AC7" s="47">
        <v>10</v>
      </c>
      <c r="AF7" s="47">
        <v>2</v>
      </c>
      <c r="AG7" s="47">
        <v>9</v>
      </c>
      <c r="AJ7" s="47">
        <v>11</v>
      </c>
      <c r="AK7" s="47">
        <v>1</v>
      </c>
      <c r="AN7" s="47">
        <v>13</v>
      </c>
      <c r="AO7" s="47">
        <v>1</v>
      </c>
      <c r="AR7" s="47">
        <v>7</v>
      </c>
      <c r="AS7" s="47">
        <v>8</v>
      </c>
      <c r="AV7" s="47">
        <v>9</v>
      </c>
      <c r="AW7" s="47">
        <v>8</v>
      </c>
      <c r="AZ7" s="47">
        <v>7</v>
      </c>
      <c r="BA7" s="47">
        <v>10</v>
      </c>
      <c r="BD7" s="47">
        <v>11</v>
      </c>
      <c r="BE7" s="47">
        <v>8</v>
      </c>
      <c r="BH7" s="47">
        <v>7</v>
      </c>
      <c r="BI7" s="47">
        <v>12</v>
      </c>
      <c r="BL7" s="47">
        <v>13</v>
      </c>
      <c r="BM7" s="47">
        <v>8</v>
      </c>
      <c r="BP7" s="47">
        <v>7</v>
      </c>
      <c r="BQ7" s="47">
        <v>14</v>
      </c>
    </row>
    <row r="8" spans="1:69" x14ac:dyDescent="0.2">
      <c r="A8" s="489"/>
      <c r="C8" s="488"/>
      <c r="D8" s="47">
        <v>2</v>
      </c>
      <c r="E8" s="47">
        <v>3</v>
      </c>
      <c r="G8" s="486"/>
      <c r="H8" s="47">
        <v>2</v>
      </c>
      <c r="I8" s="47">
        <v>4</v>
      </c>
      <c r="L8" s="47">
        <v>3</v>
      </c>
      <c r="M8" s="47">
        <v>5</v>
      </c>
      <c r="P8" s="47">
        <v>5</v>
      </c>
      <c r="Q8" s="47">
        <v>7</v>
      </c>
      <c r="T8" s="47">
        <v>4</v>
      </c>
      <c r="U8" s="47">
        <v>3</v>
      </c>
      <c r="X8" s="47">
        <v>4</v>
      </c>
      <c r="Y8" s="47">
        <v>5</v>
      </c>
      <c r="AB8" s="47">
        <v>2</v>
      </c>
      <c r="AC8" s="47">
        <v>7</v>
      </c>
      <c r="AF8" s="47">
        <v>8</v>
      </c>
      <c r="AG8" s="47">
        <v>3</v>
      </c>
      <c r="AJ8" s="47">
        <v>10</v>
      </c>
      <c r="AK8" s="47">
        <v>12</v>
      </c>
      <c r="AN8" s="47">
        <v>2</v>
      </c>
      <c r="AO8" s="47">
        <v>11</v>
      </c>
      <c r="AR8" s="47">
        <v>13</v>
      </c>
      <c r="AS8" s="47">
        <v>1</v>
      </c>
      <c r="AV8" s="47">
        <v>15</v>
      </c>
      <c r="AW8" s="47">
        <v>1</v>
      </c>
      <c r="AZ8" s="47">
        <v>9</v>
      </c>
      <c r="BA8" s="47">
        <v>8</v>
      </c>
      <c r="BD8" s="47">
        <v>9</v>
      </c>
      <c r="BE8" s="47">
        <v>10</v>
      </c>
      <c r="BH8" s="47">
        <v>11</v>
      </c>
      <c r="BI8" s="47">
        <v>8</v>
      </c>
      <c r="BL8" s="47">
        <v>9</v>
      </c>
      <c r="BM8" s="47">
        <v>12</v>
      </c>
      <c r="BP8" s="47">
        <v>13</v>
      </c>
      <c r="BQ8" s="47">
        <v>8</v>
      </c>
    </row>
    <row r="9" spans="1:69" x14ac:dyDescent="0.2">
      <c r="A9" s="489"/>
      <c r="C9" s="488"/>
      <c r="D9" s="47">
        <v>1</v>
      </c>
      <c r="E9" s="47">
        <v>3</v>
      </c>
      <c r="G9" s="486"/>
      <c r="H9" s="47">
        <v>1</v>
      </c>
      <c r="I9" s="47">
        <v>2</v>
      </c>
      <c r="L9" s="47">
        <v>6</v>
      </c>
      <c r="M9" s="47">
        <v>2</v>
      </c>
      <c r="P9" s="47">
        <v>3</v>
      </c>
      <c r="Q9" s="47">
        <v>2</v>
      </c>
      <c r="T9" s="47">
        <v>1</v>
      </c>
      <c r="U9" s="47">
        <v>6</v>
      </c>
      <c r="X9" s="47">
        <v>1</v>
      </c>
      <c r="Y9" s="47">
        <v>8</v>
      </c>
      <c r="AB9" s="47">
        <v>6</v>
      </c>
      <c r="AC9" s="47">
        <v>3</v>
      </c>
      <c r="AF9" s="47">
        <v>4</v>
      </c>
      <c r="AG9" s="47">
        <v>7</v>
      </c>
      <c r="AJ9" s="47">
        <v>2</v>
      </c>
      <c r="AK9" s="47">
        <v>9</v>
      </c>
      <c r="AN9" s="47">
        <v>10</v>
      </c>
      <c r="AO9" s="47">
        <v>3</v>
      </c>
      <c r="AR9" s="47">
        <v>12</v>
      </c>
      <c r="AS9" s="47">
        <v>14</v>
      </c>
      <c r="AV9" s="47">
        <v>2</v>
      </c>
      <c r="AW9" s="47">
        <v>13</v>
      </c>
      <c r="AZ9" s="47">
        <v>15</v>
      </c>
      <c r="BA9" s="47">
        <v>1</v>
      </c>
      <c r="BD9" s="47">
        <v>17</v>
      </c>
      <c r="BE9" s="47">
        <v>1</v>
      </c>
      <c r="BH9" s="47">
        <v>9</v>
      </c>
      <c r="BI9" s="47">
        <v>10</v>
      </c>
      <c r="BL9" s="47">
        <v>11</v>
      </c>
      <c r="BM9" s="47">
        <v>10</v>
      </c>
      <c r="BP9" s="47">
        <v>9</v>
      </c>
      <c r="BQ9" s="47">
        <v>12</v>
      </c>
    </row>
    <row r="10" spans="1:69" ht="13.5" thickBot="1" x14ac:dyDescent="0.25">
      <c r="A10" s="489"/>
      <c r="C10" s="488"/>
      <c r="D10" s="47">
        <v>4</v>
      </c>
      <c r="E10" s="47">
        <v>2</v>
      </c>
      <c r="G10" s="487"/>
      <c r="H10" s="47">
        <v>4</v>
      </c>
      <c r="I10" s="47">
        <v>5</v>
      </c>
      <c r="L10" s="47">
        <v>3</v>
      </c>
      <c r="M10" s="47">
        <v>1</v>
      </c>
      <c r="P10" s="47">
        <v>5</v>
      </c>
      <c r="Q10" s="47">
        <v>1</v>
      </c>
      <c r="T10" s="47">
        <v>5</v>
      </c>
      <c r="U10" s="47">
        <v>7</v>
      </c>
      <c r="X10" s="47">
        <v>7</v>
      </c>
      <c r="Y10" s="47">
        <v>9</v>
      </c>
      <c r="AB10" s="47">
        <v>4</v>
      </c>
      <c r="AC10" s="47">
        <v>5</v>
      </c>
      <c r="AF10" s="47">
        <v>6</v>
      </c>
      <c r="AG10" s="47">
        <v>5</v>
      </c>
      <c r="AJ10" s="47">
        <v>8</v>
      </c>
      <c r="AK10" s="47">
        <v>3</v>
      </c>
      <c r="AN10" s="47">
        <v>4</v>
      </c>
      <c r="AO10" s="47">
        <v>9</v>
      </c>
      <c r="AR10" s="47">
        <v>2</v>
      </c>
      <c r="AS10" s="47">
        <v>11</v>
      </c>
      <c r="AV10" s="47">
        <v>12</v>
      </c>
      <c r="AW10" s="47">
        <v>3</v>
      </c>
      <c r="AZ10" s="47">
        <v>14</v>
      </c>
      <c r="BA10" s="47">
        <v>16</v>
      </c>
      <c r="BD10" s="47">
        <v>2</v>
      </c>
      <c r="BE10" s="47">
        <v>15</v>
      </c>
      <c r="BH10" s="47">
        <v>17</v>
      </c>
      <c r="BI10" s="47">
        <v>1</v>
      </c>
      <c r="BL10" s="47">
        <v>19</v>
      </c>
      <c r="BM10" s="47">
        <v>1</v>
      </c>
      <c r="BP10" s="47">
        <v>11</v>
      </c>
      <c r="BQ10" s="47">
        <v>10</v>
      </c>
    </row>
    <row r="11" spans="1:69" x14ac:dyDescent="0.2">
      <c r="A11" s="489"/>
      <c r="C11" s="488"/>
      <c r="D11" s="47">
        <v>2</v>
      </c>
      <c r="E11" s="47">
        <v>1</v>
      </c>
      <c r="G11" s="488" t="str">
        <f>Language!$E$19</f>
        <v>Rückspiele</v>
      </c>
      <c r="H11" s="47">
        <v>2</v>
      </c>
      <c r="I11" s="47">
        <v>5</v>
      </c>
      <c r="K11" s="486" t="str">
        <f>Language!$E$18</f>
        <v>Hinspiele</v>
      </c>
      <c r="L11" s="47">
        <v>2</v>
      </c>
      <c r="M11" s="47">
        <v>4</v>
      </c>
      <c r="P11" s="47">
        <v>4</v>
      </c>
      <c r="Q11" s="47">
        <v>6</v>
      </c>
      <c r="T11" s="47">
        <v>8</v>
      </c>
      <c r="U11" s="47">
        <v>4</v>
      </c>
      <c r="X11" s="47">
        <v>5</v>
      </c>
      <c r="Y11" s="47">
        <v>2</v>
      </c>
      <c r="AB11" s="47">
        <v>1</v>
      </c>
      <c r="AC11" s="47">
        <v>8</v>
      </c>
      <c r="AF11" s="47">
        <v>1</v>
      </c>
      <c r="AG11" s="47">
        <v>10</v>
      </c>
      <c r="AJ11" s="47">
        <v>4</v>
      </c>
      <c r="AK11" s="47">
        <v>7</v>
      </c>
      <c r="AN11" s="47">
        <v>8</v>
      </c>
      <c r="AO11" s="47">
        <v>5</v>
      </c>
      <c r="AR11" s="47">
        <v>10</v>
      </c>
      <c r="AS11" s="47">
        <v>3</v>
      </c>
      <c r="AV11" s="47">
        <v>4</v>
      </c>
      <c r="AW11" s="47">
        <v>11</v>
      </c>
      <c r="AZ11" s="47">
        <v>2</v>
      </c>
      <c r="BA11" s="47">
        <v>13</v>
      </c>
      <c r="BD11" s="47">
        <v>14</v>
      </c>
      <c r="BE11" s="47">
        <v>3</v>
      </c>
      <c r="BH11" s="47">
        <v>16</v>
      </c>
      <c r="BI11" s="47">
        <v>18</v>
      </c>
      <c r="BL11" s="47">
        <v>2</v>
      </c>
      <c r="BM11" s="47">
        <v>17</v>
      </c>
      <c r="BP11" s="47">
        <v>19</v>
      </c>
      <c r="BQ11" s="47">
        <v>1</v>
      </c>
    </row>
    <row r="12" spans="1:69" x14ac:dyDescent="0.2">
      <c r="A12" s="489"/>
      <c r="D12" s="47">
        <v>3</v>
      </c>
      <c r="E12" s="47">
        <v>4</v>
      </c>
      <c r="G12" s="488"/>
      <c r="H12" s="47">
        <v>4</v>
      </c>
      <c r="I12" s="47">
        <v>3</v>
      </c>
      <c r="K12" s="486"/>
      <c r="L12" s="47">
        <v>5</v>
      </c>
      <c r="M12" s="47">
        <v>6</v>
      </c>
      <c r="P12" s="47">
        <v>7</v>
      </c>
      <c r="Q12" s="47">
        <v>3</v>
      </c>
      <c r="T12" s="47">
        <v>3</v>
      </c>
      <c r="U12" s="47">
        <v>2</v>
      </c>
      <c r="X12" s="47">
        <v>3</v>
      </c>
      <c r="Y12" s="47">
        <v>4</v>
      </c>
      <c r="AB12" s="47">
        <v>7</v>
      </c>
      <c r="AC12" s="47">
        <v>9</v>
      </c>
      <c r="AF12" s="47">
        <v>9</v>
      </c>
      <c r="AG12" s="47">
        <v>11</v>
      </c>
      <c r="AJ12" s="47">
        <v>6</v>
      </c>
      <c r="AK12" s="47">
        <v>5</v>
      </c>
      <c r="AN12" s="47">
        <v>6</v>
      </c>
      <c r="AO12" s="47">
        <v>7</v>
      </c>
      <c r="AR12" s="47">
        <v>4</v>
      </c>
      <c r="AS12" s="47">
        <v>9</v>
      </c>
      <c r="AV12" s="47">
        <v>10</v>
      </c>
      <c r="AW12" s="47">
        <v>5</v>
      </c>
      <c r="AZ12" s="47">
        <v>12</v>
      </c>
      <c r="BA12" s="47">
        <v>3</v>
      </c>
      <c r="BD12" s="47">
        <v>4</v>
      </c>
      <c r="BE12" s="47">
        <v>13</v>
      </c>
      <c r="BH12" s="47">
        <v>2</v>
      </c>
      <c r="BI12" s="47">
        <v>15</v>
      </c>
      <c r="BL12" s="47">
        <v>16</v>
      </c>
      <c r="BM12" s="47">
        <v>3</v>
      </c>
      <c r="BP12" s="47">
        <v>18</v>
      </c>
      <c r="BQ12" s="47">
        <v>20</v>
      </c>
    </row>
    <row r="13" spans="1:69" x14ac:dyDescent="0.2">
      <c r="A13" s="489"/>
      <c r="G13" s="488"/>
      <c r="H13" s="47">
        <v>1</v>
      </c>
      <c r="I13" s="47">
        <v>5</v>
      </c>
      <c r="K13" s="486"/>
      <c r="L13" s="47">
        <v>1</v>
      </c>
      <c r="M13" s="47">
        <v>2</v>
      </c>
      <c r="P13" s="47">
        <v>1</v>
      </c>
      <c r="Q13" s="47">
        <v>4</v>
      </c>
      <c r="T13" s="47">
        <v>5</v>
      </c>
      <c r="U13" s="47">
        <v>1</v>
      </c>
      <c r="X13" s="47">
        <v>7</v>
      </c>
      <c r="Y13" s="47">
        <v>1</v>
      </c>
      <c r="AB13" s="47">
        <v>10</v>
      </c>
      <c r="AC13" s="47">
        <v>6</v>
      </c>
      <c r="AF13" s="47">
        <v>7</v>
      </c>
      <c r="AG13" s="47">
        <v>2</v>
      </c>
      <c r="AJ13" s="47">
        <v>1</v>
      </c>
      <c r="AK13" s="47">
        <v>10</v>
      </c>
      <c r="AN13" s="47">
        <v>1</v>
      </c>
      <c r="AO13" s="47">
        <v>12</v>
      </c>
      <c r="AR13" s="47">
        <v>8</v>
      </c>
      <c r="AS13" s="47">
        <v>5</v>
      </c>
      <c r="AV13" s="47">
        <v>6</v>
      </c>
      <c r="AW13" s="47">
        <v>9</v>
      </c>
      <c r="AZ13" s="47">
        <v>4</v>
      </c>
      <c r="BA13" s="47">
        <v>11</v>
      </c>
      <c r="BD13" s="47">
        <v>12</v>
      </c>
      <c r="BE13" s="47">
        <v>5</v>
      </c>
      <c r="BH13" s="47">
        <v>14</v>
      </c>
      <c r="BI13" s="47">
        <v>3</v>
      </c>
      <c r="BL13" s="47">
        <v>4</v>
      </c>
      <c r="BM13" s="47">
        <v>15</v>
      </c>
      <c r="BP13" s="47">
        <v>2</v>
      </c>
      <c r="BQ13" s="47">
        <v>17</v>
      </c>
    </row>
    <row r="14" spans="1:69" x14ac:dyDescent="0.2">
      <c r="A14" s="489"/>
      <c r="G14" s="488"/>
      <c r="H14" s="47">
        <v>3</v>
      </c>
      <c r="I14" s="47">
        <v>2</v>
      </c>
      <c r="K14" s="486"/>
      <c r="L14" s="47">
        <v>6</v>
      </c>
      <c r="M14" s="47">
        <v>3</v>
      </c>
      <c r="P14" s="47">
        <v>3</v>
      </c>
      <c r="Q14" s="47">
        <v>5</v>
      </c>
      <c r="T14" s="47">
        <v>4</v>
      </c>
      <c r="U14" s="47">
        <v>6</v>
      </c>
      <c r="X14" s="47">
        <v>6</v>
      </c>
      <c r="Y14" s="47">
        <v>8</v>
      </c>
      <c r="AB14" s="47">
        <v>5</v>
      </c>
      <c r="AC14" s="47">
        <v>2</v>
      </c>
      <c r="AF14" s="47">
        <v>3</v>
      </c>
      <c r="AG14" s="47">
        <v>6</v>
      </c>
      <c r="AJ14" s="47">
        <v>9</v>
      </c>
      <c r="AK14" s="47">
        <v>11</v>
      </c>
      <c r="AN14" s="47">
        <v>11</v>
      </c>
      <c r="AO14" s="47">
        <v>13</v>
      </c>
      <c r="AR14" s="47">
        <v>6</v>
      </c>
      <c r="AS14" s="47">
        <v>7</v>
      </c>
      <c r="AV14" s="47">
        <v>8</v>
      </c>
      <c r="AW14" s="47">
        <v>7</v>
      </c>
      <c r="AZ14" s="47">
        <v>10</v>
      </c>
      <c r="BA14" s="47">
        <v>5</v>
      </c>
      <c r="BD14" s="47">
        <v>6</v>
      </c>
      <c r="BE14" s="47">
        <v>11</v>
      </c>
      <c r="BH14" s="47">
        <v>4</v>
      </c>
      <c r="BI14" s="47">
        <v>13</v>
      </c>
      <c r="BL14" s="47">
        <v>14</v>
      </c>
      <c r="BM14" s="47">
        <v>5</v>
      </c>
      <c r="BP14" s="47">
        <v>16</v>
      </c>
      <c r="BQ14" s="47">
        <v>3</v>
      </c>
    </row>
    <row r="15" spans="1:69" ht="13.5" thickBot="1" x14ac:dyDescent="0.25">
      <c r="A15" s="489"/>
      <c r="G15" s="488"/>
      <c r="H15" s="47">
        <v>4</v>
      </c>
      <c r="I15" s="47">
        <v>1</v>
      </c>
      <c r="K15" s="487"/>
      <c r="L15" s="47">
        <v>4</v>
      </c>
      <c r="M15" s="47">
        <v>5</v>
      </c>
      <c r="P15" s="47">
        <v>6</v>
      </c>
      <c r="Q15" s="47">
        <v>2</v>
      </c>
      <c r="T15" s="47">
        <v>7</v>
      </c>
      <c r="U15" s="47">
        <v>3</v>
      </c>
      <c r="X15" s="47">
        <v>9</v>
      </c>
      <c r="Y15" s="47">
        <v>5</v>
      </c>
      <c r="AB15" s="47">
        <v>3</v>
      </c>
      <c r="AC15" s="47">
        <v>4</v>
      </c>
      <c r="AF15" s="47">
        <v>5</v>
      </c>
      <c r="AG15" s="47">
        <v>4</v>
      </c>
      <c r="AJ15" s="47">
        <v>12</v>
      </c>
      <c r="AK15" s="47">
        <v>8</v>
      </c>
      <c r="AN15" s="47">
        <v>9</v>
      </c>
      <c r="AO15" s="47">
        <v>2</v>
      </c>
      <c r="AR15" s="47">
        <v>1</v>
      </c>
      <c r="AS15" s="47">
        <v>12</v>
      </c>
      <c r="AV15" s="47">
        <v>1</v>
      </c>
      <c r="AW15" s="47">
        <v>14</v>
      </c>
      <c r="AZ15" s="47">
        <v>6</v>
      </c>
      <c r="BA15" s="47">
        <v>9</v>
      </c>
      <c r="BD15" s="47">
        <v>10</v>
      </c>
      <c r="BE15" s="47">
        <v>7</v>
      </c>
      <c r="BH15" s="47">
        <v>12</v>
      </c>
      <c r="BI15" s="47">
        <v>5</v>
      </c>
      <c r="BL15" s="47">
        <v>6</v>
      </c>
      <c r="BM15" s="47">
        <v>13</v>
      </c>
      <c r="BP15" s="47">
        <v>4</v>
      </c>
      <c r="BQ15" s="47">
        <v>15</v>
      </c>
    </row>
    <row r="16" spans="1:69" x14ac:dyDescent="0.2">
      <c r="A16" s="489"/>
      <c r="H16" s="47">
        <v>5</v>
      </c>
      <c r="I16" s="47">
        <v>3</v>
      </c>
      <c r="K16" s="488" t="str">
        <f>Language!$E$19</f>
        <v>Rückspiele</v>
      </c>
      <c r="L16" s="47">
        <v>6</v>
      </c>
      <c r="M16" s="47">
        <v>1</v>
      </c>
      <c r="P16" s="47">
        <v>3</v>
      </c>
      <c r="Q16" s="47">
        <v>1</v>
      </c>
      <c r="T16" s="47">
        <v>2</v>
      </c>
      <c r="U16" s="47">
        <v>8</v>
      </c>
      <c r="X16" s="47">
        <v>2</v>
      </c>
      <c r="Y16" s="47">
        <v>3</v>
      </c>
      <c r="AB16" s="47">
        <v>7</v>
      </c>
      <c r="AC16" s="47">
        <v>1</v>
      </c>
      <c r="AF16" s="47">
        <v>9</v>
      </c>
      <c r="AG16" s="47">
        <v>1</v>
      </c>
      <c r="AJ16" s="47">
        <v>7</v>
      </c>
      <c r="AK16" s="47">
        <v>2</v>
      </c>
      <c r="AN16" s="47">
        <v>3</v>
      </c>
      <c r="AO16" s="47">
        <v>8</v>
      </c>
      <c r="AR16" s="47">
        <v>11</v>
      </c>
      <c r="AS16" s="47">
        <v>13</v>
      </c>
      <c r="AV16" s="47">
        <v>13</v>
      </c>
      <c r="AW16" s="47">
        <v>15</v>
      </c>
      <c r="AZ16" s="47">
        <v>8</v>
      </c>
      <c r="BA16" s="47">
        <v>7</v>
      </c>
      <c r="BD16" s="47">
        <v>8</v>
      </c>
      <c r="BE16" s="47">
        <v>9</v>
      </c>
      <c r="BH16" s="47">
        <v>6</v>
      </c>
      <c r="BI16" s="47">
        <v>11</v>
      </c>
      <c r="BL16" s="47">
        <v>12</v>
      </c>
      <c r="BM16" s="47">
        <v>7</v>
      </c>
      <c r="BP16" s="47">
        <v>14</v>
      </c>
      <c r="BQ16" s="47">
        <v>5</v>
      </c>
    </row>
    <row r="17" spans="1:69" x14ac:dyDescent="0.2">
      <c r="A17" s="489"/>
      <c r="H17" s="47">
        <v>1</v>
      </c>
      <c r="I17" s="47">
        <v>3</v>
      </c>
      <c r="K17" s="488"/>
      <c r="L17" s="47">
        <v>2</v>
      </c>
      <c r="M17" s="47">
        <v>5</v>
      </c>
      <c r="O17" s="486" t="str">
        <f>Language!$E$18</f>
        <v>Hinspiele</v>
      </c>
      <c r="P17" s="47">
        <v>2</v>
      </c>
      <c r="Q17" s="47">
        <v>4</v>
      </c>
      <c r="T17" s="47">
        <v>1</v>
      </c>
      <c r="U17" s="47">
        <v>4</v>
      </c>
      <c r="X17" s="47">
        <v>1</v>
      </c>
      <c r="Y17" s="47">
        <v>6</v>
      </c>
      <c r="AB17" s="47">
        <v>6</v>
      </c>
      <c r="AC17" s="47">
        <v>8</v>
      </c>
      <c r="AF17" s="47">
        <v>8</v>
      </c>
      <c r="AG17" s="47">
        <v>10</v>
      </c>
      <c r="AJ17" s="47">
        <v>3</v>
      </c>
      <c r="AK17" s="47">
        <v>6</v>
      </c>
      <c r="AN17" s="47">
        <v>7</v>
      </c>
      <c r="AO17" s="47">
        <v>4</v>
      </c>
      <c r="AR17" s="47">
        <v>14</v>
      </c>
      <c r="AS17" s="47">
        <v>10</v>
      </c>
      <c r="AV17" s="47">
        <v>11</v>
      </c>
      <c r="AW17" s="47">
        <v>2</v>
      </c>
      <c r="AZ17" s="47">
        <v>1</v>
      </c>
      <c r="BA17" s="47">
        <v>14</v>
      </c>
      <c r="BD17" s="47">
        <v>1</v>
      </c>
      <c r="BE17" s="47">
        <v>16</v>
      </c>
      <c r="BH17" s="47">
        <v>10</v>
      </c>
      <c r="BI17" s="47">
        <v>7</v>
      </c>
      <c r="BL17" s="47">
        <v>8</v>
      </c>
      <c r="BM17" s="47">
        <v>11</v>
      </c>
      <c r="BP17" s="47">
        <v>6</v>
      </c>
      <c r="BQ17" s="47">
        <v>13</v>
      </c>
    </row>
    <row r="18" spans="1:69" x14ac:dyDescent="0.2">
      <c r="A18" s="489"/>
      <c r="H18" s="47">
        <v>4</v>
      </c>
      <c r="I18" s="47">
        <v>2</v>
      </c>
      <c r="K18" s="488"/>
      <c r="L18" s="47">
        <v>4</v>
      </c>
      <c r="M18" s="47">
        <v>3</v>
      </c>
      <c r="O18" s="486"/>
      <c r="P18" s="47">
        <v>7</v>
      </c>
      <c r="Q18" s="47">
        <v>6</v>
      </c>
      <c r="T18" s="47">
        <v>3</v>
      </c>
      <c r="U18" s="47">
        <v>5</v>
      </c>
      <c r="X18" s="47">
        <v>5</v>
      </c>
      <c r="Y18" s="47">
        <v>7</v>
      </c>
      <c r="AB18" s="47">
        <v>9</v>
      </c>
      <c r="AC18" s="47">
        <v>5</v>
      </c>
      <c r="AF18" s="47">
        <v>11</v>
      </c>
      <c r="AG18" s="47">
        <v>7</v>
      </c>
      <c r="AJ18" s="47">
        <v>5</v>
      </c>
      <c r="AK18" s="47">
        <v>4</v>
      </c>
      <c r="AN18" s="47">
        <v>5</v>
      </c>
      <c r="AO18" s="47">
        <v>6</v>
      </c>
      <c r="AR18" s="47">
        <v>9</v>
      </c>
      <c r="AS18" s="47">
        <v>2</v>
      </c>
      <c r="AV18" s="47">
        <v>3</v>
      </c>
      <c r="AW18" s="47">
        <v>10</v>
      </c>
      <c r="AZ18" s="47">
        <v>13</v>
      </c>
      <c r="BA18" s="47">
        <v>15</v>
      </c>
      <c r="BD18" s="47">
        <v>15</v>
      </c>
      <c r="BE18" s="47">
        <v>17</v>
      </c>
      <c r="BH18" s="47">
        <v>8</v>
      </c>
      <c r="BI18" s="47">
        <v>9</v>
      </c>
      <c r="BL18" s="47">
        <v>10</v>
      </c>
      <c r="BM18" s="47">
        <v>9</v>
      </c>
      <c r="BP18" s="47">
        <v>12</v>
      </c>
      <c r="BQ18" s="47">
        <v>7</v>
      </c>
    </row>
    <row r="19" spans="1:69" x14ac:dyDescent="0.2">
      <c r="H19" s="47">
        <v>2</v>
      </c>
      <c r="I19" s="47">
        <v>1</v>
      </c>
      <c r="K19" s="488"/>
      <c r="L19" s="47">
        <v>1</v>
      </c>
      <c r="M19" s="47">
        <v>5</v>
      </c>
      <c r="O19" s="486"/>
      <c r="P19" s="47">
        <v>1</v>
      </c>
      <c r="Q19" s="47">
        <v>2</v>
      </c>
      <c r="T19" s="47">
        <v>6</v>
      </c>
      <c r="U19" s="47">
        <v>2</v>
      </c>
      <c r="X19" s="47">
        <v>8</v>
      </c>
      <c r="Y19" s="47">
        <v>4</v>
      </c>
      <c r="AB19" s="47">
        <v>4</v>
      </c>
      <c r="AC19" s="47">
        <v>10</v>
      </c>
      <c r="AF19" s="47">
        <v>2</v>
      </c>
      <c r="AG19" s="47">
        <v>5</v>
      </c>
      <c r="AJ19" s="47">
        <v>9</v>
      </c>
      <c r="AK19" s="47">
        <v>1</v>
      </c>
      <c r="AN19" s="47">
        <v>11</v>
      </c>
      <c r="AO19" s="47">
        <v>1</v>
      </c>
      <c r="AR19" s="47">
        <v>3</v>
      </c>
      <c r="AS19" s="47">
        <v>8</v>
      </c>
      <c r="AV19" s="47">
        <v>9</v>
      </c>
      <c r="AW19" s="47">
        <v>4</v>
      </c>
      <c r="AZ19" s="47">
        <v>16</v>
      </c>
      <c r="BA19" s="47">
        <v>12</v>
      </c>
      <c r="BD19" s="47">
        <v>13</v>
      </c>
      <c r="BE19" s="47">
        <v>2</v>
      </c>
      <c r="BH19" s="47">
        <v>1</v>
      </c>
      <c r="BI19" s="47">
        <v>16</v>
      </c>
      <c r="BL19" s="47">
        <v>1</v>
      </c>
      <c r="BM19" s="47">
        <v>18</v>
      </c>
      <c r="BP19" s="47">
        <v>8</v>
      </c>
      <c r="BQ19" s="47">
        <v>11</v>
      </c>
    </row>
    <row r="20" spans="1:69" x14ac:dyDescent="0.2">
      <c r="H20" s="47">
        <v>5</v>
      </c>
      <c r="I20" s="47">
        <v>4</v>
      </c>
      <c r="K20" s="488"/>
      <c r="L20" s="47">
        <v>6</v>
      </c>
      <c r="M20" s="47">
        <v>4</v>
      </c>
      <c r="O20" s="486"/>
      <c r="P20" s="47">
        <v>4</v>
      </c>
      <c r="Q20" s="47">
        <v>7</v>
      </c>
      <c r="T20" s="47">
        <v>8</v>
      </c>
      <c r="U20" s="47">
        <v>7</v>
      </c>
      <c r="X20" s="47">
        <v>3</v>
      </c>
      <c r="Y20" s="47">
        <v>9</v>
      </c>
      <c r="AB20" s="47">
        <v>2</v>
      </c>
      <c r="AC20" s="47">
        <v>3</v>
      </c>
      <c r="AF20" s="47">
        <v>4</v>
      </c>
      <c r="AG20" s="47">
        <v>3</v>
      </c>
      <c r="AJ20" s="47">
        <v>8</v>
      </c>
      <c r="AK20" s="47">
        <v>10</v>
      </c>
      <c r="AN20" s="47">
        <v>10</v>
      </c>
      <c r="AO20" s="47">
        <v>12</v>
      </c>
      <c r="AR20" s="47">
        <v>7</v>
      </c>
      <c r="AS20" s="47">
        <v>4</v>
      </c>
      <c r="AV20" s="47">
        <v>5</v>
      </c>
      <c r="AW20" s="47">
        <v>8</v>
      </c>
      <c r="AZ20" s="47">
        <v>11</v>
      </c>
      <c r="BA20" s="47">
        <v>2</v>
      </c>
      <c r="BD20" s="47">
        <v>3</v>
      </c>
      <c r="BE20" s="47">
        <v>12</v>
      </c>
      <c r="BH20" s="47">
        <v>15</v>
      </c>
      <c r="BI20" s="47">
        <v>17</v>
      </c>
      <c r="BL20" s="47">
        <v>17</v>
      </c>
      <c r="BM20" s="47">
        <v>19</v>
      </c>
      <c r="BP20" s="47">
        <v>10</v>
      </c>
      <c r="BQ20" s="47">
        <v>9</v>
      </c>
    </row>
    <row r="21" spans="1:69" ht="13.5" thickBot="1" x14ac:dyDescent="0.25">
      <c r="L21" s="47">
        <v>3</v>
      </c>
      <c r="M21" s="47">
        <v>2</v>
      </c>
      <c r="O21" s="487"/>
      <c r="P21" s="47">
        <v>6</v>
      </c>
      <c r="Q21" s="47">
        <v>5</v>
      </c>
      <c r="T21" s="47">
        <v>3</v>
      </c>
      <c r="U21" s="47">
        <v>1</v>
      </c>
      <c r="X21" s="47">
        <v>5</v>
      </c>
      <c r="Y21" s="47">
        <v>1</v>
      </c>
      <c r="AB21" s="47">
        <v>1</v>
      </c>
      <c r="AC21" s="47">
        <v>6</v>
      </c>
      <c r="AF21" s="47">
        <v>1</v>
      </c>
      <c r="AG21" s="47">
        <v>8</v>
      </c>
      <c r="AJ21" s="47">
        <v>11</v>
      </c>
      <c r="AK21" s="47">
        <v>7</v>
      </c>
      <c r="AN21" s="47">
        <v>13</v>
      </c>
      <c r="AO21" s="47">
        <v>9</v>
      </c>
      <c r="AR21" s="47">
        <v>5</v>
      </c>
      <c r="AS21" s="47">
        <v>6</v>
      </c>
      <c r="AV21" s="47">
        <v>7</v>
      </c>
      <c r="AW21" s="47">
        <v>6</v>
      </c>
      <c r="AZ21" s="47">
        <v>3</v>
      </c>
      <c r="BA21" s="47">
        <v>10</v>
      </c>
      <c r="BD21" s="47">
        <v>11</v>
      </c>
      <c r="BE21" s="47">
        <v>4</v>
      </c>
      <c r="BH21" s="47">
        <v>18</v>
      </c>
      <c r="BI21" s="47">
        <v>14</v>
      </c>
      <c r="BL21" s="47">
        <v>15</v>
      </c>
      <c r="BM21" s="47">
        <v>2</v>
      </c>
      <c r="BP21" s="47">
        <v>1</v>
      </c>
      <c r="BQ21" s="47">
        <v>18</v>
      </c>
    </row>
    <row r="22" spans="1:69" x14ac:dyDescent="0.2">
      <c r="L22" s="47">
        <v>4</v>
      </c>
      <c r="M22" s="47">
        <v>1</v>
      </c>
      <c r="O22" s="488" t="str">
        <f>Language!$E$19</f>
        <v>Rückspiele</v>
      </c>
      <c r="P22" s="47">
        <v>2</v>
      </c>
      <c r="Q22" s="47">
        <v>7</v>
      </c>
      <c r="T22" s="47">
        <v>2</v>
      </c>
      <c r="U22" s="47">
        <v>4</v>
      </c>
      <c r="X22" s="47">
        <v>4</v>
      </c>
      <c r="Y22" s="47">
        <v>6</v>
      </c>
      <c r="AB22" s="47">
        <v>5</v>
      </c>
      <c r="AC22" s="47">
        <v>7</v>
      </c>
      <c r="AF22" s="47">
        <v>7</v>
      </c>
      <c r="AG22" s="47">
        <v>9</v>
      </c>
      <c r="AJ22" s="47">
        <v>6</v>
      </c>
      <c r="AK22" s="47">
        <v>12</v>
      </c>
      <c r="AN22" s="47">
        <v>2</v>
      </c>
      <c r="AO22" s="47">
        <v>7</v>
      </c>
      <c r="AR22" s="47">
        <v>11</v>
      </c>
      <c r="AS22" s="47">
        <v>1</v>
      </c>
      <c r="AV22" s="47">
        <v>13</v>
      </c>
      <c r="AW22" s="47">
        <v>1</v>
      </c>
      <c r="AZ22" s="47">
        <v>9</v>
      </c>
      <c r="BA22" s="47">
        <v>4</v>
      </c>
      <c r="BD22" s="47">
        <v>5</v>
      </c>
      <c r="BE22" s="47">
        <v>10</v>
      </c>
      <c r="BH22" s="47">
        <v>13</v>
      </c>
      <c r="BI22" s="47">
        <v>2</v>
      </c>
      <c r="BL22" s="47">
        <v>3</v>
      </c>
      <c r="BM22" s="47">
        <v>14</v>
      </c>
      <c r="BP22" s="47">
        <v>17</v>
      </c>
      <c r="BQ22" s="47">
        <v>19</v>
      </c>
    </row>
    <row r="23" spans="1:69" x14ac:dyDescent="0.2">
      <c r="L23" s="47">
        <v>5</v>
      </c>
      <c r="M23" s="47">
        <v>3</v>
      </c>
      <c r="O23" s="488"/>
      <c r="P23" s="47">
        <v>6</v>
      </c>
      <c r="Q23" s="47">
        <v>3</v>
      </c>
      <c r="T23" s="47">
        <v>5</v>
      </c>
      <c r="U23" s="47">
        <v>8</v>
      </c>
      <c r="X23" s="47">
        <v>7</v>
      </c>
      <c r="Y23" s="47">
        <v>3</v>
      </c>
      <c r="AB23" s="47">
        <v>8</v>
      </c>
      <c r="AC23" s="47">
        <v>4</v>
      </c>
      <c r="AF23" s="47">
        <v>10</v>
      </c>
      <c r="AG23" s="47">
        <v>6</v>
      </c>
      <c r="AJ23" s="47">
        <v>2</v>
      </c>
      <c r="AK23" s="47">
        <v>5</v>
      </c>
      <c r="AN23" s="47">
        <v>6</v>
      </c>
      <c r="AO23" s="47">
        <v>3</v>
      </c>
      <c r="AR23" s="47">
        <v>10</v>
      </c>
      <c r="AS23" s="47">
        <v>12</v>
      </c>
      <c r="AV23" s="47">
        <v>12</v>
      </c>
      <c r="AW23" s="47">
        <v>14</v>
      </c>
      <c r="AZ23" s="47">
        <v>5</v>
      </c>
      <c r="BA23" s="47">
        <v>8</v>
      </c>
      <c r="BD23" s="47">
        <v>9</v>
      </c>
      <c r="BE23" s="47">
        <v>6</v>
      </c>
      <c r="BH23" s="47">
        <v>3</v>
      </c>
      <c r="BI23" s="47">
        <v>12</v>
      </c>
      <c r="BL23" s="47">
        <v>13</v>
      </c>
      <c r="BM23" s="47">
        <v>4</v>
      </c>
      <c r="BP23" s="47">
        <v>20</v>
      </c>
      <c r="BQ23" s="47">
        <v>16</v>
      </c>
    </row>
    <row r="24" spans="1:69" x14ac:dyDescent="0.2">
      <c r="L24" s="47">
        <v>2</v>
      </c>
      <c r="M24" s="47">
        <v>6</v>
      </c>
      <c r="O24" s="488"/>
      <c r="P24" s="47">
        <v>4</v>
      </c>
      <c r="Q24" s="47">
        <v>5</v>
      </c>
      <c r="S24" s="486" t="str">
        <f>Language!$E$18</f>
        <v>Hinspiele</v>
      </c>
      <c r="T24" s="47">
        <v>7</v>
      </c>
      <c r="U24" s="47">
        <v>6</v>
      </c>
      <c r="X24" s="47">
        <v>2</v>
      </c>
      <c r="Y24" s="47">
        <v>8</v>
      </c>
      <c r="AB24" s="47">
        <v>3</v>
      </c>
      <c r="AC24" s="47">
        <v>9</v>
      </c>
      <c r="AF24" s="47">
        <v>5</v>
      </c>
      <c r="AG24" s="47">
        <v>11</v>
      </c>
      <c r="AJ24" s="47">
        <v>4</v>
      </c>
      <c r="AK24" s="47">
        <v>3</v>
      </c>
      <c r="AN24" s="47">
        <v>4</v>
      </c>
      <c r="AO24" s="47">
        <v>5</v>
      </c>
      <c r="AR24" s="47">
        <v>13</v>
      </c>
      <c r="AS24" s="47">
        <v>9</v>
      </c>
      <c r="AV24" s="47">
        <v>15</v>
      </c>
      <c r="AW24" s="47">
        <v>11</v>
      </c>
      <c r="AZ24" s="47">
        <v>7</v>
      </c>
      <c r="BA24" s="47">
        <v>6</v>
      </c>
      <c r="BD24" s="47">
        <v>7</v>
      </c>
      <c r="BE24" s="47">
        <v>8</v>
      </c>
      <c r="BH24" s="47">
        <v>11</v>
      </c>
      <c r="BI24" s="47">
        <v>4</v>
      </c>
      <c r="BL24" s="47">
        <v>5</v>
      </c>
      <c r="BM24" s="47">
        <v>12</v>
      </c>
      <c r="BP24" s="47">
        <v>15</v>
      </c>
      <c r="BQ24" s="47">
        <v>2</v>
      </c>
    </row>
    <row r="25" spans="1:69" x14ac:dyDescent="0.2">
      <c r="L25" s="47">
        <v>1</v>
      </c>
      <c r="M25" s="47">
        <v>3</v>
      </c>
      <c r="O25" s="488"/>
      <c r="P25" s="47">
        <v>1</v>
      </c>
      <c r="Q25" s="47">
        <v>7</v>
      </c>
      <c r="S25" s="486"/>
      <c r="T25" s="47">
        <v>1</v>
      </c>
      <c r="U25" s="47">
        <v>2</v>
      </c>
      <c r="X25" s="47">
        <v>1</v>
      </c>
      <c r="Y25" s="47">
        <v>4</v>
      </c>
      <c r="AB25" s="47">
        <v>10</v>
      </c>
      <c r="AC25" s="47">
        <v>2</v>
      </c>
      <c r="AF25" s="47">
        <v>3</v>
      </c>
      <c r="AG25" s="47">
        <v>2</v>
      </c>
      <c r="AJ25" s="47">
        <v>1</v>
      </c>
      <c r="AK25" s="47">
        <v>8</v>
      </c>
      <c r="AN25" s="47">
        <v>1</v>
      </c>
      <c r="AO25" s="47">
        <v>10</v>
      </c>
      <c r="AR25" s="47">
        <v>8</v>
      </c>
      <c r="AS25" s="47">
        <v>14</v>
      </c>
      <c r="AV25" s="47">
        <v>2</v>
      </c>
      <c r="AW25" s="47">
        <v>9</v>
      </c>
      <c r="AZ25" s="47">
        <v>13</v>
      </c>
      <c r="BA25" s="47">
        <v>1</v>
      </c>
      <c r="BD25" s="47">
        <v>15</v>
      </c>
      <c r="BE25" s="47">
        <v>1</v>
      </c>
      <c r="BH25" s="47">
        <v>5</v>
      </c>
      <c r="BI25" s="47">
        <v>10</v>
      </c>
      <c r="BL25" s="47">
        <v>11</v>
      </c>
      <c r="BM25" s="47">
        <v>6</v>
      </c>
      <c r="BP25" s="47">
        <v>3</v>
      </c>
      <c r="BQ25" s="47">
        <v>14</v>
      </c>
    </row>
    <row r="26" spans="1:69" x14ac:dyDescent="0.2">
      <c r="L26" s="47">
        <v>4</v>
      </c>
      <c r="M26" s="47">
        <v>2</v>
      </c>
      <c r="O26" s="488"/>
      <c r="P26" s="47">
        <v>5</v>
      </c>
      <c r="Q26" s="47">
        <v>2</v>
      </c>
      <c r="S26" s="486"/>
      <c r="T26" s="47">
        <v>8</v>
      </c>
      <c r="U26" s="47">
        <v>3</v>
      </c>
      <c r="X26" s="47">
        <v>3</v>
      </c>
      <c r="Y26" s="47">
        <v>5</v>
      </c>
      <c r="AB26" s="47">
        <v>5</v>
      </c>
      <c r="AC26" s="47">
        <v>1</v>
      </c>
      <c r="AF26" s="47">
        <v>7</v>
      </c>
      <c r="AG26" s="47">
        <v>1</v>
      </c>
      <c r="AJ26" s="47">
        <v>7</v>
      </c>
      <c r="AK26" s="47">
        <v>9</v>
      </c>
      <c r="AN26" s="47">
        <v>9</v>
      </c>
      <c r="AO26" s="47">
        <v>11</v>
      </c>
      <c r="AR26" s="47">
        <v>2</v>
      </c>
      <c r="AS26" s="47">
        <v>7</v>
      </c>
      <c r="AV26" s="47">
        <v>8</v>
      </c>
      <c r="AW26" s="47">
        <v>3</v>
      </c>
      <c r="AZ26" s="47">
        <v>12</v>
      </c>
      <c r="BA26" s="47">
        <v>14</v>
      </c>
      <c r="BD26" s="47">
        <v>14</v>
      </c>
      <c r="BE26" s="47">
        <v>16</v>
      </c>
      <c r="BH26" s="47">
        <v>9</v>
      </c>
      <c r="BI26" s="47">
        <v>6</v>
      </c>
      <c r="BL26" s="47">
        <v>7</v>
      </c>
      <c r="BM26" s="47">
        <v>10</v>
      </c>
      <c r="BP26" s="47">
        <v>13</v>
      </c>
      <c r="BQ26" s="47">
        <v>4</v>
      </c>
    </row>
    <row r="27" spans="1:69" x14ac:dyDescent="0.2">
      <c r="L27" s="47">
        <v>6</v>
      </c>
      <c r="M27" s="47">
        <v>5</v>
      </c>
      <c r="P27" s="47">
        <v>3</v>
      </c>
      <c r="Q27" s="47">
        <v>4</v>
      </c>
      <c r="S27" s="486"/>
      <c r="T27" s="47">
        <v>4</v>
      </c>
      <c r="U27" s="47">
        <v>7</v>
      </c>
      <c r="X27" s="47">
        <v>6</v>
      </c>
      <c r="Y27" s="47">
        <v>2</v>
      </c>
      <c r="AB27" s="47">
        <v>4</v>
      </c>
      <c r="AC27" s="47">
        <v>6</v>
      </c>
      <c r="AF27" s="47">
        <v>6</v>
      </c>
      <c r="AG27" s="47">
        <v>8</v>
      </c>
      <c r="AJ27" s="47">
        <v>10</v>
      </c>
      <c r="AK27" s="47">
        <v>6</v>
      </c>
      <c r="AN27" s="47">
        <v>12</v>
      </c>
      <c r="AO27" s="47">
        <v>8</v>
      </c>
      <c r="AR27" s="47">
        <v>6</v>
      </c>
      <c r="AS27" s="47">
        <v>3</v>
      </c>
      <c r="AV27" s="47">
        <v>4</v>
      </c>
      <c r="AW27" s="47">
        <v>7</v>
      </c>
      <c r="AZ27" s="47">
        <v>15</v>
      </c>
      <c r="BA27" s="47">
        <v>11</v>
      </c>
      <c r="BD27" s="47">
        <v>17</v>
      </c>
      <c r="BE27" s="47">
        <v>13</v>
      </c>
      <c r="BH27" s="47">
        <v>7</v>
      </c>
      <c r="BI27" s="47">
        <v>8</v>
      </c>
      <c r="BL27" s="47">
        <v>9</v>
      </c>
      <c r="BM27" s="47">
        <v>8</v>
      </c>
      <c r="BP27" s="47">
        <v>5</v>
      </c>
      <c r="BQ27" s="47">
        <v>12</v>
      </c>
    </row>
    <row r="28" spans="1:69" ht="13.5" thickBot="1" x14ac:dyDescent="0.25">
      <c r="L28" s="47">
        <v>2</v>
      </c>
      <c r="M28" s="47">
        <v>1</v>
      </c>
      <c r="P28" s="47">
        <v>6</v>
      </c>
      <c r="Q28" s="47">
        <v>1</v>
      </c>
      <c r="S28" s="487"/>
      <c r="T28" s="47">
        <v>6</v>
      </c>
      <c r="U28" s="47">
        <v>5</v>
      </c>
      <c r="X28" s="47">
        <v>8</v>
      </c>
      <c r="Y28" s="47">
        <v>9</v>
      </c>
      <c r="AB28" s="47">
        <v>7</v>
      </c>
      <c r="AC28" s="47">
        <v>3</v>
      </c>
      <c r="AF28" s="47">
        <v>9</v>
      </c>
      <c r="AG28" s="47">
        <v>5</v>
      </c>
      <c r="AJ28" s="47">
        <v>5</v>
      </c>
      <c r="AK28" s="47">
        <v>11</v>
      </c>
      <c r="AN28" s="47">
        <v>7</v>
      </c>
      <c r="AO28" s="47">
        <v>13</v>
      </c>
      <c r="AR28" s="47">
        <v>4</v>
      </c>
      <c r="AS28" s="47">
        <v>5</v>
      </c>
      <c r="AV28" s="47">
        <v>6</v>
      </c>
      <c r="AW28" s="47">
        <v>5</v>
      </c>
      <c r="AZ28" s="47">
        <v>10</v>
      </c>
      <c r="BA28" s="47">
        <v>16</v>
      </c>
      <c r="BD28" s="47">
        <v>2</v>
      </c>
      <c r="BE28" s="47">
        <v>11</v>
      </c>
      <c r="BH28" s="47">
        <v>15</v>
      </c>
      <c r="BI28" s="47">
        <v>1</v>
      </c>
      <c r="BL28" s="47">
        <v>17</v>
      </c>
      <c r="BM28" s="47">
        <v>1</v>
      </c>
      <c r="BP28" s="47">
        <v>11</v>
      </c>
      <c r="BQ28" s="47">
        <v>6</v>
      </c>
    </row>
    <row r="29" spans="1:69" x14ac:dyDescent="0.2">
      <c r="L29" s="47">
        <v>3</v>
      </c>
      <c r="M29" s="47">
        <v>6</v>
      </c>
      <c r="P29" s="47">
        <v>7</v>
      </c>
      <c r="Q29" s="47">
        <v>5</v>
      </c>
      <c r="S29" s="488" t="str">
        <f>Language!$E$19</f>
        <v>Rückspiele</v>
      </c>
      <c r="T29" s="47">
        <v>8</v>
      </c>
      <c r="U29" s="47">
        <v>1</v>
      </c>
      <c r="X29" s="47">
        <v>3</v>
      </c>
      <c r="Y29" s="47">
        <v>1</v>
      </c>
      <c r="AB29" s="47">
        <v>2</v>
      </c>
      <c r="AC29" s="47">
        <v>8</v>
      </c>
      <c r="AF29" s="47">
        <v>4</v>
      </c>
      <c r="AG29" s="47">
        <v>10</v>
      </c>
      <c r="AJ29" s="47">
        <v>12</v>
      </c>
      <c r="AK29" s="47">
        <v>4</v>
      </c>
      <c r="AN29" s="47">
        <v>5</v>
      </c>
      <c r="AO29" s="47">
        <v>2</v>
      </c>
      <c r="AR29" s="47">
        <v>1</v>
      </c>
      <c r="AS29" s="47">
        <v>10</v>
      </c>
      <c r="AV29" s="47">
        <v>1</v>
      </c>
      <c r="AW29" s="47">
        <v>12</v>
      </c>
      <c r="AZ29" s="47">
        <v>2</v>
      </c>
      <c r="BA29" s="47">
        <v>9</v>
      </c>
      <c r="BD29" s="47">
        <v>10</v>
      </c>
      <c r="BE29" s="47">
        <v>3</v>
      </c>
      <c r="BH29" s="47">
        <v>14</v>
      </c>
      <c r="BI29" s="47">
        <v>16</v>
      </c>
      <c r="BL29" s="47">
        <v>16</v>
      </c>
      <c r="BM29" s="47">
        <v>18</v>
      </c>
      <c r="BP29" s="47">
        <v>7</v>
      </c>
      <c r="BQ29" s="47">
        <v>10</v>
      </c>
    </row>
    <row r="30" spans="1:69" x14ac:dyDescent="0.2">
      <c r="L30" s="47">
        <v>5</v>
      </c>
      <c r="M30" s="47">
        <v>4</v>
      </c>
      <c r="P30" s="47">
        <v>2</v>
      </c>
      <c r="Q30" s="47">
        <v>3</v>
      </c>
      <c r="S30" s="488"/>
      <c r="T30" s="47">
        <v>2</v>
      </c>
      <c r="U30" s="47">
        <v>7</v>
      </c>
      <c r="X30" s="47">
        <v>2</v>
      </c>
      <c r="Y30" s="47">
        <v>4</v>
      </c>
      <c r="AB30" s="47">
        <v>9</v>
      </c>
      <c r="AC30" s="47">
        <v>10</v>
      </c>
      <c r="AF30" s="47">
        <v>11</v>
      </c>
      <c r="AG30" s="47">
        <v>3</v>
      </c>
      <c r="AJ30" s="47">
        <v>3</v>
      </c>
      <c r="AK30" s="47">
        <v>2</v>
      </c>
      <c r="AN30" s="47">
        <v>3</v>
      </c>
      <c r="AO30" s="47">
        <v>4</v>
      </c>
      <c r="AR30" s="47">
        <v>9</v>
      </c>
      <c r="AS30" s="47">
        <v>11</v>
      </c>
      <c r="AV30" s="47">
        <v>11</v>
      </c>
      <c r="AW30" s="47">
        <v>13</v>
      </c>
      <c r="AZ30" s="47">
        <v>8</v>
      </c>
      <c r="BA30" s="47">
        <v>3</v>
      </c>
      <c r="BD30" s="47">
        <v>4</v>
      </c>
      <c r="BE30" s="47">
        <v>9</v>
      </c>
      <c r="BH30" s="47">
        <v>17</v>
      </c>
      <c r="BI30" s="47">
        <v>13</v>
      </c>
      <c r="BL30" s="47">
        <v>19</v>
      </c>
      <c r="BM30" s="47">
        <v>15</v>
      </c>
      <c r="BP30" s="47">
        <v>9</v>
      </c>
      <c r="BQ30" s="47">
        <v>8</v>
      </c>
    </row>
    <row r="31" spans="1:69" x14ac:dyDescent="0.2">
      <c r="P31" s="47">
        <v>1</v>
      </c>
      <c r="Q31" s="47">
        <v>5</v>
      </c>
      <c r="S31" s="488"/>
      <c r="T31" s="47">
        <v>6</v>
      </c>
      <c r="U31" s="47">
        <v>3</v>
      </c>
      <c r="X31" s="47">
        <v>9</v>
      </c>
      <c r="Y31" s="47">
        <v>6</v>
      </c>
      <c r="AB31" s="47">
        <v>1</v>
      </c>
      <c r="AC31" s="47">
        <v>4</v>
      </c>
      <c r="AF31" s="47">
        <v>1</v>
      </c>
      <c r="AG31" s="47">
        <v>6</v>
      </c>
      <c r="AJ31" s="47">
        <v>7</v>
      </c>
      <c r="AK31" s="47">
        <v>1</v>
      </c>
      <c r="AN31" s="47">
        <v>9</v>
      </c>
      <c r="AO31" s="47">
        <v>1</v>
      </c>
      <c r="AR31" s="47">
        <v>12</v>
      </c>
      <c r="AS31" s="47">
        <v>8</v>
      </c>
      <c r="AV31" s="47">
        <v>14</v>
      </c>
      <c r="AW31" s="47">
        <v>10</v>
      </c>
      <c r="AZ31" s="47">
        <v>4</v>
      </c>
      <c r="BA31" s="47">
        <v>7</v>
      </c>
      <c r="BD31" s="47">
        <v>8</v>
      </c>
      <c r="BE31" s="47">
        <v>5</v>
      </c>
      <c r="BH31" s="47">
        <v>12</v>
      </c>
      <c r="BI31" s="47">
        <v>18</v>
      </c>
      <c r="BL31" s="47">
        <v>2</v>
      </c>
      <c r="BM31" s="47">
        <v>13</v>
      </c>
      <c r="BP31" s="47">
        <v>17</v>
      </c>
      <c r="BQ31" s="47">
        <v>1</v>
      </c>
    </row>
    <row r="32" spans="1:69" x14ac:dyDescent="0.2">
      <c r="P32" s="47">
        <v>6</v>
      </c>
      <c r="Q32" s="47">
        <v>4</v>
      </c>
      <c r="S32" s="488"/>
      <c r="T32" s="47">
        <v>4</v>
      </c>
      <c r="U32" s="47">
        <v>5</v>
      </c>
      <c r="W32" s="486" t="str">
        <f>Language!$E$18</f>
        <v>Hinspiele</v>
      </c>
      <c r="X32" s="47">
        <v>7</v>
      </c>
      <c r="Y32" s="47">
        <v>8</v>
      </c>
      <c r="AB32" s="47">
        <v>3</v>
      </c>
      <c r="AC32" s="47">
        <v>5</v>
      </c>
      <c r="AF32" s="47">
        <v>5</v>
      </c>
      <c r="AG32" s="47">
        <v>7</v>
      </c>
      <c r="AJ32" s="47">
        <v>6</v>
      </c>
      <c r="AK32" s="47">
        <v>8</v>
      </c>
      <c r="AN32" s="47">
        <v>8</v>
      </c>
      <c r="AO32" s="47">
        <v>10</v>
      </c>
      <c r="AR32" s="47">
        <v>7</v>
      </c>
      <c r="AS32" s="47">
        <v>13</v>
      </c>
      <c r="AV32" s="47">
        <v>9</v>
      </c>
      <c r="AW32" s="47">
        <v>15</v>
      </c>
      <c r="AZ32" s="47">
        <v>6</v>
      </c>
      <c r="BA32" s="47">
        <v>5</v>
      </c>
      <c r="BD32" s="47">
        <v>6</v>
      </c>
      <c r="BE32" s="47">
        <v>7</v>
      </c>
      <c r="BH32" s="47">
        <v>2</v>
      </c>
      <c r="BI32" s="47">
        <v>11</v>
      </c>
      <c r="BL32" s="47">
        <v>12</v>
      </c>
      <c r="BM32" s="47">
        <v>3</v>
      </c>
      <c r="BP32" s="47">
        <v>16</v>
      </c>
      <c r="BQ32" s="47">
        <v>18</v>
      </c>
    </row>
    <row r="33" spans="16:69" x14ac:dyDescent="0.2">
      <c r="P33" s="47">
        <v>3</v>
      </c>
      <c r="Q33" s="47">
        <v>7</v>
      </c>
      <c r="S33" s="488"/>
      <c r="T33" s="47">
        <v>1</v>
      </c>
      <c r="U33" s="47">
        <v>7</v>
      </c>
      <c r="W33" s="486"/>
      <c r="X33" s="47">
        <v>1</v>
      </c>
      <c r="Y33" s="47">
        <v>2</v>
      </c>
      <c r="AB33" s="47">
        <v>6</v>
      </c>
      <c r="AC33" s="47">
        <v>2</v>
      </c>
      <c r="AF33" s="47">
        <v>8</v>
      </c>
      <c r="AG33" s="47">
        <v>4</v>
      </c>
      <c r="AJ33" s="47">
        <v>9</v>
      </c>
      <c r="AK33" s="47">
        <v>5</v>
      </c>
      <c r="AN33" s="47">
        <v>11</v>
      </c>
      <c r="AO33" s="47">
        <v>7</v>
      </c>
      <c r="AR33" s="47">
        <v>14</v>
      </c>
      <c r="AS33" s="47">
        <v>6</v>
      </c>
      <c r="AV33" s="47">
        <v>7</v>
      </c>
      <c r="AW33" s="47">
        <v>2</v>
      </c>
      <c r="AZ33" s="47">
        <v>1</v>
      </c>
      <c r="BA33" s="47">
        <v>12</v>
      </c>
      <c r="BD33" s="47">
        <v>1</v>
      </c>
      <c r="BE33" s="47">
        <v>14</v>
      </c>
      <c r="BH33" s="47">
        <v>10</v>
      </c>
      <c r="BI33" s="47">
        <v>3</v>
      </c>
      <c r="BL33" s="47">
        <v>4</v>
      </c>
      <c r="BM33" s="47">
        <v>11</v>
      </c>
      <c r="BP33" s="47">
        <v>19</v>
      </c>
      <c r="BQ33" s="47">
        <v>15</v>
      </c>
    </row>
    <row r="34" spans="16:69" x14ac:dyDescent="0.2">
      <c r="P34" s="47">
        <v>4</v>
      </c>
      <c r="Q34" s="47">
        <v>1</v>
      </c>
      <c r="T34" s="47">
        <v>8</v>
      </c>
      <c r="U34" s="47">
        <v>6</v>
      </c>
      <c r="W34" s="486"/>
      <c r="X34" s="47">
        <v>4</v>
      </c>
      <c r="Y34" s="47">
        <v>9</v>
      </c>
      <c r="AB34" s="47">
        <v>10</v>
      </c>
      <c r="AC34" s="47">
        <v>7</v>
      </c>
      <c r="AF34" s="47">
        <v>3</v>
      </c>
      <c r="AG34" s="47">
        <v>9</v>
      </c>
      <c r="AJ34" s="47">
        <v>4</v>
      </c>
      <c r="AK34" s="47">
        <v>10</v>
      </c>
      <c r="AN34" s="47">
        <v>6</v>
      </c>
      <c r="AO34" s="47">
        <v>12</v>
      </c>
      <c r="AR34" s="47">
        <v>5</v>
      </c>
      <c r="AS34" s="47">
        <v>2</v>
      </c>
      <c r="AV34" s="47">
        <v>3</v>
      </c>
      <c r="AW34" s="47">
        <v>6</v>
      </c>
      <c r="AZ34" s="47">
        <v>11</v>
      </c>
      <c r="BA34" s="47">
        <v>13</v>
      </c>
      <c r="BD34" s="47">
        <v>13</v>
      </c>
      <c r="BE34" s="47">
        <v>15</v>
      </c>
      <c r="BH34" s="47">
        <v>4</v>
      </c>
      <c r="BI34" s="47">
        <v>9</v>
      </c>
      <c r="BL34" s="47">
        <v>10</v>
      </c>
      <c r="BM34" s="47">
        <v>5</v>
      </c>
      <c r="BP34" s="47">
        <v>14</v>
      </c>
      <c r="BQ34" s="47">
        <v>20</v>
      </c>
    </row>
    <row r="35" spans="16:69" x14ac:dyDescent="0.2">
      <c r="P35" s="47">
        <v>5</v>
      </c>
      <c r="Q35" s="47">
        <v>3</v>
      </c>
      <c r="T35" s="47">
        <v>5</v>
      </c>
      <c r="U35" s="47">
        <v>2</v>
      </c>
      <c r="W35" s="486"/>
      <c r="X35" s="47">
        <v>8</v>
      </c>
      <c r="Y35" s="47">
        <v>5</v>
      </c>
      <c r="AB35" s="47">
        <v>8</v>
      </c>
      <c r="AC35" s="47">
        <v>9</v>
      </c>
      <c r="AF35" s="47">
        <v>10</v>
      </c>
      <c r="AG35" s="47">
        <v>2</v>
      </c>
      <c r="AJ35" s="47">
        <v>11</v>
      </c>
      <c r="AK35" s="47">
        <v>3</v>
      </c>
      <c r="AN35" s="47">
        <v>13</v>
      </c>
      <c r="AO35" s="47">
        <v>5</v>
      </c>
      <c r="AR35" s="47">
        <v>3</v>
      </c>
      <c r="AS35" s="47">
        <v>4</v>
      </c>
      <c r="AV35" s="47">
        <v>5</v>
      </c>
      <c r="AW35" s="47">
        <v>4</v>
      </c>
      <c r="AZ35" s="47">
        <v>14</v>
      </c>
      <c r="BA35" s="47">
        <v>10</v>
      </c>
      <c r="BD35" s="47">
        <v>16</v>
      </c>
      <c r="BE35" s="47">
        <v>12</v>
      </c>
      <c r="BH35" s="47">
        <v>8</v>
      </c>
      <c r="BI35" s="47">
        <v>5</v>
      </c>
      <c r="BL35" s="47">
        <v>6</v>
      </c>
      <c r="BM35" s="47">
        <v>9</v>
      </c>
      <c r="BP35" s="47">
        <v>2</v>
      </c>
      <c r="BQ35" s="47">
        <v>13</v>
      </c>
    </row>
    <row r="36" spans="16:69" ht="13.5" thickBot="1" x14ac:dyDescent="0.25">
      <c r="P36" s="47">
        <v>2</v>
      </c>
      <c r="Q36" s="47">
        <v>6</v>
      </c>
      <c r="T36" s="47">
        <v>3</v>
      </c>
      <c r="U36" s="47">
        <v>4</v>
      </c>
      <c r="W36" s="487"/>
      <c r="X36" s="47">
        <v>6</v>
      </c>
      <c r="Y36" s="47">
        <v>7</v>
      </c>
      <c r="AB36" s="47">
        <v>3</v>
      </c>
      <c r="AC36" s="47">
        <v>1</v>
      </c>
      <c r="AF36" s="47">
        <v>5</v>
      </c>
      <c r="AG36" s="47">
        <v>1</v>
      </c>
      <c r="AJ36" s="47">
        <v>2</v>
      </c>
      <c r="AK36" s="47">
        <v>12</v>
      </c>
      <c r="AN36" s="47">
        <v>2</v>
      </c>
      <c r="AO36" s="47">
        <v>3</v>
      </c>
      <c r="AR36" s="47">
        <v>9</v>
      </c>
      <c r="AS36" s="47">
        <v>1</v>
      </c>
      <c r="AV36" s="47">
        <v>11</v>
      </c>
      <c r="AW36" s="47">
        <v>1</v>
      </c>
      <c r="AZ36" s="47">
        <v>9</v>
      </c>
      <c r="BA36" s="47">
        <v>15</v>
      </c>
      <c r="BD36" s="47">
        <v>11</v>
      </c>
      <c r="BE36" s="47">
        <v>17</v>
      </c>
      <c r="BH36" s="47">
        <v>6</v>
      </c>
      <c r="BI36" s="47">
        <v>7</v>
      </c>
      <c r="BL36" s="47">
        <v>8</v>
      </c>
      <c r="BM36" s="47">
        <v>7</v>
      </c>
      <c r="BP36" s="47">
        <v>12</v>
      </c>
      <c r="BQ36" s="47">
        <v>3</v>
      </c>
    </row>
    <row r="37" spans="16:69" x14ac:dyDescent="0.2">
      <c r="P37" s="47">
        <v>1</v>
      </c>
      <c r="Q37" s="47">
        <v>3</v>
      </c>
      <c r="T37" s="47">
        <v>6</v>
      </c>
      <c r="U37" s="47">
        <v>1</v>
      </c>
      <c r="W37" s="488" t="str">
        <f>Language!$E$19</f>
        <v>Rückspiele</v>
      </c>
      <c r="X37" s="47">
        <v>2</v>
      </c>
      <c r="Y37" s="47">
        <v>9</v>
      </c>
      <c r="AB37" s="47">
        <v>2</v>
      </c>
      <c r="AC37" s="47">
        <v>4</v>
      </c>
      <c r="AF37" s="47">
        <v>4</v>
      </c>
      <c r="AG37" s="47">
        <v>6</v>
      </c>
      <c r="AJ37" s="47">
        <v>1</v>
      </c>
      <c r="AK37" s="47">
        <v>6</v>
      </c>
      <c r="AN37" s="47">
        <v>1</v>
      </c>
      <c r="AO37" s="47">
        <v>8</v>
      </c>
      <c r="AR37" s="47">
        <v>8</v>
      </c>
      <c r="AS37" s="47">
        <v>10</v>
      </c>
      <c r="AV37" s="47">
        <v>10</v>
      </c>
      <c r="AW37" s="47">
        <v>12</v>
      </c>
      <c r="AZ37" s="47">
        <v>16</v>
      </c>
      <c r="BA37" s="47">
        <v>8</v>
      </c>
      <c r="BD37" s="47">
        <v>9</v>
      </c>
      <c r="BE37" s="47">
        <v>2</v>
      </c>
      <c r="BH37" s="47">
        <v>1</v>
      </c>
      <c r="BI37" s="47">
        <v>14</v>
      </c>
      <c r="BL37" s="47">
        <v>1</v>
      </c>
      <c r="BM37" s="47">
        <v>16</v>
      </c>
      <c r="BP37" s="47">
        <v>4</v>
      </c>
      <c r="BQ37" s="47">
        <v>11</v>
      </c>
    </row>
    <row r="38" spans="16:69" x14ac:dyDescent="0.2">
      <c r="P38" s="47">
        <v>4</v>
      </c>
      <c r="Q38" s="47">
        <v>2</v>
      </c>
      <c r="T38" s="47">
        <v>7</v>
      </c>
      <c r="U38" s="47">
        <v>5</v>
      </c>
      <c r="W38" s="488"/>
      <c r="X38" s="47">
        <v>8</v>
      </c>
      <c r="Y38" s="47">
        <v>3</v>
      </c>
      <c r="AB38" s="47">
        <v>5</v>
      </c>
      <c r="AC38" s="47">
        <v>10</v>
      </c>
      <c r="AF38" s="47">
        <v>7</v>
      </c>
      <c r="AG38" s="47">
        <v>3</v>
      </c>
      <c r="AJ38" s="47">
        <v>5</v>
      </c>
      <c r="AK38" s="47">
        <v>7</v>
      </c>
      <c r="AN38" s="47">
        <v>7</v>
      </c>
      <c r="AO38" s="47">
        <v>9</v>
      </c>
      <c r="AR38" s="47">
        <v>11</v>
      </c>
      <c r="AS38" s="47">
        <v>7</v>
      </c>
      <c r="AV38" s="47">
        <v>13</v>
      </c>
      <c r="AW38" s="47">
        <v>9</v>
      </c>
      <c r="AZ38" s="47">
        <v>7</v>
      </c>
      <c r="BA38" s="47">
        <v>2</v>
      </c>
      <c r="BD38" s="47">
        <v>3</v>
      </c>
      <c r="BE38" s="47">
        <v>8</v>
      </c>
      <c r="BH38" s="47">
        <v>13</v>
      </c>
      <c r="BI38" s="47">
        <v>15</v>
      </c>
      <c r="BL38" s="47">
        <v>15</v>
      </c>
      <c r="BM38" s="47">
        <v>17</v>
      </c>
      <c r="BP38" s="47">
        <v>10</v>
      </c>
      <c r="BQ38" s="47">
        <v>5</v>
      </c>
    </row>
    <row r="39" spans="16:69" x14ac:dyDescent="0.2">
      <c r="P39" s="47">
        <v>6</v>
      </c>
      <c r="Q39" s="47">
        <v>7</v>
      </c>
      <c r="T39" s="47">
        <v>4</v>
      </c>
      <c r="U39" s="47">
        <v>8</v>
      </c>
      <c r="W39" s="488"/>
      <c r="X39" s="47">
        <v>4</v>
      </c>
      <c r="Y39" s="47">
        <v>7</v>
      </c>
      <c r="AB39" s="47">
        <v>9</v>
      </c>
      <c r="AC39" s="47">
        <v>6</v>
      </c>
      <c r="AF39" s="47">
        <v>2</v>
      </c>
      <c r="AG39" s="47">
        <v>8</v>
      </c>
      <c r="AJ39" s="47">
        <v>8</v>
      </c>
      <c r="AK39" s="47">
        <v>4</v>
      </c>
      <c r="AN39" s="47">
        <v>10</v>
      </c>
      <c r="AO39" s="47">
        <v>6</v>
      </c>
      <c r="AR39" s="47">
        <v>6</v>
      </c>
      <c r="AS39" s="47">
        <v>12</v>
      </c>
      <c r="AV39" s="47">
        <v>8</v>
      </c>
      <c r="AW39" s="47">
        <v>14</v>
      </c>
      <c r="AZ39" s="47">
        <v>3</v>
      </c>
      <c r="BA39" s="47">
        <v>6</v>
      </c>
      <c r="BD39" s="47">
        <v>7</v>
      </c>
      <c r="BE39" s="47">
        <v>4</v>
      </c>
      <c r="BH39" s="47">
        <v>16</v>
      </c>
      <c r="BI39" s="47">
        <v>12</v>
      </c>
      <c r="BL39" s="47">
        <v>18</v>
      </c>
      <c r="BM39" s="47">
        <v>14</v>
      </c>
      <c r="BP39" s="47">
        <v>6</v>
      </c>
      <c r="BQ39" s="47">
        <v>9</v>
      </c>
    </row>
    <row r="40" spans="16:69" x14ac:dyDescent="0.2">
      <c r="P40" s="47">
        <v>2</v>
      </c>
      <c r="Q40" s="47">
        <v>1</v>
      </c>
      <c r="T40" s="47">
        <v>2</v>
      </c>
      <c r="U40" s="47">
        <v>3</v>
      </c>
      <c r="W40" s="488"/>
      <c r="X40" s="47">
        <v>6</v>
      </c>
      <c r="Y40" s="47">
        <v>5</v>
      </c>
      <c r="AB40" s="47">
        <v>7</v>
      </c>
      <c r="AC40" s="47">
        <v>8</v>
      </c>
      <c r="AF40" s="47">
        <v>11</v>
      </c>
      <c r="AG40" s="47">
        <v>10</v>
      </c>
      <c r="AJ40" s="47">
        <v>3</v>
      </c>
      <c r="AK40" s="47">
        <v>9</v>
      </c>
      <c r="AN40" s="47">
        <v>5</v>
      </c>
      <c r="AO40" s="47">
        <v>11</v>
      </c>
      <c r="AR40" s="47">
        <v>13</v>
      </c>
      <c r="AS40" s="47">
        <v>5</v>
      </c>
      <c r="AV40" s="47">
        <v>15</v>
      </c>
      <c r="AW40" s="47">
        <v>7</v>
      </c>
      <c r="AZ40" s="47">
        <v>5</v>
      </c>
      <c r="BA40" s="47">
        <v>4</v>
      </c>
      <c r="BD40" s="47">
        <v>5</v>
      </c>
      <c r="BE40" s="47">
        <v>6</v>
      </c>
      <c r="BH40" s="47">
        <v>11</v>
      </c>
      <c r="BI40" s="47">
        <v>17</v>
      </c>
      <c r="BL40" s="47">
        <v>13</v>
      </c>
      <c r="BM40" s="47">
        <v>19</v>
      </c>
      <c r="BP40" s="47">
        <v>8</v>
      </c>
      <c r="BQ40" s="47">
        <v>7</v>
      </c>
    </row>
    <row r="41" spans="16:69" x14ac:dyDescent="0.2">
      <c r="P41" s="47">
        <v>7</v>
      </c>
      <c r="Q41" s="47">
        <v>4</v>
      </c>
      <c r="T41" s="47">
        <v>1</v>
      </c>
      <c r="U41" s="47">
        <v>5</v>
      </c>
      <c r="W41" s="488"/>
      <c r="X41" s="47">
        <v>1</v>
      </c>
      <c r="Y41" s="47">
        <v>9</v>
      </c>
      <c r="AA41" s="486" t="str">
        <f>Language!$E$18</f>
        <v>Hinspiele</v>
      </c>
      <c r="AB41" s="47">
        <v>1</v>
      </c>
      <c r="AC41" s="47">
        <v>2</v>
      </c>
      <c r="AF41" s="47">
        <v>1</v>
      </c>
      <c r="AG41" s="47">
        <v>4</v>
      </c>
      <c r="AJ41" s="47">
        <v>10</v>
      </c>
      <c r="AK41" s="47">
        <v>2</v>
      </c>
      <c r="AN41" s="47">
        <v>12</v>
      </c>
      <c r="AO41" s="47">
        <v>4</v>
      </c>
      <c r="AR41" s="47">
        <v>4</v>
      </c>
      <c r="AS41" s="47">
        <v>14</v>
      </c>
      <c r="AV41" s="47">
        <v>2</v>
      </c>
      <c r="AW41" s="47">
        <v>5</v>
      </c>
      <c r="AZ41" s="47">
        <v>11</v>
      </c>
      <c r="BA41" s="47">
        <v>1</v>
      </c>
      <c r="BD41" s="47">
        <v>13</v>
      </c>
      <c r="BE41" s="47">
        <v>1</v>
      </c>
      <c r="BH41" s="47">
        <v>18</v>
      </c>
      <c r="BI41" s="47">
        <v>10</v>
      </c>
      <c r="BL41" s="47">
        <v>11</v>
      </c>
      <c r="BM41" s="47">
        <v>2</v>
      </c>
      <c r="BP41" s="47">
        <v>1</v>
      </c>
      <c r="BQ41" s="47">
        <v>16</v>
      </c>
    </row>
    <row r="42" spans="16:69" x14ac:dyDescent="0.2">
      <c r="P42" s="47">
        <v>5</v>
      </c>
      <c r="Q42" s="47">
        <v>6</v>
      </c>
      <c r="T42" s="47">
        <v>6</v>
      </c>
      <c r="U42" s="47">
        <v>4</v>
      </c>
      <c r="X42" s="47">
        <v>7</v>
      </c>
      <c r="Y42" s="47">
        <v>2</v>
      </c>
      <c r="AA42" s="486"/>
      <c r="AB42" s="47">
        <v>10</v>
      </c>
      <c r="AC42" s="47">
        <v>3</v>
      </c>
      <c r="AF42" s="47">
        <v>3</v>
      </c>
      <c r="AG42" s="47">
        <v>5</v>
      </c>
      <c r="AJ42" s="47">
        <v>12</v>
      </c>
      <c r="AK42" s="47">
        <v>11</v>
      </c>
      <c r="AN42" s="47">
        <v>3</v>
      </c>
      <c r="AO42" s="47">
        <v>13</v>
      </c>
      <c r="AR42" s="47">
        <v>2</v>
      </c>
      <c r="AS42" s="47">
        <v>3</v>
      </c>
      <c r="AV42" s="47">
        <v>4</v>
      </c>
      <c r="AW42" s="47">
        <v>3</v>
      </c>
      <c r="AZ42" s="47">
        <v>10</v>
      </c>
      <c r="BA42" s="47">
        <v>12</v>
      </c>
      <c r="BD42" s="47">
        <v>12</v>
      </c>
      <c r="BE42" s="47">
        <v>14</v>
      </c>
      <c r="BH42" s="47">
        <v>9</v>
      </c>
      <c r="BI42" s="47">
        <v>2</v>
      </c>
      <c r="BL42" s="47">
        <v>3</v>
      </c>
      <c r="BM42" s="47">
        <v>10</v>
      </c>
      <c r="BP42" s="47">
        <v>15</v>
      </c>
      <c r="BQ42" s="47">
        <v>17</v>
      </c>
    </row>
    <row r="43" spans="16:69" x14ac:dyDescent="0.2">
      <c r="T43" s="47">
        <v>3</v>
      </c>
      <c r="U43" s="47">
        <v>7</v>
      </c>
      <c r="X43" s="47">
        <v>3</v>
      </c>
      <c r="Y43" s="47">
        <v>6</v>
      </c>
      <c r="AA43" s="486"/>
      <c r="AB43" s="47">
        <v>4</v>
      </c>
      <c r="AC43" s="47">
        <v>9</v>
      </c>
      <c r="AF43" s="47">
        <v>6</v>
      </c>
      <c r="AG43" s="47">
        <v>2</v>
      </c>
      <c r="AJ43" s="47">
        <v>5</v>
      </c>
      <c r="AK43" s="47">
        <v>1</v>
      </c>
      <c r="AN43" s="47">
        <v>7</v>
      </c>
      <c r="AO43" s="47">
        <v>1</v>
      </c>
      <c r="AR43" s="47">
        <v>1</v>
      </c>
      <c r="AS43" s="47">
        <v>8</v>
      </c>
      <c r="AV43" s="47">
        <v>1</v>
      </c>
      <c r="AW43" s="47">
        <v>10</v>
      </c>
      <c r="AZ43" s="47">
        <v>13</v>
      </c>
      <c r="BA43" s="47">
        <v>9</v>
      </c>
      <c r="BD43" s="47">
        <v>15</v>
      </c>
      <c r="BE43" s="47">
        <v>11</v>
      </c>
      <c r="BH43" s="47">
        <v>3</v>
      </c>
      <c r="BI43" s="47">
        <v>8</v>
      </c>
      <c r="BL43" s="47">
        <v>9</v>
      </c>
      <c r="BM43" s="47">
        <v>4</v>
      </c>
      <c r="BP43" s="47">
        <v>18</v>
      </c>
      <c r="BQ43" s="47">
        <v>14</v>
      </c>
    </row>
    <row r="44" spans="16:69" x14ac:dyDescent="0.2">
      <c r="T44" s="47">
        <v>8</v>
      </c>
      <c r="U44" s="47">
        <v>2</v>
      </c>
      <c r="X44" s="47">
        <v>5</v>
      </c>
      <c r="Y44" s="47">
        <v>4</v>
      </c>
      <c r="AA44" s="486"/>
      <c r="AB44" s="47">
        <v>8</v>
      </c>
      <c r="AC44" s="47">
        <v>5</v>
      </c>
      <c r="AF44" s="47">
        <v>8</v>
      </c>
      <c r="AG44" s="47">
        <v>11</v>
      </c>
      <c r="AJ44" s="47">
        <v>4</v>
      </c>
      <c r="AK44" s="47">
        <v>6</v>
      </c>
      <c r="AN44" s="47">
        <v>6</v>
      </c>
      <c r="AO44" s="47">
        <v>8</v>
      </c>
      <c r="AR44" s="47">
        <v>7</v>
      </c>
      <c r="AS44" s="47">
        <v>9</v>
      </c>
      <c r="AV44" s="47">
        <v>9</v>
      </c>
      <c r="AW44" s="47">
        <v>11</v>
      </c>
      <c r="AZ44" s="47">
        <v>8</v>
      </c>
      <c r="BA44" s="47">
        <v>14</v>
      </c>
      <c r="BD44" s="47">
        <v>10</v>
      </c>
      <c r="BE44" s="47">
        <v>16</v>
      </c>
      <c r="BH44" s="47">
        <v>7</v>
      </c>
      <c r="BI44" s="47">
        <v>4</v>
      </c>
      <c r="BL44" s="47">
        <v>5</v>
      </c>
      <c r="BM44" s="47">
        <v>8</v>
      </c>
      <c r="BP44" s="47">
        <v>13</v>
      </c>
      <c r="BQ44" s="47">
        <v>19</v>
      </c>
    </row>
    <row r="45" spans="16:69" ht="13.5" thickBot="1" x14ac:dyDescent="0.25">
      <c r="T45" s="47">
        <v>4</v>
      </c>
      <c r="U45" s="47">
        <v>1</v>
      </c>
      <c r="X45" s="47">
        <v>8</v>
      </c>
      <c r="Y45" s="47">
        <v>1</v>
      </c>
      <c r="AA45" s="487"/>
      <c r="AB45" s="47">
        <v>6</v>
      </c>
      <c r="AC45" s="47">
        <v>7</v>
      </c>
      <c r="AF45" s="47">
        <v>10</v>
      </c>
      <c r="AG45" s="47">
        <v>9</v>
      </c>
      <c r="AJ45" s="47">
        <v>7</v>
      </c>
      <c r="AK45" s="47">
        <v>3</v>
      </c>
      <c r="AN45" s="47">
        <v>9</v>
      </c>
      <c r="AO45" s="47">
        <v>5</v>
      </c>
      <c r="AR45" s="47">
        <v>10</v>
      </c>
      <c r="AS45" s="47">
        <v>6</v>
      </c>
      <c r="AV45" s="47">
        <v>12</v>
      </c>
      <c r="AW45" s="47">
        <v>8</v>
      </c>
      <c r="AZ45" s="47">
        <v>15</v>
      </c>
      <c r="BA45" s="47">
        <v>7</v>
      </c>
      <c r="BD45" s="47">
        <v>17</v>
      </c>
      <c r="BE45" s="47">
        <v>9</v>
      </c>
      <c r="BH45" s="47">
        <v>5</v>
      </c>
      <c r="BI45" s="47">
        <v>6</v>
      </c>
      <c r="BL45" s="47">
        <v>7</v>
      </c>
      <c r="BM45" s="47">
        <v>6</v>
      </c>
      <c r="BP45" s="47">
        <v>20</v>
      </c>
      <c r="BQ45" s="47">
        <v>12</v>
      </c>
    </row>
    <row r="46" spans="16:69" x14ac:dyDescent="0.2">
      <c r="T46" s="47">
        <v>5</v>
      </c>
      <c r="U46" s="47">
        <v>3</v>
      </c>
      <c r="X46" s="47">
        <v>9</v>
      </c>
      <c r="Y46" s="47">
        <v>7</v>
      </c>
      <c r="AA46" s="488" t="str">
        <f>Language!$E$19</f>
        <v>Rückspiele</v>
      </c>
      <c r="AB46" s="47">
        <v>10</v>
      </c>
      <c r="AC46" s="47">
        <v>1</v>
      </c>
      <c r="AF46" s="47">
        <v>3</v>
      </c>
      <c r="AG46" s="47">
        <v>1</v>
      </c>
      <c r="AJ46" s="47">
        <v>2</v>
      </c>
      <c r="AK46" s="47">
        <v>8</v>
      </c>
      <c r="AN46" s="47">
        <v>4</v>
      </c>
      <c r="AO46" s="47">
        <v>10</v>
      </c>
      <c r="AR46" s="47">
        <v>5</v>
      </c>
      <c r="AS46" s="47">
        <v>11</v>
      </c>
      <c r="AV46" s="47">
        <v>7</v>
      </c>
      <c r="AW46" s="47">
        <v>13</v>
      </c>
      <c r="AZ46" s="47">
        <v>6</v>
      </c>
      <c r="BA46" s="47">
        <v>16</v>
      </c>
      <c r="BD46" s="47">
        <v>2</v>
      </c>
      <c r="BE46" s="47">
        <v>7</v>
      </c>
      <c r="BH46" s="47">
        <v>13</v>
      </c>
      <c r="BI46" s="47">
        <v>1</v>
      </c>
      <c r="BL46" s="47">
        <v>15</v>
      </c>
      <c r="BM46" s="47">
        <v>1</v>
      </c>
      <c r="BP46" s="47">
        <v>11</v>
      </c>
      <c r="BQ46" s="47">
        <v>2</v>
      </c>
    </row>
    <row r="47" spans="16:69" x14ac:dyDescent="0.2">
      <c r="T47" s="47">
        <v>2</v>
      </c>
      <c r="U47" s="47">
        <v>6</v>
      </c>
      <c r="X47" s="47">
        <v>2</v>
      </c>
      <c r="Y47" s="47">
        <v>5</v>
      </c>
      <c r="AA47" s="488"/>
      <c r="AB47" s="47">
        <v>2</v>
      </c>
      <c r="AC47" s="47">
        <v>9</v>
      </c>
      <c r="AF47" s="47">
        <v>2</v>
      </c>
      <c r="AG47" s="47">
        <v>4</v>
      </c>
      <c r="AJ47" s="47">
        <v>9</v>
      </c>
      <c r="AK47" s="47">
        <v>12</v>
      </c>
      <c r="AN47" s="47">
        <v>11</v>
      </c>
      <c r="AO47" s="47">
        <v>3</v>
      </c>
      <c r="AR47" s="47">
        <v>12</v>
      </c>
      <c r="AS47" s="47">
        <v>4</v>
      </c>
      <c r="AV47" s="47">
        <v>14</v>
      </c>
      <c r="AW47" s="47">
        <v>6</v>
      </c>
      <c r="AZ47" s="47">
        <v>2</v>
      </c>
      <c r="BA47" s="47">
        <v>5</v>
      </c>
      <c r="BD47" s="47">
        <v>6</v>
      </c>
      <c r="BE47" s="47">
        <v>3</v>
      </c>
      <c r="BH47" s="47">
        <v>12</v>
      </c>
      <c r="BI47" s="47">
        <v>14</v>
      </c>
      <c r="BL47" s="47">
        <v>14</v>
      </c>
      <c r="BM47" s="47">
        <v>16</v>
      </c>
      <c r="BP47" s="47">
        <v>3</v>
      </c>
      <c r="BQ47" s="47">
        <v>10</v>
      </c>
    </row>
    <row r="48" spans="16:69" x14ac:dyDescent="0.2">
      <c r="T48" s="47">
        <v>7</v>
      </c>
      <c r="U48" s="47">
        <v>8</v>
      </c>
      <c r="X48" s="47">
        <v>4</v>
      </c>
      <c r="Y48" s="47">
        <v>3</v>
      </c>
      <c r="AA48" s="488"/>
      <c r="AB48" s="47">
        <v>8</v>
      </c>
      <c r="AC48" s="47">
        <v>3</v>
      </c>
      <c r="AF48" s="47">
        <v>11</v>
      </c>
      <c r="AG48" s="47">
        <v>6</v>
      </c>
      <c r="AJ48" s="47">
        <v>11</v>
      </c>
      <c r="AK48" s="47">
        <v>10</v>
      </c>
      <c r="AN48" s="47">
        <v>2</v>
      </c>
      <c r="AO48" s="47">
        <v>12</v>
      </c>
      <c r="AR48" s="47">
        <v>3</v>
      </c>
      <c r="AS48" s="47">
        <v>13</v>
      </c>
      <c r="AV48" s="47">
        <v>5</v>
      </c>
      <c r="AW48" s="47">
        <v>15</v>
      </c>
      <c r="AZ48" s="47">
        <v>4</v>
      </c>
      <c r="BA48" s="47">
        <v>3</v>
      </c>
      <c r="BD48" s="47">
        <v>4</v>
      </c>
      <c r="BE48" s="47">
        <v>5</v>
      </c>
      <c r="BH48" s="47">
        <v>15</v>
      </c>
      <c r="BI48" s="47">
        <v>11</v>
      </c>
      <c r="BL48" s="47">
        <v>17</v>
      </c>
      <c r="BM48" s="47">
        <v>13</v>
      </c>
      <c r="BP48" s="47">
        <v>9</v>
      </c>
      <c r="BQ48" s="47">
        <v>4</v>
      </c>
    </row>
    <row r="49" spans="20:69" x14ac:dyDescent="0.2">
      <c r="T49" s="47">
        <v>1</v>
      </c>
      <c r="U49" s="47">
        <v>3</v>
      </c>
      <c r="X49" s="47">
        <v>1</v>
      </c>
      <c r="Y49" s="47">
        <v>7</v>
      </c>
      <c r="AA49" s="488"/>
      <c r="AB49" s="47">
        <v>4</v>
      </c>
      <c r="AC49" s="47">
        <v>7</v>
      </c>
      <c r="AF49" s="47">
        <v>7</v>
      </c>
      <c r="AG49" s="47">
        <v>10</v>
      </c>
      <c r="AJ49" s="47">
        <v>1</v>
      </c>
      <c r="AK49" s="47">
        <v>4</v>
      </c>
      <c r="AN49" s="47">
        <v>1</v>
      </c>
      <c r="AO49" s="47">
        <v>6</v>
      </c>
      <c r="AR49" s="47">
        <v>14</v>
      </c>
      <c r="AS49" s="47">
        <v>2</v>
      </c>
      <c r="AV49" s="47">
        <v>3</v>
      </c>
      <c r="AW49" s="47">
        <v>2</v>
      </c>
      <c r="AZ49" s="47">
        <v>1</v>
      </c>
      <c r="BA49" s="47">
        <v>10</v>
      </c>
      <c r="BD49" s="47">
        <v>1</v>
      </c>
      <c r="BE49" s="47">
        <v>12</v>
      </c>
      <c r="BH49" s="47">
        <v>10</v>
      </c>
      <c r="BI49" s="47">
        <v>16</v>
      </c>
      <c r="BL49" s="47">
        <v>12</v>
      </c>
      <c r="BM49" s="47">
        <v>18</v>
      </c>
      <c r="BP49" s="47">
        <v>5</v>
      </c>
      <c r="BQ49" s="47">
        <v>8</v>
      </c>
    </row>
    <row r="50" spans="20:69" x14ac:dyDescent="0.2">
      <c r="T50" s="47">
        <v>4</v>
      </c>
      <c r="U50" s="47">
        <v>2</v>
      </c>
      <c r="X50" s="47">
        <v>8</v>
      </c>
      <c r="Y50" s="47">
        <v>6</v>
      </c>
      <c r="AA50" s="488"/>
      <c r="AB50" s="47">
        <v>6</v>
      </c>
      <c r="AC50" s="47">
        <v>5</v>
      </c>
      <c r="AF50" s="47">
        <v>9</v>
      </c>
      <c r="AG50" s="47">
        <v>8</v>
      </c>
      <c r="AJ50" s="47">
        <v>3</v>
      </c>
      <c r="AK50" s="47">
        <v>5</v>
      </c>
      <c r="AN50" s="47">
        <v>5</v>
      </c>
      <c r="AO50" s="47">
        <v>7</v>
      </c>
      <c r="AR50" s="47">
        <v>7</v>
      </c>
      <c r="AS50" s="47">
        <v>1</v>
      </c>
      <c r="AV50" s="47">
        <v>9</v>
      </c>
      <c r="AW50" s="47">
        <v>1</v>
      </c>
      <c r="AZ50" s="47">
        <v>9</v>
      </c>
      <c r="BA50" s="47">
        <v>11</v>
      </c>
      <c r="BD50" s="47">
        <v>11</v>
      </c>
      <c r="BE50" s="47">
        <v>13</v>
      </c>
      <c r="BH50" s="47">
        <v>17</v>
      </c>
      <c r="BI50" s="47">
        <v>9</v>
      </c>
      <c r="BL50" s="47">
        <v>19</v>
      </c>
      <c r="BM50" s="47">
        <v>11</v>
      </c>
      <c r="BP50" s="47">
        <v>7</v>
      </c>
      <c r="BQ50" s="47">
        <v>6</v>
      </c>
    </row>
    <row r="51" spans="20:69" x14ac:dyDescent="0.2">
      <c r="T51" s="47">
        <v>8</v>
      </c>
      <c r="U51" s="47">
        <v>5</v>
      </c>
      <c r="X51" s="47">
        <v>5</v>
      </c>
      <c r="Y51" s="47">
        <v>9</v>
      </c>
      <c r="AB51" s="47">
        <v>1</v>
      </c>
      <c r="AC51" s="47">
        <v>9</v>
      </c>
      <c r="AE51" s="486" t="str">
        <f>Language!$E$18</f>
        <v>Hinspiele</v>
      </c>
      <c r="AF51" s="47">
        <v>1</v>
      </c>
      <c r="AG51" s="47">
        <v>2</v>
      </c>
      <c r="AJ51" s="47">
        <v>6</v>
      </c>
      <c r="AK51" s="47">
        <v>2</v>
      </c>
      <c r="AN51" s="47">
        <v>8</v>
      </c>
      <c r="AO51" s="47">
        <v>4</v>
      </c>
      <c r="AR51" s="47">
        <v>6</v>
      </c>
      <c r="AS51" s="47">
        <v>8</v>
      </c>
      <c r="AV51" s="47">
        <v>8</v>
      </c>
      <c r="AW51" s="47">
        <v>10</v>
      </c>
      <c r="AZ51" s="47">
        <v>12</v>
      </c>
      <c r="BA51" s="47">
        <v>8</v>
      </c>
      <c r="BD51" s="47">
        <v>14</v>
      </c>
      <c r="BE51" s="47">
        <v>10</v>
      </c>
      <c r="BH51" s="47">
        <v>8</v>
      </c>
      <c r="BI51" s="47">
        <v>18</v>
      </c>
      <c r="BL51" s="47">
        <v>2</v>
      </c>
      <c r="BM51" s="47">
        <v>9</v>
      </c>
      <c r="BP51" s="47">
        <v>15</v>
      </c>
      <c r="BQ51" s="47">
        <v>1</v>
      </c>
    </row>
    <row r="52" spans="20:69" x14ac:dyDescent="0.2">
      <c r="T52" s="47">
        <v>6</v>
      </c>
      <c r="U52" s="47">
        <v>7</v>
      </c>
      <c r="X52" s="47">
        <v>3</v>
      </c>
      <c r="Y52" s="47">
        <v>2</v>
      </c>
      <c r="AB52" s="47">
        <v>10</v>
      </c>
      <c r="AC52" s="47">
        <v>8</v>
      </c>
      <c r="AE52" s="486"/>
      <c r="AF52" s="47">
        <v>4</v>
      </c>
      <c r="AG52" s="47">
        <v>11</v>
      </c>
      <c r="AJ52" s="47">
        <v>12</v>
      </c>
      <c r="AK52" s="47">
        <v>7</v>
      </c>
      <c r="AN52" s="47">
        <v>3</v>
      </c>
      <c r="AO52" s="47">
        <v>9</v>
      </c>
      <c r="AR52" s="47">
        <v>9</v>
      </c>
      <c r="AS52" s="47">
        <v>5</v>
      </c>
      <c r="AV52" s="47">
        <v>11</v>
      </c>
      <c r="AW52" s="47">
        <v>7</v>
      </c>
      <c r="AZ52" s="47">
        <v>7</v>
      </c>
      <c r="BA52" s="47">
        <v>13</v>
      </c>
      <c r="BD52" s="47">
        <v>9</v>
      </c>
      <c r="BE52" s="47">
        <v>15</v>
      </c>
      <c r="BH52" s="47">
        <v>2</v>
      </c>
      <c r="BI52" s="47">
        <v>7</v>
      </c>
      <c r="BL52" s="47">
        <v>8</v>
      </c>
      <c r="BM52" s="47">
        <v>3</v>
      </c>
      <c r="BP52" s="47">
        <v>14</v>
      </c>
      <c r="BQ52" s="47">
        <v>16</v>
      </c>
    </row>
    <row r="53" spans="20:69" x14ac:dyDescent="0.2">
      <c r="T53" s="47">
        <v>2</v>
      </c>
      <c r="U53" s="47">
        <v>1</v>
      </c>
      <c r="X53" s="47">
        <v>6</v>
      </c>
      <c r="Y53" s="47">
        <v>1</v>
      </c>
      <c r="AB53" s="47">
        <v>7</v>
      </c>
      <c r="AC53" s="47">
        <v>2</v>
      </c>
      <c r="AE53" s="486"/>
      <c r="AF53" s="47">
        <v>10</v>
      </c>
      <c r="AG53" s="47">
        <v>5</v>
      </c>
      <c r="AJ53" s="47">
        <v>8</v>
      </c>
      <c r="AK53" s="47">
        <v>11</v>
      </c>
      <c r="AN53" s="47">
        <v>10</v>
      </c>
      <c r="AO53" s="47">
        <v>2</v>
      </c>
      <c r="AR53" s="47">
        <v>4</v>
      </c>
      <c r="AS53" s="47">
        <v>10</v>
      </c>
      <c r="AV53" s="47">
        <v>6</v>
      </c>
      <c r="AW53" s="47">
        <v>12</v>
      </c>
      <c r="AZ53" s="47">
        <v>14</v>
      </c>
      <c r="BA53" s="47">
        <v>6</v>
      </c>
      <c r="BD53" s="47">
        <v>16</v>
      </c>
      <c r="BE53" s="47">
        <v>8</v>
      </c>
      <c r="BH53" s="47">
        <v>6</v>
      </c>
      <c r="BI53" s="47">
        <v>3</v>
      </c>
      <c r="BL53" s="47">
        <v>4</v>
      </c>
      <c r="BM53" s="47">
        <v>7</v>
      </c>
      <c r="BP53" s="47">
        <v>17</v>
      </c>
      <c r="BQ53" s="47">
        <v>13</v>
      </c>
    </row>
    <row r="54" spans="20:69" x14ac:dyDescent="0.2">
      <c r="T54" s="47">
        <v>3</v>
      </c>
      <c r="U54" s="47">
        <v>8</v>
      </c>
      <c r="X54" s="47">
        <v>7</v>
      </c>
      <c r="Y54" s="47">
        <v>5</v>
      </c>
      <c r="AB54" s="47">
        <v>3</v>
      </c>
      <c r="AC54" s="47">
        <v>6</v>
      </c>
      <c r="AE54" s="486"/>
      <c r="AF54" s="47">
        <v>6</v>
      </c>
      <c r="AG54" s="47">
        <v>9</v>
      </c>
      <c r="AJ54" s="47">
        <v>10</v>
      </c>
      <c r="AK54" s="47">
        <v>9</v>
      </c>
      <c r="AN54" s="47">
        <v>12</v>
      </c>
      <c r="AO54" s="47">
        <v>13</v>
      </c>
      <c r="AR54" s="47">
        <v>11</v>
      </c>
      <c r="AS54" s="47">
        <v>3</v>
      </c>
      <c r="AV54" s="47">
        <v>13</v>
      </c>
      <c r="AW54" s="47">
        <v>5</v>
      </c>
      <c r="AZ54" s="47">
        <v>5</v>
      </c>
      <c r="BA54" s="47">
        <v>15</v>
      </c>
      <c r="BD54" s="47">
        <v>7</v>
      </c>
      <c r="BE54" s="47">
        <v>17</v>
      </c>
      <c r="BH54" s="47">
        <v>4</v>
      </c>
      <c r="BI54" s="47">
        <v>5</v>
      </c>
      <c r="BL54" s="47">
        <v>6</v>
      </c>
      <c r="BM54" s="47">
        <v>5</v>
      </c>
      <c r="BP54" s="47">
        <v>12</v>
      </c>
      <c r="BQ54" s="47">
        <v>18</v>
      </c>
    </row>
    <row r="55" spans="20:69" ht="13.5" thickBot="1" x14ac:dyDescent="0.25">
      <c r="T55" s="47">
        <v>7</v>
      </c>
      <c r="U55" s="47">
        <v>4</v>
      </c>
      <c r="X55" s="47">
        <v>4</v>
      </c>
      <c r="Y55" s="47">
        <v>8</v>
      </c>
      <c r="AB55" s="47">
        <v>5</v>
      </c>
      <c r="AC55" s="47">
        <v>4</v>
      </c>
      <c r="AE55" s="487"/>
      <c r="AF55" s="47">
        <v>8</v>
      </c>
      <c r="AG55" s="47">
        <v>7</v>
      </c>
      <c r="AJ55" s="47">
        <v>3</v>
      </c>
      <c r="AK55" s="47">
        <v>1</v>
      </c>
      <c r="AN55" s="47">
        <v>5</v>
      </c>
      <c r="AO55" s="47">
        <v>1</v>
      </c>
      <c r="AR55" s="47">
        <v>2</v>
      </c>
      <c r="AS55" s="47">
        <v>12</v>
      </c>
      <c r="AV55" s="47">
        <v>4</v>
      </c>
      <c r="AW55" s="47">
        <v>14</v>
      </c>
      <c r="AZ55" s="47">
        <v>16</v>
      </c>
      <c r="BA55" s="47">
        <v>4</v>
      </c>
      <c r="BD55" s="47">
        <v>5</v>
      </c>
      <c r="BE55" s="47">
        <v>2</v>
      </c>
      <c r="BH55" s="47">
        <v>1</v>
      </c>
      <c r="BI55" s="47">
        <v>12</v>
      </c>
      <c r="BL55" s="47">
        <v>1</v>
      </c>
      <c r="BM55" s="47">
        <v>14</v>
      </c>
      <c r="BP55" s="47">
        <v>19</v>
      </c>
      <c r="BQ55" s="47">
        <v>11</v>
      </c>
    </row>
    <row r="56" spans="20:69" x14ac:dyDescent="0.2">
      <c r="T56" s="47">
        <v>5</v>
      </c>
      <c r="U56" s="47">
        <v>6</v>
      </c>
      <c r="X56" s="47">
        <v>9</v>
      </c>
      <c r="Y56" s="47">
        <v>3</v>
      </c>
      <c r="AB56" s="47">
        <v>8</v>
      </c>
      <c r="AC56" s="47">
        <v>1</v>
      </c>
      <c r="AE56" s="488" t="str">
        <f>Language!$E$19</f>
        <v>Rückspiele</v>
      </c>
      <c r="AF56" s="47">
        <v>2</v>
      </c>
      <c r="AG56" s="47">
        <v>11</v>
      </c>
      <c r="AJ56" s="47">
        <v>2</v>
      </c>
      <c r="AK56" s="47">
        <v>4</v>
      </c>
      <c r="AN56" s="47">
        <v>4</v>
      </c>
      <c r="AO56" s="47">
        <v>6</v>
      </c>
      <c r="AR56" s="47">
        <v>13</v>
      </c>
      <c r="AS56" s="47">
        <v>14</v>
      </c>
      <c r="AV56" s="47">
        <v>15</v>
      </c>
      <c r="AW56" s="47">
        <v>3</v>
      </c>
      <c r="AZ56" s="47">
        <v>3</v>
      </c>
      <c r="BA56" s="47">
        <v>2</v>
      </c>
      <c r="BD56" s="47">
        <v>3</v>
      </c>
      <c r="BE56" s="47">
        <v>4</v>
      </c>
      <c r="BH56" s="47">
        <v>11</v>
      </c>
      <c r="BI56" s="47">
        <v>13</v>
      </c>
      <c r="BL56" s="47">
        <v>13</v>
      </c>
      <c r="BM56" s="47">
        <v>15</v>
      </c>
      <c r="BP56" s="47">
        <v>10</v>
      </c>
      <c r="BQ56" s="47">
        <v>20</v>
      </c>
    </row>
    <row r="57" spans="20:69" x14ac:dyDescent="0.2">
      <c r="X57" s="47">
        <v>1</v>
      </c>
      <c r="Y57" s="47">
        <v>5</v>
      </c>
      <c r="AB57" s="47">
        <v>9</v>
      </c>
      <c r="AC57" s="47">
        <v>7</v>
      </c>
      <c r="AE57" s="488"/>
      <c r="AF57" s="47">
        <v>10</v>
      </c>
      <c r="AG57" s="47">
        <v>3</v>
      </c>
      <c r="AJ57" s="47">
        <v>5</v>
      </c>
      <c r="AK57" s="47">
        <v>12</v>
      </c>
      <c r="AN57" s="47">
        <v>7</v>
      </c>
      <c r="AO57" s="47">
        <v>3</v>
      </c>
      <c r="AR57" s="47">
        <v>1</v>
      </c>
      <c r="AS57" s="47">
        <v>6</v>
      </c>
      <c r="AV57" s="47">
        <v>1</v>
      </c>
      <c r="AW57" s="47">
        <v>8</v>
      </c>
      <c r="AZ57" s="47">
        <v>9</v>
      </c>
      <c r="BA57" s="47">
        <v>1</v>
      </c>
      <c r="BD57" s="47">
        <v>11</v>
      </c>
      <c r="BE57" s="47">
        <v>1</v>
      </c>
      <c r="BH57" s="47">
        <v>14</v>
      </c>
      <c r="BI57" s="47">
        <v>10</v>
      </c>
      <c r="BL57" s="47">
        <v>16</v>
      </c>
      <c r="BM57" s="47">
        <v>12</v>
      </c>
      <c r="BP57" s="47">
        <v>2</v>
      </c>
      <c r="BQ57" s="47">
        <v>9</v>
      </c>
    </row>
    <row r="58" spans="20:69" x14ac:dyDescent="0.2">
      <c r="X58" s="47">
        <v>6</v>
      </c>
      <c r="Y58" s="47">
        <v>4</v>
      </c>
      <c r="AB58" s="47">
        <v>6</v>
      </c>
      <c r="AC58" s="47">
        <v>10</v>
      </c>
      <c r="AE58" s="488"/>
      <c r="AF58" s="47">
        <v>4</v>
      </c>
      <c r="AG58" s="47">
        <v>9</v>
      </c>
      <c r="AJ58" s="47">
        <v>11</v>
      </c>
      <c r="AK58" s="47">
        <v>6</v>
      </c>
      <c r="AN58" s="47">
        <v>2</v>
      </c>
      <c r="AO58" s="47">
        <v>8</v>
      </c>
      <c r="AR58" s="47">
        <v>5</v>
      </c>
      <c r="AS58" s="47">
        <v>7</v>
      </c>
      <c r="AV58" s="47">
        <v>7</v>
      </c>
      <c r="AW58" s="47">
        <v>9</v>
      </c>
      <c r="AZ58" s="47">
        <v>8</v>
      </c>
      <c r="BA58" s="47">
        <v>10</v>
      </c>
      <c r="BD58" s="47">
        <v>10</v>
      </c>
      <c r="BE58" s="47">
        <v>12</v>
      </c>
      <c r="BH58" s="47">
        <v>9</v>
      </c>
      <c r="BI58" s="47">
        <v>15</v>
      </c>
      <c r="BL58" s="47">
        <v>11</v>
      </c>
      <c r="BM58" s="47">
        <v>17</v>
      </c>
      <c r="BP58" s="47">
        <v>8</v>
      </c>
      <c r="BQ58" s="47">
        <v>3</v>
      </c>
    </row>
    <row r="59" spans="20:69" x14ac:dyDescent="0.2">
      <c r="X59" s="47">
        <v>3</v>
      </c>
      <c r="Y59" s="47">
        <v>7</v>
      </c>
      <c r="AB59" s="47">
        <v>2</v>
      </c>
      <c r="AC59" s="47">
        <v>5</v>
      </c>
      <c r="AE59" s="488"/>
      <c r="AF59" s="47">
        <v>8</v>
      </c>
      <c r="AG59" s="47">
        <v>5</v>
      </c>
      <c r="AJ59" s="47">
        <v>7</v>
      </c>
      <c r="AK59" s="47">
        <v>10</v>
      </c>
      <c r="AN59" s="47">
        <v>13</v>
      </c>
      <c r="AO59" s="47">
        <v>10</v>
      </c>
      <c r="AR59" s="47">
        <v>8</v>
      </c>
      <c r="AS59" s="47">
        <v>4</v>
      </c>
      <c r="AV59" s="47">
        <v>10</v>
      </c>
      <c r="AW59" s="47">
        <v>6</v>
      </c>
      <c r="AZ59" s="47">
        <v>11</v>
      </c>
      <c r="BA59" s="47">
        <v>7</v>
      </c>
      <c r="BD59" s="47">
        <v>13</v>
      </c>
      <c r="BE59" s="47">
        <v>9</v>
      </c>
      <c r="BH59" s="47">
        <v>16</v>
      </c>
      <c r="BI59" s="47">
        <v>8</v>
      </c>
      <c r="BL59" s="47">
        <v>18</v>
      </c>
      <c r="BM59" s="47">
        <v>10</v>
      </c>
      <c r="BP59" s="47">
        <v>4</v>
      </c>
      <c r="BQ59" s="47">
        <v>7</v>
      </c>
    </row>
    <row r="60" spans="20:69" x14ac:dyDescent="0.2">
      <c r="X60" s="47">
        <v>8</v>
      </c>
      <c r="Y60" s="47">
        <v>2</v>
      </c>
      <c r="AB60" s="47">
        <v>4</v>
      </c>
      <c r="AC60" s="47">
        <v>3</v>
      </c>
      <c r="AE60" s="488"/>
      <c r="AF60" s="47">
        <v>6</v>
      </c>
      <c r="AG60" s="47">
        <v>7</v>
      </c>
      <c r="AJ60" s="47">
        <v>9</v>
      </c>
      <c r="AK60" s="47">
        <v>8</v>
      </c>
      <c r="AN60" s="47">
        <v>11</v>
      </c>
      <c r="AO60" s="47">
        <v>12</v>
      </c>
      <c r="AR60" s="47">
        <v>3</v>
      </c>
      <c r="AS60" s="47">
        <v>9</v>
      </c>
      <c r="AV60" s="47">
        <v>5</v>
      </c>
      <c r="AW60" s="47">
        <v>11</v>
      </c>
      <c r="AZ60" s="47">
        <v>6</v>
      </c>
      <c r="BA60" s="47">
        <v>12</v>
      </c>
      <c r="BD60" s="47">
        <v>8</v>
      </c>
      <c r="BE60" s="47">
        <v>14</v>
      </c>
      <c r="BH60" s="47">
        <v>7</v>
      </c>
      <c r="BI60" s="47">
        <v>17</v>
      </c>
      <c r="BL60" s="47">
        <v>9</v>
      </c>
      <c r="BM60" s="47">
        <v>19</v>
      </c>
      <c r="BP60" s="47">
        <v>6</v>
      </c>
      <c r="BQ60" s="47">
        <v>5</v>
      </c>
    </row>
    <row r="61" spans="20:69" x14ac:dyDescent="0.2">
      <c r="X61" s="47">
        <v>4</v>
      </c>
      <c r="Y61" s="47">
        <v>1</v>
      </c>
      <c r="AB61" s="47">
        <v>1</v>
      </c>
      <c r="AC61" s="47">
        <v>7</v>
      </c>
      <c r="AF61" s="47">
        <v>1</v>
      </c>
      <c r="AG61" s="47">
        <v>11</v>
      </c>
      <c r="AJ61" s="47">
        <v>1</v>
      </c>
      <c r="AK61" s="47">
        <v>2</v>
      </c>
      <c r="AN61" s="47">
        <v>1</v>
      </c>
      <c r="AO61" s="47">
        <v>4</v>
      </c>
      <c r="AR61" s="47">
        <v>10</v>
      </c>
      <c r="AS61" s="47">
        <v>2</v>
      </c>
      <c r="AV61" s="47">
        <v>12</v>
      </c>
      <c r="AW61" s="47">
        <v>4</v>
      </c>
      <c r="AZ61" s="47">
        <v>13</v>
      </c>
      <c r="BA61" s="47">
        <v>5</v>
      </c>
      <c r="BD61" s="47">
        <v>15</v>
      </c>
      <c r="BE61" s="47">
        <v>7</v>
      </c>
      <c r="BH61" s="47">
        <v>18</v>
      </c>
      <c r="BI61" s="47">
        <v>6</v>
      </c>
      <c r="BL61" s="47">
        <v>7</v>
      </c>
      <c r="BM61" s="47">
        <v>2</v>
      </c>
      <c r="BP61" s="47">
        <v>1</v>
      </c>
      <c r="BQ61" s="47">
        <v>14</v>
      </c>
    </row>
    <row r="62" spans="20:69" x14ac:dyDescent="0.2">
      <c r="X62" s="47">
        <v>5</v>
      </c>
      <c r="Y62" s="47">
        <v>3</v>
      </c>
      <c r="AB62" s="47">
        <v>8</v>
      </c>
      <c r="AC62" s="47">
        <v>6</v>
      </c>
      <c r="AF62" s="47">
        <v>9</v>
      </c>
      <c r="AG62" s="47">
        <v>2</v>
      </c>
      <c r="AI62" s="486" t="str">
        <f>Language!$E$18</f>
        <v>Hinspiele</v>
      </c>
      <c r="AJ62" s="47">
        <v>12</v>
      </c>
      <c r="AK62" s="47">
        <v>3</v>
      </c>
      <c r="AN62" s="47">
        <v>3</v>
      </c>
      <c r="AO62" s="47">
        <v>5</v>
      </c>
      <c r="AR62" s="47">
        <v>14</v>
      </c>
      <c r="AS62" s="47">
        <v>11</v>
      </c>
      <c r="AV62" s="47">
        <v>3</v>
      </c>
      <c r="AW62" s="47">
        <v>13</v>
      </c>
      <c r="AZ62" s="47">
        <v>4</v>
      </c>
      <c r="BA62" s="47">
        <v>14</v>
      </c>
      <c r="BD62" s="47">
        <v>6</v>
      </c>
      <c r="BE62" s="47">
        <v>16</v>
      </c>
      <c r="BH62" s="47">
        <v>5</v>
      </c>
      <c r="BI62" s="47">
        <v>2</v>
      </c>
      <c r="BL62" s="47">
        <v>3</v>
      </c>
      <c r="BM62" s="47">
        <v>6</v>
      </c>
      <c r="BP62" s="47">
        <v>13</v>
      </c>
      <c r="BQ62" s="47">
        <v>15</v>
      </c>
    </row>
    <row r="63" spans="20:69" x14ac:dyDescent="0.2">
      <c r="X63" s="47">
        <v>2</v>
      </c>
      <c r="Y63" s="47">
        <v>6</v>
      </c>
      <c r="AB63" s="47">
        <v>5</v>
      </c>
      <c r="AC63" s="47">
        <v>9</v>
      </c>
      <c r="AF63" s="47">
        <v>3</v>
      </c>
      <c r="AG63" s="47">
        <v>8</v>
      </c>
      <c r="AI63" s="486"/>
      <c r="AJ63" s="47">
        <v>4</v>
      </c>
      <c r="AK63" s="47">
        <v>11</v>
      </c>
      <c r="AN63" s="47">
        <v>6</v>
      </c>
      <c r="AO63" s="47">
        <v>2</v>
      </c>
      <c r="AR63" s="47">
        <v>12</v>
      </c>
      <c r="AS63" s="47">
        <v>13</v>
      </c>
      <c r="AV63" s="47">
        <v>14</v>
      </c>
      <c r="AW63" s="47">
        <v>2</v>
      </c>
      <c r="AZ63" s="47">
        <v>15</v>
      </c>
      <c r="BA63" s="47">
        <v>3</v>
      </c>
      <c r="BD63" s="47">
        <v>17</v>
      </c>
      <c r="BE63" s="47">
        <v>5</v>
      </c>
      <c r="BH63" s="47">
        <v>3</v>
      </c>
      <c r="BI63" s="47">
        <v>4</v>
      </c>
      <c r="BL63" s="47">
        <v>5</v>
      </c>
      <c r="BM63" s="47">
        <v>4</v>
      </c>
      <c r="BP63" s="47">
        <v>16</v>
      </c>
      <c r="BQ63" s="47">
        <v>12</v>
      </c>
    </row>
    <row r="64" spans="20:69" x14ac:dyDescent="0.2">
      <c r="X64" s="47">
        <v>9</v>
      </c>
      <c r="Y64" s="47">
        <v>8</v>
      </c>
      <c r="AB64" s="47">
        <v>10</v>
      </c>
      <c r="AC64" s="47">
        <v>4</v>
      </c>
      <c r="AF64" s="47">
        <v>7</v>
      </c>
      <c r="AG64" s="47">
        <v>4</v>
      </c>
      <c r="AI64" s="486"/>
      <c r="AJ64" s="47">
        <v>10</v>
      </c>
      <c r="AK64" s="47">
        <v>5</v>
      </c>
      <c r="AN64" s="47">
        <v>8</v>
      </c>
      <c r="AO64" s="47">
        <v>13</v>
      </c>
      <c r="AR64" s="47">
        <v>5</v>
      </c>
      <c r="AS64" s="47">
        <v>1</v>
      </c>
      <c r="AV64" s="47">
        <v>7</v>
      </c>
      <c r="AW64" s="47">
        <v>1</v>
      </c>
      <c r="AZ64" s="47">
        <v>2</v>
      </c>
      <c r="BA64" s="47">
        <v>16</v>
      </c>
      <c r="BD64" s="47">
        <v>2</v>
      </c>
      <c r="BE64" s="47">
        <v>3</v>
      </c>
      <c r="BH64" s="47">
        <v>11</v>
      </c>
      <c r="BI64" s="47">
        <v>1</v>
      </c>
      <c r="BL64" s="47">
        <v>13</v>
      </c>
      <c r="BM64" s="47">
        <v>1</v>
      </c>
      <c r="BP64" s="47">
        <v>11</v>
      </c>
      <c r="BQ64" s="47">
        <v>17</v>
      </c>
    </row>
    <row r="65" spans="24:69" x14ac:dyDescent="0.2">
      <c r="X65" s="47">
        <v>1</v>
      </c>
      <c r="Y65" s="47">
        <v>3</v>
      </c>
      <c r="AB65" s="47">
        <v>3</v>
      </c>
      <c r="AC65" s="47">
        <v>2</v>
      </c>
      <c r="AF65" s="47">
        <v>5</v>
      </c>
      <c r="AG65" s="47">
        <v>6</v>
      </c>
      <c r="AI65" s="486"/>
      <c r="AJ65" s="47">
        <v>6</v>
      </c>
      <c r="AK65" s="47">
        <v>9</v>
      </c>
      <c r="AN65" s="47">
        <v>12</v>
      </c>
      <c r="AO65" s="47">
        <v>9</v>
      </c>
      <c r="AR65" s="47">
        <v>4</v>
      </c>
      <c r="AS65" s="47">
        <v>6</v>
      </c>
      <c r="AV65" s="47">
        <v>6</v>
      </c>
      <c r="AW65" s="47">
        <v>8</v>
      </c>
      <c r="AZ65" s="47">
        <v>1</v>
      </c>
      <c r="BA65" s="47">
        <v>8</v>
      </c>
      <c r="BD65" s="47">
        <v>1</v>
      </c>
      <c r="BE65" s="47">
        <v>10</v>
      </c>
      <c r="BH65" s="47">
        <v>10</v>
      </c>
      <c r="BI65" s="47">
        <v>12</v>
      </c>
      <c r="BL65" s="47">
        <v>12</v>
      </c>
      <c r="BM65" s="47">
        <v>14</v>
      </c>
      <c r="BP65" s="47">
        <v>18</v>
      </c>
      <c r="BQ65" s="47">
        <v>10</v>
      </c>
    </row>
    <row r="66" spans="24:69" ht="13.5" thickBot="1" x14ac:dyDescent="0.25">
      <c r="X66" s="47">
        <v>4</v>
      </c>
      <c r="Y66" s="47">
        <v>2</v>
      </c>
      <c r="AB66" s="47">
        <v>6</v>
      </c>
      <c r="AC66" s="47">
        <v>1</v>
      </c>
      <c r="AF66" s="47">
        <v>10</v>
      </c>
      <c r="AG66" s="47">
        <v>1</v>
      </c>
      <c r="AI66" s="487"/>
      <c r="AJ66" s="47">
        <v>8</v>
      </c>
      <c r="AK66" s="47">
        <v>7</v>
      </c>
      <c r="AN66" s="47">
        <v>10</v>
      </c>
      <c r="AO66" s="47">
        <v>11</v>
      </c>
      <c r="AR66" s="47">
        <v>7</v>
      </c>
      <c r="AS66" s="47">
        <v>3</v>
      </c>
      <c r="AV66" s="47">
        <v>9</v>
      </c>
      <c r="AW66" s="47">
        <v>5</v>
      </c>
      <c r="AZ66" s="47">
        <v>7</v>
      </c>
      <c r="BA66" s="47">
        <v>9</v>
      </c>
      <c r="BD66" s="47">
        <v>9</v>
      </c>
      <c r="BE66" s="47">
        <v>11</v>
      </c>
      <c r="BH66" s="47">
        <v>13</v>
      </c>
      <c r="BI66" s="47">
        <v>9</v>
      </c>
      <c r="BL66" s="47">
        <v>15</v>
      </c>
      <c r="BM66" s="47">
        <v>11</v>
      </c>
      <c r="BP66" s="47">
        <v>9</v>
      </c>
      <c r="BQ66" s="47">
        <v>19</v>
      </c>
    </row>
    <row r="67" spans="24:69" x14ac:dyDescent="0.2">
      <c r="X67" s="47">
        <v>6</v>
      </c>
      <c r="Y67" s="47">
        <v>9</v>
      </c>
      <c r="AB67" s="47">
        <v>7</v>
      </c>
      <c r="AC67" s="47">
        <v>5</v>
      </c>
      <c r="AF67" s="47">
        <v>11</v>
      </c>
      <c r="AG67" s="47">
        <v>9</v>
      </c>
      <c r="AI67" s="488" t="str">
        <f>Language!$E$19</f>
        <v>Rückspiele</v>
      </c>
      <c r="AJ67" s="47">
        <v>12</v>
      </c>
      <c r="AK67" s="47">
        <v>1</v>
      </c>
      <c r="AN67" s="47">
        <v>3</v>
      </c>
      <c r="AO67" s="47">
        <v>1</v>
      </c>
      <c r="AR67" s="47">
        <v>2</v>
      </c>
      <c r="AS67" s="47">
        <v>8</v>
      </c>
      <c r="AV67" s="47">
        <v>4</v>
      </c>
      <c r="AW67" s="47">
        <v>10</v>
      </c>
      <c r="AZ67" s="47">
        <v>10</v>
      </c>
      <c r="BA67" s="47">
        <v>6</v>
      </c>
      <c r="BD67" s="47">
        <v>12</v>
      </c>
      <c r="BE67" s="47">
        <v>8</v>
      </c>
      <c r="BH67" s="47">
        <v>8</v>
      </c>
      <c r="BI67" s="47">
        <v>14</v>
      </c>
      <c r="BL67" s="47">
        <v>10</v>
      </c>
      <c r="BM67" s="47">
        <v>16</v>
      </c>
      <c r="BP67" s="47">
        <v>20</v>
      </c>
      <c r="BQ67" s="47">
        <v>8</v>
      </c>
    </row>
    <row r="68" spans="24:69" x14ac:dyDescent="0.2">
      <c r="X68" s="47">
        <v>8</v>
      </c>
      <c r="Y68" s="47">
        <v>7</v>
      </c>
      <c r="AB68" s="47">
        <v>4</v>
      </c>
      <c r="AC68" s="47">
        <v>8</v>
      </c>
      <c r="AF68" s="47">
        <v>2</v>
      </c>
      <c r="AG68" s="47">
        <v>7</v>
      </c>
      <c r="AI68" s="488"/>
      <c r="AJ68" s="47">
        <v>2</v>
      </c>
      <c r="AK68" s="47">
        <v>11</v>
      </c>
      <c r="AN68" s="47">
        <v>2</v>
      </c>
      <c r="AO68" s="47">
        <v>4</v>
      </c>
      <c r="AR68" s="47">
        <v>9</v>
      </c>
      <c r="AS68" s="47">
        <v>14</v>
      </c>
      <c r="AV68" s="47">
        <v>11</v>
      </c>
      <c r="AW68" s="47">
        <v>3</v>
      </c>
      <c r="AZ68" s="47">
        <v>5</v>
      </c>
      <c r="BA68" s="47">
        <v>11</v>
      </c>
      <c r="BD68" s="47">
        <v>7</v>
      </c>
      <c r="BE68" s="47">
        <v>13</v>
      </c>
      <c r="BH68" s="47">
        <v>15</v>
      </c>
      <c r="BI68" s="47">
        <v>7</v>
      </c>
      <c r="BL68" s="47">
        <v>17</v>
      </c>
      <c r="BM68" s="47">
        <v>9</v>
      </c>
      <c r="BP68" s="47">
        <v>7</v>
      </c>
      <c r="BQ68" s="47">
        <v>2</v>
      </c>
    </row>
    <row r="69" spans="24:69" x14ac:dyDescent="0.2">
      <c r="X69" s="47">
        <v>2</v>
      </c>
      <c r="Y69" s="47">
        <v>1</v>
      </c>
      <c r="AB69" s="47">
        <v>9</v>
      </c>
      <c r="AC69" s="47">
        <v>3</v>
      </c>
      <c r="AF69" s="47">
        <v>6</v>
      </c>
      <c r="AG69" s="47">
        <v>3</v>
      </c>
      <c r="AI69" s="488"/>
      <c r="AJ69" s="47">
        <v>10</v>
      </c>
      <c r="AK69" s="47">
        <v>3</v>
      </c>
      <c r="AN69" s="47">
        <v>13</v>
      </c>
      <c r="AO69" s="47">
        <v>6</v>
      </c>
      <c r="AR69" s="47">
        <v>13</v>
      </c>
      <c r="AS69" s="47">
        <v>10</v>
      </c>
      <c r="AV69" s="47">
        <v>2</v>
      </c>
      <c r="AW69" s="47">
        <v>12</v>
      </c>
      <c r="AZ69" s="47">
        <v>12</v>
      </c>
      <c r="BA69" s="47">
        <v>4</v>
      </c>
      <c r="BD69" s="47">
        <v>14</v>
      </c>
      <c r="BE69" s="47">
        <v>6</v>
      </c>
      <c r="BH69" s="47">
        <v>6</v>
      </c>
      <c r="BI69" s="47">
        <v>16</v>
      </c>
      <c r="BL69" s="47">
        <v>8</v>
      </c>
      <c r="BM69" s="47">
        <v>18</v>
      </c>
      <c r="BP69" s="47">
        <v>3</v>
      </c>
      <c r="BQ69" s="47">
        <v>6</v>
      </c>
    </row>
    <row r="70" spans="24:69" x14ac:dyDescent="0.2">
      <c r="X70" s="47">
        <v>9</v>
      </c>
      <c r="Y70" s="47">
        <v>4</v>
      </c>
      <c r="AB70" s="47">
        <v>2</v>
      </c>
      <c r="AC70" s="47">
        <v>10</v>
      </c>
      <c r="AF70" s="47">
        <v>4</v>
      </c>
      <c r="AG70" s="47">
        <v>5</v>
      </c>
      <c r="AI70" s="488"/>
      <c r="AJ70" s="47">
        <v>4</v>
      </c>
      <c r="AK70" s="47">
        <v>9</v>
      </c>
      <c r="AN70" s="47">
        <v>7</v>
      </c>
      <c r="AO70" s="47">
        <v>12</v>
      </c>
      <c r="AR70" s="47">
        <v>11</v>
      </c>
      <c r="AS70" s="47">
        <v>12</v>
      </c>
      <c r="AV70" s="47">
        <v>15</v>
      </c>
      <c r="AW70" s="47">
        <v>14</v>
      </c>
      <c r="AZ70" s="47">
        <v>3</v>
      </c>
      <c r="BA70" s="47">
        <v>13</v>
      </c>
      <c r="BD70" s="47">
        <v>5</v>
      </c>
      <c r="BE70" s="47">
        <v>15</v>
      </c>
      <c r="BH70" s="47">
        <v>17</v>
      </c>
      <c r="BI70" s="47">
        <v>5</v>
      </c>
      <c r="BL70" s="47">
        <v>19</v>
      </c>
      <c r="BM70" s="47">
        <v>7</v>
      </c>
      <c r="BP70" s="47">
        <v>5</v>
      </c>
      <c r="BQ70" s="47">
        <v>4</v>
      </c>
    </row>
    <row r="71" spans="24:69" x14ac:dyDescent="0.2">
      <c r="X71" s="47">
        <v>5</v>
      </c>
      <c r="Y71" s="47">
        <v>8</v>
      </c>
      <c r="AB71" s="47">
        <v>1</v>
      </c>
      <c r="AC71" s="47">
        <v>5</v>
      </c>
      <c r="AF71" s="47">
        <v>1</v>
      </c>
      <c r="AG71" s="47">
        <v>9</v>
      </c>
      <c r="AI71" s="488"/>
      <c r="AJ71" s="47">
        <v>8</v>
      </c>
      <c r="AK71" s="47">
        <v>5</v>
      </c>
      <c r="AN71" s="47">
        <v>11</v>
      </c>
      <c r="AO71" s="47">
        <v>8</v>
      </c>
      <c r="AR71" s="47">
        <v>1</v>
      </c>
      <c r="AS71" s="47">
        <v>4</v>
      </c>
      <c r="AV71" s="47">
        <v>1</v>
      </c>
      <c r="AW71" s="47">
        <v>6</v>
      </c>
      <c r="AZ71" s="47">
        <v>14</v>
      </c>
      <c r="BA71" s="47">
        <v>2</v>
      </c>
      <c r="BD71" s="47">
        <v>16</v>
      </c>
      <c r="BE71" s="47">
        <v>4</v>
      </c>
      <c r="BH71" s="47">
        <v>4</v>
      </c>
      <c r="BI71" s="47">
        <v>18</v>
      </c>
      <c r="BL71" s="47">
        <v>2</v>
      </c>
      <c r="BM71" s="47">
        <v>5</v>
      </c>
      <c r="BP71" s="47">
        <v>13</v>
      </c>
      <c r="BQ71" s="47">
        <v>1</v>
      </c>
    </row>
    <row r="72" spans="24:69" x14ac:dyDescent="0.2">
      <c r="X72" s="47">
        <v>7</v>
      </c>
      <c r="Y72" s="47">
        <v>6</v>
      </c>
      <c r="AB72" s="47">
        <v>6</v>
      </c>
      <c r="AC72" s="47">
        <v>4</v>
      </c>
      <c r="AF72" s="47">
        <v>10</v>
      </c>
      <c r="AG72" s="47">
        <v>8</v>
      </c>
      <c r="AJ72" s="47">
        <v>6</v>
      </c>
      <c r="AK72" s="47">
        <v>7</v>
      </c>
      <c r="AN72" s="47">
        <v>9</v>
      </c>
      <c r="AO72" s="47">
        <v>10</v>
      </c>
      <c r="AR72" s="47">
        <v>3</v>
      </c>
      <c r="AS72" s="47">
        <v>5</v>
      </c>
      <c r="AV72" s="47">
        <v>5</v>
      </c>
      <c r="AW72" s="47">
        <v>7</v>
      </c>
      <c r="AZ72" s="47">
        <v>16</v>
      </c>
      <c r="BA72" s="47">
        <v>15</v>
      </c>
      <c r="BD72" s="47">
        <v>3</v>
      </c>
      <c r="BE72" s="47">
        <v>17</v>
      </c>
      <c r="BH72" s="47">
        <v>2</v>
      </c>
      <c r="BI72" s="47">
        <v>3</v>
      </c>
      <c r="BL72" s="47">
        <v>4</v>
      </c>
      <c r="BM72" s="47">
        <v>3</v>
      </c>
      <c r="BP72" s="47">
        <v>12</v>
      </c>
      <c r="BQ72" s="47">
        <v>14</v>
      </c>
    </row>
    <row r="73" spans="24:69" x14ac:dyDescent="0.2">
      <c r="AB73" s="47">
        <v>3</v>
      </c>
      <c r="AC73" s="47">
        <v>7</v>
      </c>
      <c r="AF73" s="47">
        <v>7</v>
      </c>
      <c r="AG73" s="47">
        <v>11</v>
      </c>
      <c r="AJ73" s="47">
        <v>1</v>
      </c>
      <c r="AK73" s="47">
        <v>11</v>
      </c>
      <c r="AN73" s="47">
        <v>1</v>
      </c>
      <c r="AO73" s="47">
        <v>2</v>
      </c>
      <c r="AR73" s="47">
        <v>6</v>
      </c>
      <c r="AS73" s="47">
        <v>2</v>
      </c>
      <c r="AV73" s="47">
        <v>8</v>
      </c>
      <c r="AW73" s="47">
        <v>4</v>
      </c>
      <c r="AZ73" s="47">
        <v>7</v>
      </c>
      <c r="BA73" s="47">
        <v>1</v>
      </c>
      <c r="BD73" s="47">
        <v>9</v>
      </c>
      <c r="BE73" s="47">
        <v>1</v>
      </c>
      <c r="BH73" s="47">
        <v>1</v>
      </c>
      <c r="BI73" s="47">
        <v>10</v>
      </c>
      <c r="BL73" s="47">
        <v>1</v>
      </c>
      <c r="BM73" s="47">
        <v>12</v>
      </c>
      <c r="BP73" s="47">
        <v>15</v>
      </c>
      <c r="BQ73" s="47">
        <v>11</v>
      </c>
    </row>
    <row r="74" spans="24:69" x14ac:dyDescent="0.2">
      <c r="AB74" s="47">
        <v>8</v>
      </c>
      <c r="AC74" s="47">
        <v>2</v>
      </c>
      <c r="AF74" s="47">
        <v>5</v>
      </c>
      <c r="AG74" s="47">
        <v>2</v>
      </c>
      <c r="AJ74" s="47">
        <v>12</v>
      </c>
      <c r="AK74" s="47">
        <v>10</v>
      </c>
      <c r="AM74" s="486" t="str">
        <f>Language!$E$18</f>
        <v>Hinspiele</v>
      </c>
      <c r="AN74" s="47">
        <v>4</v>
      </c>
      <c r="AO74" s="47">
        <v>13</v>
      </c>
      <c r="AR74" s="47">
        <v>14</v>
      </c>
      <c r="AS74" s="47">
        <v>7</v>
      </c>
      <c r="AV74" s="47">
        <v>3</v>
      </c>
      <c r="AW74" s="47">
        <v>9</v>
      </c>
      <c r="AZ74" s="47">
        <v>6</v>
      </c>
      <c r="BA74" s="47">
        <v>8</v>
      </c>
      <c r="BD74" s="47">
        <v>8</v>
      </c>
      <c r="BE74" s="47">
        <v>10</v>
      </c>
      <c r="BH74" s="47">
        <v>9</v>
      </c>
      <c r="BI74" s="47">
        <v>11</v>
      </c>
      <c r="BL74" s="47">
        <v>11</v>
      </c>
      <c r="BM74" s="47">
        <v>13</v>
      </c>
      <c r="BP74" s="47">
        <v>10</v>
      </c>
      <c r="BQ74" s="47">
        <v>16</v>
      </c>
    </row>
    <row r="75" spans="24:69" x14ac:dyDescent="0.2">
      <c r="AB75" s="47">
        <v>10</v>
      </c>
      <c r="AC75" s="47">
        <v>9</v>
      </c>
      <c r="AF75" s="47">
        <v>3</v>
      </c>
      <c r="AG75" s="47">
        <v>4</v>
      </c>
      <c r="AJ75" s="47">
        <v>9</v>
      </c>
      <c r="AK75" s="47">
        <v>2</v>
      </c>
      <c r="AM75" s="486"/>
      <c r="AN75" s="47">
        <v>12</v>
      </c>
      <c r="AO75" s="47">
        <v>5</v>
      </c>
      <c r="AR75" s="47">
        <v>8</v>
      </c>
      <c r="AS75" s="47">
        <v>13</v>
      </c>
      <c r="AV75" s="47">
        <v>10</v>
      </c>
      <c r="AW75" s="47">
        <v>2</v>
      </c>
      <c r="AZ75" s="47">
        <v>9</v>
      </c>
      <c r="BA75" s="47">
        <v>5</v>
      </c>
      <c r="BD75" s="47">
        <v>11</v>
      </c>
      <c r="BE75" s="47">
        <v>7</v>
      </c>
      <c r="BH75" s="47">
        <v>12</v>
      </c>
      <c r="BI75" s="47">
        <v>8</v>
      </c>
      <c r="BL75" s="47">
        <v>14</v>
      </c>
      <c r="BM75" s="47">
        <v>10</v>
      </c>
      <c r="BP75" s="47">
        <v>17</v>
      </c>
      <c r="BQ75" s="47">
        <v>9</v>
      </c>
    </row>
    <row r="76" spans="24:69" x14ac:dyDescent="0.2">
      <c r="AB76" s="47">
        <v>4</v>
      </c>
      <c r="AC76" s="47">
        <v>1</v>
      </c>
      <c r="AF76" s="47">
        <v>8</v>
      </c>
      <c r="AG76" s="47">
        <v>1</v>
      </c>
      <c r="AJ76" s="47">
        <v>3</v>
      </c>
      <c r="AK76" s="47">
        <v>8</v>
      </c>
      <c r="AM76" s="486"/>
      <c r="AN76" s="47">
        <v>6</v>
      </c>
      <c r="AO76" s="47">
        <v>11</v>
      </c>
      <c r="AR76" s="47">
        <v>12</v>
      </c>
      <c r="AS76" s="47">
        <v>9</v>
      </c>
      <c r="AV76" s="47">
        <v>12</v>
      </c>
      <c r="AW76" s="47">
        <v>15</v>
      </c>
      <c r="AZ76" s="47">
        <v>4</v>
      </c>
      <c r="BA76" s="47">
        <v>10</v>
      </c>
      <c r="BD76" s="47">
        <v>6</v>
      </c>
      <c r="BE76" s="47">
        <v>12</v>
      </c>
      <c r="BH76" s="47">
        <v>7</v>
      </c>
      <c r="BI76" s="47">
        <v>13</v>
      </c>
      <c r="BL76" s="47">
        <v>9</v>
      </c>
      <c r="BM76" s="47">
        <v>15</v>
      </c>
      <c r="BP76" s="47">
        <v>8</v>
      </c>
      <c r="BQ76" s="47">
        <v>18</v>
      </c>
    </row>
    <row r="77" spans="24:69" x14ac:dyDescent="0.2">
      <c r="AB77" s="47">
        <v>5</v>
      </c>
      <c r="AC77" s="47">
        <v>3</v>
      </c>
      <c r="AF77" s="47">
        <v>9</v>
      </c>
      <c r="AG77" s="47">
        <v>7</v>
      </c>
      <c r="AJ77" s="47">
        <v>7</v>
      </c>
      <c r="AK77" s="47">
        <v>4</v>
      </c>
      <c r="AM77" s="486"/>
      <c r="AN77" s="47">
        <v>10</v>
      </c>
      <c r="AO77" s="47">
        <v>7</v>
      </c>
      <c r="AR77" s="47">
        <v>10</v>
      </c>
      <c r="AS77" s="47">
        <v>11</v>
      </c>
      <c r="AV77" s="47">
        <v>14</v>
      </c>
      <c r="AW77" s="47">
        <v>13</v>
      </c>
      <c r="AZ77" s="47">
        <v>11</v>
      </c>
      <c r="BA77" s="47">
        <v>3</v>
      </c>
      <c r="BD77" s="47">
        <v>13</v>
      </c>
      <c r="BE77" s="47">
        <v>5</v>
      </c>
      <c r="BH77" s="47">
        <v>14</v>
      </c>
      <c r="BI77" s="47">
        <v>6</v>
      </c>
      <c r="BL77" s="47">
        <v>16</v>
      </c>
      <c r="BM77" s="47">
        <v>8</v>
      </c>
      <c r="BP77" s="47">
        <v>19</v>
      </c>
      <c r="BQ77" s="47">
        <v>7</v>
      </c>
    </row>
    <row r="78" spans="24:69" ht="13.5" thickBot="1" x14ac:dyDescent="0.25">
      <c r="AB78" s="47">
        <v>2</v>
      </c>
      <c r="AC78" s="47">
        <v>6</v>
      </c>
      <c r="AF78" s="47">
        <v>6</v>
      </c>
      <c r="AG78" s="47">
        <v>10</v>
      </c>
      <c r="AJ78" s="47">
        <v>5</v>
      </c>
      <c r="AK78" s="47">
        <v>6</v>
      </c>
      <c r="AM78" s="487"/>
      <c r="AN78" s="47">
        <v>8</v>
      </c>
      <c r="AO78" s="47">
        <v>9</v>
      </c>
      <c r="AR78" s="47">
        <v>3</v>
      </c>
      <c r="AS78" s="47">
        <v>1</v>
      </c>
      <c r="AV78" s="47">
        <v>5</v>
      </c>
      <c r="AW78" s="47">
        <v>1</v>
      </c>
      <c r="AZ78" s="47">
        <v>2</v>
      </c>
      <c r="BA78" s="47">
        <v>12</v>
      </c>
      <c r="BD78" s="47">
        <v>4</v>
      </c>
      <c r="BE78" s="47">
        <v>14</v>
      </c>
      <c r="BH78" s="47">
        <v>5</v>
      </c>
      <c r="BI78" s="47">
        <v>15</v>
      </c>
      <c r="BL78" s="47">
        <v>7</v>
      </c>
      <c r="BM78" s="47">
        <v>17</v>
      </c>
      <c r="BP78" s="47">
        <v>6</v>
      </c>
      <c r="BQ78" s="47">
        <v>20</v>
      </c>
    </row>
    <row r="79" spans="24:69" x14ac:dyDescent="0.2">
      <c r="AB79" s="47">
        <v>7</v>
      </c>
      <c r="AC79" s="47">
        <v>10</v>
      </c>
      <c r="AF79" s="47">
        <v>11</v>
      </c>
      <c r="AG79" s="47">
        <v>5</v>
      </c>
      <c r="AJ79" s="47">
        <v>10</v>
      </c>
      <c r="AK79" s="47">
        <v>1</v>
      </c>
      <c r="AM79" s="488" t="str">
        <f>Language!$E$19</f>
        <v>Rückspiele</v>
      </c>
      <c r="AN79" s="47">
        <v>2</v>
      </c>
      <c r="AO79" s="47">
        <v>13</v>
      </c>
      <c r="AR79" s="47">
        <v>2</v>
      </c>
      <c r="AS79" s="47">
        <v>4</v>
      </c>
      <c r="AV79" s="47">
        <v>4</v>
      </c>
      <c r="AW79" s="47">
        <v>6</v>
      </c>
      <c r="AZ79" s="47">
        <v>13</v>
      </c>
      <c r="BA79" s="47">
        <v>16</v>
      </c>
      <c r="BD79" s="47">
        <v>15</v>
      </c>
      <c r="BE79" s="47">
        <v>3</v>
      </c>
      <c r="BH79" s="47">
        <v>16</v>
      </c>
      <c r="BI79" s="47">
        <v>4</v>
      </c>
      <c r="BL79" s="47">
        <v>18</v>
      </c>
      <c r="BM79" s="47">
        <v>6</v>
      </c>
      <c r="BP79" s="47">
        <v>2</v>
      </c>
      <c r="BQ79" s="47">
        <v>5</v>
      </c>
    </row>
    <row r="80" spans="24:69" x14ac:dyDescent="0.2">
      <c r="AB80" s="47">
        <v>9</v>
      </c>
      <c r="AC80" s="47">
        <v>8</v>
      </c>
      <c r="AF80" s="47">
        <v>2</v>
      </c>
      <c r="AG80" s="47">
        <v>3</v>
      </c>
      <c r="AJ80" s="47">
        <v>11</v>
      </c>
      <c r="AK80" s="47">
        <v>9</v>
      </c>
      <c r="AM80" s="488"/>
      <c r="AN80" s="47">
        <v>12</v>
      </c>
      <c r="AO80" s="47">
        <v>3</v>
      </c>
      <c r="AR80" s="47">
        <v>5</v>
      </c>
      <c r="AS80" s="47">
        <v>14</v>
      </c>
      <c r="AV80" s="47">
        <v>7</v>
      </c>
      <c r="AW80" s="47">
        <v>3</v>
      </c>
      <c r="AZ80" s="47">
        <v>15</v>
      </c>
      <c r="BA80" s="47">
        <v>14</v>
      </c>
      <c r="BD80" s="47">
        <v>2</v>
      </c>
      <c r="BE80" s="47">
        <v>16</v>
      </c>
      <c r="BH80" s="47">
        <v>3</v>
      </c>
      <c r="BI80" s="47">
        <v>17</v>
      </c>
      <c r="BL80" s="47">
        <v>5</v>
      </c>
      <c r="BM80" s="47">
        <v>19</v>
      </c>
      <c r="BP80" s="47">
        <v>4</v>
      </c>
      <c r="BQ80" s="47">
        <v>3</v>
      </c>
    </row>
    <row r="81" spans="28:69" x14ac:dyDescent="0.2">
      <c r="AB81" s="47">
        <v>1</v>
      </c>
      <c r="AC81" s="47">
        <v>3</v>
      </c>
      <c r="AF81" s="47">
        <v>1</v>
      </c>
      <c r="AG81" s="47">
        <v>7</v>
      </c>
      <c r="AJ81" s="47">
        <v>8</v>
      </c>
      <c r="AK81" s="47">
        <v>12</v>
      </c>
      <c r="AM81" s="488"/>
      <c r="AN81" s="47">
        <v>4</v>
      </c>
      <c r="AO81" s="47">
        <v>11</v>
      </c>
      <c r="AR81" s="47">
        <v>13</v>
      </c>
      <c r="AS81" s="47">
        <v>6</v>
      </c>
      <c r="AV81" s="47">
        <v>2</v>
      </c>
      <c r="AW81" s="47">
        <v>8</v>
      </c>
      <c r="AZ81" s="47">
        <v>1</v>
      </c>
      <c r="BA81" s="47">
        <v>6</v>
      </c>
      <c r="BD81" s="47">
        <v>1</v>
      </c>
      <c r="BE81" s="47">
        <v>8</v>
      </c>
      <c r="BH81" s="47">
        <v>18</v>
      </c>
      <c r="BI81" s="47">
        <v>2</v>
      </c>
      <c r="BL81" s="47">
        <v>3</v>
      </c>
      <c r="BM81" s="47">
        <v>2</v>
      </c>
      <c r="BP81" s="47">
        <v>1</v>
      </c>
      <c r="BQ81" s="47">
        <v>12</v>
      </c>
    </row>
    <row r="82" spans="28:69" x14ac:dyDescent="0.2">
      <c r="AB82" s="47">
        <v>4</v>
      </c>
      <c r="AC82" s="47">
        <v>2</v>
      </c>
      <c r="AF82" s="47">
        <v>8</v>
      </c>
      <c r="AG82" s="47">
        <v>6</v>
      </c>
      <c r="AJ82" s="47">
        <v>2</v>
      </c>
      <c r="AK82" s="47">
        <v>7</v>
      </c>
      <c r="AM82" s="488"/>
      <c r="AN82" s="47">
        <v>10</v>
      </c>
      <c r="AO82" s="47">
        <v>5</v>
      </c>
      <c r="AR82" s="47">
        <v>7</v>
      </c>
      <c r="AS82" s="47">
        <v>12</v>
      </c>
      <c r="AV82" s="47">
        <v>15</v>
      </c>
      <c r="AW82" s="47">
        <v>10</v>
      </c>
      <c r="AZ82" s="47">
        <v>5</v>
      </c>
      <c r="BA82" s="47">
        <v>7</v>
      </c>
      <c r="BD82" s="47">
        <v>7</v>
      </c>
      <c r="BE82" s="47">
        <v>9</v>
      </c>
      <c r="BH82" s="47">
        <v>9</v>
      </c>
      <c r="BI82" s="47">
        <v>1</v>
      </c>
      <c r="BL82" s="47">
        <v>11</v>
      </c>
      <c r="BM82" s="47">
        <v>1</v>
      </c>
      <c r="BP82" s="47">
        <v>11</v>
      </c>
      <c r="BQ82" s="47">
        <v>13</v>
      </c>
    </row>
    <row r="83" spans="28:69" x14ac:dyDescent="0.2">
      <c r="AB83" s="47">
        <v>10</v>
      </c>
      <c r="AC83" s="47">
        <v>5</v>
      </c>
      <c r="AF83" s="47">
        <v>5</v>
      </c>
      <c r="AG83" s="47">
        <v>9</v>
      </c>
      <c r="AJ83" s="47">
        <v>6</v>
      </c>
      <c r="AK83" s="47">
        <v>3</v>
      </c>
      <c r="AM83" s="488"/>
      <c r="AN83" s="47">
        <v>6</v>
      </c>
      <c r="AO83" s="47">
        <v>9</v>
      </c>
      <c r="AR83" s="47">
        <v>11</v>
      </c>
      <c r="AS83" s="47">
        <v>8</v>
      </c>
      <c r="AV83" s="47">
        <v>11</v>
      </c>
      <c r="AW83" s="47">
        <v>14</v>
      </c>
      <c r="AZ83" s="47">
        <v>8</v>
      </c>
      <c r="BA83" s="47">
        <v>4</v>
      </c>
      <c r="BD83" s="47">
        <v>10</v>
      </c>
      <c r="BE83" s="47">
        <v>6</v>
      </c>
      <c r="BH83" s="47">
        <v>8</v>
      </c>
      <c r="BI83" s="47">
        <v>10</v>
      </c>
      <c r="BL83" s="47">
        <v>10</v>
      </c>
      <c r="BM83" s="47">
        <v>12</v>
      </c>
      <c r="BP83" s="47">
        <v>14</v>
      </c>
      <c r="BQ83" s="47">
        <v>10</v>
      </c>
    </row>
    <row r="84" spans="28:69" x14ac:dyDescent="0.2">
      <c r="AB84" s="47">
        <v>6</v>
      </c>
      <c r="AC84" s="47">
        <v>9</v>
      </c>
      <c r="AF84" s="47">
        <v>10</v>
      </c>
      <c r="AG84" s="47">
        <v>4</v>
      </c>
      <c r="AJ84" s="47">
        <v>4</v>
      </c>
      <c r="AK84" s="47">
        <v>5</v>
      </c>
      <c r="AN84" s="47">
        <v>8</v>
      </c>
      <c r="AO84" s="47">
        <v>7</v>
      </c>
      <c r="AR84" s="47">
        <v>9</v>
      </c>
      <c r="AS84" s="47">
        <v>10</v>
      </c>
      <c r="AV84" s="47">
        <v>13</v>
      </c>
      <c r="AW84" s="47">
        <v>12</v>
      </c>
      <c r="AZ84" s="47">
        <v>3</v>
      </c>
      <c r="BA84" s="47">
        <v>9</v>
      </c>
      <c r="BD84" s="47">
        <v>5</v>
      </c>
      <c r="BE84" s="47">
        <v>11</v>
      </c>
      <c r="BH84" s="47">
        <v>11</v>
      </c>
      <c r="BI84" s="47">
        <v>7</v>
      </c>
      <c r="BL84" s="47">
        <v>13</v>
      </c>
      <c r="BM84" s="47">
        <v>9</v>
      </c>
      <c r="BP84" s="47">
        <v>9</v>
      </c>
      <c r="BQ84" s="47">
        <v>15</v>
      </c>
    </row>
    <row r="85" spans="28:69" x14ac:dyDescent="0.2">
      <c r="AB85" s="47">
        <v>8</v>
      </c>
      <c r="AC85" s="47">
        <v>7</v>
      </c>
      <c r="AF85" s="47">
        <v>3</v>
      </c>
      <c r="AG85" s="47">
        <v>11</v>
      </c>
      <c r="AJ85" s="47">
        <v>1</v>
      </c>
      <c r="AK85" s="47">
        <v>9</v>
      </c>
      <c r="AN85" s="47">
        <v>1</v>
      </c>
      <c r="AO85" s="47">
        <v>13</v>
      </c>
      <c r="AR85" s="47">
        <v>1</v>
      </c>
      <c r="AS85" s="47">
        <v>2</v>
      </c>
      <c r="AV85" s="47">
        <v>1</v>
      </c>
      <c r="AW85" s="47">
        <v>4</v>
      </c>
      <c r="AZ85" s="47">
        <v>10</v>
      </c>
      <c r="BA85" s="47">
        <v>2</v>
      </c>
      <c r="BD85" s="47">
        <v>12</v>
      </c>
      <c r="BE85" s="47">
        <v>4</v>
      </c>
      <c r="BH85" s="47">
        <v>6</v>
      </c>
      <c r="BI85" s="47">
        <v>12</v>
      </c>
      <c r="BL85" s="47">
        <v>8</v>
      </c>
      <c r="BM85" s="47">
        <v>14</v>
      </c>
      <c r="BP85" s="47">
        <v>16</v>
      </c>
      <c r="BQ85" s="47">
        <v>8</v>
      </c>
    </row>
    <row r="86" spans="28:69" x14ac:dyDescent="0.2">
      <c r="AB86" s="47">
        <v>2</v>
      </c>
      <c r="AC86" s="47">
        <v>1</v>
      </c>
      <c r="AF86" s="47">
        <v>6</v>
      </c>
      <c r="AG86" s="47">
        <v>1</v>
      </c>
      <c r="AJ86" s="47">
        <v>10</v>
      </c>
      <c r="AK86" s="47">
        <v>8</v>
      </c>
      <c r="AN86" s="47">
        <v>11</v>
      </c>
      <c r="AO86" s="47">
        <v>2</v>
      </c>
      <c r="AR86" s="47">
        <v>14</v>
      </c>
      <c r="AS86" s="47">
        <v>3</v>
      </c>
      <c r="AV86" s="47">
        <v>3</v>
      </c>
      <c r="AW86" s="47">
        <v>5</v>
      </c>
      <c r="AZ86" s="47">
        <v>16</v>
      </c>
      <c r="BA86" s="47">
        <v>11</v>
      </c>
      <c r="BD86" s="47">
        <v>3</v>
      </c>
      <c r="BE86" s="47">
        <v>13</v>
      </c>
      <c r="BH86" s="47">
        <v>13</v>
      </c>
      <c r="BI86" s="47">
        <v>5</v>
      </c>
      <c r="BL86" s="47">
        <v>15</v>
      </c>
      <c r="BM86" s="47">
        <v>7</v>
      </c>
      <c r="BP86" s="47">
        <v>7</v>
      </c>
      <c r="BQ86" s="47">
        <v>17</v>
      </c>
    </row>
    <row r="87" spans="28:69" x14ac:dyDescent="0.2">
      <c r="AB87" s="47">
        <v>3</v>
      </c>
      <c r="AC87" s="47">
        <v>10</v>
      </c>
      <c r="AF87" s="47">
        <v>7</v>
      </c>
      <c r="AG87" s="47">
        <v>5</v>
      </c>
      <c r="AJ87" s="47">
        <v>7</v>
      </c>
      <c r="AK87" s="47">
        <v>11</v>
      </c>
      <c r="AN87" s="47">
        <v>3</v>
      </c>
      <c r="AO87" s="47">
        <v>10</v>
      </c>
      <c r="AQ87" s="486" t="str">
        <f>Language!$E$18</f>
        <v>Hinspiele</v>
      </c>
      <c r="AR87" s="47">
        <v>4</v>
      </c>
      <c r="AS87" s="47">
        <v>13</v>
      </c>
      <c r="AV87" s="47">
        <v>6</v>
      </c>
      <c r="AW87" s="47">
        <v>2</v>
      </c>
      <c r="AZ87" s="47">
        <v>12</v>
      </c>
      <c r="BA87" s="47">
        <v>15</v>
      </c>
      <c r="BD87" s="47">
        <v>14</v>
      </c>
      <c r="BE87" s="47">
        <v>2</v>
      </c>
      <c r="BH87" s="47">
        <v>4</v>
      </c>
      <c r="BI87" s="47">
        <v>14</v>
      </c>
      <c r="BL87" s="47">
        <v>6</v>
      </c>
      <c r="BM87" s="47">
        <v>16</v>
      </c>
      <c r="BP87" s="47">
        <v>18</v>
      </c>
      <c r="BQ87" s="47">
        <v>6</v>
      </c>
    </row>
    <row r="88" spans="28:69" x14ac:dyDescent="0.2">
      <c r="AB88" s="47">
        <v>9</v>
      </c>
      <c r="AC88" s="47">
        <v>4</v>
      </c>
      <c r="AF88" s="47">
        <v>4</v>
      </c>
      <c r="AG88" s="47">
        <v>8</v>
      </c>
      <c r="AJ88" s="47">
        <v>12</v>
      </c>
      <c r="AK88" s="47">
        <v>6</v>
      </c>
      <c r="AN88" s="47">
        <v>9</v>
      </c>
      <c r="AO88" s="47">
        <v>4</v>
      </c>
      <c r="AQ88" s="486"/>
      <c r="AR88" s="47">
        <v>12</v>
      </c>
      <c r="AS88" s="47">
        <v>5</v>
      </c>
      <c r="AV88" s="47">
        <v>8</v>
      </c>
      <c r="AW88" s="47">
        <v>15</v>
      </c>
      <c r="AZ88" s="47">
        <v>14</v>
      </c>
      <c r="BA88" s="47">
        <v>13</v>
      </c>
      <c r="BD88" s="47">
        <v>16</v>
      </c>
      <c r="BE88" s="47">
        <v>17</v>
      </c>
      <c r="BH88" s="47">
        <v>15</v>
      </c>
      <c r="BI88" s="47">
        <v>3</v>
      </c>
      <c r="BL88" s="47">
        <v>17</v>
      </c>
      <c r="BM88" s="47">
        <v>5</v>
      </c>
      <c r="BP88" s="47">
        <v>5</v>
      </c>
      <c r="BQ88" s="47">
        <v>19</v>
      </c>
    </row>
    <row r="89" spans="28:69" x14ac:dyDescent="0.2">
      <c r="AB89" s="47">
        <v>5</v>
      </c>
      <c r="AC89" s="47">
        <v>8</v>
      </c>
      <c r="AF89" s="47">
        <v>9</v>
      </c>
      <c r="AG89" s="47">
        <v>3</v>
      </c>
      <c r="AJ89" s="47">
        <v>5</v>
      </c>
      <c r="AK89" s="47">
        <v>2</v>
      </c>
      <c r="AN89" s="47">
        <v>5</v>
      </c>
      <c r="AO89" s="47">
        <v>8</v>
      </c>
      <c r="AQ89" s="486"/>
      <c r="AR89" s="47">
        <v>6</v>
      </c>
      <c r="AS89" s="47">
        <v>11</v>
      </c>
      <c r="AV89" s="47">
        <v>14</v>
      </c>
      <c r="AW89" s="47">
        <v>9</v>
      </c>
      <c r="AZ89" s="47">
        <v>5</v>
      </c>
      <c r="BA89" s="47">
        <v>1</v>
      </c>
      <c r="BD89" s="47">
        <v>7</v>
      </c>
      <c r="BE89" s="47">
        <v>1</v>
      </c>
      <c r="BH89" s="47">
        <v>2</v>
      </c>
      <c r="BI89" s="47">
        <v>16</v>
      </c>
      <c r="BL89" s="47">
        <v>4</v>
      </c>
      <c r="BM89" s="47">
        <v>18</v>
      </c>
      <c r="BP89" s="47">
        <v>20</v>
      </c>
      <c r="BQ89" s="47">
        <v>4</v>
      </c>
    </row>
    <row r="90" spans="28:69" x14ac:dyDescent="0.2">
      <c r="AB90" s="47">
        <v>7</v>
      </c>
      <c r="AC90" s="47">
        <v>6</v>
      </c>
      <c r="AF90" s="47">
        <v>2</v>
      </c>
      <c r="AG90" s="47">
        <v>10</v>
      </c>
      <c r="AJ90" s="47">
        <v>3</v>
      </c>
      <c r="AK90" s="47">
        <v>4</v>
      </c>
      <c r="AN90" s="47">
        <v>7</v>
      </c>
      <c r="AO90" s="47">
        <v>6</v>
      </c>
      <c r="AQ90" s="486"/>
      <c r="AR90" s="47">
        <v>10</v>
      </c>
      <c r="AS90" s="47">
        <v>7</v>
      </c>
      <c r="AV90" s="47">
        <v>10</v>
      </c>
      <c r="AW90" s="47">
        <v>13</v>
      </c>
      <c r="AZ90" s="47">
        <v>4</v>
      </c>
      <c r="BA90" s="47">
        <v>6</v>
      </c>
      <c r="BD90" s="47">
        <v>6</v>
      </c>
      <c r="BE90" s="47">
        <v>8</v>
      </c>
      <c r="BH90" s="47">
        <v>17</v>
      </c>
      <c r="BI90" s="47">
        <v>18</v>
      </c>
      <c r="BL90" s="47">
        <v>19</v>
      </c>
      <c r="BM90" s="47">
        <v>3</v>
      </c>
      <c r="BP90" s="47">
        <v>3</v>
      </c>
      <c r="BQ90" s="47">
        <v>2</v>
      </c>
    </row>
    <row r="91" spans="28:69" ht="13.5" thickBot="1" x14ac:dyDescent="0.25">
      <c r="AF91" s="47">
        <v>1</v>
      </c>
      <c r="AG91" s="47">
        <v>5</v>
      </c>
      <c r="AJ91" s="47">
        <v>8</v>
      </c>
      <c r="AK91" s="47">
        <v>1</v>
      </c>
      <c r="AN91" s="47">
        <v>12</v>
      </c>
      <c r="AO91" s="47">
        <v>1</v>
      </c>
      <c r="AQ91" s="487"/>
      <c r="AR91" s="47">
        <v>8</v>
      </c>
      <c r="AS91" s="47">
        <v>9</v>
      </c>
      <c r="AV91" s="47">
        <v>12</v>
      </c>
      <c r="AW91" s="47">
        <v>11</v>
      </c>
      <c r="AZ91" s="47">
        <v>7</v>
      </c>
      <c r="BA91" s="47">
        <v>3</v>
      </c>
      <c r="BD91" s="47">
        <v>9</v>
      </c>
      <c r="BE91" s="47">
        <v>5</v>
      </c>
      <c r="BH91" s="47">
        <v>1</v>
      </c>
      <c r="BI91" s="47">
        <v>8</v>
      </c>
      <c r="BL91" s="47">
        <v>1</v>
      </c>
      <c r="BM91" s="47">
        <v>10</v>
      </c>
      <c r="BP91" s="47">
        <v>11</v>
      </c>
      <c r="BQ91" s="47">
        <v>1</v>
      </c>
    </row>
    <row r="92" spans="28:69" x14ac:dyDescent="0.2">
      <c r="AF92" s="47">
        <v>6</v>
      </c>
      <c r="AG92" s="47">
        <v>4</v>
      </c>
      <c r="AJ92" s="47">
        <v>9</v>
      </c>
      <c r="AK92" s="47">
        <v>7</v>
      </c>
      <c r="AN92" s="47">
        <v>13</v>
      </c>
      <c r="AO92" s="47">
        <v>11</v>
      </c>
      <c r="AQ92" s="488" t="str">
        <f>Language!$E$19</f>
        <v>Rückspiele</v>
      </c>
      <c r="AR92" s="47">
        <v>14</v>
      </c>
      <c r="AS92" s="47">
        <v>1</v>
      </c>
      <c r="AV92" s="47">
        <v>3</v>
      </c>
      <c r="AW92" s="47">
        <v>1</v>
      </c>
      <c r="AZ92" s="47">
        <v>2</v>
      </c>
      <c r="BA92" s="47">
        <v>8</v>
      </c>
      <c r="BD92" s="47">
        <v>4</v>
      </c>
      <c r="BE92" s="47">
        <v>10</v>
      </c>
      <c r="BH92" s="47">
        <v>7</v>
      </c>
      <c r="BI92" s="47">
        <v>9</v>
      </c>
      <c r="BL92" s="47">
        <v>9</v>
      </c>
      <c r="BM92" s="47">
        <v>11</v>
      </c>
      <c r="BP92" s="47">
        <v>10</v>
      </c>
      <c r="BQ92" s="47">
        <v>12</v>
      </c>
    </row>
    <row r="93" spans="28:69" x14ac:dyDescent="0.2">
      <c r="AF93" s="47">
        <v>3</v>
      </c>
      <c r="AG93" s="47">
        <v>7</v>
      </c>
      <c r="AJ93" s="47">
        <v>6</v>
      </c>
      <c r="AK93" s="47">
        <v>10</v>
      </c>
      <c r="AN93" s="47">
        <v>2</v>
      </c>
      <c r="AO93" s="47">
        <v>9</v>
      </c>
      <c r="AQ93" s="488"/>
      <c r="AR93" s="47">
        <v>2</v>
      </c>
      <c r="AS93" s="47">
        <v>13</v>
      </c>
      <c r="AV93" s="47">
        <v>2</v>
      </c>
      <c r="AW93" s="47">
        <v>4</v>
      </c>
      <c r="AZ93" s="47">
        <v>9</v>
      </c>
      <c r="BA93" s="47">
        <v>16</v>
      </c>
      <c r="BD93" s="47">
        <v>11</v>
      </c>
      <c r="BE93" s="47">
        <v>3</v>
      </c>
      <c r="BH93" s="47">
        <v>10</v>
      </c>
      <c r="BI93" s="47">
        <v>6</v>
      </c>
      <c r="BL93" s="47">
        <v>12</v>
      </c>
      <c r="BM93" s="47">
        <v>8</v>
      </c>
      <c r="BP93" s="47">
        <v>13</v>
      </c>
      <c r="BQ93" s="47">
        <v>9</v>
      </c>
    </row>
    <row r="94" spans="28:69" x14ac:dyDescent="0.2">
      <c r="AF94" s="47">
        <v>8</v>
      </c>
      <c r="AG94" s="47">
        <v>2</v>
      </c>
      <c r="AJ94" s="47">
        <v>11</v>
      </c>
      <c r="AK94" s="47">
        <v>5</v>
      </c>
      <c r="AN94" s="47">
        <v>8</v>
      </c>
      <c r="AO94" s="47">
        <v>3</v>
      </c>
      <c r="AQ94" s="488"/>
      <c r="AR94" s="47">
        <v>12</v>
      </c>
      <c r="AS94" s="47">
        <v>3</v>
      </c>
      <c r="AV94" s="47">
        <v>15</v>
      </c>
      <c r="AW94" s="47">
        <v>6</v>
      </c>
      <c r="AZ94" s="47">
        <v>15</v>
      </c>
      <c r="BA94" s="47">
        <v>10</v>
      </c>
      <c r="BD94" s="47">
        <v>2</v>
      </c>
      <c r="BE94" s="47">
        <v>12</v>
      </c>
      <c r="BH94" s="47">
        <v>5</v>
      </c>
      <c r="BI94" s="47">
        <v>11</v>
      </c>
      <c r="BL94" s="47">
        <v>7</v>
      </c>
      <c r="BM94" s="47">
        <v>13</v>
      </c>
      <c r="BP94" s="47">
        <v>8</v>
      </c>
      <c r="BQ94" s="47">
        <v>14</v>
      </c>
    </row>
    <row r="95" spans="28:69" x14ac:dyDescent="0.2">
      <c r="AF95" s="47">
        <v>10</v>
      </c>
      <c r="AG95" s="47">
        <v>11</v>
      </c>
      <c r="AJ95" s="47">
        <v>4</v>
      </c>
      <c r="AK95" s="47">
        <v>12</v>
      </c>
      <c r="AN95" s="47">
        <v>4</v>
      </c>
      <c r="AO95" s="47">
        <v>7</v>
      </c>
      <c r="AQ95" s="488"/>
      <c r="AR95" s="47">
        <v>4</v>
      </c>
      <c r="AS95" s="47">
        <v>11</v>
      </c>
      <c r="AV95" s="47">
        <v>7</v>
      </c>
      <c r="AW95" s="47">
        <v>14</v>
      </c>
      <c r="AZ95" s="47">
        <v>11</v>
      </c>
      <c r="BA95" s="47">
        <v>14</v>
      </c>
      <c r="BD95" s="47">
        <v>17</v>
      </c>
      <c r="BE95" s="47">
        <v>14</v>
      </c>
      <c r="BH95" s="47">
        <v>12</v>
      </c>
      <c r="BI95" s="47">
        <v>4</v>
      </c>
      <c r="BL95" s="47">
        <v>14</v>
      </c>
      <c r="BM95" s="47">
        <v>6</v>
      </c>
      <c r="BP95" s="47">
        <v>15</v>
      </c>
      <c r="BQ95" s="47">
        <v>7</v>
      </c>
    </row>
    <row r="96" spans="28:69" x14ac:dyDescent="0.2">
      <c r="AF96" s="47">
        <v>4</v>
      </c>
      <c r="AG96" s="47">
        <v>1</v>
      </c>
      <c r="AJ96" s="47">
        <v>2</v>
      </c>
      <c r="AK96" s="47">
        <v>3</v>
      </c>
      <c r="AN96" s="47">
        <v>6</v>
      </c>
      <c r="AO96" s="47">
        <v>5</v>
      </c>
      <c r="AQ96" s="488"/>
      <c r="AR96" s="47">
        <v>10</v>
      </c>
      <c r="AS96" s="47">
        <v>5</v>
      </c>
      <c r="AV96" s="47">
        <v>13</v>
      </c>
      <c r="AW96" s="47">
        <v>8</v>
      </c>
      <c r="AZ96" s="47">
        <v>13</v>
      </c>
      <c r="BA96" s="47">
        <v>12</v>
      </c>
      <c r="BD96" s="47">
        <v>15</v>
      </c>
      <c r="BE96" s="47">
        <v>16</v>
      </c>
      <c r="BH96" s="47">
        <v>3</v>
      </c>
      <c r="BI96" s="47">
        <v>13</v>
      </c>
      <c r="BL96" s="47">
        <v>5</v>
      </c>
      <c r="BM96" s="47">
        <v>15</v>
      </c>
      <c r="BP96" s="47">
        <v>6</v>
      </c>
      <c r="BQ96" s="47">
        <v>16</v>
      </c>
    </row>
    <row r="97" spans="32:69" x14ac:dyDescent="0.2">
      <c r="AF97" s="47">
        <v>5</v>
      </c>
      <c r="AG97" s="47">
        <v>3</v>
      </c>
      <c r="AJ97" s="47">
        <v>1</v>
      </c>
      <c r="AK97" s="47">
        <v>7</v>
      </c>
      <c r="AN97" s="47">
        <v>1</v>
      </c>
      <c r="AO97" s="47">
        <v>11</v>
      </c>
      <c r="AR97" s="47">
        <v>6</v>
      </c>
      <c r="AS97" s="47">
        <v>9</v>
      </c>
      <c r="AV97" s="47">
        <v>9</v>
      </c>
      <c r="AW97" s="47">
        <v>12</v>
      </c>
      <c r="AZ97" s="47">
        <v>1</v>
      </c>
      <c r="BA97" s="47">
        <v>4</v>
      </c>
      <c r="BD97" s="47">
        <v>1</v>
      </c>
      <c r="BE97" s="47">
        <v>6</v>
      </c>
      <c r="BH97" s="47">
        <v>14</v>
      </c>
      <c r="BI97" s="47">
        <v>2</v>
      </c>
      <c r="BL97" s="47">
        <v>16</v>
      </c>
      <c r="BM97" s="47">
        <v>4</v>
      </c>
      <c r="BP97" s="47">
        <v>17</v>
      </c>
      <c r="BQ97" s="47">
        <v>5</v>
      </c>
    </row>
    <row r="98" spans="32:69" x14ac:dyDescent="0.2">
      <c r="AF98" s="47">
        <v>2</v>
      </c>
      <c r="AG98" s="47">
        <v>6</v>
      </c>
      <c r="AJ98" s="47">
        <v>8</v>
      </c>
      <c r="AK98" s="47">
        <v>6</v>
      </c>
      <c r="AN98" s="47">
        <v>12</v>
      </c>
      <c r="AO98" s="47">
        <v>10</v>
      </c>
      <c r="AR98" s="47">
        <v>8</v>
      </c>
      <c r="AS98" s="47">
        <v>7</v>
      </c>
      <c r="AV98" s="47">
        <v>11</v>
      </c>
      <c r="AW98" s="47">
        <v>10</v>
      </c>
      <c r="AZ98" s="47">
        <v>3</v>
      </c>
      <c r="BA98" s="47">
        <v>5</v>
      </c>
      <c r="BD98" s="47">
        <v>5</v>
      </c>
      <c r="BE98" s="47">
        <v>7</v>
      </c>
      <c r="BH98" s="47">
        <v>18</v>
      </c>
      <c r="BI98" s="47">
        <v>15</v>
      </c>
      <c r="BL98" s="47">
        <v>3</v>
      </c>
      <c r="BM98" s="47">
        <v>17</v>
      </c>
      <c r="BP98" s="47">
        <v>4</v>
      </c>
      <c r="BQ98" s="47">
        <v>18</v>
      </c>
    </row>
    <row r="99" spans="32:69" x14ac:dyDescent="0.2">
      <c r="AF99" s="47">
        <v>11</v>
      </c>
      <c r="AG99" s="47">
        <v>8</v>
      </c>
      <c r="AJ99" s="47">
        <v>5</v>
      </c>
      <c r="AK99" s="47">
        <v>9</v>
      </c>
      <c r="AN99" s="47">
        <v>9</v>
      </c>
      <c r="AO99" s="47">
        <v>13</v>
      </c>
      <c r="AR99" s="47">
        <v>1</v>
      </c>
      <c r="AS99" s="47">
        <v>13</v>
      </c>
      <c r="AV99" s="47">
        <v>1</v>
      </c>
      <c r="AW99" s="47">
        <v>2</v>
      </c>
      <c r="AZ99" s="47">
        <v>6</v>
      </c>
      <c r="BA99" s="47">
        <v>2</v>
      </c>
      <c r="BD99" s="47">
        <v>8</v>
      </c>
      <c r="BE99" s="47">
        <v>4</v>
      </c>
      <c r="BH99" s="47">
        <v>16</v>
      </c>
      <c r="BI99" s="47">
        <v>17</v>
      </c>
      <c r="BL99" s="47">
        <v>18</v>
      </c>
      <c r="BM99" s="47">
        <v>2</v>
      </c>
      <c r="BP99" s="47">
        <v>19</v>
      </c>
      <c r="BQ99" s="47">
        <v>3</v>
      </c>
    </row>
    <row r="100" spans="32:69" x14ac:dyDescent="0.2">
      <c r="AF100" s="47">
        <v>9</v>
      </c>
      <c r="AG100" s="47">
        <v>10</v>
      </c>
      <c r="AJ100" s="47">
        <v>10</v>
      </c>
      <c r="AK100" s="47">
        <v>4</v>
      </c>
      <c r="AN100" s="47">
        <v>7</v>
      </c>
      <c r="AO100" s="47">
        <v>2</v>
      </c>
      <c r="AR100" s="47">
        <v>14</v>
      </c>
      <c r="AS100" s="47">
        <v>12</v>
      </c>
      <c r="AV100" s="47">
        <v>4</v>
      </c>
      <c r="AW100" s="47">
        <v>15</v>
      </c>
      <c r="AZ100" s="47">
        <v>16</v>
      </c>
      <c r="BA100" s="47">
        <v>7</v>
      </c>
      <c r="BD100" s="47">
        <v>3</v>
      </c>
      <c r="BE100" s="47">
        <v>9</v>
      </c>
      <c r="BH100" s="47">
        <v>7</v>
      </c>
      <c r="BI100" s="47">
        <v>1</v>
      </c>
      <c r="BL100" s="47">
        <v>9</v>
      </c>
      <c r="BM100" s="47">
        <v>1</v>
      </c>
      <c r="BP100" s="47">
        <v>2</v>
      </c>
      <c r="BQ100" s="47">
        <v>20</v>
      </c>
    </row>
    <row r="101" spans="32:69" x14ac:dyDescent="0.2">
      <c r="AF101" s="47">
        <v>1</v>
      </c>
      <c r="AG101" s="47">
        <v>3</v>
      </c>
      <c r="AJ101" s="47">
        <v>3</v>
      </c>
      <c r="AK101" s="47">
        <v>11</v>
      </c>
      <c r="AN101" s="47">
        <v>3</v>
      </c>
      <c r="AO101" s="47">
        <v>6</v>
      </c>
      <c r="AR101" s="47">
        <v>11</v>
      </c>
      <c r="AS101" s="47">
        <v>2</v>
      </c>
      <c r="AU101" s="486" t="str">
        <f>Language!$E$18</f>
        <v>Hinspiele</v>
      </c>
      <c r="AV101" s="47">
        <v>14</v>
      </c>
      <c r="AW101" s="47">
        <v>5</v>
      </c>
      <c r="AZ101" s="47">
        <v>8</v>
      </c>
      <c r="BA101" s="47">
        <v>15</v>
      </c>
      <c r="BD101" s="47">
        <v>10</v>
      </c>
      <c r="BE101" s="47">
        <v>2</v>
      </c>
      <c r="BH101" s="47">
        <v>6</v>
      </c>
      <c r="BI101" s="47">
        <v>8</v>
      </c>
      <c r="BL101" s="47">
        <v>8</v>
      </c>
      <c r="BM101" s="47">
        <v>10</v>
      </c>
      <c r="BP101" s="47">
        <v>1</v>
      </c>
      <c r="BQ101" s="47">
        <v>10</v>
      </c>
    </row>
    <row r="102" spans="32:69" x14ac:dyDescent="0.2">
      <c r="AF102" s="47">
        <v>4</v>
      </c>
      <c r="AG102" s="47">
        <v>2</v>
      </c>
      <c r="AJ102" s="47">
        <v>12</v>
      </c>
      <c r="AK102" s="47">
        <v>2</v>
      </c>
      <c r="AN102" s="47">
        <v>5</v>
      </c>
      <c r="AO102" s="47">
        <v>4</v>
      </c>
      <c r="AR102" s="47">
        <v>3</v>
      </c>
      <c r="AS102" s="47">
        <v>10</v>
      </c>
      <c r="AU102" s="486"/>
      <c r="AV102" s="47">
        <v>6</v>
      </c>
      <c r="AW102" s="47">
        <v>13</v>
      </c>
      <c r="AZ102" s="47">
        <v>14</v>
      </c>
      <c r="BA102" s="47">
        <v>9</v>
      </c>
      <c r="BD102" s="47">
        <v>12</v>
      </c>
      <c r="BE102" s="47">
        <v>17</v>
      </c>
      <c r="BH102" s="47">
        <v>9</v>
      </c>
      <c r="BI102" s="47">
        <v>5</v>
      </c>
      <c r="BL102" s="47">
        <v>11</v>
      </c>
      <c r="BM102" s="47">
        <v>7</v>
      </c>
      <c r="BP102" s="47">
        <v>9</v>
      </c>
      <c r="BQ102" s="47">
        <v>11</v>
      </c>
    </row>
    <row r="103" spans="32:69" x14ac:dyDescent="0.2">
      <c r="AF103" s="47">
        <v>6</v>
      </c>
      <c r="AG103" s="47">
        <v>11</v>
      </c>
      <c r="AJ103" s="47">
        <v>6</v>
      </c>
      <c r="AK103" s="47">
        <v>1</v>
      </c>
      <c r="AN103" s="47">
        <v>10</v>
      </c>
      <c r="AO103" s="47">
        <v>1</v>
      </c>
      <c r="AR103" s="47">
        <v>9</v>
      </c>
      <c r="AS103" s="47">
        <v>4</v>
      </c>
      <c r="AU103" s="486"/>
      <c r="AV103" s="47">
        <v>12</v>
      </c>
      <c r="AW103" s="47">
        <v>7</v>
      </c>
      <c r="AZ103" s="47">
        <v>10</v>
      </c>
      <c r="BA103" s="47">
        <v>13</v>
      </c>
      <c r="BD103" s="47">
        <v>16</v>
      </c>
      <c r="BE103" s="47">
        <v>13</v>
      </c>
      <c r="BH103" s="47">
        <v>4</v>
      </c>
      <c r="BI103" s="47">
        <v>10</v>
      </c>
      <c r="BL103" s="47">
        <v>6</v>
      </c>
      <c r="BM103" s="47">
        <v>12</v>
      </c>
      <c r="BP103" s="47">
        <v>12</v>
      </c>
      <c r="BQ103" s="47">
        <v>8</v>
      </c>
    </row>
    <row r="104" spans="32:69" x14ac:dyDescent="0.2">
      <c r="AF104" s="47">
        <v>10</v>
      </c>
      <c r="AG104" s="47">
        <v>7</v>
      </c>
      <c r="AJ104" s="47">
        <v>7</v>
      </c>
      <c r="AK104" s="47">
        <v>5</v>
      </c>
      <c r="AN104" s="47">
        <v>11</v>
      </c>
      <c r="AO104" s="47">
        <v>9</v>
      </c>
      <c r="AR104" s="47">
        <v>5</v>
      </c>
      <c r="AS104" s="47">
        <v>8</v>
      </c>
      <c r="AU104" s="486"/>
      <c r="AV104" s="47">
        <v>8</v>
      </c>
      <c r="AW104" s="47">
        <v>11</v>
      </c>
      <c r="AZ104" s="47">
        <v>12</v>
      </c>
      <c r="BA104" s="47">
        <v>11</v>
      </c>
      <c r="BD104" s="47">
        <v>14</v>
      </c>
      <c r="BE104" s="47">
        <v>15</v>
      </c>
      <c r="BH104" s="47">
        <v>11</v>
      </c>
      <c r="BI104" s="47">
        <v>3</v>
      </c>
      <c r="BL104" s="47">
        <v>13</v>
      </c>
      <c r="BM104" s="47">
        <v>5</v>
      </c>
      <c r="BP104" s="47">
        <v>7</v>
      </c>
      <c r="BQ104" s="47">
        <v>13</v>
      </c>
    </row>
    <row r="105" spans="32:69" ht="13.5" thickBot="1" x14ac:dyDescent="0.25">
      <c r="AF105" s="47">
        <v>8</v>
      </c>
      <c r="AG105" s="47">
        <v>9</v>
      </c>
      <c r="AJ105" s="47">
        <v>4</v>
      </c>
      <c r="AK105" s="47">
        <v>8</v>
      </c>
      <c r="AN105" s="47">
        <v>8</v>
      </c>
      <c r="AO105" s="47">
        <v>12</v>
      </c>
      <c r="AR105" s="47">
        <v>7</v>
      </c>
      <c r="AS105" s="47">
        <v>6</v>
      </c>
      <c r="AU105" s="487"/>
      <c r="AV105" s="47">
        <v>10</v>
      </c>
      <c r="AW105" s="47">
        <v>9</v>
      </c>
      <c r="AZ105" s="47">
        <v>3</v>
      </c>
      <c r="BA105" s="47">
        <v>1</v>
      </c>
      <c r="BD105" s="47">
        <v>5</v>
      </c>
      <c r="BE105" s="47">
        <v>1</v>
      </c>
      <c r="BH105" s="47">
        <v>2</v>
      </c>
      <c r="BI105" s="47">
        <v>12</v>
      </c>
      <c r="BL105" s="47">
        <v>4</v>
      </c>
      <c r="BM105" s="47">
        <v>14</v>
      </c>
      <c r="BP105" s="47">
        <v>14</v>
      </c>
      <c r="BQ105" s="47">
        <v>6</v>
      </c>
    </row>
    <row r="106" spans="32:69" x14ac:dyDescent="0.2">
      <c r="AF106" s="47">
        <v>2</v>
      </c>
      <c r="AG106" s="47">
        <v>1</v>
      </c>
      <c r="AJ106" s="47">
        <v>9</v>
      </c>
      <c r="AK106" s="47">
        <v>3</v>
      </c>
      <c r="AN106" s="47">
        <v>13</v>
      </c>
      <c r="AO106" s="47">
        <v>7</v>
      </c>
      <c r="AR106" s="47">
        <v>12</v>
      </c>
      <c r="AS106" s="47">
        <v>1</v>
      </c>
      <c r="AU106" s="488" t="str">
        <f>Language!$E$19</f>
        <v>Rückspiele</v>
      </c>
      <c r="AV106" s="47">
        <v>2</v>
      </c>
      <c r="AW106" s="47">
        <v>15</v>
      </c>
      <c r="AZ106" s="47">
        <v>2</v>
      </c>
      <c r="BA106" s="47">
        <v>4</v>
      </c>
      <c r="BD106" s="47">
        <v>4</v>
      </c>
      <c r="BE106" s="47">
        <v>6</v>
      </c>
      <c r="BH106" s="47">
        <v>13</v>
      </c>
      <c r="BI106" s="47">
        <v>18</v>
      </c>
      <c r="BL106" s="47">
        <v>15</v>
      </c>
      <c r="BM106" s="47">
        <v>3</v>
      </c>
      <c r="BP106" s="47">
        <v>5</v>
      </c>
      <c r="BQ106" s="47">
        <v>15</v>
      </c>
    </row>
    <row r="107" spans="32:69" x14ac:dyDescent="0.2">
      <c r="AF107" s="47">
        <v>11</v>
      </c>
      <c r="AG107" s="47">
        <v>4</v>
      </c>
      <c r="AJ107" s="47">
        <v>2</v>
      </c>
      <c r="AK107" s="47">
        <v>10</v>
      </c>
      <c r="AN107" s="47">
        <v>2</v>
      </c>
      <c r="AO107" s="47">
        <v>5</v>
      </c>
      <c r="AR107" s="47">
        <v>13</v>
      </c>
      <c r="AS107" s="47">
        <v>11</v>
      </c>
      <c r="AU107" s="488"/>
      <c r="AV107" s="47">
        <v>14</v>
      </c>
      <c r="AW107" s="47">
        <v>3</v>
      </c>
      <c r="AZ107" s="47">
        <v>5</v>
      </c>
      <c r="BA107" s="47">
        <v>16</v>
      </c>
      <c r="BD107" s="47">
        <v>7</v>
      </c>
      <c r="BE107" s="47">
        <v>3</v>
      </c>
      <c r="BH107" s="47">
        <v>17</v>
      </c>
      <c r="BI107" s="47">
        <v>14</v>
      </c>
      <c r="BL107" s="47">
        <v>2</v>
      </c>
      <c r="BM107" s="47">
        <v>16</v>
      </c>
      <c r="BP107" s="47">
        <v>16</v>
      </c>
      <c r="BQ107" s="47">
        <v>4</v>
      </c>
    </row>
    <row r="108" spans="32:69" x14ac:dyDescent="0.2">
      <c r="AF108" s="47">
        <v>5</v>
      </c>
      <c r="AG108" s="47">
        <v>10</v>
      </c>
      <c r="AJ108" s="47">
        <v>11</v>
      </c>
      <c r="AK108" s="47">
        <v>12</v>
      </c>
      <c r="AN108" s="47">
        <v>4</v>
      </c>
      <c r="AO108" s="47">
        <v>3</v>
      </c>
      <c r="AR108" s="47">
        <v>10</v>
      </c>
      <c r="AS108" s="47">
        <v>14</v>
      </c>
      <c r="AU108" s="488"/>
      <c r="AV108" s="47">
        <v>4</v>
      </c>
      <c r="AW108" s="47">
        <v>13</v>
      </c>
      <c r="AZ108" s="47">
        <v>15</v>
      </c>
      <c r="BA108" s="47">
        <v>6</v>
      </c>
      <c r="BD108" s="47">
        <v>2</v>
      </c>
      <c r="BE108" s="47">
        <v>8</v>
      </c>
      <c r="BH108" s="47">
        <v>15</v>
      </c>
      <c r="BI108" s="47">
        <v>16</v>
      </c>
      <c r="BL108" s="47">
        <v>19</v>
      </c>
      <c r="BM108" s="47">
        <v>18</v>
      </c>
      <c r="BP108" s="47">
        <v>3</v>
      </c>
      <c r="BQ108" s="47">
        <v>17</v>
      </c>
    </row>
    <row r="109" spans="32:69" x14ac:dyDescent="0.2">
      <c r="AF109" s="47">
        <v>9</v>
      </c>
      <c r="AG109" s="47">
        <v>6</v>
      </c>
      <c r="AJ109" s="47">
        <v>1</v>
      </c>
      <c r="AK109" s="47">
        <v>5</v>
      </c>
      <c r="AN109" s="47">
        <v>1</v>
      </c>
      <c r="AO109" s="47">
        <v>9</v>
      </c>
      <c r="AR109" s="47">
        <v>2</v>
      </c>
      <c r="AS109" s="47">
        <v>9</v>
      </c>
      <c r="AU109" s="488"/>
      <c r="AV109" s="47">
        <v>12</v>
      </c>
      <c r="AW109" s="47">
        <v>5</v>
      </c>
      <c r="AZ109" s="47">
        <v>7</v>
      </c>
      <c r="BA109" s="47">
        <v>14</v>
      </c>
      <c r="BD109" s="47">
        <v>17</v>
      </c>
      <c r="BE109" s="47">
        <v>10</v>
      </c>
      <c r="BH109" s="47">
        <v>1</v>
      </c>
      <c r="BI109" s="47">
        <v>6</v>
      </c>
      <c r="BL109" s="47">
        <v>1</v>
      </c>
      <c r="BM109" s="47">
        <v>8</v>
      </c>
      <c r="BP109" s="47">
        <v>18</v>
      </c>
      <c r="BQ109" s="47">
        <v>2</v>
      </c>
    </row>
    <row r="110" spans="32:69" x14ac:dyDescent="0.2">
      <c r="AF110" s="47">
        <v>7</v>
      </c>
      <c r="AG110" s="47">
        <v>8</v>
      </c>
      <c r="AJ110" s="47">
        <v>6</v>
      </c>
      <c r="AK110" s="47">
        <v>4</v>
      </c>
      <c r="AN110" s="47">
        <v>10</v>
      </c>
      <c r="AO110" s="47">
        <v>8</v>
      </c>
      <c r="AR110" s="47">
        <v>8</v>
      </c>
      <c r="AS110" s="47">
        <v>3</v>
      </c>
      <c r="AU110" s="488"/>
      <c r="AV110" s="47">
        <v>6</v>
      </c>
      <c r="AW110" s="47">
        <v>11</v>
      </c>
      <c r="AZ110" s="47">
        <v>13</v>
      </c>
      <c r="BA110" s="47">
        <v>8</v>
      </c>
      <c r="BD110" s="47">
        <v>11</v>
      </c>
      <c r="BE110" s="47">
        <v>16</v>
      </c>
      <c r="BH110" s="47">
        <v>5</v>
      </c>
      <c r="BI110" s="47">
        <v>7</v>
      </c>
      <c r="BL110" s="47">
        <v>7</v>
      </c>
      <c r="BM110" s="47">
        <v>9</v>
      </c>
      <c r="BP110" s="47">
        <v>20</v>
      </c>
      <c r="BQ110" s="47">
        <v>19</v>
      </c>
    </row>
    <row r="111" spans="32:69" x14ac:dyDescent="0.2">
      <c r="AJ111" s="47">
        <v>3</v>
      </c>
      <c r="AK111" s="47">
        <v>7</v>
      </c>
      <c r="AN111" s="47">
        <v>7</v>
      </c>
      <c r="AO111" s="47">
        <v>11</v>
      </c>
      <c r="AR111" s="47">
        <v>4</v>
      </c>
      <c r="AS111" s="47">
        <v>7</v>
      </c>
      <c r="AV111" s="47">
        <v>10</v>
      </c>
      <c r="AW111" s="47">
        <v>7</v>
      </c>
      <c r="AZ111" s="47">
        <v>9</v>
      </c>
      <c r="BA111" s="47">
        <v>12</v>
      </c>
      <c r="BD111" s="47">
        <v>15</v>
      </c>
      <c r="BE111" s="47">
        <v>12</v>
      </c>
      <c r="BH111" s="47">
        <v>8</v>
      </c>
      <c r="BI111" s="47">
        <v>4</v>
      </c>
      <c r="BL111" s="47">
        <v>10</v>
      </c>
      <c r="BM111" s="47">
        <v>6</v>
      </c>
      <c r="BP111" s="47">
        <v>9</v>
      </c>
      <c r="BQ111" s="47">
        <v>1</v>
      </c>
    </row>
    <row r="112" spans="32:69" x14ac:dyDescent="0.2">
      <c r="AJ112" s="47">
        <v>8</v>
      </c>
      <c r="AK112" s="47">
        <v>2</v>
      </c>
      <c r="AN112" s="47">
        <v>12</v>
      </c>
      <c r="AO112" s="47">
        <v>6</v>
      </c>
      <c r="AR112" s="47">
        <v>6</v>
      </c>
      <c r="AS112" s="47">
        <v>5</v>
      </c>
      <c r="AV112" s="47">
        <v>8</v>
      </c>
      <c r="AW112" s="47">
        <v>9</v>
      </c>
      <c r="AZ112" s="47">
        <v>11</v>
      </c>
      <c r="BA112" s="47">
        <v>10</v>
      </c>
      <c r="BD112" s="47">
        <v>13</v>
      </c>
      <c r="BE112" s="47">
        <v>14</v>
      </c>
      <c r="BH112" s="47">
        <v>3</v>
      </c>
      <c r="BI112" s="47">
        <v>9</v>
      </c>
      <c r="BL112" s="47">
        <v>5</v>
      </c>
      <c r="BM112" s="47">
        <v>11</v>
      </c>
      <c r="BP112" s="47">
        <v>8</v>
      </c>
      <c r="BQ112" s="47">
        <v>10</v>
      </c>
    </row>
    <row r="113" spans="36:69" x14ac:dyDescent="0.2">
      <c r="AJ113" s="47">
        <v>12</v>
      </c>
      <c r="AK113" s="47">
        <v>9</v>
      </c>
      <c r="AN113" s="47">
        <v>5</v>
      </c>
      <c r="AO113" s="47">
        <v>13</v>
      </c>
      <c r="AR113" s="47">
        <v>1</v>
      </c>
      <c r="AS113" s="47">
        <v>11</v>
      </c>
      <c r="AV113" s="47">
        <v>1</v>
      </c>
      <c r="AW113" s="47">
        <v>15</v>
      </c>
      <c r="AZ113" s="47">
        <v>1</v>
      </c>
      <c r="BA113" s="47">
        <v>2</v>
      </c>
      <c r="BD113" s="47">
        <v>1</v>
      </c>
      <c r="BE113" s="47">
        <v>4</v>
      </c>
      <c r="BH113" s="47">
        <v>10</v>
      </c>
      <c r="BI113" s="47">
        <v>2</v>
      </c>
      <c r="BL113" s="47">
        <v>12</v>
      </c>
      <c r="BM113" s="47">
        <v>4</v>
      </c>
      <c r="BP113" s="47">
        <v>11</v>
      </c>
      <c r="BQ113" s="47">
        <v>7</v>
      </c>
    </row>
    <row r="114" spans="36:69" x14ac:dyDescent="0.2">
      <c r="AJ114" s="47">
        <v>10</v>
      </c>
      <c r="AK114" s="47">
        <v>11</v>
      </c>
      <c r="AN114" s="47">
        <v>3</v>
      </c>
      <c r="AO114" s="47">
        <v>2</v>
      </c>
      <c r="AR114" s="47">
        <v>12</v>
      </c>
      <c r="AS114" s="47">
        <v>10</v>
      </c>
      <c r="AV114" s="47">
        <v>13</v>
      </c>
      <c r="AW114" s="47">
        <v>2</v>
      </c>
      <c r="AZ114" s="47">
        <v>16</v>
      </c>
      <c r="BA114" s="47">
        <v>3</v>
      </c>
      <c r="BD114" s="47">
        <v>3</v>
      </c>
      <c r="BE114" s="47">
        <v>5</v>
      </c>
      <c r="BH114" s="47">
        <v>18</v>
      </c>
      <c r="BI114" s="47">
        <v>11</v>
      </c>
      <c r="BL114" s="47">
        <v>3</v>
      </c>
      <c r="BM114" s="47">
        <v>13</v>
      </c>
      <c r="BP114" s="47">
        <v>6</v>
      </c>
      <c r="BQ114" s="47">
        <v>12</v>
      </c>
    </row>
    <row r="115" spans="36:69" x14ac:dyDescent="0.2">
      <c r="AJ115" s="47">
        <v>4</v>
      </c>
      <c r="AK115" s="47">
        <v>1</v>
      </c>
      <c r="AN115" s="47">
        <v>8</v>
      </c>
      <c r="AO115" s="47">
        <v>1</v>
      </c>
      <c r="AR115" s="47">
        <v>9</v>
      </c>
      <c r="AS115" s="47">
        <v>13</v>
      </c>
      <c r="AV115" s="47">
        <v>3</v>
      </c>
      <c r="AW115" s="47">
        <v>12</v>
      </c>
      <c r="AZ115" s="47">
        <v>4</v>
      </c>
      <c r="BA115" s="47">
        <v>15</v>
      </c>
      <c r="BD115" s="47">
        <v>6</v>
      </c>
      <c r="BE115" s="47">
        <v>2</v>
      </c>
      <c r="BH115" s="47">
        <v>12</v>
      </c>
      <c r="BI115" s="47">
        <v>17</v>
      </c>
      <c r="BL115" s="47">
        <v>14</v>
      </c>
      <c r="BM115" s="47">
        <v>2</v>
      </c>
      <c r="BP115" s="47">
        <v>13</v>
      </c>
      <c r="BQ115" s="47">
        <v>5</v>
      </c>
    </row>
    <row r="116" spans="36:69" x14ac:dyDescent="0.2">
      <c r="AJ116" s="47">
        <v>5</v>
      </c>
      <c r="AK116" s="47">
        <v>3</v>
      </c>
      <c r="AN116" s="47">
        <v>9</v>
      </c>
      <c r="AO116" s="47">
        <v>7</v>
      </c>
      <c r="AR116" s="47">
        <v>14</v>
      </c>
      <c r="AS116" s="47">
        <v>8</v>
      </c>
      <c r="AV116" s="47">
        <v>11</v>
      </c>
      <c r="AW116" s="47">
        <v>4</v>
      </c>
      <c r="AY116" s="486" t="str">
        <f>Language!$E$18</f>
        <v>Hinspiele</v>
      </c>
      <c r="AZ116" s="47">
        <v>14</v>
      </c>
      <c r="BA116" s="47">
        <v>5</v>
      </c>
      <c r="BD116" s="47">
        <v>8</v>
      </c>
      <c r="BE116" s="47">
        <v>17</v>
      </c>
      <c r="BH116" s="47">
        <v>16</v>
      </c>
      <c r="BI116" s="47">
        <v>13</v>
      </c>
      <c r="BL116" s="47">
        <v>16</v>
      </c>
      <c r="BM116" s="47">
        <v>19</v>
      </c>
      <c r="BP116" s="47">
        <v>4</v>
      </c>
      <c r="BQ116" s="47">
        <v>14</v>
      </c>
    </row>
    <row r="117" spans="36:69" x14ac:dyDescent="0.2">
      <c r="AJ117" s="47">
        <v>2</v>
      </c>
      <c r="AK117" s="47">
        <v>6</v>
      </c>
      <c r="AN117" s="47">
        <v>6</v>
      </c>
      <c r="AO117" s="47">
        <v>10</v>
      </c>
      <c r="AR117" s="47">
        <v>7</v>
      </c>
      <c r="AS117" s="47">
        <v>2</v>
      </c>
      <c r="AV117" s="47">
        <v>5</v>
      </c>
      <c r="AW117" s="47">
        <v>10</v>
      </c>
      <c r="AY117" s="486"/>
      <c r="AZ117" s="47">
        <v>6</v>
      </c>
      <c r="BA117" s="47">
        <v>13</v>
      </c>
      <c r="BD117" s="47">
        <v>16</v>
      </c>
      <c r="BE117" s="47">
        <v>9</v>
      </c>
      <c r="BH117" s="47">
        <v>14</v>
      </c>
      <c r="BI117" s="47">
        <v>15</v>
      </c>
      <c r="BL117" s="47">
        <v>18</v>
      </c>
      <c r="BM117" s="47">
        <v>17</v>
      </c>
      <c r="BP117" s="47">
        <v>15</v>
      </c>
      <c r="BQ117" s="47">
        <v>3</v>
      </c>
    </row>
    <row r="118" spans="36:69" x14ac:dyDescent="0.2">
      <c r="AJ118" s="47">
        <v>7</v>
      </c>
      <c r="AK118" s="47">
        <v>12</v>
      </c>
      <c r="AN118" s="47">
        <v>11</v>
      </c>
      <c r="AO118" s="47">
        <v>5</v>
      </c>
      <c r="AR118" s="47">
        <v>3</v>
      </c>
      <c r="AS118" s="47">
        <v>6</v>
      </c>
      <c r="AV118" s="47">
        <v>9</v>
      </c>
      <c r="AW118" s="47">
        <v>6</v>
      </c>
      <c r="AY118" s="486"/>
      <c r="AZ118" s="47">
        <v>12</v>
      </c>
      <c r="BA118" s="47">
        <v>7</v>
      </c>
      <c r="BD118" s="47">
        <v>10</v>
      </c>
      <c r="BE118" s="47">
        <v>15</v>
      </c>
      <c r="BH118" s="47">
        <v>5</v>
      </c>
      <c r="BI118" s="47">
        <v>1</v>
      </c>
      <c r="BL118" s="47">
        <v>7</v>
      </c>
      <c r="BM118" s="47">
        <v>1</v>
      </c>
      <c r="BP118" s="47">
        <v>2</v>
      </c>
      <c r="BQ118" s="47">
        <v>16</v>
      </c>
    </row>
    <row r="119" spans="36:69" x14ac:dyDescent="0.2">
      <c r="AJ119" s="47">
        <v>11</v>
      </c>
      <c r="AK119" s="47">
        <v>8</v>
      </c>
      <c r="AN119" s="47">
        <v>4</v>
      </c>
      <c r="AO119" s="47">
        <v>12</v>
      </c>
      <c r="AR119" s="47">
        <v>5</v>
      </c>
      <c r="AS119" s="47">
        <v>4</v>
      </c>
      <c r="AV119" s="47">
        <v>7</v>
      </c>
      <c r="AW119" s="47">
        <v>8</v>
      </c>
      <c r="AY119" s="486"/>
      <c r="AZ119" s="47">
        <v>8</v>
      </c>
      <c r="BA119" s="47">
        <v>11</v>
      </c>
      <c r="BD119" s="47">
        <v>14</v>
      </c>
      <c r="BE119" s="47">
        <v>11</v>
      </c>
      <c r="BH119" s="47">
        <v>4</v>
      </c>
      <c r="BI119" s="47">
        <v>6</v>
      </c>
      <c r="BL119" s="47">
        <v>6</v>
      </c>
      <c r="BM119" s="47">
        <v>8</v>
      </c>
      <c r="BP119" s="47">
        <v>17</v>
      </c>
      <c r="BQ119" s="47">
        <v>20</v>
      </c>
    </row>
    <row r="120" spans="36:69" ht="13.5" thickBot="1" x14ac:dyDescent="0.25">
      <c r="AJ120" s="47">
        <v>9</v>
      </c>
      <c r="AK120" s="47">
        <v>10</v>
      </c>
      <c r="AN120" s="47">
        <v>13</v>
      </c>
      <c r="AO120" s="47">
        <v>3</v>
      </c>
      <c r="AR120" s="47">
        <v>10</v>
      </c>
      <c r="AS120" s="47">
        <v>1</v>
      </c>
      <c r="AV120" s="47">
        <v>14</v>
      </c>
      <c r="AW120" s="47">
        <v>1</v>
      </c>
      <c r="AY120" s="487"/>
      <c r="AZ120" s="47">
        <v>10</v>
      </c>
      <c r="BA120" s="47">
        <v>9</v>
      </c>
      <c r="BD120" s="47">
        <v>12</v>
      </c>
      <c r="BE120" s="47">
        <v>13</v>
      </c>
      <c r="BH120" s="47">
        <v>7</v>
      </c>
      <c r="BI120" s="47">
        <v>3</v>
      </c>
      <c r="BL120" s="47">
        <v>9</v>
      </c>
      <c r="BM120" s="47">
        <v>5</v>
      </c>
      <c r="BP120" s="47">
        <v>19</v>
      </c>
      <c r="BQ120" s="47">
        <v>18</v>
      </c>
    </row>
    <row r="121" spans="36:69" x14ac:dyDescent="0.2">
      <c r="AJ121" s="47">
        <v>1</v>
      </c>
      <c r="AK121" s="47">
        <v>3</v>
      </c>
      <c r="AN121" s="47">
        <v>1</v>
      </c>
      <c r="AO121" s="47">
        <v>7</v>
      </c>
      <c r="AR121" s="47">
        <v>11</v>
      </c>
      <c r="AS121" s="47">
        <v>9</v>
      </c>
      <c r="AV121" s="47">
        <v>15</v>
      </c>
      <c r="AW121" s="47">
        <v>13</v>
      </c>
      <c r="AY121" s="488" t="str">
        <f>Language!$E$19</f>
        <v>Rückspiele</v>
      </c>
      <c r="AZ121" s="47">
        <v>16</v>
      </c>
      <c r="BA121" s="47">
        <v>1</v>
      </c>
      <c r="BD121" s="47">
        <v>3</v>
      </c>
      <c r="BE121" s="47">
        <v>1</v>
      </c>
      <c r="BH121" s="47">
        <v>2</v>
      </c>
      <c r="BI121" s="47">
        <v>8</v>
      </c>
      <c r="BL121" s="47">
        <v>4</v>
      </c>
      <c r="BM121" s="47">
        <v>10</v>
      </c>
      <c r="BP121" s="47">
        <v>1</v>
      </c>
      <c r="BQ121" s="47">
        <v>8</v>
      </c>
    </row>
    <row r="122" spans="36:69" x14ac:dyDescent="0.2">
      <c r="AJ122" s="47">
        <v>4</v>
      </c>
      <c r="AK122" s="47">
        <v>2</v>
      </c>
      <c r="AN122" s="47">
        <v>8</v>
      </c>
      <c r="AO122" s="47">
        <v>6</v>
      </c>
      <c r="AR122" s="47">
        <v>8</v>
      </c>
      <c r="AS122" s="47">
        <v>12</v>
      </c>
      <c r="AV122" s="47">
        <v>2</v>
      </c>
      <c r="AW122" s="47">
        <v>11</v>
      </c>
      <c r="AY122" s="488"/>
      <c r="AZ122" s="47">
        <v>2</v>
      </c>
      <c r="BA122" s="47">
        <v>15</v>
      </c>
      <c r="BD122" s="47">
        <v>2</v>
      </c>
      <c r="BE122" s="47">
        <v>4</v>
      </c>
      <c r="BH122" s="47">
        <v>9</v>
      </c>
      <c r="BI122" s="47">
        <v>18</v>
      </c>
      <c r="BL122" s="47">
        <v>11</v>
      </c>
      <c r="BM122" s="47">
        <v>3</v>
      </c>
      <c r="BP122" s="47">
        <v>7</v>
      </c>
      <c r="BQ122" s="47">
        <v>9</v>
      </c>
    </row>
    <row r="123" spans="36:69" x14ac:dyDescent="0.2">
      <c r="AJ123" s="47">
        <v>12</v>
      </c>
      <c r="AK123" s="47">
        <v>5</v>
      </c>
      <c r="AN123" s="47">
        <v>5</v>
      </c>
      <c r="AO123" s="47">
        <v>9</v>
      </c>
      <c r="AR123" s="47">
        <v>13</v>
      </c>
      <c r="AS123" s="47">
        <v>7</v>
      </c>
      <c r="AV123" s="47">
        <v>10</v>
      </c>
      <c r="AW123" s="47">
        <v>3</v>
      </c>
      <c r="AY123" s="488"/>
      <c r="AZ123" s="47">
        <v>14</v>
      </c>
      <c r="BA123" s="47">
        <v>3</v>
      </c>
      <c r="BD123" s="47">
        <v>17</v>
      </c>
      <c r="BE123" s="47">
        <v>6</v>
      </c>
      <c r="BH123" s="47">
        <v>17</v>
      </c>
      <c r="BI123" s="47">
        <v>10</v>
      </c>
      <c r="BL123" s="47">
        <v>2</v>
      </c>
      <c r="BM123" s="47">
        <v>12</v>
      </c>
      <c r="BP123" s="47">
        <v>10</v>
      </c>
      <c r="BQ123" s="47">
        <v>6</v>
      </c>
    </row>
    <row r="124" spans="36:69" x14ac:dyDescent="0.2">
      <c r="AJ124" s="47">
        <v>6</v>
      </c>
      <c r="AK124" s="47">
        <v>11</v>
      </c>
      <c r="AN124" s="47">
        <v>10</v>
      </c>
      <c r="AO124" s="47">
        <v>4</v>
      </c>
      <c r="AR124" s="47">
        <v>6</v>
      </c>
      <c r="AS124" s="47">
        <v>14</v>
      </c>
      <c r="AV124" s="47">
        <v>4</v>
      </c>
      <c r="AW124" s="47">
        <v>9</v>
      </c>
      <c r="AY124" s="488"/>
      <c r="AZ124" s="47">
        <v>4</v>
      </c>
      <c r="BA124" s="47">
        <v>13</v>
      </c>
      <c r="BD124" s="47">
        <v>7</v>
      </c>
      <c r="BE124" s="47">
        <v>16</v>
      </c>
      <c r="BH124" s="47">
        <v>11</v>
      </c>
      <c r="BI124" s="47">
        <v>16</v>
      </c>
      <c r="BL124" s="47">
        <v>19</v>
      </c>
      <c r="BM124" s="47">
        <v>14</v>
      </c>
      <c r="BP124" s="47">
        <v>5</v>
      </c>
      <c r="BQ124" s="47">
        <v>11</v>
      </c>
    </row>
    <row r="125" spans="36:69" x14ac:dyDescent="0.2">
      <c r="AJ125" s="47">
        <v>10</v>
      </c>
      <c r="AK125" s="47">
        <v>7</v>
      </c>
      <c r="AN125" s="47">
        <v>3</v>
      </c>
      <c r="AO125" s="47">
        <v>11</v>
      </c>
      <c r="AR125" s="47">
        <v>2</v>
      </c>
      <c r="AS125" s="47">
        <v>5</v>
      </c>
      <c r="AV125" s="47">
        <v>8</v>
      </c>
      <c r="AW125" s="47">
        <v>5</v>
      </c>
      <c r="AY125" s="488"/>
      <c r="AZ125" s="47">
        <v>12</v>
      </c>
      <c r="BA125" s="47">
        <v>5</v>
      </c>
      <c r="BD125" s="47">
        <v>15</v>
      </c>
      <c r="BE125" s="47">
        <v>8</v>
      </c>
      <c r="BH125" s="47">
        <v>15</v>
      </c>
      <c r="BI125" s="47">
        <v>12</v>
      </c>
      <c r="BL125" s="47">
        <v>15</v>
      </c>
      <c r="BM125" s="47">
        <v>18</v>
      </c>
      <c r="BP125" s="47">
        <v>12</v>
      </c>
      <c r="BQ125" s="47">
        <v>4</v>
      </c>
    </row>
    <row r="126" spans="36:69" x14ac:dyDescent="0.2">
      <c r="AJ126" s="47">
        <v>8</v>
      </c>
      <c r="AK126" s="47">
        <v>9</v>
      </c>
      <c r="AN126" s="47">
        <v>12</v>
      </c>
      <c r="AO126" s="47">
        <v>2</v>
      </c>
      <c r="AR126" s="47">
        <v>4</v>
      </c>
      <c r="AS126" s="47">
        <v>3</v>
      </c>
      <c r="AV126" s="47">
        <v>6</v>
      </c>
      <c r="AW126" s="47">
        <v>7</v>
      </c>
      <c r="AZ126" s="47">
        <v>6</v>
      </c>
      <c r="BA126" s="47">
        <v>11</v>
      </c>
      <c r="BD126" s="47">
        <v>9</v>
      </c>
      <c r="BE126" s="47">
        <v>14</v>
      </c>
      <c r="BH126" s="47">
        <v>13</v>
      </c>
      <c r="BI126" s="47">
        <v>14</v>
      </c>
      <c r="BL126" s="47">
        <v>17</v>
      </c>
      <c r="BM126" s="47">
        <v>16</v>
      </c>
      <c r="BP126" s="47">
        <v>3</v>
      </c>
      <c r="BQ126" s="47">
        <v>13</v>
      </c>
    </row>
    <row r="127" spans="36:69" x14ac:dyDescent="0.2">
      <c r="AJ127" s="47">
        <v>2</v>
      </c>
      <c r="AK127" s="47">
        <v>1</v>
      </c>
      <c r="AN127" s="47">
        <v>6</v>
      </c>
      <c r="AO127" s="47">
        <v>1</v>
      </c>
      <c r="AR127" s="47">
        <v>1</v>
      </c>
      <c r="AS127" s="47">
        <v>9</v>
      </c>
      <c r="AV127" s="47">
        <v>1</v>
      </c>
      <c r="AW127" s="47">
        <v>13</v>
      </c>
      <c r="AZ127" s="47">
        <v>10</v>
      </c>
      <c r="BA127" s="47">
        <v>7</v>
      </c>
      <c r="BD127" s="47">
        <v>13</v>
      </c>
      <c r="BE127" s="47">
        <v>10</v>
      </c>
      <c r="BH127" s="47">
        <v>1</v>
      </c>
      <c r="BI127" s="47">
        <v>4</v>
      </c>
      <c r="BL127" s="47">
        <v>1</v>
      </c>
      <c r="BM127" s="47">
        <v>6</v>
      </c>
      <c r="BP127" s="47">
        <v>14</v>
      </c>
      <c r="BQ127" s="47">
        <v>2</v>
      </c>
    </row>
    <row r="128" spans="36:69" x14ac:dyDescent="0.2">
      <c r="AJ128" s="47">
        <v>3</v>
      </c>
      <c r="AK128" s="47">
        <v>12</v>
      </c>
      <c r="AN128" s="47">
        <v>7</v>
      </c>
      <c r="AO128" s="47">
        <v>5</v>
      </c>
      <c r="AR128" s="47">
        <v>10</v>
      </c>
      <c r="AS128" s="47">
        <v>8</v>
      </c>
      <c r="AV128" s="47">
        <v>14</v>
      </c>
      <c r="AW128" s="47">
        <v>12</v>
      </c>
      <c r="AZ128" s="47">
        <v>8</v>
      </c>
      <c r="BA128" s="47">
        <v>9</v>
      </c>
      <c r="BD128" s="47">
        <v>11</v>
      </c>
      <c r="BE128" s="47">
        <v>12</v>
      </c>
      <c r="BH128" s="47">
        <v>3</v>
      </c>
      <c r="BI128" s="47">
        <v>5</v>
      </c>
      <c r="BL128" s="47">
        <v>5</v>
      </c>
      <c r="BM128" s="47">
        <v>7</v>
      </c>
      <c r="BP128" s="47">
        <v>20</v>
      </c>
      <c r="BQ128" s="47">
        <v>15</v>
      </c>
    </row>
    <row r="129" spans="36:69" x14ac:dyDescent="0.2">
      <c r="AJ129" s="47">
        <v>11</v>
      </c>
      <c r="AK129" s="47">
        <v>4</v>
      </c>
      <c r="AN129" s="47">
        <v>4</v>
      </c>
      <c r="AO129" s="47">
        <v>8</v>
      </c>
      <c r="AR129" s="47">
        <v>7</v>
      </c>
      <c r="AS129" s="47">
        <v>11</v>
      </c>
      <c r="AV129" s="47">
        <v>11</v>
      </c>
      <c r="AW129" s="47">
        <v>15</v>
      </c>
      <c r="AZ129" s="47">
        <v>1</v>
      </c>
      <c r="BA129" s="47">
        <v>15</v>
      </c>
      <c r="BD129" s="47">
        <v>1</v>
      </c>
      <c r="BE129" s="47">
        <v>2</v>
      </c>
      <c r="BH129" s="47">
        <v>6</v>
      </c>
      <c r="BI129" s="47">
        <v>2</v>
      </c>
      <c r="BL129" s="47">
        <v>8</v>
      </c>
      <c r="BM129" s="47">
        <v>4</v>
      </c>
      <c r="BP129" s="47">
        <v>16</v>
      </c>
      <c r="BQ129" s="47">
        <v>19</v>
      </c>
    </row>
    <row r="130" spans="36:69" x14ac:dyDescent="0.2">
      <c r="AJ130" s="47">
        <v>5</v>
      </c>
      <c r="AK130" s="47">
        <v>10</v>
      </c>
      <c r="AN130" s="47">
        <v>9</v>
      </c>
      <c r="AO130" s="47">
        <v>3</v>
      </c>
      <c r="AR130" s="47">
        <v>12</v>
      </c>
      <c r="AS130" s="47">
        <v>6</v>
      </c>
      <c r="AV130" s="47">
        <v>9</v>
      </c>
      <c r="AW130" s="47">
        <v>2</v>
      </c>
      <c r="AZ130" s="47">
        <v>16</v>
      </c>
      <c r="BA130" s="47">
        <v>14</v>
      </c>
      <c r="BD130" s="47">
        <v>4</v>
      </c>
      <c r="BE130" s="47">
        <v>17</v>
      </c>
      <c r="BH130" s="47">
        <v>18</v>
      </c>
      <c r="BI130" s="47">
        <v>7</v>
      </c>
      <c r="BL130" s="47">
        <v>3</v>
      </c>
      <c r="BM130" s="47">
        <v>9</v>
      </c>
      <c r="BP130" s="47">
        <v>18</v>
      </c>
      <c r="BQ130" s="47">
        <v>17</v>
      </c>
    </row>
    <row r="131" spans="36:69" x14ac:dyDescent="0.2">
      <c r="AJ131" s="47">
        <v>9</v>
      </c>
      <c r="AK131" s="47">
        <v>6</v>
      </c>
      <c r="AN131" s="47">
        <v>2</v>
      </c>
      <c r="AO131" s="47">
        <v>10</v>
      </c>
      <c r="AR131" s="47">
        <v>5</v>
      </c>
      <c r="AS131" s="47">
        <v>13</v>
      </c>
      <c r="AV131" s="47">
        <v>3</v>
      </c>
      <c r="AW131" s="47">
        <v>8</v>
      </c>
      <c r="AZ131" s="47">
        <v>13</v>
      </c>
      <c r="BA131" s="47">
        <v>2</v>
      </c>
      <c r="BD131" s="47">
        <v>16</v>
      </c>
      <c r="BE131" s="47">
        <v>5</v>
      </c>
      <c r="BH131" s="47">
        <v>8</v>
      </c>
      <c r="BI131" s="47">
        <v>17</v>
      </c>
      <c r="BL131" s="47">
        <v>10</v>
      </c>
      <c r="BM131" s="47">
        <v>2</v>
      </c>
      <c r="BP131" s="47">
        <v>7</v>
      </c>
      <c r="BQ131" s="47">
        <v>1</v>
      </c>
    </row>
    <row r="132" spans="36:69" x14ac:dyDescent="0.2">
      <c r="AJ132" s="47">
        <v>7</v>
      </c>
      <c r="AK132" s="47">
        <v>8</v>
      </c>
      <c r="AN132" s="47">
        <v>13</v>
      </c>
      <c r="AO132" s="47">
        <v>12</v>
      </c>
      <c r="AR132" s="47">
        <v>14</v>
      </c>
      <c r="AS132" s="47">
        <v>4</v>
      </c>
      <c r="AV132" s="47">
        <v>7</v>
      </c>
      <c r="AW132" s="47">
        <v>4</v>
      </c>
      <c r="AZ132" s="47">
        <v>3</v>
      </c>
      <c r="BA132" s="47">
        <v>12</v>
      </c>
      <c r="BC132" s="486" t="str">
        <f>Language!$E$18</f>
        <v>Hinspiele</v>
      </c>
      <c r="BD132" s="47">
        <v>6</v>
      </c>
      <c r="BE132" s="47">
        <v>15</v>
      </c>
      <c r="BH132" s="47">
        <v>16</v>
      </c>
      <c r="BI132" s="47">
        <v>9</v>
      </c>
      <c r="BL132" s="47">
        <v>12</v>
      </c>
      <c r="BM132" s="47">
        <v>19</v>
      </c>
      <c r="BP132" s="47">
        <v>6</v>
      </c>
      <c r="BQ132" s="47">
        <v>8</v>
      </c>
    </row>
    <row r="133" spans="36:69" x14ac:dyDescent="0.2">
      <c r="AN133" s="47">
        <v>1</v>
      </c>
      <c r="AO133" s="47">
        <v>5</v>
      </c>
      <c r="AR133" s="47">
        <v>3</v>
      </c>
      <c r="AS133" s="47">
        <v>2</v>
      </c>
      <c r="AV133" s="47">
        <v>5</v>
      </c>
      <c r="AW133" s="47">
        <v>6</v>
      </c>
      <c r="AZ133" s="47">
        <v>11</v>
      </c>
      <c r="BA133" s="47">
        <v>4</v>
      </c>
      <c r="BC133" s="486"/>
      <c r="BD133" s="47">
        <v>14</v>
      </c>
      <c r="BE133" s="47">
        <v>7</v>
      </c>
      <c r="BH133" s="47">
        <v>10</v>
      </c>
      <c r="BI133" s="47">
        <v>15</v>
      </c>
      <c r="BL133" s="47">
        <v>18</v>
      </c>
      <c r="BM133" s="47">
        <v>13</v>
      </c>
      <c r="BP133" s="47">
        <v>9</v>
      </c>
      <c r="BQ133" s="47">
        <v>5</v>
      </c>
    </row>
    <row r="134" spans="36:69" x14ac:dyDescent="0.2">
      <c r="AN134" s="47">
        <v>6</v>
      </c>
      <c r="AO134" s="47">
        <v>4</v>
      </c>
      <c r="AR134" s="47">
        <v>8</v>
      </c>
      <c r="AS134" s="47">
        <v>1</v>
      </c>
      <c r="AV134" s="47">
        <v>12</v>
      </c>
      <c r="AW134" s="47">
        <v>1</v>
      </c>
      <c r="AZ134" s="47">
        <v>5</v>
      </c>
      <c r="BA134" s="47">
        <v>10</v>
      </c>
      <c r="BC134" s="486"/>
      <c r="BD134" s="47">
        <v>8</v>
      </c>
      <c r="BE134" s="47">
        <v>13</v>
      </c>
      <c r="BH134" s="47">
        <v>14</v>
      </c>
      <c r="BI134" s="47">
        <v>11</v>
      </c>
      <c r="BL134" s="47">
        <v>14</v>
      </c>
      <c r="BM134" s="47">
        <v>17</v>
      </c>
      <c r="BP134" s="47">
        <v>4</v>
      </c>
      <c r="BQ134" s="47">
        <v>10</v>
      </c>
    </row>
    <row r="135" spans="36:69" x14ac:dyDescent="0.2">
      <c r="AN135" s="47">
        <v>3</v>
      </c>
      <c r="AO135" s="47">
        <v>7</v>
      </c>
      <c r="AR135" s="47">
        <v>9</v>
      </c>
      <c r="AS135" s="47">
        <v>7</v>
      </c>
      <c r="AV135" s="47">
        <v>13</v>
      </c>
      <c r="AW135" s="47">
        <v>11</v>
      </c>
      <c r="AZ135" s="47">
        <v>9</v>
      </c>
      <c r="BA135" s="47">
        <v>6</v>
      </c>
      <c r="BC135" s="486"/>
      <c r="BD135" s="47">
        <v>12</v>
      </c>
      <c r="BE135" s="47">
        <v>9</v>
      </c>
      <c r="BH135" s="47">
        <v>12</v>
      </c>
      <c r="BI135" s="47">
        <v>13</v>
      </c>
      <c r="BL135" s="47">
        <v>16</v>
      </c>
      <c r="BM135" s="47">
        <v>15</v>
      </c>
      <c r="BP135" s="47">
        <v>11</v>
      </c>
      <c r="BQ135" s="47">
        <v>3</v>
      </c>
    </row>
    <row r="136" spans="36:69" ht="13.5" thickBot="1" x14ac:dyDescent="0.25">
      <c r="AN136" s="47">
        <v>8</v>
      </c>
      <c r="AO136" s="47">
        <v>2</v>
      </c>
      <c r="AR136" s="47">
        <v>6</v>
      </c>
      <c r="AS136" s="47">
        <v>10</v>
      </c>
      <c r="AV136" s="47">
        <v>10</v>
      </c>
      <c r="AW136" s="47">
        <v>14</v>
      </c>
      <c r="AZ136" s="47">
        <v>7</v>
      </c>
      <c r="BA136" s="47">
        <v>8</v>
      </c>
      <c r="BC136" s="487"/>
      <c r="BD136" s="47">
        <v>10</v>
      </c>
      <c r="BE136" s="47">
        <v>11</v>
      </c>
      <c r="BH136" s="47">
        <v>3</v>
      </c>
      <c r="BI136" s="47">
        <v>1</v>
      </c>
      <c r="BL136" s="47">
        <v>5</v>
      </c>
      <c r="BM136" s="47">
        <v>1</v>
      </c>
      <c r="BP136" s="47">
        <v>2</v>
      </c>
      <c r="BQ136" s="47">
        <v>12</v>
      </c>
    </row>
    <row r="137" spans="36:69" x14ac:dyDescent="0.2">
      <c r="AN137" s="47">
        <v>10</v>
      </c>
      <c r="AO137" s="47">
        <v>13</v>
      </c>
      <c r="AR137" s="47">
        <v>11</v>
      </c>
      <c r="AS137" s="47">
        <v>5</v>
      </c>
      <c r="AV137" s="47">
        <v>15</v>
      </c>
      <c r="AW137" s="47">
        <v>9</v>
      </c>
      <c r="AZ137" s="47">
        <v>14</v>
      </c>
      <c r="BA137" s="47">
        <v>1</v>
      </c>
      <c r="BC137" s="488" t="str">
        <f>Language!$E$19</f>
        <v>Rückspiele</v>
      </c>
      <c r="BD137" s="47">
        <v>2</v>
      </c>
      <c r="BE137" s="47">
        <v>17</v>
      </c>
      <c r="BH137" s="47">
        <v>2</v>
      </c>
      <c r="BI137" s="47">
        <v>4</v>
      </c>
      <c r="BL137" s="47">
        <v>4</v>
      </c>
      <c r="BM137" s="47">
        <v>6</v>
      </c>
      <c r="BP137" s="47">
        <v>13</v>
      </c>
      <c r="BQ137" s="47">
        <v>20</v>
      </c>
    </row>
    <row r="138" spans="36:69" x14ac:dyDescent="0.2">
      <c r="AN138" s="47">
        <v>12</v>
      </c>
      <c r="AO138" s="47">
        <v>11</v>
      </c>
      <c r="AR138" s="47">
        <v>4</v>
      </c>
      <c r="AS138" s="47">
        <v>12</v>
      </c>
      <c r="AV138" s="47">
        <v>2</v>
      </c>
      <c r="AW138" s="47">
        <v>7</v>
      </c>
      <c r="AZ138" s="47">
        <v>15</v>
      </c>
      <c r="BA138" s="47">
        <v>13</v>
      </c>
      <c r="BC138" s="488"/>
      <c r="BD138" s="47">
        <v>16</v>
      </c>
      <c r="BE138" s="47">
        <v>3</v>
      </c>
      <c r="BH138" s="47">
        <v>5</v>
      </c>
      <c r="BI138" s="47">
        <v>18</v>
      </c>
      <c r="BL138" s="47">
        <v>7</v>
      </c>
      <c r="BM138" s="47">
        <v>3</v>
      </c>
      <c r="BP138" s="47">
        <v>19</v>
      </c>
      <c r="BQ138" s="47">
        <v>14</v>
      </c>
    </row>
    <row r="139" spans="36:69" x14ac:dyDescent="0.2">
      <c r="AN139" s="47">
        <v>4</v>
      </c>
      <c r="AO139" s="47">
        <v>1</v>
      </c>
      <c r="AR139" s="47">
        <v>13</v>
      </c>
      <c r="AS139" s="47">
        <v>3</v>
      </c>
      <c r="AV139" s="47">
        <v>6</v>
      </c>
      <c r="AW139" s="47">
        <v>3</v>
      </c>
      <c r="AZ139" s="47">
        <v>12</v>
      </c>
      <c r="BA139" s="47">
        <v>16</v>
      </c>
      <c r="BC139" s="488"/>
      <c r="BD139" s="47">
        <v>4</v>
      </c>
      <c r="BE139" s="47">
        <v>15</v>
      </c>
      <c r="BH139" s="47">
        <v>17</v>
      </c>
      <c r="BI139" s="47">
        <v>6</v>
      </c>
      <c r="BL139" s="47">
        <v>2</v>
      </c>
      <c r="BM139" s="47">
        <v>8</v>
      </c>
      <c r="BP139" s="47">
        <v>15</v>
      </c>
      <c r="BQ139" s="47">
        <v>18</v>
      </c>
    </row>
    <row r="140" spans="36:69" x14ac:dyDescent="0.2">
      <c r="AN140" s="47">
        <v>5</v>
      </c>
      <c r="AO140" s="47">
        <v>3</v>
      </c>
      <c r="AR140" s="47">
        <v>2</v>
      </c>
      <c r="AS140" s="47">
        <v>14</v>
      </c>
      <c r="AV140" s="47">
        <v>4</v>
      </c>
      <c r="AW140" s="47">
        <v>5</v>
      </c>
      <c r="AZ140" s="47">
        <v>2</v>
      </c>
      <c r="BA140" s="47">
        <v>11</v>
      </c>
      <c r="BC140" s="488"/>
      <c r="BD140" s="47">
        <v>14</v>
      </c>
      <c r="BE140" s="47">
        <v>5</v>
      </c>
      <c r="BH140" s="47">
        <v>7</v>
      </c>
      <c r="BI140" s="47">
        <v>16</v>
      </c>
      <c r="BL140" s="47">
        <v>19</v>
      </c>
      <c r="BM140" s="47">
        <v>10</v>
      </c>
      <c r="BP140" s="47">
        <v>17</v>
      </c>
      <c r="BQ140" s="47">
        <v>16</v>
      </c>
    </row>
    <row r="141" spans="36:69" x14ac:dyDescent="0.2">
      <c r="AN141" s="47">
        <v>2</v>
      </c>
      <c r="AO141" s="47">
        <v>6</v>
      </c>
      <c r="AR141" s="47">
        <v>1</v>
      </c>
      <c r="AS141" s="47">
        <v>7</v>
      </c>
      <c r="AV141" s="47">
        <v>1</v>
      </c>
      <c r="AW141" s="47">
        <v>11</v>
      </c>
      <c r="AZ141" s="47">
        <v>10</v>
      </c>
      <c r="BA141" s="47">
        <v>3</v>
      </c>
      <c r="BC141" s="488"/>
      <c r="BD141" s="47">
        <v>6</v>
      </c>
      <c r="BE141" s="47">
        <v>13</v>
      </c>
      <c r="BH141" s="47">
        <v>15</v>
      </c>
      <c r="BI141" s="47">
        <v>8</v>
      </c>
      <c r="BL141" s="47">
        <v>11</v>
      </c>
      <c r="BM141" s="47">
        <v>18</v>
      </c>
      <c r="BP141" s="47">
        <v>1</v>
      </c>
      <c r="BQ141" s="47">
        <v>6</v>
      </c>
    </row>
    <row r="142" spans="36:69" x14ac:dyDescent="0.2">
      <c r="AN142" s="47">
        <v>13</v>
      </c>
      <c r="AO142" s="47">
        <v>8</v>
      </c>
      <c r="AR142" s="47">
        <v>8</v>
      </c>
      <c r="AS142" s="47">
        <v>6</v>
      </c>
      <c r="AV142" s="47">
        <v>12</v>
      </c>
      <c r="AW142" s="47">
        <v>10</v>
      </c>
      <c r="AZ142" s="47">
        <v>4</v>
      </c>
      <c r="BA142" s="47">
        <v>9</v>
      </c>
      <c r="BD142" s="47">
        <v>12</v>
      </c>
      <c r="BE142" s="47">
        <v>7</v>
      </c>
      <c r="BH142" s="47">
        <v>9</v>
      </c>
      <c r="BI142" s="47">
        <v>14</v>
      </c>
      <c r="BL142" s="47">
        <v>17</v>
      </c>
      <c r="BM142" s="47">
        <v>12</v>
      </c>
      <c r="BP142" s="47">
        <v>5</v>
      </c>
      <c r="BQ142" s="47">
        <v>7</v>
      </c>
    </row>
    <row r="143" spans="36:69" x14ac:dyDescent="0.2">
      <c r="AN143" s="47">
        <v>9</v>
      </c>
      <c r="AO143" s="47">
        <v>12</v>
      </c>
      <c r="AR143" s="47">
        <v>5</v>
      </c>
      <c r="AS143" s="47">
        <v>9</v>
      </c>
      <c r="AV143" s="47">
        <v>9</v>
      </c>
      <c r="AW143" s="47">
        <v>13</v>
      </c>
      <c r="AZ143" s="47">
        <v>8</v>
      </c>
      <c r="BA143" s="47">
        <v>5</v>
      </c>
      <c r="BD143" s="47">
        <v>8</v>
      </c>
      <c r="BE143" s="47">
        <v>11</v>
      </c>
      <c r="BH143" s="47">
        <v>13</v>
      </c>
      <c r="BI143" s="47">
        <v>10</v>
      </c>
      <c r="BL143" s="47">
        <v>13</v>
      </c>
      <c r="BM143" s="47">
        <v>16</v>
      </c>
      <c r="BP143" s="47">
        <v>8</v>
      </c>
      <c r="BQ143" s="47">
        <v>4</v>
      </c>
    </row>
    <row r="144" spans="36:69" x14ac:dyDescent="0.2">
      <c r="AN144" s="47">
        <v>11</v>
      </c>
      <c r="AO144" s="47">
        <v>10</v>
      </c>
      <c r="AR144" s="47">
        <v>10</v>
      </c>
      <c r="AS144" s="47">
        <v>4</v>
      </c>
      <c r="AV144" s="47">
        <v>14</v>
      </c>
      <c r="AW144" s="47">
        <v>8</v>
      </c>
      <c r="AZ144" s="47">
        <v>6</v>
      </c>
      <c r="BA144" s="47">
        <v>7</v>
      </c>
      <c r="BD144" s="47">
        <v>10</v>
      </c>
      <c r="BE144" s="47">
        <v>9</v>
      </c>
      <c r="BH144" s="47">
        <v>11</v>
      </c>
      <c r="BI144" s="47">
        <v>12</v>
      </c>
      <c r="BL144" s="47">
        <v>15</v>
      </c>
      <c r="BM144" s="47">
        <v>14</v>
      </c>
      <c r="BP144" s="47">
        <v>3</v>
      </c>
      <c r="BQ144" s="47">
        <v>9</v>
      </c>
    </row>
    <row r="145" spans="40:69" x14ac:dyDescent="0.2">
      <c r="AN145" s="47">
        <v>1</v>
      </c>
      <c r="AO145" s="47">
        <v>3</v>
      </c>
      <c r="AR145" s="47">
        <v>3</v>
      </c>
      <c r="AS145" s="47">
        <v>11</v>
      </c>
      <c r="AV145" s="47">
        <v>7</v>
      </c>
      <c r="AW145" s="47">
        <v>15</v>
      </c>
      <c r="AZ145" s="47">
        <v>1</v>
      </c>
      <c r="BA145" s="47">
        <v>13</v>
      </c>
      <c r="BD145" s="47">
        <v>1</v>
      </c>
      <c r="BE145" s="47">
        <v>17</v>
      </c>
      <c r="BH145" s="47">
        <v>1</v>
      </c>
      <c r="BI145" s="47">
        <v>2</v>
      </c>
      <c r="BL145" s="47">
        <v>1</v>
      </c>
      <c r="BM145" s="47">
        <v>4</v>
      </c>
      <c r="BP145" s="47">
        <v>10</v>
      </c>
      <c r="BQ145" s="47">
        <v>2</v>
      </c>
    </row>
    <row r="146" spans="40:69" x14ac:dyDescent="0.2">
      <c r="AN146" s="47">
        <v>4</v>
      </c>
      <c r="AO146" s="47">
        <v>2</v>
      </c>
      <c r="AR146" s="47">
        <v>12</v>
      </c>
      <c r="AS146" s="47">
        <v>2</v>
      </c>
      <c r="AV146" s="47">
        <v>5</v>
      </c>
      <c r="AW146" s="47">
        <v>2</v>
      </c>
      <c r="AZ146" s="47">
        <v>14</v>
      </c>
      <c r="BA146" s="47">
        <v>12</v>
      </c>
      <c r="BD146" s="47">
        <v>15</v>
      </c>
      <c r="BE146" s="47">
        <v>2</v>
      </c>
      <c r="BH146" s="47">
        <v>18</v>
      </c>
      <c r="BI146" s="47">
        <v>3</v>
      </c>
      <c r="BL146" s="47">
        <v>3</v>
      </c>
      <c r="BM146" s="47">
        <v>5</v>
      </c>
      <c r="BP146" s="47">
        <v>20</v>
      </c>
      <c r="BQ146" s="47">
        <v>11</v>
      </c>
    </row>
    <row r="147" spans="40:69" x14ac:dyDescent="0.2">
      <c r="AN147" s="47">
        <v>6</v>
      </c>
      <c r="AO147" s="47">
        <v>13</v>
      </c>
      <c r="AR147" s="47">
        <v>14</v>
      </c>
      <c r="AS147" s="47">
        <v>13</v>
      </c>
      <c r="AV147" s="47">
        <v>3</v>
      </c>
      <c r="AW147" s="47">
        <v>4</v>
      </c>
      <c r="AZ147" s="47">
        <v>11</v>
      </c>
      <c r="BA147" s="47">
        <v>15</v>
      </c>
      <c r="BD147" s="47">
        <v>3</v>
      </c>
      <c r="BE147" s="47">
        <v>14</v>
      </c>
      <c r="BH147" s="47">
        <v>4</v>
      </c>
      <c r="BI147" s="47">
        <v>17</v>
      </c>
      <c r="BL147" s="47">
        <v>6</v>
      </c>
      <c r="BM147" s="47">
        <v>2</v>
      </c>
      <c r="BP147" s="47">
        <v>12</v>
      </c>
      <c r="BQ147" s="47">
        <v>19</v>
      </c>
    </row>
    <row r="148" spans="40:69" x14ac:dyDescent="0.2">
      <c r="AN148" s="47">
        <v>12</v>
      </c>
      <c r="AO148" s="47">
        <v>7</v>
      </c>
      <c r="AR148" s="47">
        <v>6</v>
      </c>
      <c r="AS148" s="47">
        <v>1</v>
      </c>
      <c r="AV148" s="47">
        <v>10</v>
      </c>
      <c r="AW148" s="47">
        <v>1</v>
      </c>
      <c r="AZ148" s="47">
        <v>16</v>
      </c>
      <c r="BA148" s="47">
        <v>10</v>
      </c>
      <c r="BD148" s="47">
        <v>13</v>
      </c>
      <c r="BE148" s="47">
        <v>4</v>
      </c>
      <c r="BH148" s="47">
        <v>16</v>
      </c>
      <c r="BI148" s="47">
        <v>5</v>
      </c>
      <c r="BL148" s="47">
        <v>8</v>
      </c>
      <c r="BM148" s="47">
        <v>19</v>
      </c>
      <c r="BP148" s="47">
        <v>18</v>
      </c>
      <c r="BQ148" s="47">
        <v>13</v>
      </c>
    </row>
    <row r="149" spans="40:69" x14ac:dyDescent="0.2">
      <c r="AN149" s="47">
        <v>8</v>
      </c>
      <c r="AO149" s="47">
        <v>11</v>
      </c>
      <c r="AR149" s="47">
        <v>7</v>
      </c>
      <c r="AS149" s="47">
        <v>5</v>
      </c>
      <c r="AV149" s="47">
        <v>11</v>
      </c>
      <c r="AW149" s="47">
        <v>9</v>
      </c>
      <c r="AZ149" s="47">
        <v>9</v>
      </c>
      <c r="BA149" s="47">
        <v>2</v>
      </c>
      <c r="BD149" s="47">
        <v>5</v>
      </c>
      <c r="BE149" s="47">
        <v>12</v>
      </c>
      <c r="BG149" s="486" t="str">
        <f>Language!$E$18</f>
        <v>Hinspiele</v>
      </c>
      <c r="BH149" s="47">
        <v>6</v>
      </c>
      <c r="BI149" s="47">
        <v>15</v>
      </c>
      <c r="BL149" s="47">
        <v>18</v>
      </c>
      <c r="BM149" s="47">
        <v>9</v>
      </c>
      <c r="BP149" s="47">
        <v>14</v>
      </c>
      <c r="BQ149" s="47">
        <v>17</v>
      </c>
    </row>
    <row r="150" spans="40:69" x14ac:dyDescent="0.2">
      <c r="AN150" s="47">
        <v>10</v>
      </c>
      <c r="AO150" s="47">
        <v>9</v>
      </c>
      <c r="AR150" s="47">
        <v>4</v>
      </c>
      <c r="AS150" s="47">
        <v>8</v>
      </c>
      <c r="AV150" s="47">
        <v>8</v>
      </c>
      <c r="AW150" s="47">
        <v>12</v>
      </c>
      <c r="AZ150" s="47">
        <v>3</v>
      </c>
      <c r="BA150" s="47">
        <v>8</v>
      </c>
      <c r="BD150" s="47">
        <v>11</v>
      </c>
      <c r="BE150" s="47">
        <v>6</v>
      </c>
      <c r="BG150" s="486"/>
      <c r="BH150" s="47">
        <v>14</v>
      </c>
      <c r="BI150" s="47">
        <v>7</v>
      </c>
      <c r="BL150" s="47">
        <v>10</v>
      </c>
      <c r="BM150" s="47">
        <v>17</v>
      </c>
      <c r="BP150" s="47">
        <v>16</v>
      </c>
      <c r="BQ150" s="47">
        <v>15</v>
      </c>
    </row>
    <row r="151" spans="40:69" x14ac:dyDescent="0.2">
      <c r="AN151" s="47">
        <v>2</v>
      </c>
      <c r="AO151" s="47">
        <v>1</v>
      </c>
      <c r="AR151" s="47">
        <v>9</v>
      </c>
      <c r="AS151" s="47">
        <v>3</v>
      </c>
      <c r="AV151" s="47">
        <v>13</v>
      </c>
      <c r="AW151" s="47">
        <v>7</v>
      </c>
      <c r="AZ151" s="47">
        <v>7</v>
      </c>
      <c r="BA151" s="47">
        <v>4</v>
      </c>
      <c r="BD151" s="47">
        <v>7</v>
      </c>
      <c r="BE151" s="47">
        <v>10</v>
      </c>
      <c r="BG151" s="486"/>
      <c r="BH151" s="47">
        <v>8</v>
      </c>
      <c r="BI151" s="47">
        <v>13</v>
      </c>
      <c r="BL151" s="47">
        <v>16</v>
      </c>
      <c r="BM151" s="47">
        <v>11</v>
      </c>
      <c r="BP151" s="47">
        <v>5</v>
      </c>
      <c r="BQ151" s="47">
        <v>1</v>
      </c>
    </row>
    <row r="152" spans="40:69" x14ac:dyDescent="0.2">
      <c r="AN152" s="47">
        <v>13</v>
      </c>
      <c r="AO152" s="47">
        <v>4</v>
      </c>
      <c r="AR152" s="47">
        <v>2</v>
      </c>
      <c r="AS152" s="47">
        <v>10</v>
      </c>
      <c r="AV152" s="47">
        <v>6</v>
      </c>
      <c r="AW152" s="47">
        <v>14</v>
      </c>
      <c r="AZ152" s="47">
        <v>5</v>
      </c>
      <c r="BA152" s="47">
        <v>6</v>
      </c>
      <c r="BD152" s="47">
        <v>9</v>
      </c>
      <c r="BE152" s="47">
        <v>8</v>
      </c>
      <c r="BG152" s="486"/>
      <c r="BH152" s="47">
        <v>12</v>
      </c>
      <c r="BI152" s="47">
        <v>9</v>
      </c>
      <c r="BL152" s="47">
        <v>12</v>
      </c>
      <c r="BM152" s="47">
        <v>15</v>
      </c>
      <c r="BP152" s="47">
        <v>4</v>
      </c>
      <c r="BQ152" s="47">
        <v>6</v>
      </c>
    </row>
    <row r="153" spans="40:69" ht="13.5" thickBot="1" x14ac:dyDescent="0.25">
      <c r="AN153" s="47">
        <v>5</v>
      </c>
      <c r="AO153" s="47">
        <v>12</v>
      </c>
      <c r="AR153" s="47">
        <v>11</v>
      </c>
      <c r="AS153" s="47">
        <v>14</v>
      </c>
      <c r="AV153" s="47">
        <v>15</v>
      </c>
      <c r="AW153" s="47">
        <v>5</v>
      </c>
      <c r="AZ153" s="47">
        <v>12</v>
      </c>
      <c r="BA153" s="47">
        <v>1</v>
      </c>
      <c r="BD153" s="47">
        <v>16</v>
      </c>
      <c r="BE153" s="47">
        <v>1</v>
      </c>
      <c r="BG153" s="487"/>
      <c r="BH153" s="47">
        <v>10</v>
      </c>
      <c r="BI153" s="47">
        <v>11</v>
      </c>
      <c r="BL153" s="47">
        <v>14</v>
      </c>
      <c r="BM153" s="47">
        <v>13</v>
      </c>
      <c r="BP153" s="47">
        <v>7</v>
      </c>
      <c r="BQ153" s="47">
        <v>3</v>
      </c>
    </row>
    <row r="154" spans="40:69" x14ac:dyDescent="0.2">
      <c r="AN154" s="47">
        <v>11</v>
      </c>
      <c r="AO154" s="47">
        <v>6</v>
      </c>
      <c r="AR154" s="47">
        <v>13</v>
      </c>
      <c r="AS154" s="47">
        <v>12</v>
      </c>
      <c r="AV154" s="47">
        <v>2</v>
      </c>
      <c r="AW154" s="47">
        <v>3</v>
      </c>
      <c r="AZ154" s="47">
        <v>13</v>
      </c>
      <c r="BA154" s="47">
        <v>11</v>
      </c>
      <c r="BD154" s="47">
        <v>17</v>
      </c>
      <c r="BE154" s="47">
        <v>15</v>
      </c>
      <c r="BG154" s="488" t="str">
        <f>Language!$E$19</f>
        <v>Rückspiele</v>
      </c>
      <c r="BH154" s="47">
        <v>18</v>
      </c>
      <c r="BI154" s="47">
        <v>1</v>
      </c>
      <c r="BL154" s="47">
        <v>3</v>
      </c>
      <c r="BM154" s="47">
        <v>1</v>
      </c>
      <c r="BP154" s="47">
        <v>2</v>
      </c>
      <c r="BQ154" s="47">
        <v>8</v>
      </c>
    </row>
    <row r="155" spans="40:69" x14ac:dyDescent="0.2">
      <c r="AN155" s="47">
        <v>7</v>
      </c>
      <c r="AO155" s="47">
        <v>10</v>
      </c>
      <c r="AR155" s="47">
        <v>1</v>
      </c>
      <c r="AS155" s="47">
        <v>5</v>
      </c>
      <c r="AV155" s="47">
        <v>1</v>
      </c>
      <c r="AW155" s="47">
        <v>9</v>
      </c>
      <c r="AZ155" s="47">
        <v>10</v>
      </c>
      <c r="BA155" s="47">
        <v>14</v>
      </c>
      <c r="BD155" s="47">
        <v>2</v>
      </c>
      <c r="BE155" s="47">
        <v>13</v>
      </c>
      <c r="BG155" s="488"/>
      <c r="BH155" s="47">
        <v>2</v>
      </c>
      <c r="BI155" s="47">
        <v>17</v>
      </c>
      <c r="BL155" s="47">
        <v>2</v>
      </c>
      <c r="BM155" s="47">
        <v>4</v>
      </c>
      <c r="BP155" s="47">
        <v>9</v>
      </c>
      <c r="BQ155" s="47">
        <v>20</v>
      </c>
    </row>
    <row r="156" spans="40:69" x14ac:dyDescent="0.2">
      <c r="AN156" s="47">
        <v>9</v>
      </c>
      <c r="AO156" s="47">
        <v>8</v>
      </c>
      <c r="AR156" s="47">
        <v>6</v>
      </c>
      <c r="AS156" s="47">
        <v>4</v>
      </c>
      <c r="AV156" s="47">
        <v>10</v>
      </c>
      <c r="AW156" s="47">
        <v>8</v>
      </c>
      <c r="AZ156" s="47">
        <v>15</v>
      </c>
      <c r="BA156" s="47">
        <v>9</v>
      </c>
      <c r="BD156" s="47">
        <v>12</v>
      </c>
      <c r="BE156" s="47">
        <v>3</v>
      </c>
      <c r="BG156" s="488"/>
      <c r="BH156" s="47">
        <v>16</v>
      </c>
      <c r="BI156" s="47">
        <v>3</v>
      </c>
      <c r="BL156" s="47">
        <v>19</v>
      </c>
      <c r="BM156" s="47">
        <v>6</v>
      </c>
      <c r="BP156" s="47">
        <v>19</v>
      </c>
      <c r="BQ156" s="47">
        <v>10</v>
      </c>
    </row>
    <row r="157" spans="40:69" x14ac:dyDescent="0.2">
      <c r="AR157" s="47">
        <v>3</v>
      </c>
      <c r="AS157" s="47">
        <v>7</v>
      </c>
      <c r="AV157" s="47">
        <v>7</v>
      </c>
      <c r="AW157" s="47">
        <v>11</v>
      </c>
      <c r="AZ157" s="47">
        <v>8</v>
      </c>
      <c r="BA157" s="47">
        <v>16</v>
      </c>
      <c r="BD157" s="47">
        <v>4</v>
      </c>
      <c r="BE157" s="47">
        <v>11</v>
      </c>
      <c r="BG157" s="488"/>
      <c r="BH157" s="47">
        <v>4</v>
      </c>
      <c r="BI157" s="47">
        <v>15</v>
      </c>
      <c r="BL157" s="47">
        <v>7</v>
      </c>
      <c r="BM157" s="47">
        <v>18</v>
      </c>
      <c r="BP157" s="47">
        <v>11</v>
      </c>
      <c r="BQ157" s="47">
        <v>18</v>
      </c>
    </row>
    <row r="158" spans="40:69" x14ac:dyDescent="0.2">
      <c r="AR158" s="47">
        <v>8</v>
      </c>
      <c r="AS158" s="47">
        <v>2</v>
      </c>
      <c r="AV158" s="47">
        <v>12</v>
      </c>
      <c r="AW158" s="47">
        <v>6</v>
      </c>
      <c r="AZ158" s="47">
        <v>2</v>
      </c>
      <c r="BA158" s="47">
        <v>7</v>
      </c>
      <c r="BD158" s="47">
        <v>10</v>
      </c>
      <c r="BE158" s="47">
        <v>5</v>
      </c>
      <c r="BG158" s="488"/>
      <c r="BH158" s="47">
        <v>14</v>
      </c>
      <c r="BI158" s="47">
        <v>5</v>
      </c>
      <c r="BL158" s="47">
        <v>17</v>
      </c>
      <c r="BM158" s="47">
        <v>8</v>
      </c>
      <c r="BP158" s="47">
        <v>17</v>
      </c>
      <c r="BQ158" s="47">
        <v>12</v>
      </c>
    </row>
    <row r="159" spans="40:69" x14ac:dyDescent="0.2">
      <c r="AR159" s="47">
        <v>14</v>
      </c>
      <c r="AS159" s="47">
        <v>9</v>
      </c>
      <c r="AV159" s="47">
        <v>5</v>
      </c>
      <c r="AW159" s="47">
        <v>13</v>
      </c>
      <c r="AZ159" s="47">
        <v>6</v>
      </c>
      <c r="BA159" s="47">
        <v>3</v>
      </c>
      <c r="BD159" s="47">
        <v>6</v>
      </c>
      <c r="BE159" s="47">
        <v>9</v>
      </c>
      <c r="BH159" s="47">
        <v>6</v>
      </c>
      <c r="BI159" s="47">
        <v>13</v>
      </c>
      <c r="BL159" s="47">
        <v>9</v>
      </c>
      <c r="BM159" s="47">
        <v>16</v>
      </c>
      <c r="BP159" s="47">
        <v>13</v>
      </c>
      <c r="BQ159" s="47">
        <v>16</v>
      </c>
    </row>
    <row r="160" spans="40:69" x14ac:dyDescent="0.2">
      <c r="AR160" s="47">
        <v>10</v>
      </c>
      <c r="AS160" s="47">
        <v>13</v>
      </c>
      <c r="AV160" s="47">
        <v>14</v>
      </c>
      <c r="AW160" s="47">
        <v>4</v>
      </c>
      <c r="AZ160" s="47">
        <v>4</v>
      </c>
      <c r="BA160" s="47">
        <v>5</v>
      </c>
      <c r="BD160" s="47">
        <v>8</v>
      </c>
      <c r="BE160" s="47">
        <v>7</v>
      </c>
      <c r="BH160" s="47">
        <v>12</v>
      </c>
      <c r="BI160" s="47">
        <v>7</v>
      </c>
      <c r="BL160" s="47">
        <v>15</v>
      </c>
      <c r="BM160" s="47">
        <v>10</v>
      </c>
      <c r="BP160" s="47">
        <v>15</v>
      </c>
      <c r="BQ160" s="47">
        <v>14</v>
      </c>
    </row>
    <row r="161" spans="44:69" x14ac:dyDescent="0.2">
      <c r="AR161" s="47">
        <v>12</v>
      </c>
      <c r="AS161" s="47">
        <v>11</v>
      </c>
      <c r="AV161" s="47">
        <v>3</v>
      </c>
      <c r="AW161" s="47">
        <v>15</v>
      </c>
      <c r="AZ161" s="47">
        <v>1</v>
      </c>
      <c r="BA161" s="47">
        <v>11</v>
      </c>
      <c r="BD161" s="47">
        <v>1</v>
      </c>
      <c r="BE161" s="47">
        <v>15</v>
      </c>
      <c r="BH161" s="47">
        <v>8</v>
      </c>
      <c r="BI161" s="47">
        <v>11</v>
      </c>
      <c r="BL161" s="47">
        <v>11</v>
      </c>
      <c r="BM161" s="47">
        <v>14</v>
      </c>
      <c r="BP161" s="47">
        <v>1</v>
      </c>
      <c r="BQ161" s="47">
        <v>4</v>
      </c>
    </row>
    <row r="162" spans="44:69" x14ac:dyDescent="0.2">
      <c r="AR162" s="47">
        <v>4</v>
      </c>
      <c r="AS162" s="47">
        <v>1</v>
      </c>
      <c r="AV162" s="47">
        <v>8</v>
      </c>
      <c r="AW162" s="47">
        <v>1</v>
      </c>
      <c r="AZ162" s="47">
        <v>12</v>
      </c>
      <c r="BA162" s="47">
        <v>10</v>
      </c>
      <c r="BD162" s="47">
        <v>16</v>
      </c>
      <c r="BE162" s="47">
        <v>14</v>
      </c>
      <c r="BH162" s="47">
        <v>10</v>
      </c>
      <c r="BI162" s="47">
        <v>9</v>
      </c>
      <c r="BL162" s="47">
        <v>13</v>
      </c>
      <c r="BM162" s="47">
        <v>12</v>
      </c>
      <c r="BP162" s="47">
        <v>3</v>
      </c>
      <c r="BQ162" s="47">
        <v>5</v>
      </c>
    </row>
    <row r="163" spans="44:69" x14ac:dyDescent="0.2">
      <c r="AR163" s="47">
        <v>5</v>
      </c>
      <c r="AS163" s="47">
        <v>3</v>
      </c>
      <c r="AV163" s="47">
        <v>9</v>
      </c>
      <c r="AW163" s="47">
        <v>7</v>
      </c>
      <c r="AZ163" s="47">
        <v>9</v>
      </c>
      <c r="BA163" s="47">
        <v>13</v>
      </c>
      <c r="BD163" s="47">
        <v>13</v>
      </c>
      <c r="BE163" s="47">
        <v>17</v>
      </c>
      <c r="BH163" s="47">
        <v>1</v>
      </c>
      <c r="BI163" s="47">
        <v>17</v>
      </c>
      <c r="BL163" s="47">
        <v>1</v>
      </c>
      <c r="BM163" s="47">
        <v>2</v>
      </c>
      <c r="BP163" s="47">
        <v>6</v>
      </c>
      <c r="BQ163" s="47">
        <v>2</v>
      </c>
    </row>
    <row r="164" spans="44:69" x14ac:dyDescent="0.2">
      <c r="AR164" s="47">
        <v>2</v>
      </c>
      <c r="AS164" s="47">
        <v>6</v>
      </c>
      <c r="AV164" s="47">
        <v>6</v>
      </c>
      <c r="AW164" s="47">
        <v>10</v>
      </c>
      <c r="AZ164" s="47">
        <v>14</v>
      </c>
      <c r="BA164" s="47">
        <v>8</v>
      </c>
      <c r="BD164" s="47">
        <v>11</v>
      </c>
      <c r="BE164" s="47">
        <v>2</v>
      </c>
      <c r="BH164" s="47">
        <v>18</v>
      </c>
      <c r="BI164" s="47">
        <v>16</v>
      </c>
      <c r="BL164" s="47">
        <v>4</v>
      </c>
      <c r="BM164" s="47">
        <v>19</v>
      </c>
      <c r="BP164" s="47">
        <v>20</v>
      </c>
      <c r="BQ164" s="47">
        <v>7</v>
      </c>
    </row>
    <row r="165" spans="44:69" x14ac:dyDescent="0.2">
      <c r="AR165" s="47">
        <v>7</v>
      </c>
      <c r="AS165" s="47">
        <v>14</v>
      </c>
      <c r="AV165" s="47">
        <v>11</v>
      </c>
      <c r="AW165" s="47">
        <v>5</v>
      </c>
      <c r="AZ165" s="47">
        <v>7</v>
      </c>
      <c r="BA165" s="47">
        <v>15</v>
      </c>
      <c r="BD165" s="47">
        <v>3</v>
      </c>
      <c r="BE165" s="47">
        <v>10</v>
      </c>
      <c r="BH165" s="47">
        <v>15</v>
      </c>
      <c r="BI165" s="47">
        <v>2</v>
      </c>
      <c r="BL165" s="47">
        <v>18</v>
      </c>
      <c r="BM165" s="47">
        <v>5</v>
      </c>
      <c r="BP165" s="47">
        <v>8</v>
      </c>
      <c r="BQ165" s="47">
        <v>19</v>
      </c>
    </row>
    <row r="166" spans="44:69" x14ac:dyDescent="0.2">
      <c r="AR166" s="47">
        <v>13</v>
      </c>
      <c r="AS166" s="47">
        <v>8</v>
      </c>
      <c r="AV166" s="47">
        <v>4</v>
      </c>
      <c r="AW166" s="47">
        <v>12</v>
      </c>
      <c r="AZ166" s="47">
        <v>16</v>
      </c>
      <c r="BA166" s="47">
        <v>6</v>
      </c>
      <c r="BD166" s="47">
        <v>9</v>
      </c>
      <c r="BE166" s="47">
        <v>4</v>
      </c>
      <c r="BH166" s="47">
        <v>3</v>
      </c>
      <c r="BI166" s="47">
        <v>14</v>
      </c>
      <c r="BL166" s="47">
        <v>6</v>
      </c>
      <c r="BM166" s="47">
        <v>17</v>
      </c>
      <c r="BP166" s="47">
        <v>18</v>
      </c>
      <c r="BQ166" s="47">
        <v>9</v>
      </c>
    </row>
    <row r="167" spans="44:69" x14ac:dyDescent="0.2">
      <c r="AR167" s="47">
        <v>9</v>
      </c>
      <c r="AS167" s="47">
        <v>12</v>
      </c>
      <c r="AV167" s="47">
        <v>13</v>
      </c>
      <c r="AW167" s="47">
        <v>3</v>
      </c>
      <c r="AZ167" s="47">
        <v>5</v>
      </c>
      <c r="BA167" s="47">
        <v>2</v>
      </c>
      <c r="BD167" s="47">
        <v>5</v>
      </c>
      <c r="BE167" s="47">
        <v>8</v>
      </c>
      <c r="BH167" s="47">
        <v>13</v>
      </c>
      <c r="BI167" s="47">
        <v>4</v>
      </c>
      <c r="BK167" s="486" t="str">
        <f>Language!$E$18</f>
        <v>Hinspiele</v>
      </c>
      <c r="BL167" s="47">
        <v>16</v>
      </c>
      <c r="BM167" s="47">
        <v>7</v>
      </c>
      <c r="BP167" s="47">
        <v>10</v>
      </c>
      <c r="BQ167" s="47">
        <v>17</v>
      </c>
    </row>
    <row r="168" spans="44:69" x14ac:dyDescent="0.2">
      <c r="AR168" s="47">
        <v>11</v>
      </c>
      <c r="AS168" s="47">
        <v>10</v>
      </c>
      <c r="AV168" s="47">
        <v>2</v>
      </c>
      <c r="AW168" s="47">
        <v>14</v>
      </c>
      <c r="AZ168" s="47">
        <v>3</v>
      </c>
      <c r="BA168" s="47">
        <v>4</v>
      </c>
      <c r="BD168" s="47">
        <v>7</v>
      </c>
      <c r="BE168" s="47">
        <v>6</v>
      </c>
      <c r="BH168" s="47">
        <v>5</v>
      </c>
      <c r="BI168" s="47">
        <v>12</v>
      </c>
      <c r="BK168" s="486"/>
      <c r="BL168" s="47">
        <v>8</v>
      </c>
      <c r="BM168" s="47">
        <v>15</v>
      </c>
      <c r="BP168" s="47">
        <v>16</v>
      </c>
      <c r="BQ168" s="47">
        <v>11</v>
      </c>
    </row>
    <row r="169" spans="44:69" x14ac:dyDescent="0.2">
      <c r="AR169" s="47">
        <v>1</v>
      </c>
      <c r="AS169" s="47">
        <v>3</v>
      </c>
      <c r="AV169" s="47">
        <v>1</v>
      </c>
      <c r="AW169" s="47">
        <v>7</v>
      </c>
      <c r="AZ169" s="47">
        <v>10</v>
      </c>
      <c r="BA169" s="47">
        <v>1</v>
      </c>
      <c r="BD169" s="47">
        <v>14</v>
      </c>
      <c r="BE169" s="47">
        <v>1</v>
      </c>
      <c r="BH169" s="47">
        <v>11</v>
      </c>
      <c r="BI169" s="47">
        <v>6</v>
      </c>
      <c r="BK169" s="486"/>
      <c r="BL169" s="47">
        <v>14</v>
      </c>
      <c r="BM169" s="47">
        <v>9</v>
      </c>
      <c r="BP169" s="47">
        <v>12</v>
      </c>
      <c r="BQ169" s="47">
        <v>15</v>
      </c>
    </row>
    <row r="170" spans="44:69" x14ac:dyDescent="0.2">
      <c r="AR170" s="47">
        <v>4</v>
      </c>
      <c r="AS170" s="47">
        <v>2</v>
      </c>
      <c r="AV170" s="47">
        <v>8</v>
      </c>
      <c r="AW170" s="47">
        <v>6</v>
      </c>
      <c r="AZ170" s="47">
        <v>11</v>
      </c>
      <c r="BA170" s="47">
        <v>9</v>
      </c>
      <c r="BD170" s="47">
        <v>15</v>
      </c>
      <c r="BE170" s="47">
        <v>13</v>
      </c>
      <c r="BH170" s="47">
        <v>7</v>
      </c>
      <c r="BI170" s="47">
        <v>10</v>
      </c>
      <c r="BK170" s="486"/>
      <c r="BL170" s="47">
        <v>10</v>
      </c>
      <c r="BM170" s="47">
        <v>13</v>
      </c>
      <c r="BP170" s="47">
        <v>14</v>
      </c>
      <c r="BQ170" s="47">
        <v>13</v>
      </c>
    </row>
    <row r="171" spans="44:69" ht="13.5" thickBot="1" x14ac:dyDescent="0.25">
      <c r="AR171" s="47">
        <v>14</v>
      </c>
      <c r="AS171" s="47">
        <v>5</v>
      </c>
      <c r="AV171" s="47">
        <v>5</v>
      </c>
      <c r="AW171" s="47">
        <v>9</v>
      </c>
      <c r="AZ171" s="47">
        <v>8</v>
      </c>
      <c r="BA171" s="47">
        <v>12</v>
      </c>
      <c r="BD171" s="47">
        <v>12</v>
      </c>
      <c r="BE171" s="47">
        <v>16</v>
      </c>
      <c r="BH171" s="47">
        <v>9</v>
      </c>
      <c r="BI171" s="47">
        <v>8</v>
      </c>
      <c r="BK171" s="487"/>
      <c r="BL171" s="47">
        <v>12</v>
      </c>
      <c r="BM171" s="47">
        <v>11</v>
      </c>
      <c r="BP171" s="47">
        <v>3</v>
      </c>
      <c r="BQ171" s="47">
        <v>1</v>
      </c>
    </row>
    <row r="172" spans="44:69" x14ac:dyDescent="0.2">
      <c r="AR172" s="47">
        <v>6</v>
      </c>
      <c r="AS172" s="47">
        <v>13</v>
      </c>
      <c r="AV172" s="47">
        <v>10</v>
      </c>
      <c r="AW172" s="47">
        <v>4</v>
      </c>
      <c r="AZ172" s="47">
        <v>13</v>
      </c>
      <c r="BA172" s="47">
        <v>7</v>
      </c>
      <c r="BD172" s="47">
        <v>17</v>
      </c>
      <c r="BE172" s="47">
        <v>11</v>
      </c>
      <c r="BH172" s="47">
        <v>16</v>
      </c>
      <c r="BI172" s="47">
        <v>1</v>
      </c>
      <c r="BK172" s="488" t="str">
        <f>Language!$E$19</f>
        <v>Rückspiele</v>
      </c>
      <c r="BL172" s="47">
        <v>2</v>
      </c>
      <c r="BM172" s="47">
        <v>19</v>
      </c>
      <c r="BP172" s="47">
        <v>2</v>
      </c>
      <c r="BQ172" s="47">
        <v>4</v>
      </c>
    </row>
    <row r="173" spans="44:69" x14ac:dyDescent="0.2">
      <c r="AR173" s="47">
        <v>12</v>
      </c>
      <c r="AS173" s="47">
        <v>7</v>
      </c>
      <c r="AV173" s="47">
        <v>3</v>
      </c>
      <c r="AW173" s="47">
        <v>11</v>
      </c>
      <c r="AZ173" s="47">
        <v>6</v>
      </c>
      <c r="BA173" s="47">
        <v>14</v>
      </c>
      <c r="BD173" s="47">
        <v>2</v>
      </c>
      <c r="BE173" s="47">
        <v>9</v>
      </c>
      <c r="BH173" s="47">
        <v>17</v>
      </c>
      <c r="BI173" s="47">
        <v>15</v>
      </c>
      <c r="BK173" s="488"/>
      <c r="BL173" s="47">
        <v>18</v>
      </c>
      <c r="BM173" s="47">
        <v>3</v>
      </c>
      <c r="BP173" s="47">
        <v>5</v>
      </c>
      <c r="BQ173" s="47">
        <v>20</v>
      </c>
    </row>
    <row r="174" spans="44:69" x14ac:dyDescent="0.2">
      <c r="AR174" s="47">
        <v>8</v>
      </c>
      <c r="AS174" s="47">
        <v>11</v>
      </c>
      <c r="AV174" s="47">
        <v>12</v>
      </c>
      <c r="AW174" s="47">
        <v>2</v>
      </c>
      <c r="AZ174" s="47">
        <v>15</v>
      </c>
      <c r="BA174" s="47">
        <v>5</v>
      </c>
      <c r="BD174" s="47">
        <v>8</v>
      </c>
      <c r="BE174" s="47">
        <v>3</v>
      </c>
      <c r="BH174" s="47">
        <v>14</v>
      </c>
      <c r="BI174" s="47">
        <v>18</v>
      </c>
      <c r="BK174" s="488"/>
      <c r="BL174" s="47">
        <v>4</v>
      </c>
      <c r="BM174" s="47">
        <v>17</v>
      </c>
      <c r="BP174" s="47">
        <v>19</v>
      </c>
      <c r="BQ174" s="47">
        <v>6</v>
      </c>
    </row>
    <row r="175" spans="44:69" x14ac:dyDescent="0.2">
      <c r="AR175" s="47">
        <v>10</v>
      </c>
      <c r="AS175" s="47">
        <v>9</v>
      </c>
      <c r="AV175" s="47">
        <v>14</v>
      </c>
      <c r="AW175" s="47">
        <v>15</v>
      </c>
      <c r="AZ175" s="47">
        <v>4</v>
      </c>
      <c r="BA175" s="47">
        <v>16</v>
      </c>
      <c r="BD175" s="47">
        <v>4</v>
      </c>
      <c r="BE175" s="47">
        <v>7</v>
      </c>
      <c r="BH175" s="47">
        <v>2</v>
      </c>
      <c r="BI175" s="47">
        <v>13</v>
      </c>
      <c r="BK175" s="488"/>
      <c r="BL175" s="47">
        <v>16</v>
      </c>
      <c r="BM175" s="47">
        <v>5</v>
      </c>
      <c r="BP175" s="47">
        <v>7</v>
      </c>
      <c r="BQ175" s="47">
        <v>18</v>
      </c>
    </row>
    <row r="176" spans="44:69" x14ac:dyDescent="0.2">
      <c r="AR176" s="47">
        <v>2</v>
      </c>
      <c r="AS176" s="47">
        <v>1</v>
      </c>
      <c r="AV176" s="47">
        <v>6</v>
      </c>
      <c r="AW176" s="47">
        <v>1</v>
      </c>
      <c r="AZ176" s="47">
        <v>2</v>
      </c>
      <c r="BA176" s="47">
        <v>3</v>
      </c>
      <c r="BD176" s="47">
        <v>6</v>
      </c>
      <c r="BE176" s="47">
        <v>5</v>
      </c>
      <c r="BH176" s="47">
        <v>12</v>
      </c>
      <c r="BI176" s="47">
        <v>3</v>
      </c>
      <c r="BK176" s="488"/>
      <c r="BL176" s="47">
        <v>6</v>
      </c>
      <c r="BM176" s="47">
        <v>15</v>
      </c>
      <c r="BP176" s="47">
        <v>17</v>
      </c>
      <c r="BQ176" s="47">
        <v>8</v>
      </c>
    </row>
    <row r="177" spans="44:69" x14ac:dyDescent="0.2">
      <c r="AR177" s="47">
        <v>3</v>
      </c>
      <c r="AS177" s="47">
        <v>14</v>
      </c>
      <c r="AV177" s="47">
        <v>7</v>
      </c>
      <c r="AW177" s="47">
        <v>5</v>
      </c>
      <c r="AZ177" s="47">
        <v>1</v>
      </c>
      <c r="BA177" s="47">
        <v>9</v>
      </c>
      <c r="BD177" s="47">
        <v>1</v>
      </c>
      <c r="BE177" s="47">
        <v>13</v>
      </c>
      <c r="BH177" s="47">
        <v>4</v>
      </c>
      <c r="BI177" s="47">
        <v>11</v>
      </c>
      <c r="BL177" s="47">
        <v>14</v>
      </c>
      <c r="BM177" s="47">
        <v>7</v>
      </c>
      <c r="BP177" s="47">
        <v>9</v>
      </c>
      <c r="BQ177" s="47">
        <v>16</v>
      </c>
    </row>
    <row r="178" spans="44:69" x14ac:dyDescent="0.2">
      <c r="AR178" s="47">
        <v>13</v>
      </c>
      <c r="AS178" s="47">
        <v>4</v>
      </c>
      <c r="AV178" s="47">
        <v>4</v>
      </c>
      <c r="AW178" s="47">
        <v>8</v>
      </c>
      <c r="AZ178" s="47">
        <v>10</v>
      </c>
      <c r="BA178" s="47">
        <v>8</v>
      </c>
      <c r="BD178" s="47">
        <v>14</v>
      </c>
      <c r="BE178" s="47">
        <v>12</v>
      </c>
      <c r="BH178" s="47">
        <v>10</v>
      </c>
      <c r="BI178" s="47">
        <v>5</v>
      </c>
      <c r="BL178" s="47">
        <v>8</v>
      </c>
      <c r="BM178" s="47">
        <v>13</v>
      </c>
      <c r="BP178" s="47">
        <v>15</v>
      </c>
      <c r="BQ178" s="47">
        <v>10</v>
      </c>
    </row>
    <row r="179" spans="44:69" x14ac:dyDescent="0.2">
      <c r="AR179" s="47">
        <v>5</v>
      </c>
      <c r="AS179" s="47">
        <v>12</v>
      </c>
      <c r="AV179" s="47">
        <v>9</v>
      </c>
      <c r="AW179" s="47">
        <v>3</v>
      </c>
      <c r="AZ179" s="47">
        <v>7</v>
      </c>
      <c r="BA179" s="47">
        <v>11</v>
      </c>
      <c r="BD179" s="47">
        <v>11</v>
      </c>
      <c r="BE179" s="47">
        <v>15</v>
      </c>
      <c r="BH179" s="47">
        <v>6</v>
      </c>
      <c r="BI179" s="47">
        <v>9</v>
      </c>
      <c r="BL179" s="47">
        <v>12</v>
      </c>
      <c r="BM179" s="47">
        <v>9</v>
      </c>
      <c r="BP179" s="47">
        <v>11</v>
      </c>
      <c r="BQ179" s="47">
        <v>14</v>
      </c>
    </row>
    <row r="180" spans="44:69" x14ac:dyDescent="0.2">
      <c r="AR180" s="47">
        <v>11</v>
      </c>
      <c r="AS180" s="47">
        <v>6</v>
      </c>
      <c r="AV180" s="47">
        <v>2</v>
      </c>
      <c r="AW180" s="47">
        <v>10</v>
      </c>
      <c r="AZ180" s="47">
        <v>12</v>
      </c>
      <c r="BA180" s="47">
        <v>6</v>
      </c>
      <c r="BD180" s="47">
        <v>16</v>
      </c>
      <c r="BE180" s="47">
        <v>10</v>
      </c>
      <c r="BH180" s="47">
        <v>8</v>
      </c>
      <c r="BI180" s="47">
        <v>7</v>
      </c>
      <c r="BL180" s="47">
        <v>10</v>
      </c>
      <c r="BM180" s="47">
        <v>11</v>
      </c>
      <c r="BP180" s="47">
        <v>13</v>
      </c>
      <c r="BQ180" s="47">
        <v>12</v>
      </c>
    </row>
    <row r="181" spans="44:69" x14ac:dyDescent="0.2">
      <c r="AR181" s="47">
        <v>7</v>
      </c>
      <c r="AS181" s="47">
        <v>10</v>
      </c>
      <c r="AV181" s="47">
        <v>15</v>
      </c>
      <c r="AW181" s="47">
        <v>12</v>
      </c>
      <c r="AZ181" s="47">
        <v>5</v>
      </c>
      <c r="BA181" s="47">
        <v>13</v>
      </c>
      <c r="BD181" s="47">
        <v>9</v>
      </c>
      <c r="BE181" s="47">
        <v>17</v>
      </c>
      <c r="BH181" s="47">
        <v>1</v>
      </c>
      <c r="BI181" s="47">
        <v>15</v>
      </c>
      <c r="BL181" s="47">
        <v>1</v>
      </c>
      <c r="BM181" s="47">
        <v>19</v>
      </c>
      <c r="BP181" s="47">
        <v>1</v>
      </c>
      <c r="BQ181" s="47">
        <v>2</v>
      </c>
    </row>
    <row r="182" spans="44:69" x14ac:dyDescent="0.2">
      <c r="AR182" s="47">
        <v>9</v>
      </c>
      <c r="AS182" s="47">
        <v>8</v>
      </c>
      <c r="AV182" s="47">
        <v>13</v>
      </c>
      <c r="AW182" s="47">
        <v>14</v>
      </c>
      <c r="AZ182" s="47">
        <v>14</v>
      </c>
      <c r="BA182" s="47">
        <v>4</v>
      </c>
      <c r="BD182" s="47">
        <v>7</v>
      </c>
      <c r="BE182" s="47">
        <v>2</v>
      </c>
      <c r="BH182" s="47">
        <v>16</v>
      </c>
      <c r="BI182" s="47">
        <v>14</v>
      </c>
      <c r="BL182" s="47">
        <v>17</v>
      </c>
      <c r="BM182" s="47">
        <v>2</v>
      </c>
      <c r="BP182" s="47">
        <v>20</v>
      </c>
      <c r="BQ182" s="47">
        <v>3</v>
      </c>
    </row>
    <row r="183" spans="44:69" x14ac:dyDescent="0.2">
      <c r="AV183" s="47">
        <v>1</v>
      </c>
      <c r="AW183" s="47">
        <v>5</v>
      </c>
      <c r="AZ183" s="47">
        <v>3</v>
      </c>
      <c r="BA183" s="47">
        <v>15</v>
      </c>
      <c r="BD183" s="47">
        <v>3</v>
      </c>
      <c r="BE183" s="47">
        <v>6</v>
      </c>
      <c r="BH183" s="47">
        <v>13</v>
      </c>
      <c r="BI183" s="47">
        <v>17</v>
      </c>
      <c r="BL183" s="47">
        <v>3</v>
      </c>
      <c r="BM183" s="47">
        <v>16</v>
      </c>
      <c r="BP183" s="47">
        <v>4</v>
      </c>
      <c r="BQ183" s="47">
        <v>19</v>
      </c>
    </row>
    <row r="184" spans="44:69" x14ac:dyDescent="0.2">
      <c r="AV184" s="47">
        <v>6</v>
      </c>
      <c r="AW184" s="47">
        <v>4</v>
      </c>
      <c r="AZ184" s="47">
        <v>16</v>
      </c>
      <c r="BA184" s="47">
        <v>2</v>
      </c>
      <c r="BD184" s="47">
        <v>5</v>
      </c>
      <c r="BE184" s="47">
        <v>4</v>
      </c>
      <c r="BH184" s="47">
        <v>18</v>
      </c>
      <c r="BI184" s="47">
        <v>12</v>
      </c>
      <c r="BL184" s="47">
        <v>15</v>
      </c>
      <c r="BM184" s="47">
        <v>4</v>
      </c>
      <c r="BP184" s="47">
        <v>18</v>
      </c>
      <c r="BQ184" s="47">
        <v>5</v>
      </c>
    </row>
    <row r="185" spans="44:69" x14ac:dyDescent="0.2">
      <c r="AV185" s="47">
        <v>3</v>
      </c>
      <c r="AW185" s="47">
        <v>7</v>
      </c>
      <c r="AZ185" s="47">
        <v>8</v>
      </c>
      <c r="BA185" s="47">
        <v>1</v>
      </c>
      <c r="BD185" s="47">
        <v>12</v>
      </c>
      <c r="BE185" s="47">
        <v>1</v>
      </c>
      <c r="BH185" s="47">
        <v>11</v>
      </c>
      <c r="BI185" s="47">
        <v>2</v>
      </c>
      <c r="BL185" s="47">
        <v>5</v>
      </c>
      <c r="BM185" s="47">
        <v>14</v>
      </c>
      <c r="BP185" s="47">
        <v>6</v>
      </c>
      <c r="BQ185" s="47">
        <v>17</v>
      </c>
    </row>
    <row r="186" spans="44:69" x14ac:dyDescent="0.2">
      <c r="AV186" s="47">
        <v>8</v>
      </c>
      <c r="AW186" s="47">
        <v>2</v>
      </c>
      <c r="AZ186" s="47">
        <v>9</v>
      </c>
      <c r="BA186" s="47">
        <v>7</v>
      </c>
      <c r="BD186" s="47">
        <v>13</v>
      </c>
      <c r="BE186" s="47">
        <v>11</v>
      </c>
      <c r="BH186" s="47">
        <v>3</v>
      </c>
      <c r="BI186" s="47">
        <v>10</v>
      </c>
      <c r="BL186" s="47">
        <v>13</v>
      </c>
      <c r="BM186" s="47">
        <v>6</v>
      </c>
      <c r="BO186" s="486" t="str">
        <f>Language!$E$18</f>
        <v>Hinspiele</v>
      </c>
      <c r="BP186" s="47">
        <v>16</v>
      </c>
      <c r="BQ186" s="47">
        <v>7</v>
      </c>
    </row>
    <row r="187" spans="44:69" x14ac:dyDescent="0.2">
      <c r="AV187" s="47">
        <v>10</v>
      </c>
      <c r="AW187" s="47">
        <v>15</v>
      </c>
      <c r="AZ187" s="47">
        <v>6</v>
      </c>
      <c r="BA187" s="47">
        <v>10</v>
      </c>
      <c r="BD187" s="47">
        <v>10</v>
      </c>
      <c r="BE187" s="47">
        <v>14</v>
      </c>
      <c r="BH187" s="47">
        <v>9</v>
      </c>
      <c r="BI187" s="47">
        <v>4</v>
      </c>
      <c r="BL187" s="47">
        <v>7</v>
      </c>
      <c r="BM187" s="47">
        <v>12</v>
      </c>
      <c r="BO187" s="486"/>
      <c r="BP187" s="47">
        <v>8</v>
      </c>
      <c r="BQ187" s="47">
        <v>15</v>
      </c>
    </row>
    <row r="188" spans="44:69" x14ac:dyDescent="0.2">
      <c r="AV188" s="47">
        <v>14</v>
      </c>
      <c r="AW188" s="47">
        <v>11</v>
      </c>
      <c r="AZ188" s="47">
        <v>11</v>
      </c>
      <c r="BA188" s="47">
        <v>5</v>
      </c>
      <c r="BD188" s="47">
        <v>15</v>
      </c>
      <c r="BE188" s="47">
        <v>9</v>
      </c>
      <c r="BH188" s="47">
        <v>5</v>
      </c>
      <c r="BI188" s="47">
        <v>8</v>
      </c>
      <c r="BL188" s="47">
        <v>11</v>
      </c>
      <c r="BM188" s="47">
        <v>8</v>
      </c>
      <c r="BO188" s="486"/>
      <c r="BP188" s="47">
        <v>14</v>
      </c>
      <c r="BQ188" s="47">
        <v>9</v>
      </c>
    </row>
    <row r="189" spans="44:69" x14ac:dyDescent="0.2">
      <c r="AV189" s="47">
        <v>12</v>
      </c>
      <c r="AW189" s="47">
        <v>13</v>
      </c>
      <c r="AZ189" s="47">
        <v>4</v>
      </c>
      <c r="BA189" s="47">
        <v>12</v>
      </c>
      <c r="BD189" s="47">
        <v>8</v>
      </c>
      <c r="BE189" s="47">
        <v>16</v>
      </c>
      <c r="BH189" s="47">
        <v>7</v>
      </c>
      <c r="BI189" s="47">
        <v>6</v>
      </c>
      <c r="BL189" s="47">
        <v>9</v>
      </c>
      <c r="BM189" s="47">
        <v>10</v>
      </c>
      <c r="BO189" s="486"/>
      <c r="BP189" s="47">
        <v>10</v>
      </c>
      <c r="BQ189" s="47">
        <v>13</v>
      </c>
    </row>
    <row r="190" spans="44:69" ht="13.5" thickBot="1" x14ac:dyDescent="0.25">
      <c r="AV190" s="47">
        <v>4</v>
      </c>
      <c r="AW190" s="47">
        <v>1</v>
      </c>
      <c r="AZ190" s="47">
        <v>13</v>
      </c>
      <c r="BA190" s="47">
        <v>3</v>
      </c>
      <c r="BD190" s="47">
        <v>17</v>
      </c>
      <c r="BE190" s="47">
        <v>7</v>
      </c>
      <c r="BH190" s="47">
        <v>14</v>
      </c>
      <c r="BI190" s="47">
        <v>1</v>
      </c>
      <c r="BL190" s="47">
        <v>18</v>
      </c>
      <c r="BM190" s="47">
        <v>1</v>
      </c>
      <c r="BO190" s="487"/>
      <c r="BP190" s="47">
        <v>12</v>
      </c>
      <c r="BQ190" s="47">
        <v>11</v>
      </c>
    </row>
    <row r="191" spans="44:69" x14ac:dyDescent="0.2">
      <c r="AV191" s="47">
        <v>5</v>
      </c>
      <c r="AW191" s="47">
        <v>3</v>
      </c>
      <c r="AZ191" s="47">
        <v>2</v>
      </c>
      <c r="BA191" s="47">
        <v>14</v>
      </c>
      <c r="BD191" s="47">
        <v>2</v>
      </c>
      <c r="BE191" s="47">
        <v>5</v>
      </c>
      <c r="BH191" s="47">
        <v>15</v>
      </c>
      <c r="BI191" s="47">
        <v>13</v>
      </c>
      <c r="BL191" s="47">
        <v>19</v>
      </c>
      <c r="BM191" s="47">
        <v>17</v>
      </c>
      <c r="BO191" s="488" t="str">
        <f>Language!$E$19</f>
        <v>Rückspiele</v>
      </c>
      <c r="BP191" s="47">
        <v>20</v>
      </c>
      <c r="BQ191" s="47">
        <v>1</v>
      </c>
    </row>
    <row r="192" spans="44:69" x14ac:dyDescent="0.2">
      <c r="AV192" s="47">
        <v>2</v>
      </c>
      <c r="AW192" s="47">
        <v>6</v>
      </c>
      <c r="AZ192" s="47">
        <v>15</v>
      </c>
      <c r="BA192" s="47">
        <v>16</v>
      </c>
      <c r="BD192" s="47">
        <v>4</v>
      </c>
      <c r="BE192" s="47">
        <v>3</v>
      </c>
      <c r="BH192" s="47">
        <v>12</v>
      </c>
      <c r="BI192" s="47">
        <v>16</v>
      </c>
      <c r="BL192" s="47">
        <v>2</v>
      </c>
      <c r="BM192" s="47">
        <v>15</v>
      </c>
      <c r="BO192" s="488"/>
      <c r="BP192" s="47">
        <v>2</v>
      </c>
      <c r="BQ192" s="47">
        <v>19</v>
      </c>
    </row>
    <row r="193" spans="48:69" x14ac:dyDescent="0.2">
      <c r="AV193" s="47">
        <v>15</v>
      </c>
      <c r="AW193" s="47">
        <v>8</v>
      </c>
      <c r="AZ193" s="47">
        <v>1</v>
      </c>
      <c r="BA193" s="47">
        <v>7</v>
      </c>
      <c r="BD193" s="47">
        <v>1</v>
      </c>
      <c r="BE193" s="47">
        <v>11</v>
      </c>
      <c r="BH193" s="47">
        <v>17</v>
      </c>
      <c r="BI193" s="47">
        <v>11</v>
      </c>
      <c r="BL193" s="47">
        <v>14</v>
      </c>
      <c r="BM193" s="47">
        <v>3</v>
      </c>
      <c r="BO193" s="488"/>
      <c r="BP193" s="47">
        <v>18</v>
      </c>
      <c r="BQ193" s="47">
        <v>3</v>
      </c>
    </row>
    <row r="194" spans="48:69" x14ac:dyDescent="0.2">
      <c r="AV194" s="47">
        <v>9</v>
      </c>
      <c r="AW194" s="47">
        <v>14</v>
      </c>
      <c r="AZ194" s="47">
        <v>8</v>
      </c>
      <c r="BA194" s="47">
        <v>6</v>
      </c>
      <c r="BD194" s="47">
        <v>12</v>
      </c>
      <c r="BE194" s="47">
        <v>10</v>
      </c>
      <c r="BH194" s="47">
        <v>10</v>
      </c>
      <c r="BI194" s="47">
        <v>18</v>
      </c>
      <c r="BL194" s="47">
        <v>4</v>
      </c>
      <c r="BM194" s="47">
        <v>13</v>
      </c>
      <c r="BO194" s="488"/>
      <c r="BP194" s="47">
        <v>4</v>
      </c>
      <c r="BQ194" s="47">
        <v>17</v>
      </c>
    </row>
    <row r="195" spans="48:69" x14ac:dyDescent="0.2">
      <c r="AV195" s="47">
        <v>13</v>
      </c>
      <c r="AW195" s="47">
        <v>10</v>
      </c>
      <c r="AZ195" s="47">
        <v>5</v>
      </c>
      <c r="BA195" s="47">
        <v>9</v>
      </c>
      <c r="BD195" s="47">
        <v>9</v>
      </c>
      <c r="BE195" s="47">
        <v>13</v>
      </c>
      <c r="BH195" s="47">
        <v>2</v>
      </c>
      <c r="BI195" s="47">
        <v>9</v>
      </c>
      <c r="BL195" s="47">
        <v>12</v>
      </c>
      <c r="BM195" s="47">
        <v>5</v>
      </c>
      <c r="BO195" s="488"/>
      <c r="BP195" s="47">
        <v>16</v>
      </c>
      <c r="BQ195" s="47">
        <v>5</v>
      </c>
    </row>
    <row r="196" spans="48:69" x14ac:dyDescent="0.2">
      <c r="AV196" s="47">
        <v>11</v>
      </c>
      <c r="AW196" s="47">
        <v>12</v>
      </c>
      <c r="AZ196" s="47">
        <v>10</v>
      </c>
      <c r="BA196" s="47">
        <v>4</v>
      </c>
      <c r="BD196" s="47">
        <v>14</v>
      </c>
      <c r="BE196" s="47">
        <v>8</v>
      </c>
      <c r="BH196" s="47">
        <v>8</v>
      </c>
      <c r="BI196" s="47">
        <v>3</v>
      </c>
      <c r="BL196" s="47">
        <v>6</v>
      </c>
      <c r="BM196" s="47">
        <v>11</v>
      </c>
      <c r="BP196" s="47">
        <v>6</v>
      </c>
      <c r="BQ196" s="47">
        <v>15</v>
      </c>
    </row>
    <row r="197" spans="48:69" x14ac:dyDescent="0.2">
      <c r="AV197" s="47">
        <v>1</v>
      </c>
      <c r="AW197" s="47">
        <v>3</v>
      </c>
      <c r="AZ197" s="47">
        <v>3</v>
      </c>
      <c r="BA197" s="47">
        <v>11</v>
      </c>
      <c r="BD197" s="47">
        <v>7</v>
      </c>
      <c r="BE197" s="47">
        <v>15</v>
      </c>
      <c r="BH197" s="47">
        <v>4</v>
      </c>
      <c r="BI197" s="47">
        <v>7</v>
      </c>
      <c r="BL197" s="47">
        <v>10</v>
      </c>
      <c r="BM197" s="47">
        <v>7</v>
      </c>
      <c r="BP197" s="47">
        <v>14</v>
      </c>
      <c r="BQ197" s="47">
        <v>7</v>
      </c>
    </row>
    <row r="198" spans="48:69" x14ac:dyDescent="0.2">
      <c r="AV198" s="47">
        <v>4</v>
      </c>
      <c r="AW198" s="47">
        <v>2</v>
      </c>
      <c r="AZ198" s="47">
        <v>12</v>
      </c>
      <c r="BA198" s="47">
        <v>2</v>
      </c>
      <c r="BD198" s="47">
        <v>16</v>
      </c>
      <c r="BE198" s="47">
        <v>6</v>
      </c>
      <c r="BH198" s="47">
        <v>6</v>
      </c>
      <c r="BI198" s="47">
        <v>5</v>
      </c>
      <c r="BL198" s="47">
        <v>8</v>
      </c>
      <c r="BM198" s="47">
        <v>9</v>
      </c>
      <c r="BP198" s="47">
        <v>8</v>
      </c>
      <c r="BQ198" s="47">
        <v>13</v>
      </c>
    </row>
    <row r="199" spans="48:69" x14ac:dyDescent="0.2">
      <c r="AV199" s="47">
        <v>6</v>
      </c>
      <c r="AW199" s="47">
        <v>15</v>
      </c>
      <c r="AZ199" s="47">
        <v>16</v>
      </c>
      <c r="BA199" s="47">
        <v>13</v>
      </c>
      <c r="BD199" s="47">
        <v>5</v>
      </c>
      <c r="BE199" s="47">
        <v>17</v>
      </c>
      <c r="BH199" s="47">
        <v>1</v>
      </c>
      <c r="BI199" s="47">
        <v>13</v>
      </c>
      <c r="BL199" s="47">
        <v>1</v>
      </c>
      <c r="BM199" s="47">
        <v>17</v>
      </c>
      <c r="BP199" s="47">
        <v>12</v>
      </c>
      <c r="BQ199" s="47">
        <v>9</v>
      </c>
    </row>
    <row r="200" spans="48:69" x14ac:dyDescent="0.2">
      <c r="AV200" s="47">
        <v>14</v>
      </c>
      <c r="AW200" s="47">
        <v>7</v>
      </c>
      <c r="AZ200" s="47">
        <v>14</v>
      </c>
      <c r="BA200" s="47">
        <v>15</v>
      </c>
      <c r="BD200" s="47">
        <v>3</v>
      </c>
      <c r="BE200" s="47">
        <v>2</v>
      </c>
      <c r="BH200" s="47">
        <v>14</v>
      </c>
      <c r="BI200" s="47">
        <v>12</v>
      </c>
      <c r="BL200" s="47">
        <v>18</v>
      </c>
      <c r="BM200" s="47">
        <v>16</v>
      </c>
      <c r="BP200" s="47">
        <v>10</v>
      </c>
      <c r="BQ200" s="47">
        <v>11</v>
      </c>
    </row>
    <row r="201" spans="48:69" x14ac:dyDescent="0.2">
      <c r="AV201" s="47">
        <v>8</v>
      </c>
      <c r="AW201" s="47">
        <v>13</v>
      </c>
      <c r="AZ201" s="47">
        <v>6</v>
      </c>
      <c r="BA201" s="47">
        <v>1</v>
      </c>
      <c r="BD201" s="47">
        <v>10</v>
      </c>
      <c r="BE201" s="47">
        <v>1</v>
      </c>
      <c r="BH201" s="47">
        <v>11</v>
      </c>
      <c r="BI201" s="47">
        <v>15</v>
      </c>
      <c r="BL201" s="47">
        <v>15</v>
      </c>
      <c r="BM201" s="47">
        <v>19</v>
      </c>
      <c r="BP201" s="47">
        <v>1</v>
      </c>
      <c r="BQ201" s="47">
        <v>19</v>
      </c>
    </row>
    <row r="202" spans="48:69" x14ac:dyDescent="0.2">
      <c r="AV202" s="47">
        <v>12</v>
      </c>
      <c r="AW202" s="47">
        <v>9</v>
      </c>
      <c r="AZ202" s="47">
        <v>7</v>
      </c>
      <c r="BA202" s="47">
        <v>5</v>
      </c>
      <c r="BD202" s="47">
        <v>11</v>
      </c>
      <c r="BE202" s="47">
        <v>9</v>
      </c>
      <c r="BH202" s="47">
        <v>16</v>
      </c>
      <c r="BI202" s="47">
        <v>10</v>
      </c>
      <c r="BL202" s="47">
        <v>13</v>
      </c>
      <c r="BM202" s="47">
        <v>2</v>
      </c>
      <c r="BP202" s="47">
        <v>20</v>
      </c>
      <c r="BQ202" s="47">
        <v>18</v>
      </c>
    </row>
    <row r="203" spans="48:69" x14ac:dyDescent="0.2">
      <c r="AV203" s="47">
        <v>10</v>
      </c>
      <c r="AW203" s="47">
        <v>11</v>
      </c>
      <c r="AZ203" s="47">
        <v>4</v>
      </c>
      <c r="BA203" s="47">
        <v>8</v>
      </c>
      <c r="BD203" s="47">
        <v>8</v>
      </c>
      <c r="BE203" s="47">
        <v>12</v>
      </c>
      <c r="BH203" s="47">
        <v>9</v>
      </c>
      <c r="BI203" s="47">
        <v>17</v>
      </c>
      <c r="BL203" s="47">
        <v>3</v>
      </c>
      <c r="BM203" s="47">
        <v>12</v>
      </c>
      <c r="BP203" s="47">
        <v>17</v>
      </c>
      <c r="BQ203" s="47">
        <v>2</v>
      </c>
    </row>
    <row r="204" spans="48:69" x14ac:dyDescent="0.2">
      <c r="AV204" s="47">
        <v>2</v>
      </c>
      <c r="AW204" s="47">
        <v>1</v>
      </c>
      <c r="AZ204" s="47">
        <v>9</v>
      </c>
      <c r="BA204" s="47">
        <v>3</v>
      </c>
      <c r="BD204" s="47">
        <v>13</v>
      </c>
      <c r="BE204" s="47">
        <v>7</v>
      </c>
      <c r="BH204" s="47">
        <v>18</v>
      </c>
      <c r="BI204" s="47">
        <v>8</v>
      </c>
      <c r="BL204" s="47">
        <v>11</v>
      </c>
      <c r="BM204" s="47">
        <v>4</v>
      </c>
      <c r="BP204" s="47">
        <v>3</v>
      </c>
      <c r="BQ204" s="47">
        <v>16</v>
      </c>
    </row>
    <row r="205" spans="48:69" x14ac:dyDescent="0.2">
      <c r="AV205" s="47">
        <v>15</v>
      </c>
      <c r="AW205" s="47">
        <v>4</v>
      </c>
      <c r="AZ205" s="47">
        <v>2</v>
      </c>
      <c r="BA205" s="47">
        <v>10</v>
      </c>
      <c r="BD205" s="47">
        <v>6</v>
      </c>
      <c r="BE205" s="47">
        <v>14</v>
      </c>
      <c r="BH205" s="47">
        <v>7</v>
      </c>
      <c r="BI205" s="47">
        <v>2</v>
      </c>
      <c r="BL205" s="47">
        <v>5</v>
      </c>
      <c r="BM205" s="47">
        <v>10</v>
      </c>
      <c r="BP205" s="47">
        <v>15</v>
      </c>
      <c r="BQ205" s="47">
        <v>4</v>
      </c>
    </row>
    <row r="206" spans="48:69" x14ac:dyDescent="0.2">
      <c r="AV206" s="47">
        <v>5</v>
      </c>
      <c r="AW206" s="47">
        <v>14</v>
      </c>
      <c r="AZ206" s="47">
        <v>11</v>
      </c>
      <c r="BA206" s="47">
        <v>16</v>
      </c>
      <c r="BD206" s="47">
        <v>15</v>
      </c>
      <c r="BE206" s="47">
        <v>5</v>
      </c>
      <c r="BH206" s="47">
        <v>3</v>
      </c>
      <c r="BI206" s="47">
        <v>6</v>
      </c>
      <c r="BL206" s="47">
        <v>9</v>
      </c>
      <c r="BM206" s="47">
        <v>6</v>
      </c>
      <c r="BP206" s="47">
        <v>5</v>
      </c>
      <c r="BQ206" s="47">
        <v>14</v>
      </c>
    </row>
    <row r="207" spans="48:69" x14ac:dyDescent="0.2">
      <c r="AV207" s="47">
        <v>13</v>
      </c>
      <c r="AW207" s="47">
        <v>6</v>
      </c>
      <c r="AZ207" s="47">
        <v>15</v>
      </c>
      <c r="BA207" s="47">
        <v>12</v>
      </c>
      <c r="BD207" s="47">
        <v>4</v>
      </c>
      <c r="BE207" s="47">
        <v>16</v>
      </c>
      <c r="BH207" s="47">
        <v>5</v>
      </c>
      <c r="BI207" s="47">
        <v>4</v>
      </c>
      <c r="BL207" s="47">
        <v>7</v>
      </c>
      <c r="BM207" s="47">
        <v>8</v>
      </c>
      <c r="BP207" s="47">
        <v>13</v>
      </c>
      <c r="BQ207" s="47">
        <v>6</v>
      </c>
    </row>
    <row r="208" spans="48:69" x14ac:dyDescent="0.2">
      <c r="AV208" s="47">
        <v>7</v>
      </c>
      <c r="AW208" s="47">
        <v>12</v>
      </c>
      <c r="AZ208" s="47">
        <v>13</v>
      </c>
      <c r="BA208" s="47">
        <v>14</v>
      </c>
      <c r="BD208" s="47">
        <v>17</v>
      </c>
      <c r="BE208" s="47">
        <v>3</v>
      </c>
      <c r="BH208" s="47">
        <v>12</v>
      </c>
      <c r="BI208" s="47">
        <v>1</v>
      </c>
      <c r="BL208" s="47">
        <v>16</v>
      </c>
      <c r="BM208" s="47">
        <v>1</v>
      </c>
      <c r="BP208" s="47">
        <v>7</v>
      </c>
      <c r="BQ208" s="47">
        <v>12</v>
      </c>
    </row>
    <row r="209" spans="48:69" x14ac:dyDescent="0.2">
      <c r="AV209" s="47">
        <v>11</v>
      </c>
      <c r="AW209" s="47">
        <v>8</v>
      </c>
      <c r="AZ209" s="47">
        <v>1</v>
      </c>
      <c r="BA209" s="47">
        <v>5</v>
      </c>
      <c r="BD209" s="47">
        <v>1</v>
      </c>
      <c r="BE209" s="47">
        <v>9</v>
      </c>
      <c r="BH209" s="47">
        <v>13</v>
      </c>
      <c r="BI209" s="47">
        <v>11</v>
      </c>
      <c r="BL209" s="47">
        <v>17</v>
      </c>
      <c r="BM209" s="47">
        <v>15</v>
      </c>
      <c r="BP209" s="47">
        <v>11</v>
      </c>
      <c r="BQ209" s="47">
        <v>8</v>
      </c>
    </row>
    <row r="210" spans="48:69" x14ac:dyDescent="0.2">
      <c r="AV210" s="47">
        <v>9</v>
      </c>
      <c r="AW210" s="47">
        <v>10</v>
      </c>
      <c r="AZ210" s="47">
        <v>6</v>
      </c>
      <c r="BA210" s="47">
        <v>4</v>
      </c>
      <c r="BD210" s="47">
        <v>10</v>
      </c>
      <c r="BE210" s="47">
        <v>8</v>
      </c>
      <c r="BH210" s="47">
        <v>10</v>
      </c>
      <c r="BI210" s="47">
        <v>14</v>
      </c>
      <c r="BL210" s="47">
        <v>14</v>
      </c>
      <c r="BM210" s="47">
        <v>18</v>
      </c>
      <c r="BP210" s="47">
        <v>9</v>
      </c>
      <c r="BQ210" s="47">
        <v>10</v>
      </c>
    </row>
    <row r="211" spans="48:69" x14ac:dyDescent="0.2">
      <c r="AZ211" s="47">
        <v>3</v>
      </c>
      <c r="BA211" s="47">
        <v>7</v>
      </c>
      <c r="BD211" s="47">
        <v>7</v>
      </c>
      <c r="BE211" s="47">
        <v>11</v>
      </c>
      <c r="BH211" s="47">
        <v>15</v>
      </c>
      <c r="BI211" s="47">
        <v>9</v>
      </c>
      <c r="BL211" s="47">
        <v>19</v>
      </c>
      <c r="BM211" s="47">
        <v>13</v>
      </c>
      <c r="BP211" s="47">
        <v>18</v>
      </c>
      <c r="BQ211" s="47">
        <v>1</v>
      </c>
    </row>
    <row r="212" spans="48:69" x14ac:dyDescent="0.2">
      <c r="AZ212" s="47">
        <v>8</v>
      </c>
      <c r="BA212" s="47">
        <v>2</v>
      </c>
      <c r="BD212" s="47">
        <v>12</v>
      </c>
      <c r="BE212" s="47">
        <v>6</v>
      </c>
      <c r="BH212" s="47">
        <v>8</v>
      </c>
      <c r="BI212" s="47">
        <v>16</v>
      </c>
      <c r="BL212" s="47">
        <v>2</v>
      </c>
      <c r="BM212" s="47">
        <v>11</v>
      </c>
      <c r="BP212" s="47">
        <v>19</v>
      </c>
      <c r="BQ212" s="47">
        <v>17</v>
      </c>
    </row>
    <row r="213" spans="48:69" x14ac:dyDescent="0.2">
      <c r="AZ213" s="47">
        <v>16</v>
      </c>
      <c r="BA213" s="47">
        <v>9</v>
      </c>
      <c r="BD213" s="47">
        <v>5</v>
      </c>
      <c r="BE213" s="47">
        <v>13</v>
      </c>
      <c r="BH213" s="47">
        <v>17</v>
      </c>
      <c r="BI213" s="47">
        <v>7</v>
      </c>
      <c r="BL213" s="47">
        <v>10</v>
      </c>
      <c r="BM213" s="47">
        <v>3</v>
      </c>
      <c r="BP213" s="47">
        <v>16</v>
      </c>
      <c r="BQ213" s="47">
        <v>20</v>
      </c>
    </row>
    <row r="214" spans="48:69" x14ac:dyDescent="0.2">
      <c r="AZ214" s="47">
        <v>10</v>
      </c>
      <c r="BA214" s="47">
        <v>15</v>
      </c>
      <c r="BD214" s="47">
        <v>14</v>
      </c>
      <c r="BE214" s="47">
        <v>4</v>
      </c>
      <c r="BH214" s="47">
        <v>6</v>
      </c>
      <c r="BI214" s="47">
        <v>18</v>
      </c>
      <c r="BL214" s="47">
        <v>4</v>
      </c>
      <c r="BM214" s="47">
        <v>9</v>
      </c>
      <c r="BP214" s="47">
        <v>2</v>
      </c>
      <c r="BQ214" s="47">
        <v>15</v>
      </c>
    </row>
    <row r="215" spans="48:69" x14ac:dyDescent="0.2">
      <c r="AZ215" s="47">
        <v>14</v>
      </c>
      <c r="BA215" s="47">
        <v>11</v>
      </c>
      <c r="BD215" s="47">
        <v>3</v>
      </c>
      <c r="BE215" s="47">
        <v>15</v>
      </c>
      <c r="BH215" s="47">
        <v>2</v>
      </c>
      <c r="BI215" s="47">
        <v>5</v>
      </c>
      <c r="BL215" s="47">
        <v>8</v>
      </c>
      <c r="BM215" s="47">
        <v>5</v>
      </c>
      <c r="BP215" s="47">
        <v>14</v>
      </c>
      <c r="BQ215" s="47">
        <v>3</v>
      </c>
    </row>
    <row r="216" spans="48:69" x14ac:dyDescent="0.2">
      <c r="AZ216" s="47">
        <v>12</v>
      </c>
      <c r="BA216" s="47">
        <v>13</v>
      </c>
      <c r="BD216" s="47">
        <v>16</v>
      </c>
      <c r="BE216" s="47">
        <v>2</v>
      </c>
      <c r="BH216" s="47">
        <v>4</v>
      </c>
      <c r="BI216" s="47">
        <v>3</v>
      </c>
      <c r="BL216" s="47">
        <v>6</v>
      </c>
      <c r="BM216" s="47">
        <v>7</v>
      </c>
      <c r="BP216" s="47">
        <v>4</v>
      </c>
      <c r="BQ216" s="47">
        <v>13</v>
      </c>
    </row>
    <row r="217" spans="48:69" x14ac:dyDescent="0.2">
      <c r="AZ217" s="47">
        <v>4</v>
      </c>
      <c r="BA217" s="47">
        <v>1</v>
      </c>
      <c r="BD217" s="47">
        <v>8</v>
      </c>
      <c r="BE217" s="47">
        <v>1</v>
      </c>
      <c r="BH217" s="47">
        <v>1</v>
      </c>
      <c r="BI217" s="47">
        <v>11</v>
      </c>
      <c r="BL217" s="47">
        <v>1</v>
      </c>
      <c r="BM217" s="47">
        <v>15</v>
      </c>
      <c r="BP217" s="47">
        <v>12</v>
      </c>
      <c r="BQ217" s="47">
        <v>5</v>
      </c>
    </row>
    <row r="218" spans="48:69" x14ac:dyDescent="0.2">
      <c r="AZ218" s="47">
        <v>5</v>
      </c>
      <c r="BA218" s="47">
        <v>3</v>
      </c>
      <c r="BD218" s="47">
        <v>9</v>
      </c>
      <c r="BE218" s="47">
        <v>7</v>
      </c>
      <c r="BH218" s="47">
        <v>12</v>
      </c>
      <c r="BI218" s="47">
        <v>10</v>
      </c>
      <c r="BL218" s="47">
        <v>16</v>
      </c>
      <c r="BM218" s="47">
        <v>14</v>
      </c>
      <c r="BP218" s="47">
        <v>6</v>
      </c>
      <c r="BQ218" s="47">
        <v>11</v>
      </c>
    </row>
    <row r="219" spans="48:69" x14ac:dyDescent="0.2">
      <c r="AZ219" s="47">
        <v>2</v>
      </c>
      <c r="BA219" s="47">
        <v>6</v>
      </c>
      <c r="BD219" s="47">
        <v>6</v>
      </c>
      <c r="BE219" s="47">
        <v>10</v>
      </c>
      <c r="BH219" s="47">
        <v>9</v>
      </c>
      <c r="BI219" s="47">
        <v>13</v>
      </c>
      <c r="BL219" s="47">
        <v>13</v>
      </c>
      <c r="BM219" s="47">
        <v>17</v>
      </c>
      <c r="BP219" s="47">
        <v>10</v>
      </c>
      <c r="BQ219" s="47">
        <v>7</v>
      </c>
    </row>
    <row r="220" spans="48:69" x14ac:dyDescent="0.2">
      <c r="AZ220" s="47">
        <v>7</v>
      </c>
      <c r="BA220" s="47">
        <v>16</v>
      </c>
      <c r="BD220" s="47">
        <v>11</v>
      </c>
      <c r="BE220" s="47">
        <v>5</v>
      </c>
      <c r="BH220" s="47">
        <v>14</v>
      </c>
      <c r="BI220" s="47">
        <v>8</v>
      </c>
      <c r="BL220" s="47">
        <v>18</v>
      </c>
      <c r="BM220" s="47">
        <v>12</v>
      </c>
      <c r="BP220" s="47">
        <v>8</v>
      </c>
      <c r="BQ220" s="47">
        <v>9</v>
      </c>
    </row>
    <row r="221" spans="48:69" x14ac:dyDescent="0.2">
      <c r="AZ221" s="47">
        <v>15</v>
      </c>
      <c r="BA221" s="47">
        <v>8</v>
      </c>
      <c r="BD221" s="47">
        <v>4</v>
      </c>
      <c r="BE221" s="47">
        <v>12</v>
      </c>
      <c r="BH221" s="47">
        <v>7</v>
      </c>
      <c r="BI221" s="47">
        <v>15</v>
      </c>
      <c r="BL221" s="47">
        <v>11</v>
      </c>
      <c r="BM221" s="47">
        <v>19</v>
      </c>
      <c r="BP221" s="47">
        <v>1</v>
      </c>
      <c r="BQ221" s="47">
        <v>17</v>
      </c>
    </row>
    <row r="222" spans="48:69" x14ac:dyDescent="0.2">
      <c r="AZ222" s="47">
        <v>9</v>
      </c>
      <c r="BA222" s="47">
        <v>14</v>
      </c>
      <c r="BD222" s="47">
        <v>13</v>
      </c>
      <c r="BE222" s="47">
        <v>3</v>
      </c>
      <c r="BH222" s="47">
        <v>16</v>
      </c>
      <c r="BI222" s="47">
        <v>6</v>
      </c>
      <c r="BL222" s="47">
        <v>9</v>
      </c>
      <c r="BM222" s="47">
        <v>2</v>
      </c>
      <c r="BP222" s="47">
        <v>18</v>
      </c>
      <c r="BQ222" s="47">
        <v>16</v>
      </c>
    </row>
    <row r="223" spans="48:69" x14ac:dyDescent="0.2">
      <c r="AZ223" s="47">
        <v>13</v>
      </c>
      <c r="BA223" s="47">
        <v>10</v>
      </c>
      <c r="BD223" s="47">
        <v>2</v>
      </c>
      <c r="BE223" s="47">
        <v>14</v>
      </c>
      <c r="BH223" s="47">
        <v>5</v>
      </c>
      <c r="BI223" s="47">
        <v>17</v>
      </c>
      <c r="BL223" s="47">
        <v>3</v>
      </c>
      <c r="BM223" s="47">
        <v>8</v>
      </c>
      <c r="BP223" s="47">
        <v>15</v>
      </c>
      <c r="BQ223" s="47">
        <v>19</v>
      </c>
    </row>
    <row r="224" spans="48:69" x14ac:dyDescent="0.2">
      <c r="AZ224" s="47">
        <v>11</v>
      </c>
      <c r="BA224" s="47">
        <v>12</v>
      </c>
      <c r="BD224" s="47">
        <v>17</v>
      </c>
      <c r="BE224" s="47">
        <v>16</v>
      </c>
      <c r="BH224" s="47">
        <v>18</v>
      </c>
      <c r="BI224" s="47">
        <v>4</v>
      </c>
      <c r="BL224" s="47">
        <v>7</v>
      </c>
      <c r="BM224" s="47">
        <v>4</v>
      </c>
      <c r="BP224" s="47">
        <v>20</v>
      </c>
      <c r="BQ224" s="47">
        <v>14</v>
      </c>
    </row>
    <row r="225" spans="52:69" x14ac:dyDescent="0.2">
      <c r="AZ225" s="47">
        <v>1</v>
      </c>
      <c r="BA225" s="47">
        <v>3</v>
      </c>
      <c r="BD225" s="47">
        <v>1</v>
      </c>
      <c r="BE225" s="47">
        <v>7</v>
      </c>
      <c r="BH225" s="47">
        <v>3</v>
      </c>
      <c r="BI225" s="47">
        <v>2</v>
      </c>
      <c r="BL225" s="47">
        <v>5</v>
      </c>
      <c r="BM225" s="47">
        <v>6</v>
      </c>
      <c r="BP225" s="47">
        <v>13</v>
      </c>
      <c r="BQ225" s="47">
        <v>2</v>
      </c>
    </row>
    <row r="226" spans="52:69" x14ac:dyDescent="0.2">
      <c r="AZ226" s="47">
        <v>4</v>
      </c>
      <c r="BA226" s="47">
        <v>2</v>
      </c>
      <c r="BD226" s="47">
        <v>8</v>
      </c>
      <c r="BE226" s="47">
        <v>6</v>
      </c>
      <c r="BH226" s="47">
        <v>10</v>
      </c>
      <c r="BI226" s="47">
        <v>1</v>
      </c>
      <c r="BL226" s="47">
        <v>14</v>
      </c>
      <c r="BM226" s="47">
        <v>1</v>
      </c>
      <c r="BP226" s="47">
        <v>3</v>
      </c>
      <c r="BQ226" s="47">
        <v>12</v>
      </c>
    </row>
    <row r="227" spans="52:69" x14ac:dyDescent="0.2">
      <c r="AZ227" s="47">
        <v>16</v>
      </c>
      <c r="BA227" s="47">
        <v>5</v>
      </c>
      <c r="BD227" s="47">
        <v>5</v>
      </c>
      <c r="BE227" s="47">
        <v>9</v>
      </c>
      <c r="BH227" s="47">
        <v>11</v>
      </c>
      <c r="BI227" s="47">
        <v>9</v>
      </c>
      <c r="BL227" s="47">
        <v>15</v>
      </c>
      <c r="BM227" s="47">
        <v>13</v>
      </c>
      <c r="BP227" s="47">
        <v>11</v>
      </c>
      <c r="BQ227" s="47">
        <v>4</v>
      </c>
    </row>
    <row r="228" spans="52:69" x14ac:dyDescent="0.2">
      <c r="AZ228" s="47">
        <v>6</v>
      </c>
      <c r="BA228" s="47">
        <v>15</v>
      </c>
      <c r="BD228" s="47">
        <v>10</v>
      </c>
      <c r="BE228" s="47">
        <v>4</v>
      </c>
      <c r="BH228" s="47">
        <v>8</v>
      </c>
      <c r="BI228" s="47">
        <v>12</v>
      </c>
      <c r="BL228" s="47">
        <v>12</v>
      </c>
      <c r="BM228" s="47">
        <v>16</v>
      </c>
      <c r="BP228" s="47">
        <v>5</v>
      </c>
      <c r="BQ228" s="47">
        <v>10</v>
      </c>
    </row>
    <row r="229" spans="52:69" x14ac:dyDescent="0.2">
      <c r="AZ229" s="47">
        <v>14</v>
      </c>
      <c r="BA229" s="47">
        <v>7</v>
      </c>
      <c r="BD229" s="47">
        <v>3</v>
      </c>
      <c r="BE229" s="47">
        <v>11</v>
      </c>
      <c r="BH229" s="47">
        <v>13</v>
      </c>
      <c r="BI229" s="47">
        <v>7</v>
      </c>
      <c r="BL229" s="47">
        <v>17</v>
      </c>
      <c r="BM229" s="47">
        <v>11</v>
      </c>
      <c r="BP229" s="47">
        <v>9</v>
      </c>
      <c r="BQ229" s="47">
        <v>6</v>
      </c>
    </row>
    <row r="230" spans="52:69" x14ac:dyDescent="0.2">
      <c r="AZ230" s="47">
        <v>8</v>
      </c>
      <c r="BA230" s="47">
        <v>13</v>
      </c>
      <c r="BD230" s="47">
        <v>12</v>
      </c>
      <c r="BE230" s="47">
        <v>2</v>
      </c>
      <c r="BH230" s="47">
        <v>6</v>
      </c>
      <c r="BI230" s="47">
        <v>14</v>
      </c>
      <c r="BL230" s="47">
        <v>10</v>
      </c>
      <c r="BM230" s="47">
        <v>18</v>
      </c>
      <c r="BP230" s="47">
        <v>7</v>
      </c>
      <c r="BQ230" s="47">
        <v>8</v>
      </c>
    </row>
    <row r="231" spans="52:69" x14ac:dyDescent="0.2">
      <c r="AZ231" s="47">
        <v>12</v>
      </c>
      <c r="BA231" s="47">
        <v>9</v>
      </c>
      <c r="BD231" s="47">
        <v>14</v>
      </c>
      <c r="BE231" s="47">
        <v>17</v>
      </c>
      <c r="BH231" s="47">
        <v>15</v>
      </c>
      <c r="BI231" s="47">
        <v>5</v>
      </c>
      <c r="BL231" s="47">
        <v>19</v>
      </c>
      <c r="BM231" s="47">
        <v>9</v>
      </c>
      <c r="BP231" s="47">
        <v>16</v>
      </c>
      <c r="BQ231" s="47">
        <v>1</v>
      </c>
    </row>
    <row r="232" spans="52:69" x14ac:dyDescent="0.2">
      <c r="AZ232" s="47">
        <v>10</v>
      </c>
      <c r="BA232" s="47">
        <v>11</v>
      </c>
      <c r="BD232" s="47">
        <v>16</v>
      </c>
      <c r="BE232" s="47">
        <v>15</v>
      </c>
      <c r="BH232" s="47">
        <v>4</v>
      </c>
      <c r="BI232" s="47">
        <v>16</v>
      </c>
      <c r="BL232" s="47">
        <v>2</v>
      </c>
      <c r="BM232" s="47">
        <v>7</v>
      </c>
      <c r="BP232" s="47">
        <v>17</v>
      </c>
      <c r="BQ232" s="47">
        <v>15</v>
      </c>
    </row>
    <row r="233" spans="52:69" x14ac:dyDescent="0.2">
      <c r="AZ233" s="47">
        <v>2</v>
      </c>
      <c r="BA233" s="47">
        <v>1</v>
      </c>
      <c r="BD233" s="47">
        <v>6</v>
      </c>
      <c r="BE233" s="47">
        <v>1</v>
      </c>
      <c r="BH233" s="47">
        <v>17</v>
      </c>
      <c r="BI233" s="47">
        <v>3</v>
      </c>
      <c r="BL233" s="47">
        <v>6</v>
      </c>
      <c r="BM233" s="47">
        <v>3</v>
      </c>
      <c r="BP233" s="47">
        <v>14</v>
      </c>
      <c r="BQ233" s="47">
        <v>18</v>
      </c>
    </row>
    <row r="234" spans="52:69" x14ac:dyDescent="0.2">
      <c r="AZ234" s="47">
        <v>3</v>
      </c>
      <c r="BA234" s="47">
        <v>16</v>
      </c>
      <c r="BD234" s="47">
        <v>7</v>
      </c>
      <c r="BE234" s="47">
        <v>5</v>
      </c>
      <c r="BH234" s="47">
        <v>2</v>
      </c>
      <c r="BI234" s="47">
        <v>18</v>
      </c>
      <c r="BL234" s="47">
        <v>4</v>
      </c>
      <c r="BM234" s="47">
        <v>5</v>
      </c>
      <c r="BP234" s="47">
        <v>19</v>
      </c>
      <c r="BQ234" s="47">
        <v>13</v>
      </c>
    </row>
    <row r="235" spans="52:69" x14ac:dyDescent="0.2">
      <c r="AZ235" s="47">
        <v>15</v>
      </c>
      <c r="BA235" s="47">
        <v>4</v>
      </c>
      <c r="BD235" s="47">
        <v>4</v>
      </c>
      <c r="BE235" s="47">
        <v>8</v>
      </c>
      <c r="BH235" s="47">
        <v>1</v>
      </c>
      <c r="BI235" s="47">
        <v>9</v>
      </c>
      <c r="BL235" s="47">
        <v>1</v>
      </c>
      <c r="BM235" s="47">
        <v>13</v>
      </c>
      <c r="BP235" s="47">
        <v>12</v>
      </c>
      <c r="BQ235" s="47">
        <v>20</v>
      </c>
    </row>
    <row r="236" spans="52:69" x14ac:dyDescent="0.2">
      <c r="AZ236" s="47">
        <v>5</v>
      </c>
      <c r="BA236" s="47">
        <v>14</v>
      </c>
      <c r="BD236" s="47">
        <v>9</v>
      </c>
      <c r="BE236" s="47">
        <v>3</v>
      </c>
      <c r="BH236" s="47">
        <v>10</v>
      </c>
      <c r="BI236" s="47">
        <v>8</v>
      </c>
      <c r="BL236" s="47">
        <v>14</v>
      </c>
      <c r="BM236" s="47">
        <v>12</v>
      </c>
      <c r="BP236" s="47">
        <v>2</v>
      </c>
      <c r="BQ236" s="47">
        <v>11</v>
      </c>
    </row>
    <row r="237" spans="52:69" x14ac:dyDescent="0.2">
      <c r="AZ237" s="47">
        <v>13</v>
      </c>
      <c r="BA237" s="47">
        <v>6</v>
      </c>
      <c r="BD237" s="47">
        <v>2</v>
      </c>
      <c r="BE237" s="47">
        <v>10</v>
      </c>
      <c r="BH237" s="47">
        <v>7</v>
      </c>
      <c r="BI237" s="47">
        <v>11</v>
      </c>
      <c r="BL237" s="47">
        <v>11</v>
      </c>
      <c r="BM237" s="47">
        <v>15</v>
      </c>
      <c r="BP237" s="47">
        <v>10</v>
      </c>
      <c r="BQ237" s="47">
        <v>3</v>
      </c>
    </row>
    <row r="238" spans="52:69" x14ac:dyDescent="0.2">
      <c r="AZ238" s="47">
        <v>7</v>
      </c>
      <c r="BA238" s="47">
        <v>12</v>
      </c>
      <c r="BD238" s="47">
        <v>17</v>
      </c>
      <c r="BE238" s="47">
        <v>12</v>
      </c>
      <c r="BH238" s="47">
        <v>12</v>
      </c>
      <c r="BI238" s="47">
        <v>6</v>
      </c>
      <c r="BL238" s="47">
        <v>16</v>
      </c>
      <c r="BM238" s="47">
        <v>10</v>
      </c>
      <c r="BP238" s="47">
        <v>4</v>
      </c>
      <c r="BQ238" s="47">
        <v>9</v>
      </c>
    </row>
    <row r="239" spans="52:69" x14ac:dyDescent="0.2">
      <c r="AZ239" s="47">
        <v>11</v>
      </c>
      <c r="BA239" s="47">
        <v>8</v>
      </c>
      <c r="BD239" s="47">
        <v>13</v>
      </c>
      <c r="BE239" s="47">
        <v>16</v>
      </c>
      <c r="BH239" s="47">
        <v>5</v>
      </c>
      <c r="BI239" s="47">
        <v>13</v>
      </c>
      <c r="BL239" s="47">
        <v>9</v>
      </c>
      <c r="BM239" s="47">
        <v>17</v>
      </c>
      <c r="BP239" s="47">
        <v>8</v>
      </c>
      <c r="BQ239" s="47">
        <v>5</v>
      </c>
    </row>
    <row r="240" spans="52:69" x14ac:dyDescent="0.2">
      <c r="AZ240" s="47">
        <v>9</v>
      </c>
      <c r="BA240" s="47">
        <v>10</v>
      </c>
      <c r="BD240" s="47">
        <v>15</v>
      </c>
      <c r="BE240" s="47">
        <v>14</v>
      </c>
      <c r="BH240" s="47">
        <v>14</v>
      </c>
      <c r="BI240" s="47">
        <v>4</v>
      </c>
      <c r="BL240" s="47">
        <v>18</v>
      </c>
      <c r="BM240" s="47">
        <v>8</v>
      </c>
      <c r="BP240" s="47">
        <v>6</v>
      </c>
      <c r="BQ240" s="47">
        <v>7</v>
      </c>
    </row>
    <row r="241" spans="56:69" x14ac:dyDescent="0.2">
      <c r="BD241" s="47">
        <v>1</v>
      </c>
      <c r="BE241" s="47">
        <v>5</v>
      </c>
      <c r="BH241" s="47">
        <v>3</v>
      </c>
      <c r="BI241" s="47">
        <v>15</v>
      </c>
      <c r="BL241" s="47">
        <v>7</v>
      </c>
      <c r="BM241" s="47">
        <v>19</v>
      </c>
      <c r="BP241" s="47">
        <v>1</v>
      </c>
      <c r="BQ241" s="47">
        <v>15</v>
      </c>
    </row>
    <row r="242" spans="56:69" x14ac:dyDescent="0.2">
      <c r="BD242" s="47">
        <v>6</v>
      </c>
      <c r="BE242" s="47">
        <v>4</v>
      </c>
      <c r="BH242" s="47">
        <v>16</v>
      </c>
      <c r="BI242" s="47">
        <v>2</v>
      </c>
      <c r="BL242" s="47">
        <v>5</v>
      </c>
      <c r="BM242" s="47">
        <v>2</v>
      </c>
      <c r="BP242" s="47">
        <v>16</v>
      </c>
      <c r="BQ242" s="47">
        <v>14</v>
      </c>
    </row>
    <row r="243" spans="56:69" x14ac:dyDescent="0.2">
      <c r="BD243" s="47">
        <v>3</v>
      </c>
      <c r="BE243" s="47">
        <v>7</v>
      </c>
      <c r="BH243" s="47">
        <v>18</v>
      </c>
      <c r="BI243" s="47">
        <v>17</v>
      </c>
      <c r="BL243" s="47">
        <v>3</v>
      </c>
      <c r="BM243" s="47">
        <v>4</v>
      </c>
      <c r="BP243" s="47">
        <v>13</v>
      </c>
      <c r="BQ243" s="47">
        <v>17</v>
      </c>
    </row>
    <row r="244" spans="56:69" x14ac:dyDescent="0.2">
      <c r="BD244" s="47">
        <v>8</v>
      </c>
      <c r="BE244" s="47">
        <v>2</v>
      </c>
      <c r="BH244" s="47">
        <v>8</v>
      </c>
      <c r="BI244" s="47">
        <v>1</v>
      </c>
      <c r="BL244" s="47">
        <v>12</v>
      </c>
      <c r="BM244" s="47">
        <v>1</v>
      </c>
      <c r="BP244" s="47">
        <v>18</v>
      </c>
      <c r="BQ244" s="47">
        <v>12</v>
      </c>
    </row>
    <row r="245" spans="56:69" x14ac:dyDescent="0.2">
      <c r="BD245" s="47">
        <v>10</v>
      </c>
      <c r="BE245" s="47">
        <v>17</v>
      </c>
      <c r="BH245" s="47">
        <v>9</v>
      </c>
      <c r="BI245" s="47">
        <v>7</v>
      </c>
      <c r="BL245" s="47">
        <v>13</v>
      </c>
      <c r="BM245" s="47">
        <v>11</v>
      </c>
      <c r="BP245" s="47">
        <v>11</v>
      </c>
      <c r="BQ245" s="47">
        <v>19</v>
      </c>
    </row>
    <row r="246" spans="56:69" x14ac:dyDescent="0.2">
      <c r="BD246" s="47">
        <v>16</v>
      </c>
      <c r="BE246" s="47">
        <v>11</v>
      </c>
      <c r="BH246" s="47">
        <v>6</v>
      </c>
      <c r="BI246" s="47">
        <v>10</v>
      </c>
      <c r="BL246" s="47">
        <v>10</v>
      </c>
      <c r="BM246" s="47">
        <v>14</v>
      </c>
      <c r="BP246" s="47">
        <v>20</v>
      </c>
      <c r="BQ246" s="47">
        <v>10</v>
      </c>
    </row>
    <row r="247" spans="56:69" x14ac:dyDescent="0.2">
      <c r="BD247" s="47">
        <v>12</v>
      </c>
      <c r="BE247" s="47">
        <v>15</v>
      </c>
      <c r="BH247" s="47">
        <v>11</v>
      </c>
      <c r="BI247" s="47">
        <v>5</v>
      </c>
      <c r="BL247" s="47">
        <v>15</v>
      </c>
      <c r="BM247" s="47">
        <v>9</v>
      </c>
      <c r="BP247" s="47">
        <v>9</v>
      </c>
      <c r="BQ247" s="47">
        <v>2</v>
      </c>
    </row>
    <row r="248" spans="56:69" x14ac:dyDescent="0.2">
      <c r="BD248" s="47">
        <v>14</v>
      </c>
      <c r="BE248" s="47">
        <v>13</v>
      </c>
      <c r="BH248" s="47">
        <v>4</v>
      </c>
      <c r="BI248" s="47">
        <v>12</v>
      </c>
      <c r="BL248" s="47">
        <v>8</v>
      </c>
      <c r="BM248" s="47">
        <v>16</v>
      </c>
      <c r="BP248" s="47">
        <v>3</v>
      </c>
      <c r="BQ248" s="47">
        <v>8</v>
      </c>
    </row>
    <row r="249" spans="56:69" x14ac:dyDescent="0.2">
      <c r="BD249" s="47">
        <v>4</v>
      </c>
      <c r="BE249" s="47">
        <v>1</v>
      </c>
      <c r="BH249" s="47">
        <v>13</v>
      </c>
      <c r="BI249" s="47">
        <v>3</v>
      </c>
      <c r="BL249" s="47">
        <v>17</v>
      </c>
      <c r="BM249" s="47">
        <v>7</v>
      </c>
      <c r="BP249" s="47">
        <v>7</v>
      </c>
      <c r="BQ249" s="47">
        <v>4</v>
      </c>
    </row>
    <row r="250" spans="56:69" x14ac:dyDescent="0.2">
      <c r="BD250" s="47">
        <v>5</v>
      </c>
      <c r="BE250" s="47">
        <v>3</v>
      </c>
      <c r="BH250" s="47">
        <v>2</v>
      </c>
      <c r="BI250" s="47">
        <v>14</v>
      </c>
      <c r="BL250" s="47">
        <v>6</v>
      </c>
      <c r="BM250" s="47">
        <v>18</v>
      </c>
      <c r="BP250" s="47">
        <v>5</v>
      </c>
      <c r="BQ250" s="47">
        <v>6</v>
      </c>
    </row>
    <row r="251" spans="56:69" x14ac:dyDescent="0.2">
      <c r="BD251" s="47">
        <v>2</v>
      </c>
      <c r="BE251" s="47">
        <v>6</v>
      </c>
      <c r="BH251" s="47">
        <v>15</v>
      </c>
      <c r="BI251" s="47">
        <v>18</v>
      </c>
      <c r="BL251" s="47">
        <v>19</v>
      </c>
      <c r="BM251" s="47">
        <v>5</v>
      </c>
      <c r="BP251" s="47">
        <v>14</v>
      </c>
      <c r="BQ251" s="47">
        <v>1</v>
      </c>
    </row>
    <row r="252" spans="56:69" x14ac:dyDescent="0.2">
      <c r="BD252" s="47">
        <v>17</v>
      </c>
      <c r="BE252" s="47">
        <v>8</v>
      </c>
      <c r="BH252" s="47">
        <v>17</v>
      </c>
      <c r="BI252" s="47">
        <v>16</v>
      </c>
      <c r="BL252" s="47">
        <v>2</v>
      </c>
      <c r="BM252" s="47">
        <v>3</v>
      </c>
      <c r="BP252" s="47">
        <v>15</v>
      </c>
      <c r="BQ252" s="47">
        <v>13</v>
      </c>
    </row>
    <row r="253" spans="56:69" x14ac:dyDescent="0.2">
      <c r="BD253" s="47">
        <v>9</v>
      </c>
      <c r="BE253" s="47">
        <v>16</v>
      </c>
      <c r="BH253" s="47">
        <v>1</v>
      </c>
      <c r="BI253" s="47">
        <v>7</v>
      </c>
      <c r="BL253" s="47">
        <v>1</v>
      </c>
      <c r="BM253" s="47">
        <v>11</v>
      </c>
      <c r="BP253" s="47">
        <v>12</v>
      </c>
      <c r="BQ253" s="47">
        <v>16</v>
      </c>
    </row>
    <row r="254" spans="56:69" x14ac:dyDescent="0.2">
      <c r="BD254" s="47">
        <v>15</v>
      </c>
      <c r="BE254" s="47">
        <v>10</v>
      </c>
      <c r="BH254" s="47">
        <v>8</v>
      </c>
      <c r="BI254" s="47">
        <v>6</v>
      </c>
      <c r="BL254" s="47">
        <v>12</v>
      </c>
      <c r="BM254" s="47">
        <v>10</v>
      </c>
      <c r="BP254" s="47">
        <v>17</v>
      </c>
      <c r="BQ254" s="47">
        <v>11</v>
      </c>
    </row>
    <row r="255" spans="56:69" x14ac:dyDescent="0.2">
      <c r="BD255" s="47">
        <v>11</v>
      </c>
      <c r="BE255" s="47">
        <v>14</v>
      </c>
      <c r="BH255" s="47">
        <v>5</v>
      </c>
      <c r="BI255" s="47">
        <v>9</v>
      </c>
      <c r="BL255" s="47">
        <v>9</v>
      </c>
      <c r="BM255" s="47">
        <v>13</v>
      </c>
      <c r="BP255" s="47">
        <v>10</v>
      </c>
      <c r="BQ255" s="47">
        <v>18</v>
      </c>
    </row>
    <row r="256" spans="56:69" x14ac:dyDescent="0.2">
      <c r="BD256" s="47">
        <v>13</v>
      </c>
      <c r="BE256" s="47">
        <v>12</v>
      </c>
      <c r="BH256" s="47">
        <v>10</v>
      </c>
      <c r="BI256" s="47">
        <v>4</v>
      </c>
      <c r="BL256" s="47">
        <v>14</v>
      </c>
      <c r="BM256" s="47">
        <v>8</v>
      </c>
      <c r="BP256" s="47">
        <v>19</v>
      </c>
      <c r="BQ256" s="47">
        <v>9</v>
      </c>
    </row>
    <row r="257" spans="56:69" x14ac:dyDescent="0.2">
      <c r="BD257" s="47">
        <v>1</v>
      </c>
      <c r="BE257" s="47">
        <v>3</v>
      </c>
      <c r="BH257" s="47">
        <v>3</v>
      </c>
      <c r="BI257" s="47">
        <v>11</v>
      </c>
      <c r="BL257" s="47">
        <v>7</v>
      </c>
      <c r="BM257" s="47">
        <v>15</v>
      </c>
      <c r="BP257" s="47">
        <v>8</v>
      </c>
      <c r="BQ257" s="47">
        <v>20</v>
      </c>
    </row>
    <row r="258" spans="56:69" x14ac:dyDescent="0.2">
      <c r="BD258" s="47">
        <v>4</v>
      </c>
      <c r="BE258" s="47">
        <v>2</v>
      </c>
      <c r="BH258" s="47">
        <v>12</v>
      </c>
      <c r="BI258" s="47">
        <v>2</v>
      </c>
      <c r="BL258" s="47">
        <v>16</v>
      </c>
      <c r="BM258" s="47">
        <v>6</v>
      </c>
      <c r="BP258" s="47">
        <v>2</v>
      </c>
      <c r="BQ258" s="47">
        <v>7</v>
      </c>
    </row>
    <row r="259" spans="56:69" x14ac:dyDescent="0.2">
      <c r="BD259" s="47">
        <v>6</v>
      </c>
      <c r="BE259" s="47">
        <v>17</v>
      </c>
      <c r="BH259" s="47">
        <v>18</v>
      </c>
      <c r="BI259" s="47">
        <v>13</v>
      </c>
      <c r="BL259" s="47">
        <v>5</v>
      </c>
      <c r="BM259" s="47">
        <v>17</v>
      </c>
      <c r="BP259" s="47">
        <v>6</v>
      </c>
      <c r="BQ259" s="47">
        <v>3</v>
      </c>
    </row>
    <row r="260" spans="56:69" x14ac:dyDescent="0.2">
      <c r="BD260" s="47">
        <v>16</v>
      </c>
      <c r="BE260" s="47">
        <v>7</v>
      </c>
      <c r="BH260" s="47">
        <v>14</v>
      </c>
      <c r="BI260" s="47">
        <v>17</v>
      </c>
      <c r="BL260" s="47">
        <v>18</v>
      </c>
      <c r="BM260" s="47">
        <v>4</v>
      </c>
      <c r="BP260" s="47">
        <v>4</v>
      </c>
      <c r="BQ260" s="47">
        <v>5</v>
      </c>
    </row>
    <row r="261" spans="56:69" x14ac:dyDescent="0.2">
      <c r="BD261" s="47">
        <v>8</v>
      </c>
      <c r="BE261" s="47">
        <v>15</v>
      </c>
      <c r="BH261" s="47">
        <v>16</v>
      </c>
      <c r="BI261" s="47">
        <v>15</v>
      </c>
      <c r="BL261" s="47">
        <v>3</v>
      </c>
      <c r="BM261" s="47">
        <v>19</v>
      </c>
      <c r="BP261" s="47">
        <v>1</v>
      </c>
      <c r="BQ261" s="47">
        <v>13</v>
      </c>
    </row>
    <row r="262" spans="56:69" x14ac:dyDescent="0.2">
      <c r="BD262" s="47">
        <v>14</v>
      </c>
      <c r="BE262" s="47">
        <v>9</v>
      </c>
      <c r="BH262" s="47">
        <v>6</v>
      </c>
      <c r="BI262" s="47">
        <v>1</v>
      </c>
      <c r="BL262" s="47">
        <v>10</v>
      </c>
      <c r="BM262" s="47">
        <v>1</v>
      </c>
      <c r="BP262" s="47">
        <v>14</v>
      </c>
      <c r="BQ262" s="47">
        <v>12</v>
      </c>
    </row>
    <row r="263" spans="56:69" x14ac:dyDescent="0.2">
      <c r="BD263" s="47">
        <v>10</v>
      </c>
      <c r="BE263" s="47">
        <v>13</v>
      </c>
      <c r="BH263" s="47">
        <v>7</v>
      </c>
      <c r="BI263" s="47">
        <v>5</v>
      </c>
      <c r="BL263" s="47">
        <v>11</v>
      </c>
      <c r="BM263" s="47">
        <v>9</v>
      </c>
      <c r="BP263" s="47">
        <v>11</v>
      </c>
      <c r="BQ263" s="47">
        <v>15</v>
      </c>
    </row>
    <row r="264" spans="56:69" x14ac:dyDescent="0.2">
      <c r="BD264" s="47">
        <v>12</v>
      </c>
      <c r="BE264" s="47">
        <v>11</v>
      </c>
      <c r="BH264" s="47">
        <v>4</v>
      </c>
      <c r="BI264" s="47">
        <v>8</v>
      </c>
      <c r="BL264" s="47">
        <v>8</v>
      </c>
      <c r="BM264" s="47">
        <v>12</v>
      </c>
      <c r="BP264" s="47">
        <v>16</v>
      </c>
      <c r="BQ264" s="47">
        <v>10</v>
      </c>
    </row>
    <row r="265" spans="56:69" x14ac:dyDescent="0.2">
      <c r="BD265" s="47">
        <v>2</v>
      </c>
      <c r="BE265" s="47">
        <v>1</v>
      </c>
      <c r="BH265" s="47">
        <v>9</v>
      </c>
      <c r="BI265" s="47">
        <v>3</v>
      </c>
      <c r="BL265" s="47">
        <v>13</v>
      </c>
      <c r="BM265" s="47">
        <v>7</v>
      </c>
      <c r="BP265" s="47">
        <v>9</v>
      </c>
      <c r="BQ265" s="47">
        <v>17</v>
      </c>
    </row>
    <row r="266" spans="56:69" x14ac:dyDescent="0.2">
      <c r="BD266" s="47">
        <v>17</v>
      </c>
      <c r="BE266" s="47">
        <v>4</v>
      </c>
      <c r="BH266" s="47">
        <v>2</v>
      </c>
      <c r="BI266" s="47">
        <v>10</v>
      </c>
      <c r="BL266" s="47">
        <v>6</v>
      </c>
      <c r="BM266" s="47">
        <v>14</v>
      </c>
      <c r="BP266" s="47">
        <v>18</v>
      </c>
      <c r="BQ266" s="47">
        <v>8</v>
      </c>
    </row>
    <row r="267" spans="56:69" x14ac:dyDescent="0.2">
      <c r="BD267" s="47">
        <v>5</v>
      </c>
      <c r="BE267" s="47">
        <v>16</v>
      </c>
      <c r="BH267" s="47">
        <v>11</v>
      </c>
      <c r="BI267" s="47">
        <v>18</v>
      </c>
      <c r="BL267" s="47">
        <v>15</v>
      </c>
      <c r="BM267" s="47">
        <v>5</v>
      </c>
      <c r="BP267" s="47">
        <v>7</v>
      </c>
      <c r="BQ267" s="47">
        <v>19</v>
      </c>
    </row>
    <row r="268" spans="56:69" x14ac:dyDescent="0.2">
      <c r="BD268" s="47">
        <v>15</v>
      </c>
      <c r="BE268" s="47">
        <v>6</v>
      </c>
      <c r="BH268" s="47">
        <v>17</v>
      </c>
      <c r="BI268" s="47">
        <v>12</v>
      </c>
      <c r="BL268" s="47">
        <v>4</v>
      </c>
      <c r="BM268" s="47">
        <v>16</v>
      </c>
      <c r="BP268" s="47">
        <v>20</v>
      </c>
      <c r="BQ268" s="47">
        <v>6</v>
      </c>
    </row>
    <row r="269" spans="56:69" x14ac:dyDescent="0.2">
      <c r="BD269" s="47">
        <v>7</v>
      </c>
      <c r="BE269" s="47">
        <v>14</v>
      </c>
      <c r="BH269" s="47">
        <v>13</v>
      </c>
      <c r="BI269" s="47">
        <v>16</v>
      </c>
      <c r="BL269" s="47">
        <v>17</v>
      </c>
      <c r="BM269" s="47">
        <v>3</v>
      </c>
      <c r="BP269" s="47">
        <v>5</v>
      </c>
      <c r="BQ269" s="47">
        <v>2</v>
      </c>
    </row>
    <row r="270" spans="56:69" x14ac:dyDescent="0.2">
      <c r="BD270" s="47">
        <v>13</v>
      </c>
      <c r="BE270" s="47">
        <v>8</v>
      </c>
      <c r="BH270" s="47">
        <v>15</v>
      </c>
      <c r="BI270" s="47">
        <v>14</v>
      </c>
      <c r="BL270" s="47">
        <v>2</v>
      </c>
      <c r="BM270" s="47">
        <v>18</v>
      </c>
      <c r="BP270" s="47">
        <v>3</v>
      </c>
      <c r="BQ270" s="47">
        <v>4</v>
      </c>
    </row>
    <row r="271" spans="56:69" x14ac:dyDescent="0.2">
      <c r="BD271" s="47">
        <v>9</v>
      </c>
      <c r="BE271" s="47">
        <v>12</v>
      </c>
      <c r="BH271" s="47">
        <v>1</v>
      </c>
      <c r="BI271" s="47">
        <v>5</v>
      </c>
      <c r="BL271" s="47">
        <v>1</v>
      </c>
      <c r="BM271" s="47">
        <v>9</v>
      </c>
      <c r="BP271" s="47">
        <v>12</v>
      </c>
      <c r="BQ271" s="47">
        <v>1</v>
      </c>
    </row>
    <row r="272" spans="56:69" x14ac:dyDescent="0.2">
      <c r="BD272" s="47">
        <v>11</v>
      </c>
      <c r="BE272" s="47">
        <v>10</v>
      </c>
      <c r="BH272" s="47">
        <v>6</v>
      </c>
      <c r="BI272" s="47">
        <v>4</v>
      </c>
      <c r="BL272" s="47">
        <v>10</v>
      </c>
      <c r="BM272" s="47">
        <v>8</v>
      </c>
      <c r="BP272" s="47">
        <v>13</v>
      </c>
      <c r="BQ272" s="47">
        <v>11</v>
      </c>
    </row>
    <row r="273" spans="60:69" x14ac:dyDescent="0.2">
      <c r="BH273" s="47">
        <v>3</v>
      </c>
      <c r="BI273" s="47">
        <v>7</v>
      </c>
      <c r="BL273" s="47">
        <v>7</v>
      </c>
      <c r="BM273" s="47">
        <v>11</v>
      </c>
      <c r="BP273" s="47">
        <v>10</v>
      </c>
      <c r="BQ273" s="47">
        <v>14</v>
      </c>
    </row>
    <row r="274" spans="60:69" x14ac:dyDescent="0.2">
      <c r="BH274" s="47">
        <v>8</v>
      </c>
      <c r="BI274" s="47">
        <v>2</v>
      </c>
      <c r="BL274" s="47">
        <v>12</v>
      </c>
      <c r="BM274" s="47">
        <v>6</v>
      </c>
      <c r="BP274" s="47">
        <v>15</v>
      </c>
      <c r="BQ274" s="47">
        <v>9</v>
      </c>
    </row>
    <row r="275" spans="60:69" x14ac:dyDescent="0.2">
      <c r="BH275" s="47">
        <v>18</v>
      </c>
      <c r="BI275" s="47">
        <v>9</v>
      </c>
      <c r="BL275" s="47">
        <v>5</v>
      </c>
      <c r="BM275" s="47">
        <v>13</v>
      </c>
      <c r="BP275" s="47">
        <v>8</v>
      </c>
      <c r="BQ275" s="47">
        <v>16</v>
      </c>
    </row>
    <row r="276" spans="60:69" x14ac:dyDescent="0.2">
      <c r="BH276" s="47">
        <v>10</v>
      </c>
      <c r="BI276" s="47">
        <v>17</v>
      </c>
      <c r="BL276" s="47">
        <v>14</v>
      </c>
      <c r="BM276" s="47">
        <v>4</v>
      </c>
      <c r="BP276" s="47">
        <v>17</v>
      </c>
      <c r="BQ276" s="47">
        <v>7</v>
      </c>
    </row>
    <row r="277" spans="60:69" x14ac:dyDescent="0.2">
      <c r="BH277" s="47">
        <v>16</v>
      </c>
      <c r="BI277" s="47">
        <v>11</v>
      </c>
      <c r="BL277" s="47">
        <v>3</v>
      </c>
      <c r="BM277" s="47">
        <v>15</v>
      </c>
      <c r="BP277" s="47">
        <v>6</v>
      </c>
      <c r="BQ277" s="47">
        <v>18</v>
      </c>
    </row>
    <row r="278" spans="60:69" x14ac:dyDescent="0.2">
      <c r="BH278" s="47">
        <v>12</v>
      </c>
      <c r="BI278" s="47">
        <v>15</v>
      </c>
      <c r="BL278" s="47">
        <v>16</v>
      </c>
      <c r="BM278" s="47">
        <v>2</v>
      </c>
      <c r="BP278" s="47">
        <v>19</v>
      </c>
      <c r="BQ278" s="47">
        <v>5</v>
      </c>
    </row>
    <row r="279" spans="60:69" x14ac:dyDescent="0.2">
      <c r="BH279" s="47">
        <v>14</v>
      </c>
      <c r="BI279" s="47">
        <v>13</v>
      </c>
      <c r="BL279" s="47">
        <v>18</v>
      </c>
      <c r="BM279" s="47">
        <v>19</v>
      </c>
      <c r="BP279" s="47">
        <v>4</v>
      </c>
      <c r="BQ279" s="47">
        <v>20</v>
      </c>
    </row>
    <row r="280" spans="60:69" x14ac:dyDescent="0.2">
      <c r="BH280" s="47">
        <v>4</v>
      </c>
      <c r="BI280" s="47">
        <v>1</v>
      </c>
      <c r="BL280" s="47">
        <v>8</v>
      </c>
      <c r="BM280" s="47">
        <v>1</v>
      </c>
      <c r="BP280" s="47">
        <v>2</v>
      </c>
      <c r="BQ280" s="47">
        <v>3</v>
      </c>
    </row>
    <row r="281" spans="60:69" x14ac:dyDescent="0.2">
      <c r="BH281" s="47">
        <v>5</v>
      </c>
      <c r="BI281" s="47">
        <v>3</v>
      </c>
      <c r="BL281" s="47">
        <v>9</v>
      </c>
      <c r="BM281" s="47">
        <v>7</v>
      </c>
      <c r="BP281" s="47">
        <v>1</v>
      </c>
      <c r="BQ281" s="47">
        <v>11</v>
      </c>
    </row>
    <row r="282" spans="60:69" x14ac:dyDescent="0.2">
      <c r="BH282" s="47">
        <v>2</v>
      </c>
      <c r="BI282" s="47">
        <v>6</v>
      </c>
      <c r="BL282" s="47">
        <v>6</v>
      </c>
      <c r="BM282" s="47">
        <v>10</v>
      </c>
      <c r="BP282" s="47">
        <v>12</v>
      </c>
      <c r="BQ282" s="47">
        <v>10</v>
      </c>
    </row>
    <row r="283" spans="60:69" x14ac:dyDescent="0.2">
      <c r="BH283" s="47">
        <v>7</v>
      </c>
      <c r="BI283" s="47">
        <v>18</v>
      </c>
      <c r="BL283" s="47">
        <v>11</v>
      </c>
      <c r="BM283" s="47">
        <v>5</v>
      </c>
      <c r="BP283" s="47">
        <v>9</v>
      </c>
      <c r="BQ283" s="47">
        <v>13</v>
      </c>
    </row>
    <row r="284" spans="60:69" x14ac:dyDescent="0.2">
      <c r="BH284" s="47">
        <v>17</v>
      </c>
      <c r="BI284" s="47">
        <v>8</v>
      </c>
      <c r="BL284" s="47">
        <v>4</v>
      </c>
      <c r="BM284" s="47">
        <v>12</v>
      </c>
      <c r="BP284" s="47">
        <v>14</v>
      </c>
      <c r="BQ284" s="47">
        <v>8</v>
      </c>
    </row>
    <row r="285" spans="60:69" x14ac:dyDescent="0.2">
      <c r="BH285" s="47">
        <v>9</v>
      </c>
      <c r="BI285" s="47">
        <v>16</v>
      </c>
      <c r="BL285" s="47">
        <v>13</v>
      </c>
      <c r="BM285" s="47">
        <v>3</v>
      </c>
      <c r="BP285" s="47">
        <v>7</v>
      </c>
      <c r="BQ285" s="47">
        <v>15</v>
      </c>
    </row>
    <row r="286" spans="60:69" x14ac:dyDescent="0.2">
      <c r="BH286" s="47">
        <v>15</v>
      </c>
      <c r="BI286" s="47">
        <v>10</v>
      </c>
      <c r="BL286" s="47">
        <v>2</v>
      </c>
      <c r="BM286" s="47">
        <v>14</v>
      </c>
      <c r="BP286" s="47">
        <v>16</v>
      </c>
      <c r="BQ286" s="47">
        <v>6</v>
      </c>
    </row>
    <row r="287" spans="60:69" x14ac:dyDescent="0.2">
      <c r="BH287" s="47">
        <v>11</v>
      </c>
      <c r="BI287" s="47">
        <v>14</v>
      </c>
      <c r="BL287" s="47">
        <v>19</v>
      </c>
      <c r="BM287" s="47">
        <v>16</v>
      </c>
      <c r="BP287" s="47">
        <v>5</v>
      </c>
      <c r="BQ287" s="47">
        <v>17</v>
      </c>
    </row>
    <row r="288" spans="60:69" x14ac:dyDescent="0.2">
      <c r="BH288" s="47">
        <v>13</v>
      </c>
      <c r="BI288" s="47">
        <v>12</v>
      </c>
      <c r="BL288" s="47">
        <v>17</v>
      </c>
      <c r="BM288" s="47">
        <v>18</v>
      </c>
      <c r="BP288" s="47">
        <v>18</v>
      </c>
      <c r="BQ288" s="47">
        <v>4</v>
      </c>
    </row>
    <row r="289" spans="60:69" x14ac:dyDescent="0.2">
      <c r="BH289" s="47">
        <v>1</v>
      </c>
      <c r="BI289" s="47">
        <v>3</v>
      </c>
      <c r="BL289" s="47">
        <v>1</v>
      </c>
      <c r="BM289" s="47">
        <v>7</v>
      </c>
      <c r="BP289" s="47">
        <v>3</v>
      </c>
      <c r="BQ289" s="47">
        <v>19</v>
      </c>
    </row>
    <row r="290" spans="60:69" x14ac:dyDescent="0.2">
      <c r="BH290" s="47">
        <v>4</v>
      </c>
      <c r="BI290" s="47">
        <v>2</v>
      </c>
      <c r="BL290" s="47">
        <v>8</v>
      </c>
      <c r="BM290" s="47">
        <v>6</v>
      </c>
      <c r="BP290" s="47">
        <v>20</v>
      </c>
      <c r="BQ290" s="47">
        <v>2</v>
      </c>
    </row>
    <row r="291" spans="60:69" x14ac:dyDescent="0.2">
      <c r="BH291" s="47">
        <v>18</v>
      </c>
      <c r="BI291" s="47">
        <v>5</v>
      </c>
      <c r="BL291" s="47">
        <v>5</v>
      </c>
      <c r="BM291" s="47">
        <v>9</v>
      </c>
      <c r="BP291" s="47">
        <v>10</v>
      </c>
      <c r="BQ291" s="47">
        <v>1</v>
      </c>
    </row>
    <row r="292" spans="60:69" x14ac:dyDescent="0.2">
      <c r="BH292" s="47">
        <v>6</v>
      </c>
      <c r="BI292" s="47">
        <v>17</v>
      </c>
      <c r="BL292" s="47">
        <v>10</v>
      </c>
      <c r="BM292" s="47">
        <v>4</v>
      </c>
      <c r="BP292" s="47">
        <v>11</v>
      </c>
      <c r="BQ292" s="47">
        <v>9</v>
      </c>
    </row>
    <row r="293" spans="60:69" x14ac:dyDescent="0.2">
      <c r="BH293" s="47">
        <v>16</v>
      </c>
      <c r="BI293" s="47">
        <v>7</v>
      </c>
      <c r="BL293" s="47">
        <v>3</v>
      </c>
      <c r="BM293" s="47">
        <v>11</v>
      </c>
      <c r="BP293" s="47">
        <v>8</v>
      </c>
      <c r="BQ293" s="47">
        <v>12</v>
      </c>
    </row>
    <row r="294" spans="60:69" x14ac:dyDescent="0.2">
      <c r="BH294" s="47">
        <v>8</v>
      </c>
      <c r="BI294" s="47">
        <v>15</v>
      </c>
      <c r="BL294" s="47">
        <v>12</v>
      </c>
      <c r="BM294" s="47">
        <v>2</v>
      </c>
      <c r="BP294" s="47">
        <v>13</v>
      </c>
      <c r="BQ294" s="47">
        <v>7</v>
      </c>
    </row>
    <row r="295" spans="60:69" x14ac:dyDescent="0.2">
      <c r="BH295" s="47">
        <v>14</v>
      </c>
      <c r="BI295" s="47">
        <v>9</v>
      </c>
      <c r="BL295" s="47">
        <v>14</v>
      </c>
      <c r="BM295" s="47">
        <v>19</v>
      </c>
      <c r="BP295" s="47">
        <v>6</v>
      </c>
      <c r="BQ295" s="47">
        <v>14</v>
      </c>
    </row>
    <row r="296" spans="60:69" x14ac:dyDescent="0.2">
      <c r="BH296" s="47">
        <v>10</v>
      </c>
      <c r="BI296" s="47">
        <v>13</v>
      </c>
      <c r="BL296" s="47">
        <v>18</v>
      </c>
      <c r="BM296" s="47">
        <v>15</v>
      </c>
      <c r="BP296" s="47">
        <v>15</v>
      </c>
      <c r="BQ296" s="47">
        <v>5</v>
      </c>
    </row>
    <row r="297" spans="60:69" x14ac:dyDescent="0.2">
      <c r="BH297" s="47">
        <v>12</v>
      </c>
      <c r="BI297" s="47">
        <v>11</v>
      </c>
      <c r="BL297" s="47">
        <v>16</v>
      </c>
      <c r="BM297" s="47">
        <v>17</v>
      </c>
      <c r="BP297" s="47">
        <v>4</v>
      </c>
      <c r="BQ297" s="47">
        <v>16</v>
      </c>
    </row>
    <row r="298" spans="60:69" x14ac:dyDescent="0.2">
      <c r="BH298" s="47">
        <v>2</v>
      </c>
      <c r="BI298" s="47">
        <v>1</v>
      </c>
      <c r="BL298" s="47">
        <v>6</v>
      </c>
      <c r="BM298" s="47">
        <v>1</v>
      </c>
      <c r="BP298" s="47">
        <v>17</v>
      </c>
      <c r="BQ298" s="47">
        <v>3</v>
      </c>
    </row>
    <row r="299" spans="60:69" x14ac:dyDescent="0.2">
      <c r="BH299" s="47">
        <v>3</v>
      </c>
      <c r="BI299" s="47">
        <v>18</v>
      </c>
      <c r="BL299" s="47">
        <v>7</v>
      </c>
      <c r="BM299" s="47">
        <v>5</v>
      </c>
      <c r="BP299" s="47">
        <v>2</v>
      </c>
      <c r="BQ299" s="47">
        <v>18</v>
      </c>
    </row>
    <row r="300" spans="60:69" x14ac:dyDescent="0.2">
      <c r="BH300" s="47">
        <v>17</v>
      </c>
      <c r="BI300" s="47">
        <v>4</v>
      </c>
      <c r="BL300" s="47">
        <v>4</v>
      </c>
      <c r="BM300" s="47">
        <v>8</v>
      </c>
      <c r="BP300" s="47">
        <v>19</v>
      </c>
      <c r="BQ300" s="47">
        <v>20</v>
      </c>
    </row>
    <row r="301" spans="60:69" x14ac:dyDescent="0.2">
      <c r="BH301" s="47">
        <v>5</v>
      </c>
      <c r="BI301" s="47">
        <v>16</v>
      </c>
      <c r="BL301" s="47">
        <v>9</v>
      </c>
      <c r="BM301" s="47">
        <v>3</v>
      </c>
      <c r="BP301" s="47">
        <v>1</v>
      </c>
      <c r="BQ301" s="47">
        <v>9</v>
      </c>
    </row>
    <row r="302" spans="60:69" x14ac:dyDescent="0.2">
      <c r="BH302" s="47">
        <v>15</v>
      </c>
      <c r="BI302" s="47">
        <v>6</v>
      </c>
      <c r="BL302" s="47">
        <v>2</v>
      </c>
      <c r="BM302" s="47">
        <v>10</v>
      </c>
      <c r="BP302" s="47">
        <v>10</v>
      </c>
      <c r="BQ302" s="47">
        <v>8</v>
      </c>
    </row>
    <row r="303" spans="60:69" x14ac:dyDescent="0.2">
      <c r="BH303" s="47">
        <v>7</v>
      </c>
      <c r="BI303" s="47">
        <v>14</v>
      </c>
      <c r="BL303" s="47">
        <v>19</v>
      </c>
      <c r="BM303" s="47">
        <v>12</v>
      </c>
      <c r="BP303" s="47">
        <v>7</v>
      </c>
      <c r="BQ303" s="47">
        <v>11</v>
      </c>
    </row>
    <row r="304" spans="60:69" x14ac:dyDescent="0.2">
      <c r="BH304" s="47">
        <v>13</v>
      </c>
      <c r="BI304" s="47">
        <v>8</v>
      </c>
      <c r="BL304" s="47">
        <v>13</v>
      </c>
      <c r="BM304" s="47">
        <v>18</v>
      </c>
      <c r="BP304" s="47">
        <v>12</v>
      </c>
      <c r="BQ304" s="47">
        <v>6</v>
      </c>
    </row>
    <row r="305" spans="60:69" x14ac:dyDescent="0.2">
      <c r="BH305" s="47">
        <v>9</v>
      </c>
      <c r="BI305" s="47">
        <v>12</v>
      </c>
      <c r="BL305" s="47">
        <v>17</v>
      </c>
      <c r="BM305" s="47">
        <v>14</v>
      </c>
      <c r="BP305" s="47">
        <v>5</v>
      </c>
      <c r="BQ305" s="47">
        <v>13</v>
      </c>
    </row>
    <row r="306" spans="60:69" x14ac:dyDescent="0.2">
      <c r="BH306" s="47">
        <v>11</v>
      </c>
      <c r="BI306" s="47">
        <v>10</v>
      </c>
      <c r="BL306" s="47">
        <v>15</v>
      </c>
      <c r="BM306" s="47">
        <v>16</v>
      </c>
      <c r="BP306" s="47">
        <v>14</v>
      </c>
      <c r="BQ306" s="47">
        <v>4</v>
      </c>
    </row>
    <row r="307" spans="60:69" x14ac:dyDescent="0.2">
      <c r="BL307" s="47">
        <v>1</v>
      </c>
      <c r="BM307" s="47">
        <v>5</v>
      </c>
      <c r="BP307" s="47">
        <v>3</v>
      </c>
      <c r="BQ307" s="47">
        <v>15</v>
      </c>
    </row>
    <row r="308" spans="60:69" x14ac:dyDescent="0.2">
      <c r="BL308" s="47">
        <v>6</v>
      </c>
      <c r="BM308" s="47">
        <v>4</v>
      </c>
      <c r="BP308" s="47">
        <v>16</v>
      </c>
      <c r="BQ308" s="47">
        <v>2</v>
      </c>
    </row>
    <row r="309" spans="60:69" x14ac:dyDescent="0.2">
      <c r="BL309" s="47">
        <v>3</v>
      </c>
      <c r="BM309" s="47">
        <v>7</v>
      </c>
      <c r="BP309" s="47">
        <v>20</v>
      </c>
      <c r="BQ309" s="47">
        <v>17</v>
      </c>
    </row>
    <row r="310" spans="60:69" x14ac:dyDescent="0.2">
      <c r="BL310" s="47">
        <v>8</v>
      </c>
      <c r="BM310" s="47">
        <v>2</v>
      </c>
      <c r="BP310" s="47">
        <v>18</v>
      </c>
      <c r="BQ310" s="47">
        <v>19</v>
      </c>
    </row>
    <row r="311" spans="60:69" x14ac:dyDescent="0.2">
      <c r="BL311" s="47">
        <v>10</v>
      </c>
      <c r="BM311" s="47">
        <v>19</v>
      </c>
      <c r="BP311" s="47">
        <v>8</v>
      </c>
      <c r="BQ311" s="47">
        <v>1</v>
      </c>
    </row>
    <row r="312" spans="60:69" x14ac:dyDescent="0.2">
      <c r="BL312" s="47">
        <v>18</v>
      </c>
      <c r="BM312" s="47">
        <v>11</v>
      </c>
      <c r="BP312" s="47">
        <v>9</v>
      </c>
      <c r="BQ312" s="47">
        <v>7</v>
      </c>
    </row>
    <row r="313" spans="60:69" x14ac:dyDescent="0.2">
      <c r="BL313" s="47">
        <v>12</v>
      </c>
      <c r="BM313" s="47">
        <v>17</v>
      </c>
      <c r="BP313" s="47">
        <v>6</v>
      </c>
      <c r="BQ313" s="47">
        <v>10</v>
      </c>
    </row>
    <row r="314" spans="60:69" x14ac:dyDescent="0.2">
      <c r="BL314" s="47">
        <v>16</v>
      </c>
      <c r="BM314" s="47">
        <v>13</v>
      </c>
      <c r="BP314" s="47">
        <v>11</v>
      </c>
      <c r="BQ314" s="47">
        <v>5</v>
      </c>
    </row>
    <row r="315" spans="60:69" x14ac:dyDescent="0.2">
      <c r="BL315" s="47">
        <v>14</v>
      </c>
      <c r="BM315" s="47">
        <v>15</v>
      </c>
      <c r="BP315" s="47">
        <v>4</v>
      </c>
      <c r="BQ315" s="47">
        <v>12</v>
      </c>
    </row>
    <row r="316" spans="60:69" x14ac:dyDescent="0.2">
      <c r="BL316" s="47">
        <v>4</v>
      </c>
      <c r="BM316" s="47">
        <v>1</v>
      </c>
      <c r="BP316" s="47">
        <v>13</v>
      </c>
      <c r="BQ316" s="47">
        <v>3</v>
      </c>
    </row>
    <row r="317" spans="60:69" x14ac:dyDescent="0.2">
      <c r="BL317" s="47">
        <v>5</v>
      </c>
      <c r="BM317" s="47">
        <v>3</v>
      </c>
      <c r="BP317" s="47">
        <v>2</v>
      </c>
      <c r="BQ317" s="47">
        <v>14</v>
      </c>
    </row>
    <row r="318" spans="60:69" x14ac:dyDescent="0.2">
      <c r="BL318" s="47">
        <v>2</v>
      </c>
      <c r="BM318" s="47">
        <v>6</v>
      </c>
      <c r="BP318" s="47">
        <v>15</v>
      </c>
      <c r="BQ318" s="47">
        <v>20</v>
      </c>
    </row>
    <row r="319" spans="60:69" x14ac:dyDescent="0.2">
      <c r="BL319" s="47">
        <v>19</v>
      </c>
      <c r="BM319" s="47">
        <v>8</v>
      </c>
      <c r="BP319" s="47">
        <v>19</v>
      </c>
      <c r="BQ319" s="47">
        <v>16</v>
      </c>
    </row>
    <row r="320" spans="60:69" x14ac:dyDescent="0.2">
      <c r="BL320" s="47">
        <v>9</v>
      </c>
      <c r="BM320" s="47">
        <v>18</v>
      </c>
      <c r="BP320" s="47">
        <v>17</v>
      </c>
      <c r="BQ320" s="47">
        <v>18</v>
      </c>
    </row>
    <row r="321" spans="64:69" x14ac:dyDescent="0.2">
      <c r="BL321" s="47">
        <v>17</v>
      </c>
      <c r="BM321" s="47">
        <v>10</v>
      </c>
      <c r="BP321" s="47">
        <v>1</v>
      </c>
      <c r="BQ321" s="47">
        <v>7</v>
      </c>
    </row>
    <row r="322" spans="64:69" x14ac:dyDescent="0.2">
      <c r="BL322" s="47">
        <v>11</v>
      </c>
      <c r="BM322" s="47">
        <v>16</v>
      </c>
      <c r="BP322" s="47">
        <v>8</v>
      </c>
      <c r="BQ322" s="47">
        <v>6</v>
      </c>
    </row>
    <row r="323" spans="64:69" x14ac:dyDescent="0.2">
      <c r="BL323" s="47">
        <v>15</v>
      </c>
      <c r="BM323" s="47">
        <v>12</v>
      </c>
      <c r="BP323" s="47">
        <v>5</v>
      </c>
      <c r="BQ323" s="47">
        <v>9</v>
      </c>
    </row>
    <row r="324" spans="64:69" x14ac:dyDescent="0.2">
      <c r="BL324" s="47">
        <v>13</v>
      </c>
      <c r="BM324" s="47">
        <v>14</v>
      </c>
      <c r="BP324" s="47">
        <v>10</v>
      </c>
      <c r="BQ324" s="47">
        <v>4</v>
      </c>
    </row>
    <row r="325" spans="64:69" x14ac:dyDescent="0.2">
      <c r="BL325" s="47">
        <v>1</v>
      </c>
      <c r="BM325" s="47">
        <v>3</v>
      </c>
      <c r="BP325" s="47">
        <v>3</v>
      </c>
      <c r="BQ325" s="47">
        <v>11</v>
      </c>
    </row>
    <row r="326" spans="64:69" x14ac:dyDescent="0.2">
      <c r="BL326" s="47">
        <v>4</v>
      </c>
      <c r="BM326" s="47">
        <v>2</v>
      </c>
      <c r="BP326" s="47">
        <v>12</v>
      </c>
      <c r="BQ326" s="47">
        <v>2</v>
      </c>
    </row>
    <row r="327" spans="64:69" x14ac:dyDescent="0.2">
      <c r="BL327" s="47">
        <v>6</v>
      </c>
      <c r="BM327" s="47">
        <v>19</v>
      </c>
      <c r="BP327" s="47">
        <v>20</v>
      </c>
      <c r="BQ327" s="47">
        <v>13</v>
      </c>
    </row>
    <row r="328" spans="64:69" x14ac:dyDescent="0.2">
      <c r="BL328" s="47">
        <v>18</v>
      </c>
      <c r="BM328" s="47">
        <v>7</v>
      </c>
      <c r="BP328" s="47">
        <v>14</v>
      </c>
      <c r="BQ328" s="47">
        <v>19</v>
      </c>
    </row>
    <row r="329" spans="64:69" x14ac:dyDescent="0.2">
      <c r="BL329" s="47">
        <v>8</v>
      </c>
      <c r="BM329" s="47">
        <v>17</v>
      </c>
      <c r="BP329" s="47">
        <v>18</v>
      </c>
      <c r="BQ329" s="47">
        <v>15</v>
      </c>
    </row>
    <row r="330" spans="64:69" x14ac:dyDescent="0.2">
      <c r="BL330" s="47">
        <v>16</v>
      </c>
      <c r="BM330" s="47">
        <v>9</v>
      </c>
      <c r="BP330" s="47">
        <v>16</v>
      </c>
      <c r="BQ330" s="47">
        <v>17</v>
      </c>
    </row>
    <row r="331" spans="64:69" x14ac:dyDescent="0.2">
      <c r="BL331" s="47">
        <v>10</v>
      </c>
      <c r="BM331" s="47">
        <v>15</v>
      </c>
      <c r="BP331" s="47">
        <v>6</v>
      </c>
      <c r="BQ331" s="47">
        <v>1</v>
      </c>
    </row>
    <row r="332" spans="64:69" x14ac:dyDescent="0.2">
      <c r="BL332" s="47">
        <v>14</v>
      </c>
      <c r="BM332" s="47">
        <v>11</v>
      </c>
      <c r="BP332" s="47">
        <v>7</v>
      </c>
      <c r="BQ332" s="47">
        <v>5</v>
      </c>
    </row>
    <row r="333" spans="64:69" x14ac:dyDescent="0.2">
      <c r="BL333" s="47">
        <v>12</v>
      </c>
      <c r="BM333" s="47">
        <v>13</v>
      </c>
      <c r="BP333" s="47">
        <v>4</v>
      </c>
      <c r="BQ333" s="47">
        <v>8</v>
      </c>
    </row>
    <row r="334" spans="64:69" x14ac:dyDescent="0.2">
      <c r="BL334" s="47">
        <v>2</v>
      </c>
      <c r="BM334" s="47">
        <v>1</v>
      </c>
      <c r="BP334" s="47">
        <v>9</v>
      </c>
      <c r="BQ334" s="47">
        <v>3</v>
      </c>
    </row>
    <row r="335" spans="64:69" x14ac:dyDescent="0.2">
      <c r="BL335" s="47">
        <v>19</v>
      </c>
      <c r="BM335" s="47">
        <v>4</v>
      </c>
      <c r="BP335" s="47">
        <v>2</v>
      </c>
      <c r="BQ335" s="47">
        <v>10</v>
      </c>
    </row>
    <row r="336" spans="64:69" x14ac:dyDescent="0.2">
      <c r="BL336" s="47">
        <v>5</v>
      </c>
      <c r="BM336" s="47">
        <v>18</v>
      </c>
      <c r="BP336" s="47">
        <v>11</v>
      </c>
      <c r="BQ336" s="47">
        <v>20</v>
      </c>
    </row>
    <row r="337" spans="64:69" x14ac:dyDescent="0.2">
      <c r="BL337" s="47">
        <v>17</v>
      </c>
      <c r="BM337" s="47">
        <v>6</v>
      </c>
      <c r="BP337" s="47">
        <v>19</v>
      </c>
      <c r="BQ337" s="47">
        <v>12</v>
      </c>
    </row>
    <row r="338" spans="64:69" x14ac:dyDescent="0.2">
      <c r="BL338" s="47">
        <v>7</v>
      </c>
      <c r="BM338" s="47">
        <v>16</v>
      </c>
      <c r="BP338" s="47">
        <v>13</v>
      </c>
      <c r="BQ338" s="47">
        <v>18</v>
      </c>
    </row>
    <row r="339" spans="64:69" x14ac:dyDescent="0.2">
      <c r="BL339" s="47">
        <v>15</v>
      </c>
      <c r="BM339" s="47">
        <v>8</v>
      </c>
      <c r="BP339" s="47">
        <v>17</v>
      </c>
      <c r="BQ339" s="47">
        <v>14</v>
      </c>
    </row>
    <row r="340" spans="64:69" x14ac:dyDescent="0.2">
      <c r="BL340" s="47">
        <v>9</v>
      </c>
      <c r="BM340" s="47">
        <v>14</v>
      </c>
      <c r="BP340" s="47">
        <v>15</v>
      </c>
      <c r="BQ340" s="47">
        <v>16</v>
      </c>
    </row>
    <row r="341" spans="64:69" x14ac:dyDescent="0.2">
      <c r="BL341" s="47">
        <v>13</v>
      </c>
      <c r="BM341" s="47">
        <v>10</v>
      </c>
      <c r="BP341" s="47">
        <v>1</v>
      </c>
      <c r="BQ341" s="47">
        <v>5</v>
      </c>
    </row>
    <row r="342" spans="64:69" x14ac:dyDescent="0.2">
      <c r="BL342" s="47">
        <v>11</v>
      </c>
      <c r="BM342" s="47">
        <v>12</v>
      </c>
      <c r="BP342" s="47">
        <v>6</v>
      </c>
      <c r="BQ342" s="47">
        <v>4</v>
      </c>
    </row>
    <row r="343" spans="64:69" x14ac:dyDescent="0.2">
      <c r="BP343" s="47">
        <v>3</v>
      </c>
      <c r="BQ343" s="47">
        <v>7</v>
      </c>
    </row>
    <row r="344" spans="64:69" x14ac:dyDescent="0.2">
      <c r="BP344" s="47">
        <v>8</v>
      </c>
      <c r="BQ344" s="47">
        <v>2</v>
      </c>
    </row>
    <row r="345" spans="64:69" x14ac:dyDescent="0.2">
      <c r="BP345" s="47">
        <v>20</v>
      </c>
      <c r="BQ345" s="47">
        <v>9</v>
      </c>
    </row>
    <row r="346" spans="64:69" x14ac:dyDescent="0.2">
      <c r="BP346" s="47">
        <v>10</v>
      </c>
      <c r="BQ346" s="47">
        <v>19</v>
      </c>
    </row>
    <row r="347" spans="64:69" x14ac:dyDescent="0.2">
      <c r="BP347" s="47">
        <v>18</v>
      </c>
      <c r="BQ347" s="47">
        <v>11</v>
      </c>
    </row>
    <row r="348" spans="64:69" x14ac:dyDescent="0.2">
      <c r="BP348" s="47">
        <v>12</v>
      </c>
      <c r="BQ348" s="47">
        <v>17</v>
      </c>
    </row>
    <row r="349" spans="64:69" x14ac:dyDescent="0.2">
      <c r="BP349" s="47">
        <v>16</v>
      </c>
      <c r="BQ349" s="47">
        <v>13</v>
      </c>
    </row>
    <row r="350" spans="64:69" x14ac:dyDescent="0.2">
      <c r="BP350" s="47">
        <v>14</v>
      </c>
      <c r="BQ350" s="47">
        <v>15</v>
      </c>
    </row>
    <row r="351" spans="64:69" x14ac:dyDescent="0.2">
      <c r="BP351" s="47">
        <v>4</v>
      </c>
      <c r="BQ351" s="47">
        <v>1</v>
      </c>
    </row>
    <row r="352" spans="64:69" x14ac:dyDescent="0.2">
      <c r="BP352" s="47">
        <v>5</v>
      </c>
      <c r="BQ352" s="47">
        <v>3</v>
      </c>
    </row>
    <row r="353" spans="68:69" x14ac:dyDescent="0.2">
      <c r="BP353" s="47">
        <v>2</v>
      </c>
      <c r="BQ353" s="47">
        <v>6</v>
      </c>
    </row>
    <row r="354" spans="68:69" x14ac:dyDescent="0.2">
      <c r="BP354" s="47">
        <v>7</v>
      </c>
      <c r="BQ354" s="47">
        <v>20</v>
      </c>
    </row>
    <row r="355" spans="68:69" x14ac:dyDescent="0.2">
      <c r="BP355" s="47">
        <v>19</v>
      </c>
      <c r="BQ355" s="47">
        <v>8</v>
      </c>
    </row>
    <row r="356" spans="68:69" x14ac:dyDescent="0.2">
      <c r="BP356" s="47">
        <v>9</v>
      </c>
      <c r="BQ356" s="47">
        <v>18</v>
      </c>
    </row>
    <row r="357" spans="68:69" x14ac:dyDescent="0.2">
      <c r="BP357" s="47">
        <v>17</v>
      </c>
      <c r="BQ357" s="47">
        <v>10</v>
      </c>
    </row>
    <row r="358" spans="68:69" x14ac:dyDescent="0.2">
      <c r="BP358" s="47">
        <v>11</v>
      </c>
      <c r="BQ358" s="47">
        <v>16</v>
      </c>
    </row>
    <row r="359" spans="68:69" x14ac:dyDescent="0.2">
      <c r="BP359" s="47">
        <v>15</v>
      </c>
      <c r="BQ359" s="47">
        <v>12</v>
      </c>
    </row>
    <row r="360" spans="68:69" x14ac:dyDescent="0.2">
      <c r="BP360" s="47">
        <v>13</v>
      </c>
      <c r="BQ360" s="47">
        <v>14</v>
      </c>
    </row>
    <row r="361" spans="68:69" x14ac:dyDescent="0.2">
      <c r="BP361" s="47">
        <v>1</v>
      </c>
      <c r="BQ361" s="47">
        <v>3</v>
      </c>
    </row>
    <row r="362" spans="68:69" x14ac:dyDescent="0.2">
      <c r="BP362" s="47">
        <v>4</v>
      </c>
      <c r="BQ362" s="47">
        <v>2</v>
      </c>
    </row>
    <row r="363" spans="68:69" x14ac:dyDescent="0.2">
      <c r="BP363" s="47">
        <v>20</v>
      </c>
      <c r="BQ363" s="47">
        <v>5</v>
      </c>
    </row>
    <row r="364" spans="68:69" x14ac:dyDescent="0.2">
      <c r="BP364" s="47">
        <v>6</v>
      </c>
      <c r="BQ364" s="47">
        <v>19</v>
      </c>
    </row>
    <row r="365" spans="68:69" x14ac:dyDescent="0.2">
      <c r="BP365" s="47">
        <v>18</v>
      </c>
      <c r="BQ365" s="47">
        <v>7</v>
      </c>
    </row>
    <row r="366" spans="68:69" x14ac:dyDescent="0.2">
      <c r="BP366" s="47">
        <v>8</v>
      </c>
      <c r="BQ366" s="47">
        <v>17</v>
      </c>
    </row>
    <row r="367" spans="68:69" x14ac:dyDescent="0.2">
      <c r="BP367" s="47">
        <v>16</v>
      </c>
      <c r="BQ367" s="47">
        <v>9</v>
      </c>
    </row>
    <row r="368" spans="68:69" x14ac:dyDescent="0.2">
      <c r="BP368" s="47">
        <v>10</v>
      </c>
      <c r="BQ368" s="47">
        <v>15</v>
      </c>
    </row>
    <row r="369" spans="68:69" x14ac:dyDescent="0.2">
      <c r="BP369" s="47">
        <v>14</v>
      </c>
      <c r="BQ369" s="47">
        <v>11</v>
      </c>
    </row>
    <row r="370" spans="68:69" x14ac:dyDescent="0.2">
      <c r="BP370" s="47">
        <v>12</v>
      </c>
      <c r="BQ370" s="47">
        <v>13</v>
      </c>
    </row>
    <row r="371" spans="68:69" x14ac:dyDescent="0.2">
      <c r="BP371" s="47">
        <v>2</v>
      </c>
      <c r="BQ371" s="47">
        <v>1</v>
      </c>
    </row>
    <row r="372" spans="68:69" x14ac:dyDescent="0.2">
      <c r="BP372" s="47">
        <v>3</v>
      </c>
      <c r="BQ372" s="47">
        <v>20</v>
      </c>
    </row>
    <row r="373" spans="68:69" x14ac:dyDescent="0.2">
      <c r="BP373" s="47">
        <v>19</v>
      </c>
      <c r="BQ373" s="47">
        <v>4</v>
      </c>
    </row>
    <row r="374" spans="68:69" x14ac:dyDescent="0.2">
      <c r="BP374" s="47">
        <v>5</v>
      </c>
      <c r="BQ374" s="47">
        <v>18</v>
      </c>
    </row>
    <row r="375" spans="68:69" x14ac:dyDescent="0.2">
      <c r="BP375" s="47">
        <v>17</v>
      </c>
      <c r="BQ375" s="47">
        <v>6</v>
      </c>
    </row>
    <row r="376" spans="68:69" x14ac:dyDescent="0.2">
      <c r="BP376" s="47">
        <v>7</v>
      </c>
      <c r="BQ376" s="47">
        <v>16</v>
      </c>
    </row>
    <row r="377" spans="68:69" x14ac:dyDescent="0.2">
      <c r="BP377" s="47">
        <v>15</v>
      </c>
      <c r="BQ377" s="47">
        <v>8</v>
      </c>
    </row>
    <row r="378" spans="68:69" x14ac:dyDescent="0.2">
      <c r="BP378" s="47">
        <v>9</v>
      </c>
      <c r="BQ378" s="47">
        <v>14</v>
      </c>
    </row>
    <row r="379" spans="68:69" x14ac:dyDescent="0.2">
      <c r="BP379" s="47">
        <v>13</v>
      </c>
      <c r="BQ379" s="47">
        <v>10</v>
      </c>
    </row>
    <row r="380" spans="68:69" x14ac:dyDescent="0.2">
      <c r="BP380" s="47">
        <v>11</v>
      </c>
      <c r="BQ380" s="47">
        <v>12</v>
      </c>
    </row>
  </sheetData>
  <mergeCells count="35">
    <mergeCell ref="BO186:BO190"/>
    <mergeCell ref="BO191:BO195"/>
    <mergeCell ref="BK167:BK171"/>
    <mergeCell ref="BK172:BK176"/>
    <mergeCell ref="BG149:BG153"/>
    <mergeCell ref="BG154:BG158"/>
    <mergeCell ref="AQ87:AQ91"/>
    <mergeCell ref="AQ92:AQ96"/>
    <mergeCell ref="A1:A18"/>
    <mergeCell ref="C2:C6"/>
    <mergeCell ref="C7:C11"/>
    <mergeCell ref="AM74:AM78"/>
    <mergeCell ref="AM79:AM83"/>
    <mergeCell ref="AI62:AI66"/>
    <mergeCell ref="AI67:AI71"/>
    <mergeCell ref="AE51:AE55"/>
    <mergeCell ref="AE56:AE60"/>
    <mergeCell ref="AA41:AA45"/>
    <mergeCell ref="AA46:AA50"/>
    <mergeCell ref="W32:W36"/>
    <mergeCell ref="W37:W41"/>
    <mergeCell ref="S24:S28"/>
    <mergeCell ref="BC137:BC141"/>
    <mergeCell ref="AY116:AY120"/>
    <mergeCell ref="AY121:AY125"/>
    <mergeCell ref="AU101:AU105"/>
    <mergeCell ref="AU106:AU110"/>
    <mergeCell ref="BC132:BC136"/>
    <mergeCell ref="G6:G10"/>
    <mergeCell ref="G11:G15"/>
    <mergeCell ref="S29:S33"/>
    <mergeCell ref="O17:O21"/>
    <mergeCell ref="O22:O26"/>
    <mergeCell ref="K11:K15"/>
    <mergeCell ref="K16:K20"/>
  </mergeCells>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4</vt:i4>
      </vt:variant>
    </vt:vector>
  </HeadingPairs>
  <TitlesOfParts>
    <vt:vector size="15" baseType="lpstr">
      <vt:lpstr>Results</vt:lpstr>
      <vt:lpstr>Plan</vt:lpstr>
      <vt:lpstr>Calc</vt:lpstr>
      <vt:lpstr>Calc2</vt:lpstr>
      <vt:lpstr>Factors</vt:lpstr>
      <vt:lpstr>Calc_match_days</vt:lpstr>
      <vt:lpstr>Tie_Break</vt:lpstr>
      <vt:lpstr>Language</vt:lpstr>
      <vt:lpstr>Matchups</vt:lpstr>
      <vt:lpstr>Settings</vt:lpstr>
      <vt:lpstr>Info</vt:lpstr>
      <vt:lpstr>FactorGD</vt:lpstr>
      <vt:lpstr>FactorGF</vt:lpstr>
      <vt:lpstr>FactorPts</vt:lpstr>
      <vt:lpstr>GDzero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2021-09-13T17:03:54Z</cp:lastPrinted>
  <dcterms:created xsi:type="dcterms:W3CDTF">2010-02-21T20:03:25Z</dcterms:created>
  <dcterms:modified xsi:type="dcterms:W3CDTF">2026-07-05T21:24:58Z</dcterms:modified>
</cp:coreProperties>
</file>